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theme/themeOverride4.xml" ContentType="application/vnd.openxmlformats-officedocument.themeOverride+xml"/>
  <Override PartName="/xl/charts/chart6.xml" ContentType="application/vnd.openxmlformats-officedocument.drawingml.chart+xml"/>
  <Override PartName="/xl/theme/themeOverride5.xml" ContentType="application/vnd.openxmlformats-officedocument.themeOverride+xml"/>
  <Override PartName="/xl/charts/chart7.xml" ContentType="application/vnd.openxmlformats-officedocument.drawingml.chart+xml"/>
  <Override PartName="/xl/theme/themeOverride6.xml" ContentType="application/vnd.openxmlformats-officedocument.themeOverride+xml"/>
  <Override PartName="/xl/charts/chart8.xml" ContentType="application/vnd.openxmlformats-officedocument.drawingml.chart+xml"/>
  <Override PartName="/xl/theme/themeOverride7.xml" ContentType="application/vnd.openxmlformats-officedocument.themeOverride+xml"/>
  <Override PartName="/xl/charts/chart9.xml" ContentType="application/vnd.openxmlformats-officedocument.drawingml.chart+xml"/>
  <Override PartName="/xl/theme/themeOverride8.xml" ContentType="application/vnd.openxmlformats-officedocument.themeOverride+xml"/>
  <Override PartName="/xl/charts/chart10.xml" ContentType="application/vnd.openxmlformats-officedocument.drawingml.chart+xml"/>
  <Override PartName="/xl/theme/themeOverride9.xml" ContentType="application/vnd.openxmlformats-officedocument.themeOverride+xml"/>
  <Override PartName="/xl/charts/chart11.xml" ContentType="application/vnd.openxmlformats-officedocument.drawingml.chart+xml"/>
  <Override PartName="/xl/theme/themeOverride10.xml" ContentType="application/vnd.openxmlformats-officedocument.themeOverride+xml"/>
  <Override PartName="/xl/charts/chart12.xml" ContentType="application/vnd.openxmlformats-officedocument.drawingml.chart+xml"/>
  <Override PartName="/xl/theme/themeOverride11.xml" ContentType="application/vnd.openxmlformats-officedocument.themeOverride+xml"/>
  <Override PartName="/xl/charts/chart13.xml" ContentType="application/vnd.openxmlformats-officedocument.drawingml.chart+xml"/>
  <Override PartName="/xl/theme/themeOverride12.xml" ContentType="application/vnd.openxmlformats-officedocument.themeOverride+xml"/>
  <Override PartName="/xl/charts/chart14.xml" ContentType="application/vnd.openxmlformats-officedocument.drawingml.chart+xml"/>
  <Override PartName="/xl/theme/themeOverride13.xml" ContentType="application/vnd.openxmlformats-officedocument.themeOverride+xml"/>
  <Override PartName="/xl/charts/chart15.xml" ContentType="application/vnd.openxmlformats-officedocument.drawingml.chart+xml"/>
  <Override PartName="/xl/charts/chart16.xml" ContentType="application/vnd.openxmlformats-officedocument.drawingml.chart+xml"/>
  <Override PartName="/xl/theme/themeOverride14.xml" ContentType="application/vnd.openxmlformats-officedocument.themeOverride+xml"/>
  <Override PartName="/xl/charts/chart17.xml" ContentType="application/vnd.openxmlformats-officedocument.drawingml.chart+xml"/>
  <Override PartName="/xl/theme/themeOverride15.xml" ContentType="application/vnd.openxmlformats-officedocument.themeOverride+xml"/>
  <Override PartName="/xl/charts/chart18.xml" ContentType="application/vnd.openxmlformats-officedocument.drawingml.chart+xml"/>
  <Override PartName="/xl/theme/themeOverride16.xml" ContentType="application/vnd.openxmlformats-officedocument.themeOverride+xml"/>
  <Override PartName="/xl/charts/chart19.xml" ContentType="application/vnd.openxmlformats-officedocument.drawingml.chart+xml"/>
  <Override PartName="/xl/theme/themeOverride17.xml" ContentType="application/vnd.openxmlformats-officedocument.themeOverride+xml"/>
  <Override PartName="/xl/charts/chart20.xml" ContentType="application/vnd.openxmlformats-officedocument.drawingml.chart+xml"/>
  <Override PartName="/xl/theme/themeOverride18.xml" ContentType="application/vnd.openxmlformats-officedocument.themeOverride+xml"/>
  <Override PartName="/xl/charts/chart21.xml" ContentType="application/vnd.openxmlformats-officedocument.drawingml.chart+xml"/>
  <Override PartName="/xl/theme/themeOverride19.xml" ContentType="application/vnd.openxmlformats-officedocument.themeOverride+xml"/>
  <Override PartName="/xl/charts/chart22.xml" ContentType="application/vnd.openxmlformats-officedocument.drawingml.chart+xml"/>
  <Override PartName="/xl/theme/themeOverride20.xml" ContentType="application/vnd.openxmlformats-officedocument.themeOverride+xml"/>
  <Override PartName="/xl/charts/chart23.xml" ContentType="application/vnd.openxmlformats-officedocument.drawingml.chart+xml"/>
  <Override PartName="/xl/theme/themeOverride21.xml" ContentType="application/vnd.openxmlformats-officedocument.themeOverride+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charts/chart40.xml" ContentType="application/vnd.openxmlformats-officedocument.drawingml.chart+xml"/>
  <Override PartName="/xl/theme/themeOverride31.xml" ContentType="application/vnd.openxmlformats-officedocument.themeOverride+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charts/chart43.xml" ContentType="application/vnd.openxmlformats-officedocument.drawingml.chart+xml"/>
  <Override PartName="/xl/theme/themeOverride34.xml" ContentType="application/vnd.openxmlformats-officedocument.themeOverride+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charts/chart46.xml" ContentType="application/vnd.openxmlformats-officedocument.drawingml.chart+xml"/>
  <Override PartName="/xl/theme/themeOverride37.xml" ContentType="application/vnd.openxmlformats-officedocument.themeOverride+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theme/themeOverride38.xml" ContentType="application/vnd.openxmlformats-officedocument.themeOverride+xml"/>
  <Override PartName="/xl/charts/chart50.xml" ContentType="application/vnd.openxmlformats-officedocument.drawingml.chart+xml"/>
  <Override PartName="/xl/charts/chart51.xml" ContentType="application/vnd.openxmlformats-officedocument.drawingml.chart+xml"/>
  <Override PartName="/xl/theme/themeOverride39.xml" ContentType="application/vnd.openxmlformats-officedocument.themeOverride+xml"/>
  <Override PartName="/xl/drawings/drawing3.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drawings/drawing4.xml" ContentType="application/vnd.openxmlformats-officedocument.drawing+xml"/>
  <Override PartName="/xl/charts/chart5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filterPrivacy="1" codeName="ThisWorkbook"/>
  <xr:revisionPtr revIDLastSave="0" documentId="13_ncr:1_{A819CC5D-E94A-462E-848E-D9B3C99880C8}" xr6:coauthVersionLast="47" xr6:coauthVersionMax="47" xr10:uidLastSave="{00000000-0000-0000-0000-000000000000}"/>
  <bookViews>
    <workbookView xWindow="21848" yWindow="-16297" windowWidth="28995" windowHeight="16395" tabRatio="809" xr2:uid="{00000000-000D-0000-FFFF-FFFF00000000}"/>
  </bookViews>
  <sheets>
    <sheet name="Cover" sheetId="31" r:id="rId1"/>
    <sheet name="Description" sheetId="41" r:id="rId2"/>
    <sheet name="One-pager" sheetId="32" r:id="rId3"/>
    <sheet name="Calculations" sheetId="20" r:id="rId4"/>
    <sheet name="service" sheetId="36" state="hidden" r:id="rId5"/>
    <sheet name="dataset" sheetId="19" state="hidden" r:id="rId6"/>
    <sheet name="assets" sheetId="24" state="hidden" r:id="rId7"/>
    <sheet name="line charges" sheetId="27" state="hidden" r:id="rId8"/>
    <sheet name="integrity" sheetId="42" state="hidden" r:id="rId9"/>
    <sheet name="maps" sheetId="38" state="hidden" r:id="rId10"/>
    <sheet name="11a(iv) conversion" sheetId="39" state="hidden" r:id="rId11"/>
    <sheet name="ROI calculation" sheetId="40" state="hidden" r:id="rId12"/>
    <sheet name="company details" sheetId="34" state="hidden" r:id="rId13"/>
  </sheets>
  <definedNames>
    <definedName name="_xlnm._FilterDatabase" localSheetId="10" hidden="1">'11a(iv) conversion'!$B$42:$K$235</definedName>
    <definedName name="_xlnm._FilterDatabase" localSheetId="6" hidden="1">assets!$A$1:$O$225</definedName>
    <definedName name="_xlnm._FilterDatabase" localSheetId="5" hidden="1">dataset!$A$1:$O$8971</definedName>
    <definedName name="_xlnm._FilterDatabase" localSheetId="8" hidden="1">integrity!$A$1:$J$70</definedName>
    <definedName name="_xlnm._FilterDatabase" localSheetId="7" hidden="1">'line charges'!$A$1:$J$29</definedName>
    <definedName name="_xlnm._FilterDatabase" localSheetId="2" hidden="1">'One-pager'!$B$2:$N$2</definedName>
    <definedName name="_xlnm._FilterDatabase" localSheetId="4" hidden="1">service!$A$1:$L$90</definedName>
    <definedName name="data">dataset!$A$1:$AN$3001</definedName>
    <definedName name="gdb_name">'One-pager'!$B$2</definedName>
    <definedName name="gdb_name_asset">Calculations!$A$2</definedName>
    <definedName name="latest_year">'One-pager'!$AP$2</definedName>
    <definedName name="maplookup">INDEX(maps!$B$1:$B$6,MATCH(gdb_name,maps!$A$1:$A$6,0))</definedName>
    <definedName name="_xlnm.Print_Area" localSheetId="0">Cover!$A$1:$D$18</definedName>
    <definedName name="_xlnm.Print_Area" localSheetId="1">Description!$A$1:$C$14</definedName>
    <definedName name="_xlnm.Print_Area" localSheetId="2">'One-pager'!$A$2:$BC$49</definedName>
    <definedName name="r_rank">Calculations!#REF!</definedName>
    <definedName name="x_rank">Calculations!#REF!</definedName>
    <definedName name="xllookup">dataset!$AN$1:$AN$2000</definedName>
    <definedName name="y_rank">Calculations!#REF!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213" i="20" l="1"/>
  <c r="L47" i="36" l="1"/>
  <c r="L37" i="36"/>
  <c r="L27" i="36"/>
  <c r="L17" i="36"/>
  <c r="L8" i="36"/>
  <c r="K378" i="39"/>
  <c r="F379" i="39"/>
  <c r="K379" i="39"/>
  <c r="K380" i="39"/>
  <c r="K381" i="39"/>
  <c r="F382" i="39"/>
  <c r="K382" i="39"/>
  <c r="F383" i="39"/>
  <c r="K383" i="39"/>
  <c r="F384" i="39"/>
  <c r="K384" i="39"/>
  <c r="F385" i="39"/>
  <c r="K385" i="39"/>
  <c r="K386" i="39"/>
  <c r="F387" i="39"/>
  <c r="K387" i="39"/>
  <c r="K388" i="39"/>
  <c r="K389" i="39"/>
  <c r="K390" i="39"/>
  <c r="F391" i="39"/>
  <c r="K391" i="39"/>
  <c r="F392" i="39"/>
  <c r="K392" i="39"/>
  <c r="F393" i="39"/>
  <c r="K393" i="39"/>
  <c r="K394" i="39"/>
  <c r="F395" i="39"/>
  <c r="K395" i="39"/>
  <c r="F396" i="39"/>
  <c r="K396" i="39"/>
  <c r="K397" i="39"/>
  <c r="F398" i="39"/>
  <c r="G398" i="39"/>
  <c r="H398" i="39"/>
  <c r="K398" i="39"/>
  <c r="F399" i="39"/>
  <c r="G399" i="39"/>
  <c r="H399" i="39"/>
  <c r="K399" i="39"/>
  <c r="F400" i="39"/>
  <c r="G400" i="39"/>
  <c r="H400" i="39"/>
  <c r="K400" i="39"/>
  <c r="F401" i="39"/>
  <c r="G401" i="39"/>
  <c r="H401" i="39"/>
  <c r="K401" i="39"/>
  <c r="E402" i="39"/>
  <c r="F402" i="39"/>
  <c r="K402" i="39"/>
  <c r="E403" i="39"/>
  <c r="F403" i="39"/>
  <c r="K403" i="39"/>
  <c r="E404" i="39"/>
  <c r="F404" i="39"/>
  <c r="K404" i="39"/>
  <c r="E405" i="39"/>
  <c r="K405" i="39"/>
  <c r="E31" i="39"/>
  <c r="K238" i="39"/>
  <c r="B228" i="20" l="1"/>
  <c r="B239" i="20"/>
  <c r="B251" i="20"/>
  <c r="B6" i="20"/>
  <c r="B26" i="20"/>
  <c r="B49" i="20"/>
  <c r="B72" i="20"/>
  <c r="B3" i="20" l="1"/>
  <c r="N149" i="20"/>
  <c r="N160" i="20" s="1"/>
  <c r="N162" i="20" s="1"/>
  <c r="N159" i="20"/>
  <c r="M153" i="20"/>
  <c r="M143" i="20"/>
  <c r="M154" i="20" l="1"/>
  <c r="M156" i="20" s="1"/>
  <c r="L48" i="36"/>
  <c r="L46" i="36"/>
  <c r="L45" i="36"/>
  <c r="L44" i="36"/>
  <c r="L43" i="36"/>
  <c r="L42" i="36"/>
  <c r="L41" i="36"/>
  <c r="L40" i="36"/>
  <c r="L39" i="36"/>
  <c r="L28" i="36" l="1"/>
  <c r="L26" i="36"/>
  <c r="L25" i="36"/>
  <c r="L24" i="36"/>
  <c r="L23" i="36"/>
  <c r="L22" i="36"/>
  <c r="L21" i="36"/>
  <c r="L20" i="36"/>
  <c r="L19" i="36"/>
  <c r="AN6" i="32" l="1"/>
  <c r="Z229" i="20"/>
  <c r="K377" i="39" l="1"/>
  <c r="K376" i="39"/>
  <c r="F376" i="39"/>
  <c r="K375" i="39"/>
  <c r="F375" i="39"/>
  <c r="K374" i="39"/>
  <c r="F374" i="39"/>
  <c r="K373" i="39"/>
  <c r="K372" i="39"/>
  <c r="K371" i="39"/>
  <c r="F371" i="39"/>
  <c r="K370" i="39"/>
  <c r="K369" i="39"/>
  <c r="K368" i="39"/>
  <c r="K367" i="39"/>
  <c r="K366" i="39"/>
  <c r="K365" i="39"/>
  <c r="F365" i="39"/>
  <c r="K364" i="39"/>
  <c r="F364" i="39"/>
  <c r="K363" i="39"/>
  <c r="K362" i="39"/>
  <c r="K361" i="39"/>
  <c r="K360" i="39"/>
  <c r="K359" i="39"/>
  <c r="F359" i="39"/>
  <c r="K358" i="39"/>
  <c r="K357" i="39"/>
  <c r="F357" i="39"/>
  <c r="K356" i="39"/>
  <c r="K355" i="39"/>
  <c r="K354" i="39"/>
  <c r="K353" i="39"/>
  <c r="K352" i="39"/>
  <c r="K351" i="39"/>
  <c r="F351" i="39"/>
  <c r="K350" i="39"/>
  <c r="K349" i="39"/>
  <c r="K348" i="39"/>
  <c r="F348" i="39"/>
  <c r="K347" i="39"/>
  <c r="K346" i="39"/>
  <c r="K345" i="39"/>
  <c r="F345" i="39"/>
  <c r="K344" i="39"/>
  <c r="K343" i="39"/>
  <c r="K342" i="39"/>
  <c r="K341" i="39"/>
  <c r="K340" i="39"/>
  <c r="F340" i="39"/>
  <c r="K339" i="39"/>
  <c r="F339" i="39"/>
  <c r="K338" i="39"/>
  <c r="K337" i="39"/>
  <c r="K336" i="39"/>
  <c r="F336" i="39"/>
  <c r="K335" i="39"/>
  <c r="F335" i="39"/>
  <c r="K334" i="39"/>
  <c r="K333" i="39"/>
  <c r="K332" i="39"/>
  <c r="K331" i="39"/>
  <c r="F331" i="39"/>
  <c r="K330" i="39"/>
  <c r="K329" i="39"/>
  <c r="K328" i="39"/>
  <c r="K327" i="39"/>
  <c r="F327" i="39"/>
  <c r="K326" i="39"/>
  <c r="K325" i="39"/>
  <c r="K324" i="39"/>
  <c r="K323" i="39"/>
  <c r="F323" i="39"/>
  <c r="K322" i="39"/>
  <c r="K321" i="39"/>
  <c r="K320" i="39"/>
  <c r="K319" i="39"/>
  <c r="F319" i="39"/>
  <c r="K318" i="39"/>
  <c r="K317" i="39"/>
  <c r="K316" i="39"/>
  <c r="K315" i="39"/>
  <c r="K314" i="39"/>
  <c r="F314" i="39"/>
  <c r="K313" i="39"/>
  <c r="K312" i="39"/>
  <c r="F312" i="39"/>
  <c r="K311" i="39"/>
  <c r="K310" i="39"/>
  <c r="K309" i="39"/>
  <c r="F309" i="39"/>
  <c r="K308" i="39"/>
  <c r="K307" i="39"/>
  <c r="F307" i="39"/>
  <c r="K306" i="39"/>
  <c r="K305" i="39"/>
  <c r="K304" i="39"/>
  <c r="K303" i="39"/>
  <c r="K302" i="39"/>
  <c r="K301" i="39"/>
  <c r="F301" i="39"/>
  <c r="K300" i="39"/>
  <c r="K299" i="39"/>
  <c r="F299" i="39"/>
  <c r="K298" i="39"/>
  <c r="F298" i="39"/>
  <c r="K297" i="39"/>
  <c r="K296" i="39"/>
  <c r="F296" i="39"/>
  <c r="K295" i="39"/>
  <c r="K294" i="39"/>
  <c r="K293" i="39"/>
  <c r="K292" i="39"/>
  <c r="K291" i="39"/>
  <c r="K290" i="39"/>
  <c r="K289" i="39"/>
  <c r="K288" i="39"/>
  <c r="F288" i="39"/>
  <c r="K287" i="39"/>
  <c r="F287" i="39"/>
  <c r="K286" i="39"/>
  <c r="F286" i="39"/>
  <c r="K285" i="39"/>
  <c r="K284" i="39"/>
  <c r="F284" i="39"/>
  <c r="K283" i="39"/>
  <c r="K282" i="39"/>
  <c r="K281" i="39"/>
  <c r="K280" i="39"/>
  <c r="F280" i="39"/>
  <c r="K279" i="39"/>
  <c r="F279" i="39"/>
  <c r="K278" i="39"/>
  <c r="K277" i="39"/>
  <c r="K276" i="39"/>
  <c r="K275" i="39"/>
  <c r="F275" i="39"/>
  <c r="K274" i="39"/>
  <c r="F274" i="39"/>
  <c r="K273" i="39"/>
  <c r="F273" i="39"/>
  <c r="K272" i="39"/>
  <c r="F272" i="39"/>
  <c r="K271" i="39"/>
  <c r="F271" i="39"/>
  <c r="K270" i="39"/>
  <c r="K269" i="39"/>
  <c r="K268" i="39"/>
  <c r="K267" i="39"/>
  <c r="F267" i="39"/>
  <c r="K266" i="39"/>
  <c r="K265" i="39"/>
  <c r="K264" i="39"/>
  <c r="K263" i="39"/>
  <c r="K262" i="39"/>
  <c r="F262" i="39"/>
  <c r="K261" i="39"/>
  <c r="F261" i="39"/>
  <c r="K260" i="39"/>
  <c r="F260" i="39"/>
  <c r="K259" i="39"/>
  <c r="F259" i="39"/>
  <c r="K258" i="39"/>
  <c r="K257" i="39"/>
  <c r="F257" i="39"/>
  <c r="K256" i="39"/>
  <c r="K255" i="39"/>
  <c r="K254" i="39"/>
  <c r="K253" i="39"/>
  <c r="K252" i="39"/>
  <c r="F252" i="39"/>
  <c r="K251" i="39"/>
  <c r="K250" i="39"/>
  <c r="K249" i="39"/>
  <c r="K248" i="39"/>
  <c r="K247" i="39"/>
  <c r="F247" i="39"/>
  <c r="K246" i="39"/>
  <c r="K245" i="39"/>
  <c r="F245" i="39"/>
  <c r="K244" i="39"/>
  <c r="F244" i="39"/>
  <c r="K243" i="39"/>
  <c r="K242" i="39"/>
  <c r="K241" i="39"/>
  <c r="K240" i="39"/>
  <c r="K239" i="39"/>
  <c r="J35" i="39"/>
  <c r="I35" i="39"/>
  <c r="H35" i="39"/>
  <c r="G35" i="39"/>
  <c r="F35" i="39"/>
  <c r="E35" i="39"/>
  <c r="D35" i="39"/>
  <c r="J34" i="39"/>
  <c r="I34" i="39"/>
  <c r="H34" i="39"/>
  <c r="G34" i="39"/>
  <c r="F34" i="39"/>
  <c r="E34" i="39"/>
  <c r="D34" i="39"/>
  <c r="J33" i="39"/>
  <c r="I33" i="39"/>
  <c r="H33" i="39"/>
  <c r="G33" i="39"/>
  <c r="F33" i="39"/>
  <c r="E33" i="39"/>
  <c r="D33" i="39"/>
  <c r="J32" i="39"/>
  <c r="I32" i="39"/>
  <c r="H32" i="39"/>
  <c r="G32" i="39"/>
  <c r="F32" i="39"/>
  <c r="E32" i="39"/>
  <c r="D32" i="39"/>
  <c r="J31" i="39"/>
  <c r="I31" i="39"/>
  <c r="H31" i="39"/>
  <c r="G31" i="39"/>
  <c r="F31" i="39"/>
  <c r="D31" i="39"/>
  <c r="J30" i="39"/>
  <c r="I30" i="39"/>
  <c r="H30" i="39"/>
  <c r="G30" i="39"/>
  <c r="F30" i="39"/>
  <c r="E30" i="39"/>
  <c r="D30" i="39"/>
  <c r="F358" i="39" s="1"/>
  <c r="X41" i="32"/>
  <c r="X17" i="32"/>
  <c r="F310" i="39" l="1"/>
  <c r="F306" i="39"/>
  <c r="F322" i="39"/>
  <c r="F332" i="39"/>
  <c r="E378" i="39"/>
  <c r="E379" i="39"/>
  <c r="F380" i="39"/>
  <c r="G381" i="39"/>
  <c r="H382" i="39"/>
  <c r="I383" i="39"/>
  <c r="J384" i="39"/>
  <c r="E387" i="39"/>
  <c r="F388" i="39"/>
  <c r="G389" i="39"/>
  <c r="H390" i="39"/>
  <c r="I391" i="39"/>
  <c r="J392" i="39"/>
  <c r="E395" i="39"/>
  <c r="G397" i="39"/>
  <c r="I399" i="39"/>
  <c r="J400" i="39"/>
  <c r="H381" i="39"/>
  <c r="E386" i="39"/>
  <c r="H389" i="39"/>
  <c r="E394" i="39"/>
  <c r="H397" i="39"/>
  <c r="G404" i="39"/>
  <c r="F378" i="39"/>
  <c r="G379" i="39"/>
  <c r="H380" i="39"/>
  <c r="I381" i="39"/>
  <c r="J382" i="39"/>
  <c r="E385" i="39"/>
  <c r="F386" i="39"/>
  <c r="G387" i="39"/>
  <c r="H388" i="39"/>
  <c r="I389" i="39"/>
  <c r="J390" i="39"/>
  <c r="E393" i="39"/>
  <c r="F394" i="39"/>
  <c r="G395" i="39"/>
  <c r="H396" i="39"/>
  <c r="I397" i="39"/>
  <c r="J398" i="39"/>
  <c r="E401" i="39"/>
  <c r="G403" i="39"/>
  <c r="H404" i="39"/>
  <c r="I405" i="39"/>
  <c r="G402" i="39"/>
  <c r="J405" i="39"/>
  <c r="G378" i="39"/>
  <c r="H379" i="39"/>
  <c r="I380" i="39"/>
  <c r="J381" i="39"/>
  <c r="E384" i="39"/>
  <c r="G386" i="39"/>
  <c r="H387" i="39"/>
  <c r="I388" i="39"/>
  <c r="J389" i="39"/>
  <c r="E392" i="39"/>
  <c r="G394" i="39"/>
  <c r="H395" i="39"/>
  <c r="I396" i="39"/>
  <c r="J397" i="39"/>
  <c r="E400" i="39"/>
  <c r="H403" i="39"/>
  <c r="I404" i="39"/>
  <c r="H378" i="39"/>
  <c r="I379" i="39"/>
  <c r="J380" i="39"/>
  <c r="E383" i="39"/>
  <c r="G385" i="39"/>
  <c r="H386" i="39"/>
  <c r="I387" i="39"/>
  <c r="J388" i="39"/>
  <c r="E391" i="39"/>
  <c r="G393" i="39"/>
  <c r="H394" i="39"/>
  <c r="I395" i="39"/>
  <c r="J396" i="39"/>
  <c r="E399" i="39"/>
  <c r="H402" i="39"/>
  <c r="I403" i="39"/>
  <c r="J404" i="39"/>
  <c r="G384" i="39"/>
  <c r="I386" i="39"/>
  <c r="E390" i="39"/>
  <c r="G392" i="39"/>
  <c r="I394" i="39"/>
  <c r="E398" i="39"/>
  <c r="J403" i="39"/>
  <c r="H405" i="39"/>
  <c r="I378" i="39"/>
  <c r="J379" i="39"/>
  <c r="E382" i="39"/>
  <c r="H385" i="39"/>
  <c r="J387" i="39"/>
  <c r="H393" i="39"/>
  <c r="J395" i="39"/>
  <c r="I402" i="39"/>
  <c r="J378" i="39"/>
  <c r="E381" i="39"/>
  <c r="G383" i="39"/>
  <c r="H384" i="39"/>
  <c r="I385" i="39"/>
  <c r="J386" i="39"/>
  <c r="E389" i="39"/>
  <c r="F390" i="39"/>
  <c r="G391" i="39"/>
  <c r="H392" i="39"/>
  <c r="I393" i="39"/>
  <c r="J394" i="39"/>
  <c r="E397" i="39"/>
  <c r="I401" i="39"/>
  <c r="J402" i="39"/>
  <c r="G405" i="39"/>
  <c r="G380" i="39"/>
  <c r="I382" i="39"/>
  <c r="I390" i="39"/>
  <c r="I398" i="39"/>
  <c r="E380" i="39"/>
  <c r="F381" i="39"/>
  <c r="G382" i="39"/>
  <c r="H383" i="39"/>
  <c r="I384" i="39"/>
  <c r="J385" i="39"/>
  <c r="E388" i="39"/>
  <c r="F389" i="39"/>
  <c r="G390" i="39"/>
  <c r="H391" i="39"/>
  <c r="I392" i="39"/>
  <c r="J393" i="39"/>
  <c r="E396" i="39"/>
  <c r="F397" i="39"/>
  <c r="I400" i="39"/>
  <c r="J401" i="39"/>
  <c r="F405" i="39"/>
  <c r="J383" i="39"/>
  <c r="G388" i="39"/>
  <c r="J391" i="39"/>
  <c r="G396" i="39"/>
  <c r="J399" i="39"/>
  <c r="F238" i="39"/>
  <c r="F353" i="39"/>
  <c r="F297" i="39"/>
  <c r="F333" i="39"/>
  <c r="F338" i="39"/>
  <c r="F349" i="39"/>
  <c r="H252" i="39"/>
  <c r="F249" i="39"/>
  <c r="F254" i="39"/>
  <c r="E245" i="39"/>
  <c r="F241" i="39"/>
  <c r="F293" i="39"/>
  <c r="F324" i="39"/>
  <c r="F350" i="39"/>
  <c r="I261" i="39"/>
  <c r="E246" i="39"/>
  <c r="F313" i="39"/>
  <c r="J238" i="39"/>
  <c r="F246" i="39"/>
  <c r="F361" i="39"/>
  <c r="E247" i="39"/>
  <c r="F253" i="39"/>
  <c r="E244" i="39"/>
  <c r="F305" i="39"/>
  <c r="F325" i="39"/>
  <c r="F366" i="39"/>
  <c r="F377" i="39"/>
  <c r="F362" i="39"/>
  <c r="J271" i="39"/>
  <c r="H269" i="39"/>
  <c r="E286" i="39"/>
  <c r="I238" i="39"/>
  <c r="E266" i="39"/>
  <c r="E282" i="39"/>
  <c r="E257" i="39"/>
  <c r="G276" i="39"/>
  <c r="G260" i="39"/>
  <c r="I270" i="39"/>
  <c r="J291" i="39"/>
  <c r="G308" i="39"/>
  <c r="I245" i="39"/>
  <c r="G257" i="39"/>
  <c r="H242" i="39"/>
  <c r="G244" i="39"/>
  <c r="G254" i="39"/>
  <c r="G241" i="39"/>
  <c r="I259" i="39"/>
  <c r="G246" i="39"/>
  <c r="H245" i="39"/>
  <c r="G239" i="39"/>
  <c r="G238" i="39"/>
  <c r="E239" i="39"/>
  <c r="E242" i="39"/>
  <c r="F250" i="39"/>
  <c r="G252" i="39"/>
  <c r="I254" i="39"/>
  <c r="G278" i="39"/>
  <c r="G273" i="39"/>
  <c r="F242" i="39"/>
  <c r="F248" i="39"/>
  <c r="H250" i="39"/>
  <c r="E258" i="39"/>
  <c r="G262" i="39"/>
  <c r="J287" i="39"/>
  <c r="F258" i="39"/>
  <c r="I262" i="39"/>
  <c r="E250" i="39"/>
  <c r="I248" i="39"/>
  <c r="I240" i="39"/>
  <c r="H253" i="39"/>
  <c r="H258" i="39"/>
  <c r="G268" i="39"/>
  <c r="I256" i="39"/>
  <c r="F240" i="39"/>
  <c r="F251" i="39"/>
  <c r="F256" i="39"/>
  <c r="F243" i="39"/>
  <c r="I246" i="39"/>
  <c r="G251" i="39"/>
  <c r="I253" i="39"/>
  <c r="G243" i="39"/>
  <c r="G249" i="39"/>
  <c r="I251" i="39"/>
  <c r="H261" i="39"/>
  <c r="I243" i="39"/>
  <c r="G259" i="39"/>
  <c r="J263" i="39"/>
  <c r="H244" i="39"/>
  <c r="J246" i="39"/>
  <c r="E249" i="39"/>
  <c r="J254" i="39"/>
  <c r="H260" i="39"/>
  <c r="J262" i="39"/>
  <c r="E265" i="39"/>
  <c r="G267" i="39"/>
  <c r="I269" i="39"/>
  <c r="H273" i="39"/>
  <c r="J276" i="39"/>
  <c r="H282" i="39"/>
  <c r="H297" i="39"/>
  <c r="E303" i="39"/>
  <c r="I306" i="39"/>
  <c r="J377" i="39"/>
  <c r="I376" i="39"/>
  <c r="H375" i="39"/>
  <c r="G374" i="39"/>
  <c r="F373" i="39"/>
  <c r="E372" i="39"/>
  <c r="J369" i="39"/>
  <c r="I368" i="39"/>
  <c r="H367" i="39"/>
  <c r="G366" i="39"/>
  <c r="E364" i="39"/>
  <c r="J361" i="39"/>
  <c r="I360" i="39"/>
  <c r="H359" i="39"/>
  <c r="G358" i="39"/>
  <c r="E356" i="39"/>
  <c r="J353" i="39"/>
  <c r="I352" i="39"/>
  <c r="H351" i="39"/>
  <c r="G350" i="39"/>
  <c r="E348" i="39"/>
  <c r="J345" i="39"/>
  <c r="I344" i="39"/>
  <c r="H343" i="39"/>
  <c r="G342" i="39"/>
  <c r="F341" i="39"/>
  <c r="E340" i="39"/>
  <c r="J337" i="39"/>
  <c r="I336" i="39"/>
  <c r="H335" i="39"/>
  <c r="G334" i="39"/>
  <c r="E332" i="39"/>
  <c r="J329" i="39"/>
  <c r="I328" i="39"/>
  <c r="H327" i="39"/>
  <c r="G326" i="39"/>
  <c r="E324" i="39"/>
  <c r="J321" i="39"/>
  <c r="I320" i="39"/>
  <c r="H319" i="39"/>
  <c r="G318" i="39"/>
  <c r="F317" i="39"/>
  <c r="E316" i="39"/>
  <c r="J313" i="39"/>
  <c r="I312" i="39"/>
  <c r="H311" i="39"/>
  <c r="G310" i="39"/>
  <c r="E308" i="39"/>
  <c r="J305" i="39"/>
  <c r="I304" i="39"/>
  <c r="H303" i="39"/>
  <c r="G302" i="39"/>
  <c r="E300" i="39"/>
  <c r="J297" i="39"/>
  <c r="I296" i="39"/>
  <c r="H295" i="39"/>
  <c r="G294" i="39"/>
  <c r="E292" i="39"/>
  <c r="J289" i="39"/>
  <c r="I288" i="39"/>
  <c r="H287" i="39"/>
  <c r="G286" i="39"/>
  <c r="F285" i="39"/>
  <c r="E284" i="39"/>
  <c r="J281" i="39"/>
  <c r="I280" i="39"/>
  <c r="H279" i="39"/>
  <c r="I377" i="39"/>
  <c r="H376" i="39"/>
  <c r="G375" i="39"/>
  <c r="E373" i="39"/>
  <c r="J370" i="39"/>
  <c r="I369" i="39"/>
  <c r="H368" i="39"/>
  <c r="G367" i="39"/>
  <c r="E365" i="39"/>
  <c r="J362" i="39"/>
  <c r="I361" i="39"/>
  <c r="H360" i="39"/>
  <c r="G359" i="39"/>
  <c r="E357" i="39"/>
  <c r="J354" i="39"/>
  <c r="I353" i="39"/>
  <c r="H352" i="39"/>
  <c r="G351" i="39"/>
  <c r="E349" i="39"/>
  <c r="J346" i="39"/>
  <c r="I345" i="39"/>
  <c r="H344" i="39"/>
  <c r="G343" i="39"/>
  <c r="F342" i="39"/>
  <c r="E341" i="39"/>
  <c r="J338" i="39"/>
  <c r="I337" i="39"/>
  <c r="H336" i="39"/>
  <c r="G335" i="39"/>
  <c r="F334" i="39"/>
  <c r="E333" i="39"/>
  <c r="J330" i="39"/>
  <c r="I329" i="39"/>
  <c r="H328" i="39"/>
  <c r="G327" i="39"/>
  <c r="F326" i="39"/>
  <c r="E325" i="39"/>
  <c r="J322" i="39"/>
  <c r="I321" i="39"/>
  <c r="H320" i="39"/>
  <c r="G319" i="39"/>
  <c r="F318" i="39"/>
  <c r="E317" i="39"/>
  <c r="J314" i="39"/>
  <c r="I313" i="39"/>
  <c r="H312" i="39"/>
  <c r="G311" i="39"/>
  <c r="E309" i="39"/>
  <c r="J306" i="39"/>
  <c r="I305" i="39"/>
  <c r="H304" i="39"/>
  <c r="G303" i="39"/>
  <c r="F302" i="39"/>
  <c r="E301" i="39"/>
  <c r="J298" i="39"/>
  <c r="I297" i="39"/>
  <c r="H296" i="39"/>
  <c r="G295" i="39"/>
  <c r="F294" i="39"/>
  <c r="E293" i="39"/>
  <c r="J290" i="39"/>
  <c r="I289" i="39"/>
  <c r="H288" i="39"/>
  <c r="G287" i="39"/>
  <c r="E285" i="39"/>
  <c r="J282" i="39"/>
  <c r="I281" i="39"/>
  <c r="H280" i="39"/>
  <c r="G279" i="39"/>
  <c r="F278" i="39"/>
  <c r="E277" i="39"/>
  <c r="J274" i="39"/>
  <c r="I273" i="39"/>
  <c r="H272" i="39"/>
  <c r="G377" i="39"/>
  <c r="E375" i="39"/>
  <c r="J372" i="39"/>
  <c r="I371" i="39"/>
  <c r="H370" i="39"/>
  <c r="G369" i="39"/>
  <c r="F368" i="39"/>
  <c r="E367" i="39"/>
  <c r="J364" i="39"/>
  <c r="I363" i="39"/>
  <c r="H362" i="39"/>
  <c r="G361" i="39"/>
  <c r="F360" i="39"/>
  <c r="E359" i="39"/>
  <c r="J356" i="39"/>
  <c r="I355" i="39"/>
  <c r="H354" i="39"/>
  <c r="G353" i="39"/>
  <c r="F352" i="39"/>
  <c r="E351" i="39"/>
  <c r="J348" i="39"/>
  <c r="I347" i="39"/>
  <c r="H346" i="39"/>
  <c r="G345" i="39"/>
  <c r="F344" i="39"/>
  <c r="E343" i="39"/>
  <c r="J340" i="39"/>
  <c r="I339" i="39"/>
  <c r="H338" i="39"/>
  <c r="G337" i="39"/>
  <c r="E335" i="39"/>
  <c r="J332" i="39"/>
  <c r="I331" i="39"/>
  <c r="H330" i="39"/>
  <c r="G329" i="39"/>
  <c r="F328" i="39"/>
  <c r="E327" i="39"/>
  <c r="J324" i="39"/>
  <c r="I323" i="39"/>
  <c r="H322" i="39"/>
  <c r="G321" i="39"/>
  <c r="F320" i="39"/>
  <c r="E319" i="39"/>
  <c r="J316" i="39"/>
  <c r="E376" i="39"/>
  <c r="J373" i="39"/>
  <c r="I372" i="39"/>
  <c r="H371" i="39"/>
  <c r="G370" i="39"/>
  <c r="F369" i="39"/>
  <c r="E368" i="39"/>
  <c r="J365" i="39"/>
  <c r="I364" i="39"/>
  <c r="H363" i="39"/>
  <c r="G362" i="39"/>
  <c r="E360" i="39"/>
  <c r="J357" i="39"/>
  <c r="I356" i="39"/>
  <c r="H355" i="39"/>
  <c r="G354" i="39"/>
  <c r="E352" i="39"/>
  <c r="J349" i="39"/>
  <c r="I348" i="39"/>
  <c r="H347" i="39"/>
  <c r="G346" i="39"/>
  <c r="E344" i="39"/>
  <c r="J341" i="39"/>
  <c r="I340" i="39"/>
  <c r="H339" i="39"/>
  <c r="G338" i="39"/>
  <c r="F337" i="39"/>
  <c r="E336" i="39"/>
  <c r="J333" i="39"/>
  <c r="I332" i="39"/>
  <c r="H331" i="39"/>
  <c r="G330" i="39"/>
  <c r="F329" i="39"/>
  <c r="E328" i="39"/>
  <c r="J325" i="39"/>
  <c r="I324" i="39"/>
  <c r="H323" i="39"/>
  <c r="G322" i="39"/>
  <c r="F321" i="39"/>
  <c r="E320" i="39"/>
  <c r="J317" i="39"/>
  <c r="I316" i="39"/>
  <c r="H315" i="39"/>
  <c r="G314" i="39"/>
  <c r="E312" i="39"/>
  <c r="J309" i="39"/>
  <c r="I308" i="39"/>
  <c r="H307" i="39"/>
  <c r="G306" i="39"/>
  <c r="E304" i="39"/>
  <c r="J301" i="39"/>
  <c r="I300" i="39"/>
  <c r="H299" i="39"/>
  <c r="G298" i="39"/>
  <c r="E296" i="39"/>
  <c r="J293" i="39"/>
  <c r="I292" i="39"/>
  <c r="H291" i="39"/>
  <c r="G290" i="39"/>
  <c r="F289" i="39"/>
  <c r="E288" i="39"/>
  <c r="J285" i="39"/>
  <c r="I284" i="39"/>
  <c r="H283" i="39"/>
  <c r="G282" i="39"/>
  <c r="F281" i="39"/>
  <c r="E280" i="39"/>
  <c r="J277" i="39"/>
  <c r="I276" i="39"/>
  <c r="H275" i="39"/>
  <c r="G274" i="39"/>
  <c r="E272" i="39"/>
  <c r="E377" i="39"/>
  <c r="J374" i="39"/>
  <c r="I373" i="39"/>
  <c r="H372" i="39"/>
  <c r="G371" i="39"/>
  <c r="F370" i="39"/>
  <c r="E369" i="39"/>
  <c r="J366" i="39"/>
  <c r="I365" i="39"/>
  <c r="H364" i="39"/>
  <c r="G363" i="39"/>
  <c r="E361" i="39"/>
  <c r="J358" i="39"/>
  <c r="I357" i="39"/>
  <c r="H356" i="39"/>
  <c r="G355" i="39"/>
  <c r="F354" i="39"/>
  <c r="E353" i="39"/>
  <c r="J350" i="39"/>
  <c r="I349" i="39"/>
  <c r="H348" i="39"/>
  <c r="G347" i="39"/>
  <c r="F346" i="39"/>
  <c r="E345" i="39"/>
  <c r="J342" i="39"/>
  <c r="I341" i="39"/>
  <c r="H340" i="39"/>
  <c r="G339" i="39"/>
  <c r="E337" i="39"/>
  <c r="J334" i="39"/>
  <c r="I333" i="39"/>
  <c r="H332" i="39"/>
  <c r="G331" i="39"/>
  <c r="F330" i="39"/>
  <c r="E329" i="39"/>
  <c r="J326" i="39"/>
  <c r="I325" i="39"/>
  <c r="H324" i="39"/>
  <c r="G323" i="39"/>
  <c r="E321" i="39"/>
  <c r="J318" i="39"/>
  <c r="I317" i="39"/>
  <c r="H316" i="39"/>
  <c r="G315" i="39"/>
  <c r="E313" i="39"/>
  <c r="J310" i="39"/>
  <c r="I309" i="39"/>
  <c r="H308" i="39"/>
  <c r="G307" i="39"/>
  <c r="E305" i="39"/>
  <c r="J302" i="39"/>
  <c r="I301" i="39"/>
  <c r="H300" i="39"/>
  <c r="G299" i="39"/>
  <c r="E297" i="39"/>
  <c r="J294" i="39"/>
  <c r="I293" i="39"/>
  <c r="H292" i="39"/>
  <c r="G291" i="39"/>
  <c r="F290" i="39"/>
  <c r="E289" i="39"/>
  <c r="J286" i="39"/>
  <c r="I285" i="39"/>
  <c r="H284" i="39"/>
  <c r="G283" i="39"/>
  <c r="F282" i="39"/>
  <c r="E281" i="39"/>
  <c r="J278" i="39"/>
  <c r="I277" i="39"/>
  <c r="H276" i="39"/>
  <c r="G275" i="39"/>
  <c r="E273" i="39"/>
  <c r="J375" i="39"/>
  <c r="I374" i="39"/>
  <c r="H373" i="39"/>
  <c r="G372" i="39"/>
  <c r="E370" i="39"/>
  <c r="J367" i="39"/>
  <c r="I366" i="39"/>
  <c r="H365" i="39"/>
  <c r="G364" i="39"/>
  <c r="F363" i="39"/>
  <c r="E362" i="39"/>
  <c r="J359" i="39"/>
  <c r="I358" i="39"/>
  <c r="H357" i="39"/>
  <c r="G356" i="39"/>
  <c r="F355" i="39"/>
  <c r="E354" i="39"/>
  <c r="J351" i="39"/>
  <c r="I350" i="39"/>
  <c r="H349" i="39"/>
  <c r="G348" i="39"/>
  <c r="F347" i="39"/>
  <c r="E346" i="39"/>
  <c r="J343" i="39"/>
  <c r="I342" i="39"/>
  <c r="H341" i="39"/>
  <c r="G340" i="39"/>
  <c r="E338" i="39"/>
  <c r="J335" i="39"/>
  <c r="I334" i="39"/>
  <c r="H333" i="39"/>
  <c r="G332" i="39"/>
  <c r="E330" i="39"/>
  <c r="J327" i="39"/>
  <c r="I326" i="39"/>
  <c r="H325" i="39"/>
  <c r="G324" i="39"/>
  <c r="E322" i="39"/>
  <c r="J319" i="39"/>
  <c r="I318" i="39"/>
  <c r="H317" i="39"/>
  <c r="G316" i="39"/>
  <c r="F315" i="39"/>
  <c r="E240" i="39"/>
  <c r="G242" i="39"/>
  <c r="H243" i="39"/>
  <c r="I244" i="39"/>
  <c r="J245" i="39"/>
  <c r="E248" i="39"/>
  <c r="G250" i="39"/>
  <c r="H251" i="39"/>
  <c r="I252" i="39"/>
  <c r="J253" i="39"/>
  <c r="E256" i="39"/>
  <c r="G258" i="39"/>
  <c r="H259" i="39"/>
  <c r="I260" i="39"/>
  <c r="J261" i="39"/>
  <c r="E264" i="39"/>
  <c r="F265" i="39"/>
  <c r="G266" i="39"/>
  <c r="H267" i="39"/>
  <c r="I268" i="39"/>
  <c r="J269" i="39"/>
  <c r="J273" i="39"/>
  <c r="I278" i="39"/>
  <c r="G280" i="39"/>
  <c r="I282" i="39"/>
  <c r="G284" i="39"/>
  <c r="H286" i="39"/>
  <c r="H290" i="39"/>
  <c r="F292" i="39"/>
  <c r="E294" i="39"/>
  <c r="I299" i="39"/>
  <c r="G301" i="39"/>
  <c r="F303" i="39"/>
  <c r="J308" i="39"/>
  <c r="H310" i="39"/>
  <c r="E314" i="39"/>
  <c r="I327" i="39"/>
  <c r="G333" i="39"/>
  <c r="J344" i="39"/>
  <c r="J347" i="39"/>
  <c r="H358" i="39"/>
  <c r="H366" i="39"/>
  <c r="H369" i="39"/>
  <c r="F372" i="39"/>
  <c r="H377" i="39"/>
  <c r="E255" i="39"/>
  <c r="E263" i="39"/>
  <c r="G265" i="39"/>
  <c r="H266" i="39"/>
  <c r="J268" i="39"/>
  <c r="E271" i="39"/>
  <c r="G272" i="39"/>
  <c r="I275" i="39"/>
  <c r="J284" i="39"/>
  <c r="I290" i="39"/>
  <c r="H294" i="39"/>
  <c r="E298" i="39"/>
  <c r="H301" i="39"/>
  <c r="G305" i="39"/>
  <c r="G312" i="39"/>
  <c r="I319" i="39"/>
  <c r="E331" i="39"/>
  <c r="E339" i="39"/>
  <c r="H350" i="39"/>
  <c r="F356" i="39"/>
  <c r="E238" i="39"/>
  <c r="F239" i="39"/>
  <c r="G240" i="39"/>
  <c r="H241" i="39"/>
  <c r="I242" i="39"/>
  <c r="J243" i="39"/>
  <c r="G248" i="39"/>
  <c r="H249" i="39"/>
  <c r="I250" i="39"/>
  <c r="J251" i="39"/>
  <c r="E254" i="39"/>
  <c r="F255" i="39"/>
  <c r="G256" i="39"/>
  <c r="H257" i="39"/>
  <c r="I258" i="39"/>
  <c r="J259" i="39"/>
  <c r="E262" i="39"/>
  <c r="F263" i="39"/>
  <c r="G264" i="39"/>
  <c r="H265" i="39"/>
  <c r="I266" i="39"/>
  <c r="J267" i="39"/>
  <c r="E270" i="39"/>
  <c r="I272" i="39"/>
  <c r="E274" i="39"/>
  <c r="J275" i="39"/>
  <c r="G277" i="39"/>
  <c r="E279" i="39"/>
  <c r="E283" i="39"/>
  <c r="J288" i="39"/>
  <c r="J292" i="39"/>
  <c r="I294" i="39"/>
  <c r="G296" i="39"/>
  <c r="J303" i="39"/>
  <c r="H305" i="39"/>
  <c r="J312" i="39"/>
  <c r="H314" i="39"/>
  <c r="G325" i="39"/>
  <c r="G328" i="39"/>
  <c r="E334" i="39"/>
  <c r="J336" i="39"/>
  <c r="H342" i="39"/>
  <c r="H353" i="39"/>
  <c r="F367" i="39"/>
  <c r="I370" i="39"/>
  <c r="G373" i="39"/>
  <c r="J244" i="39"/>
  <c r="J260" i="39"/>
  <c r="F264" i="39"/>
  <c r="I267" i="39"/>
  <c r="F277" i="39"/>
  <c r="J280" i="39"/>
  <c r="I286" i="39"/>
  <c r="G288" i="39"/>
  <c r="G292" i="39"/>
  <c r="J299" i="39"/>
  <c r="I303" i="39"/>
  <c r="E307" i="39"/>
  <c r="I310" i="39"/>
  <c r="F316" i="39"/>
  <c r="I322" i="39"/>
  <c r="G336" i="39"/>
  <c r="E342" i="39"/>
  <c r="H361" i="39"/>
  <c r="I375" i="39"/>
  <c r="H240" i="39"/>
  <c r="I241" i="39"/>
  <c r="J242" i="39"/>
  <c r="G247" i="39"/>
  <c r="H248" i="39"/>
  <c r="I249" i="39"/>
  <c r="J250" i="39"/>
  <c r="E253" i="39"/>
  <c r="G255" i="39"/>
  <c r="H256" i="39"/>
  <c r="I257" i="39"/>
  <c r="J258" i="39"/>
  <c r="E261" i="39"/>
  <c r="G263" i="39"/>
  <c r="H264" i="39"/>
  <c r="I265" i="39"/>
  <c r="J266" i="39"/>
  <c r="E269" i="39"/>
  <c r="F270" i="39"/>
  <c r="G271" i="39"/>
  <c r="J272" i="39"/>
  <c r="H277" i="39"/>
  <c r="G281" i="39"/>
  <c r="F283" i="39"/>
  <c r="G285" i="39"/>
  <c r="E287" i="39"/>
  <c r="E291" i="39"/>
  <c r="J296" i="39"/>
  <c r="H298" i="39"/>
  <c r="F300" i="39"/>
  <c r="E302" i="39"/>
  <c r="I307" i="39"/>
  <c r="G309" i="39"/>
  <c r="E311" i="39"/>
  <c r="I314" i="39"/>
  <c r="G317" i="39"/>
  <c r="G320" i="39"/>
  <c r="E323" i="39"/>
  <c r="J328" i="39"/>
  <c r="J331" i="39"/>
  <c r="H334" i="39"/>
  <c r="J339" i="39"/>
  <c r="H345" i="39"/>
  <c r="I359" i="39"/>
  <c r="I367" i="39"/>
  <c r="J239" i="39"/>
  <c r="J247" i="39"/>
  <c r="J255" i="39"/>
  <c r="J252" i="39"/>
  <c r="H239" i="39"/>
  <c r="J241" i="39"/>
  <c r="H247" i="39"/>
  <c r="J249" i="39"/>
  <c r="E252" i="39"/>
  <c r="H255" i="39"/>
  <c r="E260" i="39"/>
  <c r="H263" i="39"/>
  <c r="J265" i="39"/>
  <c r="E268" i="39"/>
  <c r="G270" i="39"/>
  <c r="H271" i="39"/>
  <c r="H274" i="39"/>
  <c r="E276" i="39"/>
  <c r="I279" i="39"/>
  <c r="I283" i="39"/>
  <c r="G289" i="39"/>
  <c r="I298" i="39"/>
  <c r="H302" i="39"/>
  <c r="E306" i="39"/>
  <c r="H309" i="39"/>
  <c r="F311" i="39"/>
  <c r="J320" i="39"/>
  <c r="E326" i="39"/>
  <c r="H337" i="39"/>
  <c r="F343" i="39"/>
  <c r="I351" i="39"/>
  <c r="I354" i="39"/>
  <c r="G357" i="39"/>
  <c r="I362" i="39"/>
  <c r="G365" i="39"/>
  <c r="E371" i="39"/>
  <c r="E374" i="39"/>
  <c r="G376" i="39"/>
  <c r="J257" i="39"/>
  <c r="I264" i="39"/>
  <c r="F269" i="39"/>
  <c r="H281" i="39"/>
  <c r="H285" i="39"/>
  <c r="F291" i="39"/>
  <c r="E295" i="39"/>
  <c r="G300" i="39"/>
  <c r="F304" i="39"/>
  <c r="J307" i="39"/>
  <c r="H238" i="39"/>
  <c r="I239" i="39"/>
  <c r="J240" i="39"/>
  <c r="E243" i="39"/>
  <c r="G245" i="39"/>
  <c r="H246" i="39"/>
  <c r="I247" i="39"/>
  <c r="J248" i="39"/>
  <c r="E251" i="39"/>
  <c r="G253" i="39"/>
  <c r="H254" i="39"/>
  <c r="I255" i="39"/>
  <c r="J256" i="39"/>
  <c r="E259" i="39"/>
  <c r="G261" i="39"/>
  <c r="H262" i="39"/>
  <c r="I263" i="39"/>
  <c r="J264" i="39"/>
  <c r="E267" i="39"/>
  <c r="F268" i="39"/>
  <c r="G269" i="39"/>
  <c r="H270" i="39"/>
  <c r="I271" i="39"/>
  <c r="I274" i="39"/>
  <c r="F276" i="39"/>
  <c r="E278" i="39"/>
  <c r="J279" i="39"/>
  <c r="J283" i="39"/>
  <c r="I287" i="39"/>
  <c r="H289" i="39"/>
  <c r="I291" i="39"/>
  <c r="G293" i="39"/>
  <c r="F295" i="39"/>
  <c r="J300" i="39"/>
  <c r="I302" i="39"/>
  <c r="G304" i="39"/>
  <c r="I311" i="39"/>
  <c r="G313" i="39"/>
  <c r="E315" i="39"/>
  <c r="E318" i="39"/>
  <c r="J323" i="39"/>
  <c r="H326" i="39"/>
  <c r="H329" i="39"/>
  <c r="I343" i="39"/>
  <c r="I346" i="39"/>
  <c r="G349" i="39"/>
  <c r="G360" i="39"/>
  <c r="G368" i="39"/>
  <c r="J376" i="39"/>
  <c r="H293" i="39"/>
  <c r="I295" i="39"/>
  <c r="G297" i="39"/>
  <c r="E299" i="39"/>
  <c r="J304" i="39"/>
  <c r="H306" i="39"/>
  <c r="F308" i="39"/>
  <c r="E310" i="39"/>
  <c r="J311" i="39"/>
  <c r="H313" i="39"/>
  <c r="I315" i="39"/>
  <c r="H318" i="39"/>
  <c r="H321" i="39"/>
  <c r="I335" i="39"/>
  <c r="G352" i="39"/>
  <c r="E355" i="39"/>
  <c r="E358" i="39"/>
  <c r="J360" i="39"/>
  <c r="E363" i="39"/>
  <c r="E366" i="39"/>
  <c r="J368" i="39"/>
  <c r="J371" i="39"/>
  <c r="H374" i="39"/>
  <c r="E241" i="39"/>
  <c r="F266" i="39"/>
  <c r="H268" i="39"/>
  <c r="J270" i="39"/>
  <c r="E275" i="39"/>
  <c r="H278" i="39"/>
  <c r="E290" i="39"/>
  <c r="J295" i="39"/>
  <c r="J315" i="39"/>
  <c r="I330" i="39"/>
  <c r="I338" i="39"/>
  <c r="G341" i="39"/>
  <c r="G344" i="39"/>
  <c r="E347" i="39"/>
  <c r="E350" i="39"/>
  <c r="J352" i="39"/>
  <c r="J355" i="39"/>
  <c r="J363" i="39"/>
  <c r="B21" i="32"/>
  <c r="G6" i="20" l="1"/>
  <c r="F4" i="34" l="1"/>
  <c r="F3" i="34"/>
  <c r="P29" i="40"/>
  <c r="O29" i="40"/>
  <c r="P28" i="40"/>
  <c r="O28" i="40"/>
  <c r="P27" i="40"/>
  <c r="O27" i="40"/>
  <c r="E27" i="40"/>
  <c r="F24" i="40" s="1"/>
  <c r="P26" i="40"/>
  <c r="O26" i="40"/>
  <c r="J26" i="40"/>
  <c r="J27" i="40" s="1"/>
  <c r="E26" i="40"/>
  <c r="P25" i="40"/>
  <c r="O25" i="40"/>
  <c r="P24" i="40"/>
  <c r="O24" i="40"/>
  <c r="P23" i="40"/>
  <c r="O23" i="40"/>
  <c r="P22" i="40"/>
  <c r="O22" i="40"/>
  <c r="P21" i="40"/>
  <c r="O21" i="40"/>
  <c r="P20" i="40"/>
  <c r="P31" i="40" s="1"/>
  <c r="P32" i="40" s="1"/>
  <c r="O20" i="40"/>
  <c r="P13" i="40"/>
  <c r="O13" i="40"/>
  <c r="P12" i="40"/>
  <c r="O12" i="40"/>
  <c r="P11" i="40"/>
  <c r="O11" i="40"/>
  <c r="E11" i="40"/>
  <c r="F8" i="40" s="1"/>
  <c r="P10" i="40"/>
  <c r="O10" i="40"/>
  <c r="J10" i="40"/>
  <c r="J11" i="40" s="1"/>
  <c r="E10" i="40"/>
  <c r="P9" i="40"/>
  <c r="O9" i="40"/>
  <c r="P8" i="40"/>
  <c r="O8" i="40"/>
  <c r="P7" i="40"/>
  <c r="O7" i="40"/>
  <c r="P6" i="40"/>
  <c r="O6" i="40"/>
  <c r="P5" i="40"/>
  <c r="O5" i="40"/>
  <c r="P4" i="40"/>
  <c r="P15" i="40" s="1"/>
  <c r="O4" i="40"/>
  <c r="C5" i="38"/>
  <c r="C4" i="38"/>
  <c r="C3" i="38"/>
  <c r="C2" i="38"/>
  <c r="C1" i="38"/>
  <c r="L38" i="36"/>
  <c r="L36" i="36"/>
  <c r="L35" i="36"/>
  <c r="L34" i="36"/>
  <c r="L33" i="36"/>
  <c r="L32" i="36"/>
  <c r="L31" i="36"/>
  <c r="L30" i="36"/>
  <c r="L29" i="36"/>
  <c r="L18" i="36"/>
  <c r="L16" i="36"/>
  <c r="L15" i="36"/>
  <c r="L14" i="36"/>
  <c r="L13" i="36"/>
  <c r="L12" i="36"/>
  <c r="L11" i="36"/>
  <c r="L10" i="36"/>
  <c r="L9" i="36"/>
  <c r="L7" i="36"/>
  <c r="L6" i="36"/>
  <c r="L5" i="36"/>
  <c r="L4" i="36"/>
  <c r="L3" i="36"/>
  <c r="L2" i="36"/>
  <c r="G251" i="20"/>
  <c r="G273" i="20" s="1"/>
  <c r="F251" i="20"/>
  <c r="E251" i="20"/>
  <c r="D251" i="20"/>
  <c r="C251" i="20"/>
  <c r="G239" i="20"/>
  <c r="F239" i="20"/>
  <c r="E239" i="20"/>
  <c r="D239" i="20"/>
  <c r="C239" i="20"/>
  <c r="Z236" i="20"/>
  <c r="AB235" i="20"/>
  <c r="AA235" i="20"/>
  <c r="Z235" i="20"/>
  <c r="AB234" i="20"/>
  <c r="AA234" i="20"/>
  <c r="Z234" i="20"/>
  <c r="AA233" i="20"/>
  <c r="Z233" i="20"/>
  <c r="AB232" i="20"/>
  <c r="AA232" i="20"/>
  <c r="Z232" i="20"/>
  <c r="Z231" i="20"/>
  <c r="Z230" i="20"/>
  <c r="L228" i="20"/>
  <c r="K228" i="20"/>
  <c r="J228" i="20"/>
  <c r="I228" i="20"/>
  <c r="H228" i="20"/>
  <c r="G228" i="20"/>
  <c r="F228" i="20"/>
  <c r="E228" i="20"/>
  <c r="D228" i="20"/>
  <c r="C228" i="20"/>
  <c r="E224" i="20"/>
  <c r="D224" i="20" s="1"/>
  <c r="E214" i="20"/>
  <c r="E209" i="20"/>
  <c r="D209" i="20" s="1"/>
  <c r="E199" i="20"/>
  <c r="B199" i="20" s="1"/>
  <c r="AU40" i="32" s="1"/>
  <c r="E194" i="20"/>
  <c r="D194" i="20" s="1"/>
  <c r="E184" i="20"/>
  <c r="B184" i="20" s="1"/>
  <c r="AQ40" i="32" s="1"/>
  <c r="E179" i="20"/>
  <c r="D179" i="20" s="1"/>
  <c r="E169" i="20"/>
  <c r="B169" i="20" s="1"/>
  <c r="AM40" i="32" s="1"/>
  <c r="E164" i="20"/>
  <c r="E152" i="20"/>
  <c r="B152" i="20" s="1"/>
  <c r="E147" i="20"/>
  <c r="B147" i="20" s="1"/>
  <c r="E135" i="20"/>
  <c r="B135" i="20" s="1"/>
  <c r="E130" i="20"/>
  <c r="D130" i="20" s="1"/>
  <c r="E118" i="20"/>
  <c r="B118" i="20" s="1"/>
  <c r="E113" i="20"/>
  <c r="D113" i="20" s="1"/>
  <c r="E101" i="20"/>
  <c r="B101" i="20" s="1"/>
  <c r="G72" i="20"/>
  <c r="F72" i="20"/>
  <c r="E72" i="20"/>
  <c r="D72" i="20"/>
  <c r="C72" i="20"/>
  <c r="S51" i="20"/>
  <c r="Q49" i="20"/>
  <c r="P49" i="20"/>
  <c r="O49" i="20"/>
  <c r="N49" i="20"/>
  <c r="M49" i="20"/>
  <c r="L49" i="20"/>
  <c r="K49" i="20"/>
  <c r="J49" i="20"/>
  <c r="I49" i="20"/>
  <c r="H49" i="20"/>
  <c r="G49" i="20"/>
  <c r="F49" i="20"/>
  <c r="E49" i="20"/>
  <c r="D49" i="20"/>
  <c r="C49" i="20"/>
  <c r="S28" i="20"/>
  <c r="Q26" i="20"/>
  <c r="Q3" i="20" s="1"/>
  <c r="P26" i="20"/>
  <c r="P3" i="20" s="1"/>
  <c r="O26" i="20"/>
  <c r="O3" i="20" s="1"/>
  <c r="N26" i="20"/>
  <c r="N3" i="20" s="1"/>
  <c r="M26" i="20"/>
  <c r="M3" i="20" s="1"/>
  <c r="L26" i="20"/>
  <c r="K26" i="20"/>
  <c r="J26" i="20"/>
  <c r="I26" i="20"/>
  <c r="I3" i="20" s="1"/>
  <c r="H26" i="20"/>
  <c r="H3" i="20" s="1"/>
  <c r="G26" i="20"/>
  <c r="F26" i="20"/>
  <c r="E26" i="20"/>
  <c r="D26" i="20"/>
  <c r="C26" i="20"/>
  <c r="F6" i="20"/>
  <c r="E6" i="20"/>
  <c r="D6" i="20"/>
  <c r="C6" i="20"/>
  <c r="A2" i="20" a="1"/>
  <c r="A2" i="20" s="1"/>
  <c r="L229" i="20" s="1"/>
  <c r="A1" i="20"/>
  <c r="AN12" i="32"/>
  <c r="AN11" i="32"/>
  <c r="AN10" i="32"/>
  <c r="AN9" i="32"/>
  <c r="AN8" i="32"/>
  <c r="AN7" i="32"/>
  <c r="AI7" i="32"/>
  <c r="AN5" i="32"/>
  <c r="A3" i="31"/>
  <c r="H229" i="20" l="1"/>
  <c r="B280" i="20"/>
  <c r="B273" i="20"/>
  <c r="B276" i="20"/>
  <c r="B279" i="20"/>
  <c r="B275" i="20"/>
  <c r="B274" i="20"/>
  <c r="B281" i="20"/>
  <c r="G79" i="20"/>
  <c r="F241" i="20"/>
  <c r="F240" i="20"/>
  <c r="G241" i="20"/>
  <c r="G240" i="20"/>
  <c r="B27" i="20"/>
  <c r="B22" i="20"/>
  <c r="B52" i="20"/>
  <c r="B7" i="20"/>
  <c r="B50" i="20"/>
  <c r="B75" i="20"/>
  <c r="B263" i="20"/>
  <c r="B269" i="20" s="1"/>
  <c r="B240" i="20"/>
  <c r="B21" i="20"/>
  <c r="B234" i="20"/>
  <c r="B257" i="20"/>
  <c r="B73" i="20"/>
  <c r="B38" i="20"/>
  <c r="B12" i="20"/>
  <c r="B30" i="20"/>
  <c r="B229" i="20"/>
  <c r="B18" i="20"/>
  <c r="B79" i="20"/>
  <c r="B76" i="20"/>
  <c r="B262" i="20"/>
  <c r="B268" i="20" s="1"/>
  <c r="B232" i="20"/>
  <c r="B230" i="20"/>
  <c r="B20" i="20"/>
  <c r="B60" i="20"/>
  <c r="B253" i="20"/>
  <c r="B241" i="20"/>
  <c r="B39" i="20"/>
  <c r="B29" i="20"/>
  <c r="B62" i="20"/>
  <c r="B231" i="20"/>
  <c r="B17" i="20"/>
  <c r="B78" i="20"/>
  <c r="B77" i="20"/>
  <c r="B14" i="20"/>
  <c r="B53" i="20"/>
  <c r="B61" i="20"/>
  <c r="B236" i="20"/>
  <c r="B233" i="20"/>
  <c r="B10" i="20"/>
  <c r="B63" i="20"/>
  <c r="B13" i="20"/>
  <c r="B235" i="20"/>
  <c r="B45" i="20"/>
  <c r="B16" i="20"/>
  <c r="B74" i="20"/>
  <c r="B19" i="20"/>
  <c r="B8" i="20"/>
  <c r="B11" i="20"/>
  <c r="B9" i="20"/>
  <c r="B15" i="20"/>
  <c r="C130" i="20"/>
  <c r="B113" i="20"/>
  <c r="B105" i="20" a="1"/>
  <c r="B105" i="20" s="1"/>
  <c r="AM25" i="32" s="1"/>
  <c r="F1" i="20"/>
  <c r="E275" i="20"/>
  <c r="E274" i="20"/>
  <c r="E280" i="20"/>
  <c r="E276" i="20"/>
  <c r="E279" i="20"/>
  <c r="E281" i="20"/>
  <c r="E273" i="20"/>
  <c r="F281" i="20"/>
  <c r="F273" i="20"/>
  <c r="F280" i="20"/>
  <c r="F274" i="20"/>
  <c r="F276" i="20"/>
  <c r="F279" i="20"/>
  <c r="F275" i="20"/>
  <c r="B130" i="20"/>
  <c r="B209" i="20"/>
  <c r="G275" i="20"/>
  <c r="O41" i="32" s="1"/>
  <c r="G279" i="20"/>
  <c r="O47" i="32" s="1"/>
  <c r="G274" i="20"/>
  <c r="O40" i="32" s="1"/>
  <c r="G280" i="20"/>
  <c r="G281" i="20"/>
  <c r="O38" i="32"/>
  <c r="G276" i="20"/>
  <c r="O39" i="32" s="1"/>
  <c r="B224" i="20"/>
  <c r="C224" i="20"/>
  <c r="C280" i="20"/>
  <c r="C275" i="20"/>
  <c r="C281" i="20"/>
  <c r="C279" i="20"/>
  <c r="C276" i="20"/>
  <c r="C273" i="20"/>
  <c r="C274" i="20"/>
  <c r="C113" i="20"/>
  <c r="C147" i="20"/>
  <c r="D147" i="20"/>
  <c r="D274" i="20"/>
  <c r="D276" i="20"/>
  <c r="D275" i="20"/>
  <c r="D280" i="20"/>
  <c r="D279" i="20"/>
  <c r="D273" i="20"/>
  <c r="D281" i="20"/>
  <c r="AV6" i="32"/>
  <c r="AU5" i="32"/>
  <c r="AU6" i="32"/>
  <c r="B214" i="20"/>
  <c r="AY40" i="32" s="1"/>
  <c r="D262" i="20"/>
  <c r="D268" i="20" s="1"/>
  <c r="B219" i="20" a="1"/>
  <c r="B219" i="20" s="1"/>
  <c r="B157" i="20" a="1"/>
  <c r="B157" i="20" s="1"/>
  <c r="B172" i="20" a="1"/>
  <c r="B172" i="20" s="1"/>
  <c r="B187" i="20" a="1"/>
  <c r="B187" i="20" s="1"/>
  <c r="B221" i="20" a="1"/>
  <c r="B221" i="20" s="1"/>
  <c r="AY42" i="32" s="1"/>
  <c r="B202" i="20" a="1"/>
  <c r="B202" i="20" s="1"/>
  <c r="B218" i="20" a="1"/>
  <c r="B218" i="20" s="1"/>
  <c r="B215" i="20"/>
  <c r="B217" i="20" a="1"/>
  <c r="B217" i="20" s="1"/>
  <c r="B222" i="20" a="1"/>
  <c r="B222" i="20" s="1"/>
  <c r="AY47" i="32" s="1"/>
  <c r="C229" i="20"/>
  <c r="G262" i="20"/>
  <c r="G268" i="20" s="1"/>
  <c r="O48" i="32" s="1"/>
  <c r="C241" i="20"/>
  <c r="C240" i="20"/>
  <c r="D241" i="20"/>
  <c r="C263" i="20"/>
  <c r="D240" i="20"/>
  <c r="D263" i="20"/>
  <c r="D269" i="20" s="1"/>
  <c r="E241" i="20"/>
  <c r="E263" i="20"/>
  <c r="E269" i="20" s="1"/>
  <c r="F263" i="20"/>
  <c r="F269" i="20" s="1"/>
  <c r="G263" i="20"/>
  <c r="G269" i="20" s="1"/>
  <c r="O49" i="32" s="1"/>
  <c r="E240" i="20"/>
  <c r="D73" i="20"/>
  <c r="F73" i="20"/>
  <c r="G3" i="20"/>
  <c r="G73" i="20"/>
  <c r="F3" i="20"/>
  <c r="E3" i="20"/>
  <c r="E73" i="20"/>
  <c r="P28" i="20"/>
  <c r="B102" i="20"/>
  <c r="B134" i="20"/>
  <c r="B168" i="20"/>
  <c r="B198" i="20"/>
  <c r="B108" i="20" a="1"/>
  <c r="B108" i="20" s="1"/>
  <c r="AM22" i="32" s="1"/>
  <c r="B128" i="20" a="1"/>
  <c r="B128" i="20" s="1"/>
  <c r="AQ29" i="32" s="1"/>
  <c r="B156" i="20" a="1"/>
  <c r="B156" i="20" s="1"/>
  <c r="AY25" i="32" s="1"/>
  <c r="B188" i="20" a="1"/>
  <c r="B188" i="20" s="1"/>
  <c r="B204" i="20" a="1"/>
  <c r="B204" i="20" s="1"/>
  <c r="B220" i="20"/>
  <c r="G19" i="20"/>
  <c r="I16" i="32" s="1"/>
  <c r="M28" i="20"/>
  <c r="C102" i="20"/>
  <c r="B136" i="20"/>
  <c r="B170" i="20"/>
  <c r="B200" i="20"/>
  <c r="B139" i="20" a="1"/>
  <c r="B139" i="20" s="1"/>
  <c r="AU25" i="32" s="1"/>
  <c r="B173" i="20" a="1"/>
  <c r="B173" i="20" s="1"/>
  <c r="B189" i="20" a="1"/>
  <c r="B189" i="20" s="1"/>
  <c r="B205" i="20"/>
  <c r="D102" i="20"/>
  <c r="C136" i="20"/>
  <c r="B155" i="20"/>
  <c r="B123" i="20" a="1"/>
  <c r="B123" i="20" s="1"/>
  <c r="B140" i="20" a="1"/>
  <c r="B140" i="20" s="1"/>
  <c r="B158" i="20" a="1"/>
  <c r="B158" i="20" s="1"/>
  <c r="B174" i="20" a="1"/>
  <c r="B174" i="20" s="1"/>
  <c r="B190" i="20"/>
  <c r="B206" i="20" a="1"/>
  <c r="B206" i="20" s="1"/>
  <c r="AU42" i="32" s="1"/>
  <c r="L235" i="20"/>
  <c r="B111" i="20" a="1"/>
  <c r="B111" i="20" s="1"/>
  <c r="AO29" i="32" s="1"/>
  <c r="E233" i="20"/>
  <c r="B100" i="20"/>
  <c r="D136" i="20"/>
  <c r="B138" i="20"/>
  <c r="B124" i="20" a="1"/>
  <c r="B124" i="20" s="1"/>
  <c r="B141" i="20" a="1"/>
  <c r="B141" i="20" s="1"/>
  <c r="B159" i="20" a="1"/>
  <c r="B159" i="20" s="1"/>
  <c r="AY22" i="32" s="1"/>
  <c r="B175" i="20"/>
  <c r="B191" i="20" a="1"/>
  <c r="B191" i="20" s="1"/>
  <c r="AQ42" i="32" s="1"/>
  <c r="B207" i="20" a="1"/>
  <c r="B207" i="20" s="1"/>
  <c r="AU47" i="32" s="1"/>
  <c r="B117" i="20"/>
  <c r="B151" i="20"/>
  <c r="B121" i="20"/>
  <c r="B107" i="20" a="1"/>
  <c r="B107" i="20" s="1"/>
  <c r="B127" i="20" a="1"/>
  <c r="B127" i="20" s="1"/>
  <c r="B142" i="20" a="1"/>
  <c r="B142" i="20" s="1"/>
  <c r="AU22" i="32" s="1"/>
  <c r="B160" i="20"/>
  <c r="B176" i="20" a="1"/>
  <c r="B176" i="20" s="1"/>
  <c r="AM42" i="32" s="1"/>
  <c r="B192" i="20" a="1"/>
  <c r="B192" i="20" s="1"/>
  <c r="AQ47" i="32" s="1"/>
  <c r="B216" i="20" a="1"/>
  <c r="B216" i="20" s="1"/>
  <c r="AY43" i="32" s="1"/>
  <c r="B119" i="20"/>
  <c r="B153" i="20"/>
  <c r="B104" i="20"/>
  <c r="B106" i="20" a="1"/>
  <c r="B106" i="20" s="1"/>
  <c r="B122" i="20" a="1"/>
  <c r="B122" i="20" s="1"/>
  <c r="AQ25" i="32" s="1"/>
  <c r="B143" i="20"/>
  <c r="B161" i="20" a="1"/>
  <c r="B161" i="20" s="1"/>
  <c r="AY24" i="32" s="1"/>
  <c r="B177" i="20" a="1"/>
  <c r="B177" i="20" s="1"/>
  <c r="AO47" i="32" s="1"/>
  <c r="B201" i="20" a="1"/>
  <c r="B201" i="20" s="1"/>
  <c r="AU43" i="32" s="1"/>
  <c r="C119" i="20"/>
  <c r="C153" i="20"/>
  <c r="B183" i="20"/>
  <c r="B110" i="20" a="1"/>
  <c r="B110" i="20" s="1"/>
  <c r="AM24" i="32" s="1"/>
  <c r="B125" i="20" a="1"/>
  <c r="B125" i="20" s="1"/>
  <c r="AQ22" i="32" s="1"/>
  <c r="B144" i="20" a="1"/>
  <c r="B144" i="20" s="1"/>
  <c r="AU24" i="32" s="1"/>
  <c r="B162" i="20" a="1"/>
  <c r="B162" i="20" s="1"/>
  <c r="AY29" i="32" s="1"/>
  <c r="B186" i="20" a="1"/>
  <c r="B186" i="20" s="1"/>
  <c r="AQ43" i="32" s="1"/>
  <c r="D119" i="20"/>
  <c r="D153" i="20"/>
  <c r="B185" i="20"/>
  <c r="B109" i="20"/>
  <c r="B126" i="20"/>
  <c r="B145" i="20" a="1"/>
  <c r="B145" i="20" s="1"/>
  <c r="AU29" i="32" s="1"/>
  <c r="B171" i="20" a="1"/>
  <c r="B171" i="20" s="1"/>
  <c r="AM43" i="32" s="1"/>
  <c r="B203" i="20" a="1"/>
  <c r="B203" i="20" s="1"/>
  <c r="C231" i="20"/>
  <c r="C235" i="20"/>
  <c r="C232" i="20"/>
  <c r="C236" i="20"/>
  <c r="C230" i="20"/>
  <c r="C233" i="20"/>
  <c r="C234" i="20"/>
  <c r="K231" i="20"/>
  <c r="K234" i="20"/>
  <c r="K230" i="20"/>
  <c r="K233" i="20"/>
  <c r="K236" i="20"/>
  <c r="K232" i="20"/>
  <c r="K235" i="20"/>
  <c r="D7" i="20"/>
  <c r="E14" i="20"/>
  <c r="F21" i="20"/>
  <c r="F8" i="20"/>
  <c r="G15" i="20"/>
  <c r="J51" i="20"/>
  <c r="J28" i="20"/>
  <c r="J3" i="20"/>
  <c r="C27" i="20"/>
  <c r="C53" i="20"/>
  <c r="C9" i="20"/>
  <c r="D16" i="20"/>
  <c r="E27" i="20"/>
  <c r="G253" i="20"/>
  <c r="G257" i="20"/>
  <c r="O44" i="32" s="1"/>
  <c r="AV5" i="32"/>
  <c r="E20" i="20"/>
  <c r="D12" i="20"/>
  <c r="D19" i="20"/>
  <c r="F76" i="20"/>
  <c r="C38" i="20"/>
  <c r="F60" i="20"/>
  <c r="C73" i="20"/>
  <c r="E257" i="20"/>
  <c r="H230" i="20"/>
  <c r="E253" i="20"/>
  <c r="D236" i="20"/>
  <c r="J232" i="20"/>
  <c r="L231" i="20"/>
  <c r="G235" i="20"/>
  <c r="G232" i="20"/>
  <c r="H231" i="20"/>
  <c r="D257" i="20"/>
  <c r="D235" i="20"/>
  <c r="L236" i="20"/>
  <c r="H234" i="20"/>
  <c r="G230" i="20"/>
  <c r="G234" i="20"/>
  <c r="J233" i="20"/>
  <c r="D231" i="20"/>
  <c r="G229" i="20"/>
  <c r="H236" i="20"/>
  <c r="H235" i="20"/>
  <c r="L230" i="20"/>
  <c r="G236" i="20"/>
  <c r="H233" i="20"/>
  <c r="H232" i="20"/>
  <c r="D230" i="20"/>
  <c r="F262" i="20"/>
  <c r="F268" i="20" s="1"/>
  <c r="G233" i="20"/>
  <c r="E262" i="20"/>
  <c r="E268" i="20" s="1"/>
  <c r="L234" i="20"/>
  <c r="D229" i="20"/>
  <c r="D234" i="20"/>
  <c r="I231" i="20"/>
  <c r="E79" i="20"/>
  <c r="E29" i="20"/>
  <c r="F22" i="20"/>
  <c r="F15" i="20"/>
  <c r="E45" i="20"/>
  <c r="E39" i="20"/>
  <c r="F20" i="20"/>
  <c r="F13" i="20"/>
  <c r="D8" i="20"/>
  <c r="F18" i="20"/>
  <c r="F11" i="20"/>
  <c r="G30" i="20"/>
  <c r="F16" i="20"/>
  <c r="D11" i="20"/>
  <c r="F9" i="20"/>
  <c r="F77" i="20"/>
  <c r="E74" i="20"/>
  <c r="E63" i="20"/>
  <c r="C61" i="20"/>
  <c r="F30" i="20"/>
  <c r="G27" i="20"/>
  <c r="D18" i="20"/>
  <c r="E16" i="20"/>
  <c r="F14" i="20"/>
  <c r="C11" i="20"/>
  <c r="D9" i="20"/>
  <c r="F7" i="20"/>
  <c r="G53" i="20"/>
  <c r="F253" i="20"/>
  <c r="D21" i="20"/>
  <c r="F19" i="20"/>
  <c r="D14" i="20"/>
  <c r="E12" i="20"/>
  <c r="F10" i="20"/>
  <c r="C7" i="20"/>
  <c r="E10" i="20"/>
  <c r="F17" i="20"/>
  <c r="D74" i="20"/>
  <c r="D63" i="20"/>
  <c r="D75" i="20"/>
  <c r="D62" i="20"/>
  <c r="D61" i="20"/>
  <c r="D60" i="20"/>
  <c r="D79" i="20"/>
  <c r="D39" i="20"/>
  <c r="D52" i="20"/>
  <c r="D50" i="20"/>
  <c r="D29" i="20"/>
  <c r="D3" i="20"/>
  <c r="D78" i="20"/>
  <c r="D45" i="20"/>
  <c r="D77" i="20"/>
  <c r="D53" i="20"/>
  <c r="D38" i="20"/>
  <c r="D27" i="20"/>
  <c r="F12" i="20"/>
  <c r="G63" i="20"/>
  <c r="G29" i="20"/>
  <c r="E38" i="20"/>
  <c r="D76" i="20"/>
  <c r="L51" i="20"/>
  <c r="L28" i="20"/>
  <c r="L3" i="20"/>
  <c r="D17" i="20"/>
  <c r="U58" i="20"/>
  <c r="U56" i="20"/>
  <c r="U33" i="20"/>
  <c r="U59" i="20"/>
  <c r="U37" i="20"/>
  <c r="U35" i="20"/>
  <c r="U55" i="20"/>
  <c r="N51" i="20"/>
  <c r="U34" i="20"/>
  <c r="I28" i="20"/>
  <c r="U57" i="20"/>
  <c r="U32" i="20"/>
  <c r="O51" i="20"/>
  <c r="Q28" i="20"/>
  <c r="U36" i="20"/>
  <c r="I51" i="20"/>
  <c r="O28" i="20"/>
  <c r="G22" i="20"/>
  <c r="G18" i="20"/>
  <c r="G14" i="20"/>
  <c r="G10" i="20"/>
  <c r="G20" i="20"/>
  <c r="G16" i="20"/>
  <c r="G12" i="20"/>
  <c r="G8" i="20"/>
  <c r="G13" i="20"/>
  <c r="G11" i="20"/>
  <c r="G9" i="20"/>
  <c r="G7" i="20"/>
  <c r="G21" i="20"/>
  <c r="G17" i="20"/>
  <c r="C21" i="20"/>
  <c r="H28" i="20"/>
  <c r="P51" i="20"/>
  <c r="D30" i="20"/>
  <c r="H51" i="20"/>
  <c r="F79" i="20"/>
  <c r="C79" i="20"/>
  <c r="C77" i="20"/>
  <c r="C52" i="20"/>
  <c r="C50" i="20"/>
  <c r="C63" i="20"/>
  <c r="C74" i="20"/>
  <c r="C62" i="20"/>
  <c r="C75" i="20"/>
  <c r="K51" i="20"/>
  <c r="C30" i="20"/>
  <c r="C20" i="20"/>
  <c r="C16" i="20"/>
  <c r="C12" i="20"/>
  <c r="C8" i="20"/>
  <c r="C22" i="20"/>
  <c r="C18" i="20"/>
  <c r="C14" i="20"/>
  <c r="C10" i="20"/>
  <c r="C13" i="20"/>
  <c r="E18" i="20"/>
  <c r="D20" i="20"/>
  <c r="F63" i="20"/>
  <c r="F78" i="20"/>
  <c r="F53" i="20"/>
  <c r="F45" i="20"/>
  <c r="F39" i="20"/>
  <c r="F50" i="20"/>
  <c r="F38" i="20"/>
  <c r="F61" i="20"/>
  <c r="F29" i="20"/>
  <c r="F27" i="20"/>
  <c r="N28" i="20"/>
  <c r="C45" i="20"/>
  <c r="F74" i="20"/>
  <c r="C78" i="20"/>
  <c r="C3" i="20"/>
  <c r="K3" i="20"/>
  <c r="D13" i="20"/>
  <c r="C15" i="20"/>
  <c r="D22" i="20"/>
  <c r="G75" i="20"/>
  <c r="G62" i="20"/>
  <c r="G61" i="20"/>
  <c r="G60" i="20"/>
  <c r="G45" i="20"/>
  <c r="G39" i="20"/>
  <c r="G76" i="20"/>
  <c r="G38" i="20"/>
  <c r="G77" i="20"/>
  <c r="G52" i="20"/>
  <c r="C29" i="20"/>
  <c r="C39" i="20"/>
  <c r="G74" i="20"/>
  <c r="E21" i="20"/>
  <c r="E17" i="20"/>
  <c r="E13" i="20"/>
  <c r="E9" i="20"/>
  <c r="E19" i="20"/>
  <c r="E15" i="20"/>
  <c r="E11" i="20"/>
  <c r="E7" i="20"/>
  <c r="D15" i="20"/>
  <c r="C17" i="20"/>
  <c r="E22" i="20"/>
  <c r="K28" i="20"/>
  <c r="F75" i="20"/>
  <c r="G78" i="20"/>
  <c r="E8" i="20"/>
  <c r="D10" i="20"/>
  <c r="C19" i="20"/>
  <c r="Q51" i="20"/>
  <c r="G50" i="20"/>
  <c r="F52" i="20"/>
  <c r="C60" i="20"/>
  <c r="F62" i="20"/>
  <c r="C76" i="20"/>
  <c r="C164" i="20"/>
  <c r="D164" i="20"/>
  <c r="B164" i="20"/>
  <c r="E230" i="20"/>
  <c r="E232" i="20"/>
  <c r="E236" i="20"/>
  <c r="E235" i="20"/>
  <c r="E234" i="20"/>
  <c r="E229" i="20"/>
  <c r="E231" i="20"/>
  <c r="E77" i="20"/>
  <c r="E85" i="20" s="1"/>
  <c r="E52" i="20"/>
  <c r="E50" i="20"/>
  <c r="E75" i="20"/>
  <c r="E62" i="20"/>
  <c r="E61" i="20"/>
  <c r="E60" i="20"/>
  <c r="E78" i="20"/>
  <c r="E53" i="20"/>
  <c r="M51" i="20"/>
  <c r="C209" i="20"/>
  <c r="F236" i="20"/>
  <c r="F235" i="20"/>
  <c r="F234" i="20"/>
  <c r="F229" i="20"/>
  <c r="F233" i="20"/>
  <c r="F232" i="20"/>
  <c r="F231" i="20"/>
  <c r="F230" i="20"/>
  <c r="E30" i="20"/>
  <c r="E76" i="20"/>
  <c r="J230" i="20"/>
  <c r="G231" i="20"/>
  <c r="C269" i="20"/>
  <c r="C253" i="20"/>
  <c r="C262" i="20"/>
  <c r="C268" i="20" s="1"/>
  <c r="D253" i="20"/>
  <c r="C257" i="20"/>
  <c r="I233" i="20"/>
  <c r="I232" i="20"/>
  <c r="I236" i="20"/>
  <c r="I230" i="20"/>
  <c r="I229" i="20"/>
  <c r="I234" i="20"/>
  <c r="J236" i="20"/>
  <c r="J235" i="20"/>
  <c r="J234" i="20"/>
  <c r="J229" i="20"/>
  <c r="J231" i="20"/>
  <c r="F257" i="20"/>
  <c r="D233" i="20"/>
  <c r="L233" i="20"/>
  <c r="I235" i="20"/>
  <c r="D232" i="20"/>
  <c r="L232" i="20"/>
  <c r="K229" i="20"/>
  <c r="P16" i="40"/>
  <c r="K24" i="40"/>
  <c r="K22" i="40"/>
  <c r="K20" i="40"/>
  <c r="K23" i="40"/>
  <c r="K21" i="40"/>
  <c r="K8" i="40"/>
  <c r="K6" i="40"/>
  <c r="K4" i="40"/>
  <c r="K7" i="40"/>
  <c r="K5" i="40"/>
  <c r="F5" i="40"/>
  <c r="F7" i="40"/>
  <c r="F21" i="40"/>
  <c r="F23" i="40"/>
  <c r="F4" i="40"/>
  <c r="F6" i="40"/>
  <c r="F20" i="40"/>
  <c r="F22" i="40"/>
  <c r="N229" i="20" l="1"/>
  <c r="O230" i="20"/>
  <c r="O229" i="20"/>
  <c r="B82" i="20"/>
  <c r="B85" i="20"/>
  <c r="C170" i="20"/>
  <c r="C178" i="20" s="1"/>
  <c r="B180" i="20" s="1"/>
  <c r="B246" i="20"/>
  <c r="B86" i="20"/>
  <c r="B84" i="20"/>
  <c r="B83" i="20"/>
  <c r="B244" i="20"/>
  <c r="B247" i="20"/>
  <c r="B87" i="20"/>
  <c r="B267" i="20"/>
  <c r="B277" i="20"/>
  <c r="B243" i="20"/>
  <c r="B264" i="20"/>
  <c r="B270" i="20" s="1"/>
  <c r="I7" i="20"/>
  <c r="O6" i="32" s="1"/>
  <c r="I79" i="20"/>
  <c r="I279" i="20"/>
  <c r="I281" i="20"/>
  <c r="J281" i="20" s="1"/>
  <c r="I280" i="20"/>
  <c r="J280" i="20" s="1"/>
  <c r="I41" i="20" a="1"/>
  <c r="I41" i="20" s="1"/>
  <c r="R16" i="32" s="1"/>
  <c r="C190" i="20"/>
  <c r="AQ45" i="32" s="1"/>
  <c r="C220" i="20"/>
  <c r="AY45" i="32" s="1"/>
  <c r="C160" i="20"/>
  <c r="AY27" i="32" s="1"/>
  <c r="B154" i="20"/>
  <c r="G86" i="20"/>
  <c r="C128" i="20"/>
  <c r="AQ28" i="32" s="1"/>
  <c r="C120" i="20"/>
  <c r="C175" i="20"/>
  <c r="AM45" i="32" s="1"/>
  <c r="B103" i="20"/>
  <c r="C114" i="20"/>
  <c r="C87" i="20"/>
  <c r="B22" i="32"/>
  <c r="I19" i="20"/>
  <c r="O16" i="32" s="1"/>
  <c r="D103" i="20"/>
  <c r="C84" i="20"/>
  <c r="C86" i="20"/>
  <c r="C103" i="20"/>
  <c r="C126" i="20"/>
  <c r="AQ27" i="32" s="1"/>
  <c r="D154" i="20"/>
  <c r="E86" i="20"/>
  <c r="C83" i="20"/>
  <c r="C85" i="20"/>
  <c r="C82" i="20"/>
  <c r="I21" i="20"/>
  <c r="O18" i="32" s="1"/>
  <c r="C109" i="20"/>
  <c r="AM27" i="32" s="1"/>
  <c r="D84" i="20"/>
  <c r="G264" i="20"/>
  <c r="G270" i="20" s="1"/>
  <c r="D120" i="20"/>
  <c r="B120" i="20"/>
  <c r="G83" i="20"/>
  <c r="I16" i="20"/>
  <c r="G82" i="20"/>
  <c r="F264" i="20"/>
  <c r="F270" i="20" s="1"/>
  <c r="G84" i="20"/>
  <c r="D86" i="20"/>
  <c r="N232" i="20"/>
  <c r="AQ24" i="32"/>
  <c r="I268" i="20"/>
  <c r="N230" i="20"/>
  <c r="G85" i="20"/>
  <c r="F82" i="20"/>
  <c r="E264" i="20"/>
  <c r="E270" i="20" s="1"/>
  <c r="D85" i="20"/>
  <c r="D87" i="20"/>
  <c r="C177" i="20"/>
  <c r="AO46" i="32" s="1"/>
  <c r="O236" i="20"/>
  <c r="C111" i="20"/>
  <c r="AO28" i="32" s="1"/>
  <c r="F87" i="20"/>
  <c r="O35" i="20"/>
  <c r="O59" i="20"/>
  <c r="D83" i="20"/>
  <c r="F83" i="20"/>
  <c r="D82" i="20"/>
  <c r="I275" i="20"/>
  <c r="J275" i="20" s="1"/>
  <c r="I274" i="20"/>
  <c r="P40" i="32" s="1"/>
  <c r="I20" i="20"/>
  <c r="O17" i="32" s="1"/>
  <c r="I17" i="32"/>
  <c r="C162" i="20"/>
  <c r="AY28" i="32" s="1"/>
  <c r="AY23" i="32"/>
  <c r="I39" i="20" a="1"/>
  <c r="I39" i="20" s="1"/>
  <c r="C215" i="20"/>
  <c r="C223" i="20" s="1"/>
  <c r="B225" i="20" s="1"/>
  <c r="O235" i="20"/>
  <c r="AM23" i="32"/>
  <c r="C137" i="20"/>
  <c r="C225" i="20"/>
  <c r="AY39" i="32"/>
  <c r="C131" i="20"/>
  <c r="AQ20" i="32"/>
  <c r="G244" i="20"/>
  <c r="K33" i="32" s="1"/>
  <c r="G247" i="20"/>
  <c r="P33" i="32" s="1"/>
  <c r="I15" i="20"/>
  <c r="I13" i="32"/>
  <c r="I14" i="20"/>
  <c r="O13" i="32" s="1"/>
  <c r="O32" i="20"/>
  <c r="E28" i="40"/>
  <c r="E29" i="40" s="1"/>
  <c r="J28" i="40"/>
  <c r="J29" i="40" s="1"/>
  <c r="D277" i="20"/>
  <c r="D267" i="20"/>
  <c r="E87" i="20"/>
  <c r="C104" i="20"/>
  <c r="C112" i="20" s="1"/>
  <c r="B114" i="20" s="1"/>
  <c r="D243" i="20"/>
  <c r="D246" i="20"/>
  <c r="C222" i="20"/>
  <c r="AY46" i="32" s="1"/>
  <c r="AY41" i="32"/>
  <c r="C195" i="20"/>
  <c r="AQ39" i="32"/>
  <c r="E277" i="20"/>
  <c r="E267" i="20"/>
  <c r="I10" i="20"/>
  <c r="O9" i="32" s="1"/>
  <c r="I9" i="32"/>
  <c r="I276" i="20"/>
  <c r="I9" i="20"/>
  <c r="O8" i="32" s="1"/>
  <c r="I8" i="32"/>
  <c r="O57" i="20"/>
  <c r="C138" i="20"/>
  <c r="C146" i="20" s="1"/>
  <c r="B148" i="20" s="1"/>
  <c r="O232" i="20"/>
  <c r="C192" i="20"/>
  <c r="AQ46" i="32" s="1"/>
  <c r="AQ41" i="32"/>
  <c r="I273" i="20"/>
  <c r="C148" i="20"/>
  <c r="AU20" i="32"/>
  <c r="C207" i="20"/>
  <c r="AU46" i="32" s="1"/>
  <c r="AU41" i="32"/>
  <c r="O233" i="20"/>
  <c r="B137" i="20"/>
  <c r="AM20" i="32"/>
  <c r="C180" i="20"/>
  <c r="AM39" i="32"/>
  <c r="O231" i="20"/>
  <c r="C145" i="20"/>
  <c r="AU28" i="32" s="1"/>
  <c r="AU23" i="32"/>
  <c r="I6" i="32"/>
  <c r="O37" i="20"/>
  <c r="F246" i="20"/>
  <c r="F243" i="20"/>
  <c r="E243" i="20"/>
  <c r="E246" i="20"/>
  <c r="I66" i="20" a="1"/>
  <c r="I66" i="20" s="1"/>
  <c r="V40" i="32" s="1"/>
  <c r="I68" i="20" a="1"/>
  <c r="I68" i="20" s="1"/>
  <c r="AD40" i="32" s="1"/>
  <c r="I60" i="20" a="1"/>
  <c r="I60" i="20" s="1"/>
  <c r="N231" i="20"/>
  <c r="I11" i="20"/>
  <c r="O10" i="32" s="1"/>
  <c r="I10" i="32"/>
  <c r="I18" i="20"/>
  <c r="O15" i="32" s="1"/>
  <c r="I15" i="32"/>
  <c r="O33" i="20"/>
  <c r="C143" i="20"/>
  <c r="AU27" i="32" s="1"/>
  <c r="AM41" i="32"/>
  <c r="F84" i="20"/>
  <c r="I18" i="32"/>
  <c r="J12" i="40"/>
  <c r="J13" i="40" s="1"/>
  <c r="F247" i="20"/>
  <c r="F244" i="20"/>
  <c r="N233" i="20"/>
  <c r="C246" i="20"/>
  <c r="C243" i="20"/>
  <c r="E247" i="20"/>
  <c r="E244" i="20"/>
  <c r="I61" i="20" a="1"/>
  <c r="I61" i="20" s="1"/>
  <c r="I67" i="20" a="1"/>
  <c r="I67" i="20" s="1"/>
  <c r="Z40" i="32" s="1"/>
  <c r="I13" i="20"/>
  <c r="O12" i="32" s="1"/>
  <c r="I12" i="32"/>
  <c r="I19" i="32"/>
  <c r="I22" i="20"/>
  <c r="O19" i="32" s="1"/>
  <c r="C264" i="20"/>
  <c r="C270" i="20" s="1"/>
  <c r="D264" i="20"/>
  <c r="D270" i="20" s="1"/>
  <c r="E12" i="40"/>
  <c r="E13" i="40" s="1"/>
  <c r="C277" i="20"/>
  <c r="C267" i="20"/>
  <c r="E84" i="20"/>
  <c r="I65" i="20" a="1"/>
  <c r="I65" i="20" s="1"/>
  <c r="R40" i="32" s="1"/>
  <c r="I62" i="20" a="1"/>
  <c r="I62" i="20" s="1"/>
  <c r="N234" i="20"/>
  <c r="I8" i="20"/>
  <c r="O7" i="32" s="1"/>
  <c r="I7" i="32"/>
  <c r="O34" i="20"/>
  <c r="O56" i="20"/>
  <c r="I269" i="20"/>
  <c r="P49" i="32" s="1"/>
  <c r="E83" i="20"/>
  <c r="N235" i="20"/>
  <c r="P22" i="32"/>
  <c r="G87" i="20"/>
  <c r="I11" i="32"/>
  <c r="I12" i="20"/>
  <c r="O11" i="32" s="1"/>
  <c r="O58" i="20"/>
  <c r="I63" i="20" a="1"/>
  <c r="I63" i="20" s="1"/>
  <c r="G246" i="20"/>
  <c r="P32" i="32" s="1"/>
  <c r="G243" i="20"/>
  <c r="K32" i="32" s="1"/>
  <c r="N236" i="20"/>
  <c r="F86" i="20"/>
  <c r="I14" i="32"/>
  <c r="I17" i="20"/>
  <c r="O14" i="32" s="1"/>
  <c r="O36" i="20"/>
  <c r="O55" i="20"/>
  <c r="I42" i="20" a="1"/>
  <c r="I42" i="20" s="1"/>
  <c r="V16" i="32" s="1"/>
  <c r="I44" i="20" a="1"/>
  <c r="I44" i="20" s="1"/>
  <c r="AD16" i="32" s="1"/>
  <c r="I43" i="20" a="1"/>
  <c r="I43" i="20" s="1"/>
  <c r="Z16" i="32" s="1"/>
  <c r="I38" i="20" a="1"/>
  <c r="I38" i="20" s="1"/>
  <c r="C210" i="20"/>
  <c r="AU39" i="32"/>
  <c r="E82" i="20"/>
  <c r="C185" i="20"/>
  <c r="C193" i="20" s="1"/>
  <c r="B195" i="20" s="1"/>
  <c r="D244" i="20"/>
  <c r="D247" i="20"/>
  <c r="C165" i="20"/>
  <c r="AY20" i="32"/>
  <c r="C155" i="20"/>
  <c r="C163" i="20" s="1"/>
  <c r="B165" i="20" s="1"/>
  <c r="C154" i="20"/>
  <c r="G277" i="20"/>
  <c r="O46" i="32" s="1"/>
  <c r="G267" i="20"/>
  <c r="O45" i="32"/>
  <c r="C121" i="20"/>
  <c r="C129" i="20" s="1"/>
  <c r="B131" i="20" s="1"/>
  <c r="F277" i="20"/>
  <c r="F267" i="20"/>
  <c r="F85" i="20"/>
  <c r="D137" i="20"/>
  <c r="AQ23" i="32"/>
  <c r="C244" i="20"/>
  <c r="C247" i="20"/>
  <c r="C205" i="20"/>
  <c r="AU45" i="32" s="1"/>
  <c r="O234" i="20"/>
  <c r="C200" i="20"/>
  <c r="C208" i="20" s="1"/>
  <c r="B210" i="20" s="1"/>
  <c r="P47" i="32" l="1"/>
  <c r="J279" i="20"/>
  <c r="D210" i="20"/>
  <c r="J268" i="20"/>
  <c r="P48" i="32"/>
  <c r="AY21" i="32"/>
  <c r="D114" i="20"/>
  <c r="D131" i="20"/>
  <c r="D180" i="20"/>
  <c r="P229" i="20"/>
  <c r="AO30" i="32" s="1"/>
  <c r="AM21" i="32"/>
  <c r="K86" i="20"/>
  <c r="I86" i="20" s="1" a="1"/>
  <c r="I86" i="20" s="1"/>
  <c r="K85" i="20"/>
  <c r="I85" i="20" s="1" a="1"/>
  <c r="I85" i="20" s="1"/>
  <c r="AQ21" i="32"/>
  <c r="D195" i="20"/>
  <c r="D165" i="20"/>
  <c r="I270" i="20"/>
  <c r="J270" i="20" s="1"/>
  <c r="I267" i="20"/>
  <c r="J267" i="20" s="1"/>
  <c r="J274" i="20"/>
  <c r="P41" i="32"/>
  <c r="AM26" i="32"/>
  <c r="AM44" i="32"/>
  <c r="J269" i="20"/>
  <c r="D148" i="20"/>
  <c r="D225" i="20"/>
  <c r="AQ26" i="32"/>
  <c r="K84" i="20"/>
  <c r="I84" i="20" s="1" a="1"/>
  <c r="I84" i="20" s="1"/>
  <c r="J273" i="20"/>
  <c r="P38" i="32"/>
  <c r="W37" i="20"/>
  <c r="B37" i="20" s="1"/>
  <c r="W34" i="20"/>
  <c r="B34" i="20" s="1"/>
  <c r="W33" i="20"/>
  <c r="B33" i="20" s="1"/>
  <c r="W32" i="20"/>
  <c r="B32" i="20" s="1"/>
  <c r="W35" i="20"/>
  <c r="B35" i="20" s="1"/>
  <c r="W36" i="20"/>
  <c r="B36" i="20" s="1"/>
  <c r="AB26" i="32"/>
  <c r="J39" i="20"/>
  <c r="AG26" i="32" s="1"/>
  <c r="K87" i="20"/>
  <c r="I87" i="20" s="1" a="1"/>
  <c r="I87" i="20" s="1"/>
  <c r="P23" i="32" s="1"/>
  <c r="J38" i="20"/>
  <c r="AB25" i="32"/>
  <c r="I277" i="20"/>
  <c r="AU21" i="32"/>
  <c r="P230" i="20"/>
  <c r="AQ30" i="32" s="1"/>
  <c r="P233" i="20"/>
  <c r="AO48" i="32" s="1"/>
  <c r="J276" i="20"/>
  <c r="P39" i="32"/>
  <c r="AU44" i="32"/>
  <c r="AQ44" i="32"/>
  <c r="J61" i="20"/>
  <c r="P231" i="20"/>
  <c r="AU30" i="32" s="1"/>
  <c r="P235" i="20"/>
  <c r="AU48" i="32" s="1"/>
  <c r="P232" i="20"/>
  <c r="AY30" i="32" s="1"/>
  <c r="P234" i="20"/>
  <c r="AQ48" i="32" s="1"/>
  <c r="AY26" i="32"/>
  <c r="K82" i="20"/>
  <c r="I82" i="20" s="1" a="1"/>
  <c r="I82" i="20" s="1"/>
  <c r="W59" i="20"/>
  <c r="B59" i="20" s="1"/>
  <c r="W56" i="20"/>
  <c r="B56" i="20" s="1"/>
  <c r="W57" i="20"/>
  <c r="B57" i="20" s="1"/>
  <c r="W58" i="20"/>
  <c r="B58" i="20" s="1"/>
  <c r="B254" i="20" s="1"/>
  <c r="W55" i="20"/>
  <c r="B55" i="20" s="1"/>
  <c r="AB49" i="32"/>
  <c r="J63" i="20"/>
  <c r="AG49" i="32" s="1"/>
  <c r="K83" i="20"/>
  <c r="I83" i="20" s="1" a="1"/>
  <c r="I83" i="20" s="1"/>
  <c r="AB48" i="32"/>
  <c r="J62" i="20"/>
  <c r="J60" i="20"/>
  <c r="AU26" i="32"/>
  <c r="P236" i="20"/>
  <c r="AY48" i="32" s="1"/>
  <c r="AY44" i="32"/>
  <c r="B258" i="20" l="1"/>
  <c r="P44" i="32"/>
  <c r="AG48" i="32"/>
  <c r="A57" i="20"/>
  <c r="R45" i="32" s="1"/>
  <c r="D57" i="20"/>
  <c r="G57" i="20"/>
  <c r="C57" i="20"/>
  <c r="F57" i="20"/>
  <c r="E57" i="20"/>
  <c r="A36" i="20"/>
  <c r="R23" i="32" s="1"/>
  <c r="E36" i="20"/>
  <c r="D36" i="20"/>
  <c r="C36" i="20"/>
  <c r="F36" i="20"/>
  <c r="G36" i="20"/>
  <c r="A55" i="20"/>
  <c r="R43" i="32" s="1"/>
  <c r="D55" i="20"/>
  <c r="C55" i="20"/>
  <c r="G55" i="20"/>
  <c r="F55" i="20"/>
  <c r="E55" i="20"/>
  <c r="A56" i="20"/>
  <c r="R44" i="32" s="1"/>
  <c r="D56" i="20"/>
  <c r="E56" i="20"/>
  <c r="F56" i="20"/>
  <c r="G56" i="20"/>
  <c r="C56" i="20"/>
  <c r="A35" i="20"/>
  <c r="R22" i="32" s="1"/>
  <c r="F35" i="20"/>
  <c r="E35" i="20"/>
  <c r="D35" i="20"/>
  <c r="C35" i="20"/>
  <c r="G35" i="20"/>
  <c r="A59" i="20"/>
  <c r="R47" i="32" s="1"/>
  <c r="C59" i="20"/>
  <c r="G59" i="20"/>
  <c r="E59" i="20"/>
  <c r="F59" i="20"/>
  <c r="D59" i="20"/>
  <c r="A33" i="20"/>
  <c r="R20" i="32" s="1"/>
  <c r="F33" i="20"/>
  <c r="C33" i="20"/>
  <c r="G33" i="20"/>
  <c r="E33" i="20"/>
  <c r="D33" i="20"/>
  <c r="A32" i="20"/>
  <c r="R19" i="32" s="1"/>
  <c r="E32" i="20"/>
  <c r="D32" i="20"/>
  <c r="C32" i="20"/>
  <c r="G32" i="20"/>
  <c r="F32" i="20"/>
  <c r="A34" i="20"/>
  <c r="R21" i="32" s="1"/>
  <c r="E34" i="20"/>
  <c r="D34" i="20"/>
  <c r="C34" i="20"/>
  <c r="G34" i="20"/>
  <c r="F34" i="20"/>
  <c r="J277" i="20"/>
  <c r="P46" i="32"/>
  <c r="A37" i="20"/>
  <c r="R24" i="32" s="1"/>
  <c r="F37" i="20"/>
  <c r="E37" i="20"/>
  <c r="G37" i="20"/>
  <c r="C37" i="20"/>
  <c r="D37" i="20"/>
  <c r="A58" i="20"/>
  <c r="R46" i="32" s="1"/>
  <c r="E58" i="20"/>
  <c r="D58" i="20"/>
  <c r="D254" i="20" s="1"/>
  <c r="F58" i="20"/>
  <c r="F254" i="20" s="1"/>
  <c r="G58" i="20"/>
  <c r="G254" i="20" s="1"/>
  <c r="C58" i="20"/>
  <c r="C254" i="20" s="1"/>
  <c r="AG25" i="32"/>
  <c r="I32" i="20" l="1" a="1"/>
  <c r="I32" i="20" s="1"/>
  <c r="I59" i="20" a="1"/>
  <c r="I59" i="20" s="1"/>
  <c r="AB47" i="32" s="1"/>
  <c r="F258" i="20"/>
  <c r="I57" i="20" a="1"/>
  <c r="I57" i="20" s="1"/>
  <c r="AB45" i="32" s="1"/>
  <c r="E258" i="20"/>
  <c r="I56" i="20" a="1"/>
  <c r="I56" i="20" s="1"/>
  <c r="I37" i="20" a="1"/>
  <c r="I37" i="20" s="1"/>
  <c r="I35" i="20" a="1"/>
  <c r="I35" i="20" s="1"/>
  <c r="I34" i="20" a="1"/>
  <c r="I34" i="20" s="1"/>
  <c r="I55" i="20" a="1"/>
  <c r="I55" i="20" s="1"/>
  <c r="D258" i="20"/>
  <c r="I33" i="20" a="1"/>
  <c r="I33" i="20" s="1"/>
  <c r="E254" i="20"/>
  <c r="I58" i="20" a="1"/>
  <c r="I58" i="20" s="1"/>
  <c r="C258" i="20"/>
  <c r="I36" i="20" a="1"/>
  <c r="I36" i="20" s="1"/>
  <c r="G258" i="20"/>
  <c r="J59" i="20" l="1"/>
  <c r="AG47" i="32" s="1"/>
  <c r="J57" i="20"/>
  <c r="AG45" i="32" s="1"/>
  <c r="AB21" i="32"/>
  <c r="J34" i="20"/>
  <c r="AG21" i="32" s="1"/>
  <c r="J55" i="20"/>
  <c r="AB43" i="32"/>
  <c r="J37" i="20"/>
  <c r="AG24" i="32" s="1"/>
  <c r="AB24" i="32"/>
  <c r="J35" i="20"/>
  <c r="AG22" i="32" s="1"/>
  <c r="AB22" i="32"/>
  <c r="J56" i="20"/>
  <c r="AG44" i="32" s="1"/>
  <c r="AB44" i="32"/>
  <c r="J58" i="20"/>
  <c r="AG46" i="32" s="1"/>
  <c r="AB46" i="32"/>
  <c r="AB20" i="32"/>
  <c r="J33" i="20"/>
  <c r="AG20" i="32" s="1"/>
  <c r="AB19" i="32"/>
  <c r="J32" i="20"/>
  <c r="AB23" i="32"/>
  <c r="J36" i="20"/>
  <c r="AG23" i="32" s="1"/>
  <c r="AG19" i="32" l="1"/>
  <c r="K38" i="20"/>
  <c r="AG43" i="32"/>
  <c r="K62" i="2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<sst xmlns="http://schemas.openxmlformats.org/spreadsheetml/2006/main" count="74252" uniqueCount="9532">
  <si>
    <t>SAIDI</t>
  </si>
  <si>
    <t>Ownership:</t>
  </si>
  <si>
    <t>Head Office:</t>
  </si>
  <si>
    <t>Phone number:</t>
  </si>
  <si>
    <t>Company details</t>
  </si>
  <si>
    <t>Website:</t>
  </si>
  <si>
    <t>Load factor</t>
  </si>
  <si>
    <t>Interruption rate</t>
  </si>
  <si>
    <t>Summary statistics</t>
  </si>
  <si>
    <t>Regulatory profit</t>
  </si>
  <si>
    <t>Return on investment</t>
  </si>
  <si>
    <t>Line charge revenue</t>
  </si>
  <si>
    <t>Number of connections</t>
  </si>
  <si>
    <t>Operating expenditure</t>
  </si>
  <si>
    <t>Capital expenditure</t>
  </si>
  <si>
    <t>Other income</t>
  </si>
  <si>
    <t>Consumer connection</t>
  </si>
  <si>
    <t>System growth</t>
  </si>
  <si>
    <t>Asset replacement &amp; renewal</t>
  </si>
  <si>
    <t>Asset relocations</t>
  </si>
  <si>
    <t>Reliability, safety &amp; environment</t>
  </si>
  <si>
    <t>Business support</t>
  </si>
  <si>
    <t>Depreciation</t>
  </si>
  <si>
    <t>Revaluations</t>
  </si>
  <si>
    <t>Opening RAB</t>
  </si>
  <si>
    <t>Closing RAB</t>
  </si>
  <si>
    <t>Asset disposals</t>
  </si>
  <si>
    <t>Other adjustments</t>
  </si>
  <si>
    <t>Line charge revenues</t>
  </si>
  <si>
    <t>Section</t>
  </si>
  <si>
    <t>Index</t>
  </si>
  <si>
    <t>Units</t>
  </si>
  <si>
    <t>Powerco</t>
  </si>
  <si>
    <t>xllookup</t>
  </si>
  <si>
    <t>ID</t>
  </si>
  <si>
    <t>Capital Expenditure</t>
  </si>
  <si>
    <t>constant</t>
  </si>
  <si>
    <t>nominal</t>
  </si>
  <si>
    <t>Non-network assets</t>
  </si>
  <si>
    <t>Operating Expenditure</t>
  </si>
  <si>
    <t>Network opex</t>
  </si>
  <si>
    <t>Non-network opex</t>
  </si>
  <si>
    <t>SAIFI</t>
  </si>
  <si>
    <t>$000</t>
  </si>
  <si>
    <t>Other network assets</t>
  </si>
  <si>
    <t>Value of capital contributions</t>
  </si>
  <si>
    <t>Assets commissioned</t>
  </si>
  <si>
    <t>Regulatory asset base</t>
  </si>
  <si>
    <t>Summary stats</t>
  </si>
  <si>
    <t>IDRevenue and ProfitabilityReturn on investmentReturn on Investment (vanilla)NA</t>
  </si>
  <si>
    <t>Capital Expenditure - historic</t>
  </si>
  <si>
    <t>Capital Expenditure - future</t>
  </si>
  <si>
    <t>Capital Expenditure - t-1 forecast</t>
  </si>
  <si>
    <t>Operating Expenditure - historic</t>
  </si>
  <si>
    <t>Operating Expenditure - future</t>
  </si>
  <si>
    <t>Operating Expenditure - t-1 forecast</t>
  </si>
  <si>
    <t>System operations &amp; network support</t>
  </si>
  <si>
    <t>Service interruptions &amp; emergencies</t>
  </si>
  <si>
    <t>Routine &amp; corrective maintenance</t>
  </si>
  <si>
    <t>Total capex /
asset base</t>
  </si>
  <si>
    <t>Non-network / connections</t>
  </si>
  <si>
    <t>RAB roll-forward</t>
  </si>
  <si>
    <t>Total capital expenditure</t>
  </si>
  <si>
    <t>Total operating expenditure</t>
  </si>
  <si>
    <t>Average</t>
  </si>
  <si>
    <t>(% of capex)</t>
  </si>
  <si>
    <t>(% of opex)</t>
  </si>
  <si>
    <t>PQ Regulated?</t>
  </si>
  <si>
    <t>IDRevenue and ProfitabilityTotal opening RAB valueTotal opening RAB valuenominal</t>
  </si>
  <si>
    <t>IDRevenue and ProfitabilityTotal closing RAB valueTotal closing RAB valuenominal</t>
  </si>
  <si>
    <t>IDRevenue and ProfitabilityAsset disposalsAsset disposalsnominal</t>
  </si>
  <si>
    <t>IDRevenue and ProfitabilityAdjustment resulting from asset allocationAdjustment resulting from asset allocationnominal</t>
  </si>
  <si>
    <t>IDRevenue and ProfitabilityAsset valueTotal revaluationsnominal</t>
  </si>
  <si>
    <t>IDRevenue and ProfitabilityAssets commissionedAssets commissionednominal</t>
  </si>
  <si>
    <t>IDRevenue and ProfitabilityLost and found assets adjustmentLost and found assets adjustmentnominal</t>
  </si>
  <si>
    <t>IDRevenue and ProfitabilityAsset valueTotal depreciationnominal</t>
  </si>
  <si>
    <t>Capital Expenditure - t-2 forecast</t>
  </si>
  <si>
    <t>Operating Expenditure - t-2 forecast</t>
  </si>
  <si>
    <t>Price breach</t>
  </si>
  <si>
    <t>Quality breach</t>
  </si>
  <si>
    <t>Ownership 1</t>
  </si>
  <si>
    <t>Ownership 2</t>
  </si>
  <si>
    <t>Total capex / 
depreciation</t>
  </si>
  <si>
    <t>Length</t>
  </si>
  <si>
    <t>Average age</t>
  </si>
  <si>
    <t>Donut</t>
  </si>
  <si>
    <t>Dial</t>
  </si>
  <si>
    <t>Average grade</t>
  </si>
  <si>
    <t>Quantity</t>
  </si>
  <si>
    <t>Grade 1 / 2</t>
  </si>
  <si>
    <t>Grade 1</t>
  </si>
  <si>
    <t>Grade 2</t>
  </si>
  <si>
    <t>5 year replacement</t>
  </si>
  <si>
    <t xml:space="preserve"> </t>
  </si>
  <si>
    <t>www.vector.co.nz</t>
  </si>
  <si>
    <t>Simon Mackenzie</t>
  </si>
  <si>
    <t>Last updated</t>
  </si>
  <si>
    <t>www.powerco.co.nz</t>
  </si>
  <si>
    <t>Replacement &amp; renewal capex</t>
  </si>
  <si>
    <t>Number</t>
  </si>
  <si>
    <t>CAGR</t>
  </si>
  <si>
    <t>Capital contributions</t>
  </si>
  <si>
    <t>Related party transactions</t>
  </si>
  <si>
    <t>Unknown age</t>
  </si>
  <si>
    <t>Unknown grade</t>
  </si>
  <si>
    <t>Replacement required</t>
  </si>
  <si>
    <t>Asset summary and condition</t>
  </si>
  <si>
    <t>Value</t>
  </si>
  <si>
    <t>Forecast repex (ave)</t>
  </si>
  <si>
    <t>Repex series</t>
  </si>
  <si>
    <t>Interruptions</t>
  </si>
  <si>
    <t>CAIDI</t>
  </si>
  <si>
    <t>Cost per interruption</t>
  </si>
  <si>
    <t>Unplanned - Class C</t>
  </si>
  <si>
    <t>Planned - Class B</t>
  </si>
  <si>
    <t>Trend</t>
  </si>
  <si>
    <t>Slope</t>
  </si>
  <si>
    <t>Percent</t>
  </si>
  <si>
    <t>Historic</t>
  </si>
  <si>
    <t>Forecast</t>
  </si>
  <si>
    <t>Change</t>
  </si>
  <si>
    <t>-</t>
  </si>
  <si>
    <t>New Zealand</t>
  </si>
  <si>
    <t>Related party transactions - capex</t>
  </si>
  <si>
    <t>Related party transactions - opex</t>
  </si>
  <si>
    <t>RAB Value</t>
  </si>
  <si>
    <t>Explanatory documentation:</t>
  </si>
  <si>
    <t>Summary database:</t>
  </si>
  <si>
    <t>3 yr ratio</t>
  </si>
  <si>
    <t>Fixed / ICP / day</t>
  </si>
  <si>
    <t>Estimated state 
of the assets</t>
  </si>
  <si>
    <t>Link</t>
  </si>
  <si>
    <t>3 year CAGR</t>
  </si>
  <si>
    <t>5 year
trend</t>
  </si>
  <si>
    <t>Maximum</t>
  </si>
  <si>
    <t>Condition parameters</t>
  </si>
  <si>
    <t>Capex by expenditure category</t>
  </si>
  <si>
    <t>% of capex</t>
  </si>
  <si>
    <t>Opex by expenditure category</t>
  </si>
  <si>
    <t>% of opex</t>
  </si>
  <si>
    <t>Proportion of revenue</t>
  </si>
  <si>
    <t>Non-network opex / connections</t>
  </si>
  <si>
    <t>5yr replacement req (est)</t>
  </si>
  <si>
    <t>5yr planned replacement</t>
  </si>
  <si>
    <t>Over ODV life</t>
  </si>
  <si>
    <t>Average daily charge</t>
  </si>
  <si>
    <t>Name:</t>
  </si>
  <si>
    <t>CEO / Position</t>
  </si>
  <si>
    <t>CEO</t>
  </si>
  <si>
    <t>General Manager</t>
  </si>
  <si>
    <t>Over generic age</t>
  </si>
  <si>
    <t>Average daily delivery</t>
  </si>
  <si>
    <t>Maximum daily load</t>
  </si>
  <si>
    <t>Maximum monthly load</t>
  </si>
  <si>
    <t>Total gas conveyed</t>
  </si>
  <si>
    <t>System length</t>
  </si>
  <si>
    <t>GasNet</t>
  </si>
  <si>
    <t>10b(ii)</t>
  </si>
  <si>
    <t>Consumer Service</t>
  </si>
  <si>
    <t>Proportion of emergencies responded to within 1 hour</t>
  </si>
  <si>
    <t>Proportion of emergencies responded to within 3 hours</t>
  </si>
  <si>
    <t>42 Connett Road West, New Plymouth</t>
  </si>
  <si>
    <t>www.firstgas.co.nz</t>
  </si>
  <si>
    <t>Paul Goodeve</t>
  </si>
  <si>
    <t>06 349 2050</t>
  </si>
  <si>
    <t>www.gasnet.co.nz</t>
  </si>
  <si>
    <t>0800 769 372</t>
  </si>
  <si>
    <t>58% QIC Limited</t>
  </si>
  <si>
    <t>42% AMP Capital</t>
  </si>
  <si>
    <t>GDB</t>
  </si>
  <si>
    <t>IDNetwork and DemandCustomer numbersNumber of ICPs at year endNA</t>
  </si>
  <si>
    <t>IDNetwork and DemandGas deliveredTotal gas conveyedNA</t>
  </si>
  <si>
    <t>IDNetwork and DemandGas deliveredMaximum daily loadNA</t>
  </si>
  <si>
    <t>IDNetwork and DemandGas deliveredMaximum monthly loadNA</t>
  </si>
  <si>
    <t>IDNetwork and DemandGas deliveredAverage daily deliveryNA</t>
  </si>
  <si>
    <t>IDNetwork and DemandGas deliveredLoad factorNA</t>
  </si>
  <si>
    <t>IDNetwork and DemandSystem lengthSystem lengthNA</t>
  </si>
  <si>
    <t>Intermediate Pressure Main pipes</t>
  </si>
  <si>
    <t>Medium Pressure Main pipes</t>
  </si>
  <si>
    <t>District Regulator Stations</t>
  </si>
  <si>
    <t>Line Valves</t>
  </si>
  <si>
    <t>Special Crossings</t>
  </si>
  <si>
    <t>IP Main pipes</t>
  </si>
  <si>
    <t>Low Pressure Main pipes</t>
  </si>
  <si>
    <t>Service pipes</t>
  </si>
  <si>
    <t>Proportion of emergencies responded to within 1 hour (%)</t>
  </si>
  <si>
    <t>Proportion of emergencies responded to within 3 hours (%)</t>
  </si>
  <si>
    <t>Number of emergencies</t>
  </si>
  <si>
    <t>All interruptions</t>
  </si>
  <si>
    <t>Delivery cents / GJ</t>
  </si>
  <si>
    <t>Delivery (GJ)</t>
  </si>
  <si>
    <t>Variable</t>
  </si>
  <si>
    <t>Fixed</t>
  </si>
  <si>
    <t>IDReliabilityInterruptionsClass BNA</t>
  </si>
  <si>
    <t>IDReliabilityInterruptionsClass CNA</t>
  </si>
  <si>
    <t>Network opex /
system length</t>
  </si>
  <si>
    <t>Total capex / connections</t>
  </si>
  <si>
    <t/>
  </si>
  <si>
    <t>Yes</t>
  </si>
  <si>
    <t>IDReliabilityCAIDIAll interruptionsNA</t>
  </si>
  <si>
    <t>IDReliabilitySAIDIAll interruptionsNA</t>
  </si>
  <si>
    <t>IDReliabilitySAIFIAll interruptionsNA</t>
  </si>
  <si>
    <t>Service</t>
  </si>
  <si>
    <t>year</t>
  </si>
  <si>
    <t>source</t>
  </si>
  <si>
    <t>Average call response time (hours)</t>
  </si>
  <si>
    <t>Average Call response time (hours)</t>
  </si>
  <si>
    <t>Average call response time (hrs)</t>
  </si>
  <si>
    <t>PE/steel/other km</t>
  </si>
  <si>
    <t>PE/steel/other proportions</t>
  </si>
  <si>
    <t>PE/steel/other</t>
  </si>
  <si>
    <t>No</t>
  </si>
  <si>
    <t>Total opex / asset base</t>
  </si>
  <si>
    <t>Total capex / system length</t>
  </si>
  <si>
    <t>Total capex / asset base</t>
  </si>
  <si>
    <t>Total capex / depreciation</t>
  </si>
  <si>
    <t>Charges per unit</t>
  </si>
  <si>
    <t>Year end:</t>
  </si>
  <si>
    <t>Reliability &amp; Service</t>
  </si>
  <si>
    <t>Delivery</t>
  </si>
  <si>
    <t>IDRevenue and ProfitabilityRegulatory profit / (loss)Regulatory profit / (loss)nominal</t>
  </si>
  <si>
    <t>IDRevenue and ProfitabilityTotal regulatory incomeLine charge revenuenominal</t>
  </si>
  <si>
    <t>IDRevenue and ProfitabilityTotal regulatory incomeOther regulatory incomenominal</t>
  </si>
  <si>
    <t>IDCapital ExpenditureAll assetsExpenditure on assetsnominal</t>
  </si>
  <si>
    <t>IDOperating ExpenditureTotal opexOperational expenditurenominal</t>
  </si>
  <si>
    <t>IDCapital ExpenditureValue of capital contributionsValue of capital contributionsnominal</t>
  </si>
  <si>
    <t>IDOther dataRelated party transactionsCapital expenditurenominal</t>
  </si>
  <si>
    <t>IDOther dataRelated party transactionsMarket value of asset disposalsnominal</t>
  </si>
  <si>
    <t>IDOther dataRelated party transactionsOperational expenditurenominal</t>
  </si>
  <si>
    <t>IDOther dataRelated party transactionsOther related party transactionsnominal</t>
  </si>
  <si>
    <t>IDOther dataRelated party transactionsTotal regulatory incomenominal</t>
  </si>
  <si>
    <t>Capital ExpenditureAll assetsExpenditure on assetsnominal</t>
  </si>
  <si>
    <t>IDCapital ExpenditureAsset relocationsAsset relocationsnominal</t>
  </si>
  <si>
    <t>IDCapital ExpenditureAsset replacement and renewalAsset replacement and renewalnominal</t>
  </si>
  <si>
    <t>IDCapital ExpenditureConsumer connectionConsumer connectionnominal</t>
  </si>
  <si>
    <t>IDCapital ExpenditureReliability, safety and environmentTotal reliability, safety and environmentnominal</t>
  </si>
  <si>
    <t>IDCapital ExpenditureSystem growthSystem growthnominal</t>
  </si>
  <si>
    <t>Operating ExpenditureTotal opexOperational expenditurenominal</t>
  </si>
  <si>
    <t>IDOperating ExpenditureAsset replacement and renewalAsset replacement and renewalnominal</t>
  </si>
  <si>
    <t>IDOperating ExpenditureBusiness supportBusiness supportnominal</t>
  </si>
  <si>
    <t>IDOperating ExpenditureRoutine and corrective maintenance and inspectionRoutine and corrective maintenance and inspectionnominal</t>
  </si>
  <si>
    <t>IDOperating ExpenditureService interruptions, incidents and emergenciesService interruptions, incidents and emergenciesnominal</t>
  </si>
  <si>
    <t>IDOperating ExpenditureSystem operations and network supportSystem operations and network supportnominal</t>
  </si>
  <si>
    <t>IDOperating ExpenditureNetwork opexNetwork opexnominal</t>
  </si>
  <si>
    <t>IDOperating ExpenditureNon-network opexNon-network opexnominal</t>
  </si>
  <si>
    <t>IDCapital ExpenditureAsset Replacement and RenewalIntermediate pressure - Main pipenominal</t>
  </si>
  <si>
    <t>IDCapital ExpenditureAsset Replacement and RenewalMedium pressure - Main pipenominal</t>
  </si>
  <si>
    <t>IDCapital ExpenditureAsset Replacement and RenewalLow pressure - Main pipenominal</t>
  </si>
  <si>
    <t>IDCapital ExpenditureAsset Replacement and RenewalIntermediate pressure - Service pipenominal</t>
  </si>
  <si>
    <t>IDCapital ExpenditureAsset Replacement and RenewalMedium pressure - Service pipenominal</t>
  </si>
  <si>
    <t>IDCapital ExpenditureAsset Replacement and RenewalLow pressure - Service pipenominal</t>
  </si>
  <si>
    <t>IDCapital ExpenditureAsset Replacement and RenewalIntermediate pressure - Stationsnominal</t>
  </si>
  <si>
    <t>IDCapital ExpenditureAsset Replacement and RenewalMedium pressure - Stationsnominal</t>
  </si>
  <si>
    <t>IDCapital ExpenditureAsset Replacement and RenewalIntermediate pressure - Line valvenominal</t>
  </si>
  <si>
    <t>IDCapital ExpenditureAsset Replacement and RenewalMedium pressure - Line valvenominal</t>
  </si>
  <si>
    <t>IDCapital ExpenditureAsset Replacement and RenewalLow pressure - Line valvenominal</t>
  </si>
  <si>
    <t>IDCapital ExpenditureAsset Replacement and RenewalIntermediate pressure - Special crossingsnominal</t>
  </si>
  <si>
    <t>IDCapital ExpenditureAsset Replacement and RenewalMedium pressure - Special crossingsnominal</t>
  </si>
  <si>
    <t>IDCapital ExpenditureAsset Replacement and RenewalLow pressure - Special crossingsnominal</t>
  </si>
  <si>
    <t>IDCapital ExpenditureAsset Replacement and RenewalOther network assets - totalnominal</t>
  </si>
  <si>
    <t>75.1% Entrust</t>
  </si>
  <si>
    <t>24.9% free float</t>
  </si>
  <si>
    <t>Pipeline assets</t>
  </si>
  <si>
    <t>Non-pipeline assets</t>
  </si>
  <si>
    <t>Network opex / 
GJ</t>
  </si>
  <si>
    <t>new</t>
  </si>
  <si>
    <t>First Gas Distribution</t>
  </si>
  <si>
    <t>modifier</t>
  </si>
  <si>
    <t>This sheet converts constant values from Schedule 11a(iv) to nominal values using GDB inflation assumptions implied in Schedule 11a(i)</t>
  </si>
  <si>
    <t>lookup</t>
  </si>
  <si>
    <t>units</t>
  </si>
  <si>
    <t>IDRevenue and ProfitabilityAsset valueTotal depreciation (FG prorated)nominal</t>
  </si>
  <si>
    <t>Whanganui District Council Holdings Limited</t>
  </si>
  <si>
    <t>Planned interruptions on the network</t>
  </si>
  <si>
    <t>Unplanned interruptions on the network</t>
  </si>
  <si>
    <t>Vector + First Gas</t>
  </si>
  <si>
    <t>XIRR search start</t>
  </si>
  <si>
    <t>XIRR</t>
  </si>
  <si>
    <t>MPV check</t>
  </si>
  <si>
    <t>IRR</t>
  </si>
  <si>
    <t>cashflow</t>
  </si>
  <si>
    <t>transaction date</t>
  </si>
  <si>
    <t>days before year-end</t>
  </si>
  <si>
    <t>First Gas</t>
  </si>
  <si>
    <t>Opening RIV</t>
  </si>
  <si>
    <t>Mid-year net cash outflows</t>
  </si>
  <si>
    <t>Cashflow at year-end</t>
  </si>
  <si>
    <t>Closing RIV</t>
  </si>
  <si>
    <t>PV (cashflow)</t>
  </si>
  <si>
    <t>Vector</t>
  </si>
  <si>
    <t>Public version</t>
  </si>
  <si>
    <t>Description</t>
  </si>
  <si>
    <t>Summary</t>
  </si>
  <si>
    <t>Disclaimer</t>
  </si>
  <si>
    <t>Contact Us</t>
  </si>
  <si>
    <t>Total opex / gas conveyed</t>
  </si>
  <si>
    <t>Network opex / system length</t>
  </si>
  <si>
    <t>While all reasonable care and diligence has been used in processing and extracting the data included in this document, we give no warranty that the data and information represented in the database is error-free. Users should apply reasonable care in the use of or reliance on any material contained in this document or the one-pagers.</t>
  </si>
  <si>
    <t>Industry</t>
  </si>
  <si>
    <t>Vector Distribution</t>
  </si>
  <si>
    <t>FirstGas + Vector</t>
  </si>
  <si>
    <t>IDCapital ExpenditureNon-network assetsNon-network assetsnominal</t>
  </si>
  <si>
    <t>Total SAIDI (minutes per 1000 customers)</t>
  </si>
  <si>
    <t>Total SAIFI (interruptions per 1000 customers)</t>
  </si>
  <si>
    <t>James Kilty</t>
  </si>
  <si>
    <t>Group Chief Executive</t>
  </si>
  <si>
    <r>
      <t xml:space="preserve">For any concerns or feedback regarding these one-page performance summaries please email: </t>
    </r>
    <r>
      <rPr>
        <b/>
        <sz val="11"/>
        <color rgb="FF0070C0"/>
        <rFont val="Calibri"/>
        <family val="2"/>
        <scheme val="minor"/>
      </rPr>
      <t>infrastructure.regulation@comcom.govt.nz</t>
    </r>
    <r>
      <rPr>
        <sz val="11"/>
        <color theme="1"/>
        <rFont val="Calibri"/>
        <family val="2"/>
        <scheme val="minor"/>
      </rPr>
      <t xml:space="preserve">
with the words "One-page summary of GDBs </t>
    </r>
    <r>
      <rPr>
        <sz val="11"/>
        <color theme="1"/>
        <rFont val="Calibri"/>
        <family val="2"/>
      </rPr>
      <t>–</t>
    </r>
    <r>
      <rPr>
        <sz val="11"/>
        <color theme="1"/>
        <rFont val="Calibri"/>
        <family val="2"/>
        <scheme val="minor"/>
      </rPr>
      <t xml:space="preserve"> feedback" in the subject line</t>
    </r>
  </si>
  <si>
    <t>Year</t>
  </si>
  <si>
    <t>Source</t>
  </si>
  <si>
    <t>AMP2013</t>
  </si>
  <si>
    <t>AMP2014</t>
  </si>
  <si>
    <t>AMP2015</t>
  </si>
  <si>
    <t>AMP2016</t>
  </si>
  <si>
    <t>AMP2017</t>
  </si>
  <si>
    <t>AMP2018</t>
  </si>
  <si>
    <t>AMP2019</t>
  </si>
  <si>
    <t>AMP2020</t>
  </si>
  <si>
    <t>AMP2021</t>
  </si>
  <si>
    <t>Schedule</t>
  </si>
  <si>
    <t>2(i)</t>
  </si>
  <si>
    <t>5b(i)</t>
  </si>
  <si>
    <t>3(i)</t>
  </si>
  <si>
    <t>11a(i)</t>
  </si>
  <si>
    <t>11a(iv)</t>
  </si>
  <si>
    <t>6a(i)</t>
  </si>
  <si>
    <t>6a(iv)</t>
  </si>
  <si>
    <t>9c</t>
  </si>
  <si>
    <t>9d(ii)</t>
  </si>
  <si>
    <t>11b</t>
  </si>
  <si>
    <t>6b(i)</t>
  </si>
  <si>
    <t>4(vii)</t>
  </si>
  <si>
    <t>1(v)</t>
  </si>
  <si>
    <t>10a(i)</t>
  </si>
  <si>
    <t>10a(ii)</t>
  </si>
  <si>
    <t>4(i)</t>
  </si>
  <si>
    <t>Revenue and Profitability</t>
  </si>
  <si>
    <t>Other data</t>
  </si>
  <si>
    <t>Network and Demand</t>
  </si>
  <si>
    <t>RAB value</t>
  </si>
  <si>
    <t>Reliability</t>
  </si>
  <si>
    <t>Category</t>
  </si>
  <si>
    <t>Expenses</t>
  </si>
  <si>
    <t>Operating surplus / (deficit)</t>
  </si>
  <si>
    <t>Regulatory profit / (loss)</t>
  </si>
  <si>
    <t>Regulatory profit / (loss) before tax</t>
  </si>
  <si>
    <t>Tax</t>
  </si>
  <si>
    <t>Term credit spread differential</t>
  </si>
  <si>
    <t>Total regulatory income</t>
  </si>
  <si>
    <t>All assets</t>
  </si>
  <si>
    <t>Asset replacement and renewal</t>
  </si>
  <si>
    <t>Capital expenditure forecast</t>
  </si>
  <si>
    <t>Cost of financing</t>
  </si>
  <si>
    <t>Expenditure on subcomponents</t>
  </si>
  <si>
    <t>Network assets</t>
  </si>
  <si>
    <t>Reliability, safety and environment</t>
  </si>
  <si>
    <t>Value of commissioned assets</t>
  </si>
  <si>
    <t>Value of vested assets</t>
  </si>
  <si>
    <t>Asset Replacement and Renewal</t>
  </si>
  <si>
    <t>System Growth</t>
  </si>
  <si>
    <t>Customer numbers</t>
  </si>
  <si>
    <t>Gas delivered</t>
  </si>
  <si>
    <t>Research and development</t>
  </si>
  <si>
    <t>Routine and corrective maintenance and inspection</t>
  </si>
  <si>
    <t>Service interruptions, incidents and emergencies</t>
  </si>
  <si>
    <t>System operations and network support</t>
  </si>
  <si>
    <t>Total opex</t>
  </si>
  <si>
    <t>Total closing RAB value</t>
  </si>
  <si>
    <t>Adjustment resulting from asset allocation</t>
  </si>
  <si>
    <t>Asset value</t>
  </si>
  <si>
    <t>Lost and found assets adjustment</t>
  </si>
  <si>
    <t>Total opening RAB value</t>
  </si>
  <si>
    <t>Selection</t>
  </si>
  <si>
    <t>Return on Investment (post tax)</t>
  </si>
  <si>
    <t>Return on Investment (vanilla)</t>
  </si>
  <si>
    <t>Market value of asset disposals</t>
  </si>
  <si>
    <t>Operational expenditure</t>
  </si>
  <si>
    <t>Other related party transactions</t>
  </si>
  <si>
    <t>Pass-through and recoverable costs</t>
  </si>
  <si>
    <t>Regulatory tax allowance</t>
  </si>
  <si>
    <t>Term credit spread differential allowance</t>
  </si>
  <si>
    <t>Gains / (losses) on asset disposals</t>
  </si>
  <si>
    <t>Other regulatory income</t>
  </si>
  <si>
    <t>Expenditure on assets</t>
  </si>
  <si>
    <t>Expenditure on network assets</t>
  </si>
  <si>
    <t>Legislative and regulatory</t>
  </si>
  <si>
    <t>Other reliability, safety and environment</t>
  </si>
  <si>
    <t>Quality of supply</t>
  </si>
  <si>
    <t>Total reliability, safety and environment</t>
  </si>
  <si>
    <t>Asset replacement and renewal expenditure - Asset replacement and renewal expenditure</t>
  </si>
  <si>
    <t>Asset replacement and renewal expenditure - Capital contributions funding asset replacement and renewal</t>
  </si>
  <si>
    <t>Asset replacement and renewal less capital contributions - Asset replacement and renewal less capital contributions</t>
  </si>
  <si>
    <t>Intermediate pressure - Intermediate Pressure total</t>
  </si>
  <si>
    <t>Intermediate pressure - Line valve</t>
  </si>
  <si>
    <t>Intermediate pressure - Main pipe</t>
  </si>
  <si>
    <t>Intermediate pressure - Service pipe</t>
  </si>
  <si>
    <t>Intermediate pressure - Special crossings</t>
  </si>
  <si>
    <t>Intermediate pressure - Stations</t>
  </si>
  <si>
    <t>Low Pressure - Line valve</t>
  </si>
  <si>
    <t>Low Pressure - Low Pressure total</t>
  </si>
  <si>
    <t>Low Pressure - Main pipe</t>
  </si>
  <si>
    <t>Low Pressure - Service pipe</t>
  </si>
  <si>
    <t>Low Pressure - Special crossings</t>
  </si>
  <si>
    <t>Medium pressure - Line valve</t>
  </si>
  <si>
    <t>Medium pressure - Main pipe</t>
  </si>
  <si>
    <t>Medium pressure - Medium Pressure total</t>
  </si>
  <si>
    <t>Medium pressure - Service pipe</t>
  </si>
  <si>
    <t>Medium pressure - Special crossings</t>
  </si>
  <si>
    <t>Medium pressure - Station</t>
  </si>
  <si>
    <t>Other assets - Cathodic protection systems</t>
  </si>
  <si>
    <t>Other assets - Monitoring and control systems</t>
  </si>
  <si>
    <t>Other assets - Other assets (other than above)</t>
  </si>
  <si>
    <t>Other assets - Other total</t>
  </si>
  <si>
    <t>Asset replacement and renewal expenditure</t>
  </si>
  <si>
    <t>Asset replacement and renewal less capital contributions</t>
  </si>
  <si>
    <t>Capital contributions funding asset replacement and renewal</t>
  </si>
  <si>
    <t>Intermediate pressure -total</t>
  </si>
  <si>
    <t>Low pressure - Line valve</t>
  </si>
  <si>
    <t>Low pressure - Main pipe</t>
  </si>
  <si>
    <t>Low pressure - Service pipe</t>
  </si>
  <si>
    <t>Low pressure - Special crossings</t>
  </si>
  <si>
    <t>Low pressure - total</t>
  </si>
  <si>
    <t>Medium pressure - Stations</t>
  </si>
  <si>
    <t>Medium pressure - total</t>
  </si>
  <si>
    <t>Other network assets - Cathodic protection systems</t>
  </si>
  <si>
    <t>Other network assets - Monitoring and control systems</t>
  </si>
  <si>
    <t>Other network assets - Other</t>
  </si>
  <si>
    <t>Other network assets - total</t>
  </si>
  <si>
    <t>Capital contributions funding system growth</t>
  </si>
  <si>
    <t>System growth expenditure</t>
  </si>
  <si>
    <t>System growth less capital contributions</t>
  </si>
  <si>
    <t>Number of ICPs at year end</t>
  </si>
  <si>
    <t>Maximum monthly amount of gas entering network (GJ/month)</t>
  </si>
  <si>
    <t>Number of directly billed ICPs</t>
  </si>
  <si>
    <t>Insurance</t>
  </si>
  <si>
    <t>Intermediate pressure main pipelines</t>
  </si>
  <si>
    <t>Line valve</t>
  </si>
  <si>
    <t>Low pressure main pipelines</t>
  </si>
  <si>
    <t>Medium pressure main pipelines</t>
  </si>
  <si>
    <t>Service pipe</t>
  </si>
  <si>
    <t>Special crossings</t>
  </si>
  <si>
    <t>Stations</t>
  </si>
  <si>
    <t>Total</t>
  </si>
  <si>
    <t>Interruptions per 100 circuit km</t>
  </si>
  <si>
    <t>Class B</t>
  </si>
  <si>
    <t>Class C</t>
  </si>
  <si>
    <t>Class I</t>
  </si>
  <si>
    <t>Other network assets - Other assets (other than above)</t>
  </si>
  <si>
    <t>Other network assets - Other network assets total</t>
  </si>
  <si>
    <t>Total depreciation</t>
  </si>
  <si>
    <t>Total revaluations</t>
  </si>
  <si>
    <t>Asset replacement and renewal (capex)</t>
  </si>
  <si>
    <t>Asset replacement and renewal (opex)</t>
  </si>
  <si>
    <t>Total expenditure</t>
  </si>
  <si>
    <t>NA</t>
  </si>
  <si>
    <t>proportion</t>
  </si>
  <si>
    <t>km</t>
  </si>
  <si>
    <t>No.</t>
  </si>
  <si>
    <t>GJ/day</t>
  </si>
  <si>
    <t>GJ/month</t>
  </si>
  <si>
    <t>GJ/annum</t>
  </si>
  <si>
    <t>value</t>
  </si>
  <si>
    <t>2011IDRevenue and ProfitabilityReturn on investmentReturn on Investment (post tax)NA</t>
  </si>
  <si>
    <t>2011IDRevenue and ProfitabilityReturn on investmentReturn on Investment (vanilla)NA</t>
  </si>
  <si>
    <t>2012IDOther dataRelated party transactionsCapital expenditureconstant</t>
  </si>
  <si>
    <t>2012IDOther dataRelated party transactionsCapital expenditurenominal</t>
  </si>
  <si>
    <t>2012IDOther dataRelated party transactionsMarket value of asset disposalsconstant</t>
  </si>
  <si>
    <t>2012IDOther dataRelated party transactionsMarket value of asset disposalsnominal</t>
  </si>
  <si>
    <t>2012IDOther dataRelated party transactionsOperational expenditureconstant</t>
  </si>
  <si>
    <t>2012IDOther dataRelated party transactionsOperational expenditurenominal</t>
  </si>
  <si>
    <t>2012IDOther dataRelated party transactionsOther related party transactionsconstant</t>
  </si>
  <si>
    <t>2012IDOther dataRelated party transactionsOther related party transactionsnominal</t>
  </si>
  <si>
    <t>2012IDOther dataRelated party transactionsTotal regulatory incomeconstant</t>
  </si>
  <si>
    <t>2012IDOther dataRelated party transactionsTotal regulatory incomenominal</t>
  </si>
  <si>
    <t>2012IDRevenue and ProfitabilityReturn on investmentReturn on Investment (post tax)NA</t>
  </si>
  <si>
    <t>2012IDRevenue and ProfitabilityReturn on investmentReturn on Investment (vanilla)NA</t>
  </si>
  <si>
    <t>2012IDRevenue and ProfitabilityExpensesOperational expenditureconstant</t>
  </si>
  <si>
    <t>2012IDRevenue and ProfitabilityExpensesOperational expenditurenominal</t>
  </si>
  <si>
    <t>2012IDRevenue and ProfitabilityExpensesPass-through and recoverable costsconstant</t>
  </si>
  <si>
    <t>2012IDRevenue and ProfitabilityExpensesPass-through and recoverable costsnominal</t>
  </si>
  <si>
    <t>2012IDRevenue and ProfitabilityOperating surplus / (deficit)Operating surplus / (deficit)constant</t>
  </si>
  <si>
    <t>2012IDRevenue and ProfitabilityOperating surplus / (deficit)Operating surplus / (deficit)nominal</t>
  </si>
  <si>
    <t>2012IDRevenue and ProfitabilityRegulatory profit / (loss)Regulatory profit / (loss)constant</t>
  </si>
  <si>
    <t>2012IDRevenue and ProfitabilityRegulatory profit / (loss)Regulatory profit / (loss)nominal</t>
  </si>
  <si>
    <t>2012IDRevenue and ProfitabilityRegulatory profit / (loss) before taxRegulatory profit / (loss) before taxconstant</t>
  </si>
  <si>
    <t>2012IDRevenue and ProfitabilityRegulatory profit / (loss) before taxRegulatory profit / (loss) before taxnominal</t>
  </si>
  <si>
    <t>2012IDRevenue and ProfitabilityTaxRegulatory tax allowanceconstant</t>
  </si>
  <si>
    <t>2012IDRevenue and ProfitabilityTaxRegulatory tax allowancenominal</t>
  </si>
  <si>
    <t>2012IDRevenue and ProfitabilityTerm credit spread differentialTerm credit spread differential allowanceconstant</t>
  </si>
  <si>
    <t>2012IDRevenue and ProfitabilityTerm credit spread differentialTerm credit spread differential allowancenominal</t>
  </si>
  <si>
    <t>2012IDRevenue and ProfitabilityTotal regulatory incomeGains / (losses) on asset disposalsconstant</t>
  </si>
  <si>
    <t>2012IDRevenue and ProfitabilityTotal regulatory incomeGains / (losses) on asset disposalsnominal</t>
  </si>
  <si>
    <t>2012IDRevenue and ProfitabilityTotal regulatory incomeLine charge revenueconstant</t>
  </si>
  <si>
    <t>2012IDRevenue and ProfitabilityTotal regulatory incomeLine charge revenuenominal</t>
  </si>
  <si>
    <t>2012IDRevenue and ProfitabilityTotal regulatory incomeOther regulatory incomeconstant</t>
  </si>
  <si>
    <t>2012IDRevenue and ProfitabilityTotal regulatory incomeOther regulatory incomenominal</t>
  </si>
  <si>
    <t>2012IDRevenue and ProfitabilityTotal regulatory incomeTotal regulatory incomeconstant</t>
  </si>
  <si>
    <t>2012IDRevenue and ProfitabilityTotal regulatory incomeTotal regulatory incomenominal</t>
  </si>
  <si>
    <t>2013AMP2013Capital ExpenditureAll assetsExpenditure on assetsconstant</t>
  </si>
  <si>
    <t>2013AMP2013Capital ExpenditureAll assetsExpenditure on assetsnominal</t>
  </si>
  <si>
    <t>2013AMP2013Capital ExpenditureAsset relocationsAsset relocationsconstant</t>
  </si>
  <si>
    <t>2013AMP2013Capital ExpenditureAsset relocationsAsset relocationsnominal</t>
  </si>
  <si>
    <t>2013AMP2013Capital ExpenditureAsset replacement and renewalAsset replacement and renewalconstant</t>
  </si>
  <si>
    <t>2013AMP2013Capital ExpenditureAsset replacement and renewalAsset replacement and renewalnominal</t>
  </si>
  <si>
    <t>2013AMP2013Capital ExpenditureCapital expenditure forecastCapital expenditure forecastnominal</t>
  </si>
  <si>
    <t>2013AMP2013Capital ExpenditureConsumer connectionConsumer connectionconstant</t>
  </si>
  <si>
    <t>2013AMP2013Capital ExpenditureConsumer connectionConsumer connectionnominal</t>
  </si>
  <si>
    <t>2013AMP2013Capital ExpenditureCost of financingCost of financingnominal</t>
  </si>
  <si>
    <t>2013AMP2013Capital ExpenditureExpenditure on subcomponentsResearch and developmentconstant</t>
  </si>
  <si>
    <t>2013AMP2013Capital ExpenditureNetwork assetsExpenditure on network assetsconstant</t>
  </si>
  <si>
    <t>2013AMP2013Capital ExpenditureNetwork assetsExpenditure on network assetsnominal</t>
  </si>
  <si>
    <t>2013AMP2013Capital ExpenditureNon-network assetsNon-network assetsconstant</t>
  </si>
  <si>
    <t>2013AMP2013Capital ExpenditureNon-network assetsNon-network assetsnominal</t>
  </si>
  <si>
    <t>2013AMP2013Capital ExpenditureReliability, safety and environmentLegislative and regulatoryconstant</t>
  </si>
  <si>
    <t>2013AMP2013Capital ExpenditureReliability, safety and environmentLegislative and regulatorynominal</t>
  </si>
  <si>
    <t>2013AMP2013Capital ExpenditureReliability, safety and environmentOther reliability, safety and environmentconstant</t>
  </si>
  <si>
    <t>2013AMP2013Capital ExpenditureReliability, safety and environmentOther reliability, safety and environmentnominal</t>
  </si>
  <si>
    <t>2013AMP2013Capital ExpenditureReliability, safety and environmentQuality of supplyconstant</t>
  </si>
  <si>
    <t>2013AMP2013Capital ExpenditureReliability, safety and environmentQuality of supplynominal</t>
  </si>
  <si>
    <t>2013AMP2013Capital ExpenditureReliability, safety and environmentTotal reliability, safety and environmentconstant</t>
  </si>
  <si>
    <t>2013AMP2013Capital ExpenditureReliability, safety and environmentTotal reliability, safety and environmentnominal</t>
  </si>
  <si>
    <t>2013AMP2013Capital ExpenditureSystem growthSystem growthconstant</t>
  </si>
  <si>
    <t>2013AMP2013Capital ExpenditureSystem growthSystem growthnominal</t>
  </si>
  <si>
    <t>2013AMP2013Capital ExpenditureValue of capital contributionsValue of capital contributionsnominal</t>
  </si>
  <si>
    <t>2013AMP2013Capital ExpenditureValue of commissioned assetsValue of commissioned assetsnominal</t>
  </si>
  <si>
    <t>2013AMP2013Capital ExpenditureValue of vested assetsValue of vested assetsnominal</t>
  </si>
  <si>
    <t>2013AMP2013Capital ExpenditureAsset replacement and renewalAsset replacement and renewal expenditure - Asset replacement and renewal expenditureconstant</t>
  </si>
  <si>
    <t>2013AMP2013Capital ExpenditureAsset replacement and renewalAsset replacement and renewal expenditure - Capital contributions funding asset replacement and renewalconstant</t>
  </si>
  <si>
    <t>2013AMP2013Capital ExpenditureAsset replacement and renewalAsset replacement and renewal less capital contributions - Asset replacement and renewal less capital contributionsconstant</t>
  </si>
  <si>
    <t>2013AMP2013Capital ExpenditureAsset replacement and renewalIntermediate pressure - Intermediate Pressure totalconstant</t>
  </si>
  <si>
    <t>2013AMP2013Capital ExpenditureAsset replacement and renewalIntermediate pressure - Line valveconstant</t>
  </si>
  <si>
    <t>2013AMP2013Capital ExpenditureAsset replacement and renewalIntermediate pressure - Main pipeconstant</t>
  </si>
  <si>
    <t>2013AMP2013Capital ExpenditureAsset replacement and renewalIntermediate pressure - Service pipeconstant</t>
  </si>
  <si>
    <t>2013AMP2013Capital ExpenditureAsset replacement and renewalIntermediate pressure - Special crossingsconstant</t>
  </si>
  <si>
    <t>2013AMP2013Capital ExpenditureAsset replacement and renewalIntermediate pressure - Stationsconstant</t>
  </si>
  <si>
    <t>2013AMP2013Capital ExpenditureAsset replacement and renewalLow Pressure - Line valveconstant</t>
  </si>
  <si>
    <t>2013AMP2013Capital ExpenditureAsset replacement and renewalLow Pressure - Low Pressure totalconstant</t>
  </si>
  <si>
    <t>2013AMP2013Capital ExpenditureAsset replacement and renewalLow Pressure - Main pipeconstant</t>
  </si>
  <si>
    <t>2013AMP2013Capital ExpenditureAsset replacement and renewalLow Pressure - Service pipeconstant</t>
  </si>
  <si>
    <t>2013AMP2013Capital ExpenditureAsset replacement and renewalLow Pressure - Special crossingsconstant</t>
  </si>
  <si>
    <t>2013AMP2013Capital ExpenditureAsset replacement and renewalMedium pressure - Line valveconstant</t>
  </si>
  <si>
    <t>2013AMP2013Capital ExpenditureAsset replacement and renewalMedium pressure - Main pipeconstant</t>
  </si>
  <si>
    <t>2013AMP2013Capital ExpenditureAsset replacement and renewalMedium pressure - Medium Pressure totalconstant</t>
  </si>
  <si>
    <t>2013AMP2013Capital ExpenditureAsset replacement and renewalMedium pressure - Service pipeconstant</t>
  </si>
  <si>
    <t>2013AMP2013Capital ExpenditureAsset replacement and renewalMedium pressure - Special crossingsconstant</t>
  </si>
  <si>
    <t>2013AMP2013Capital ExpenditureAsset replacement and renewalMedium pressure - Stationconstant</t>
  </si>
  <si>
    <t>2013AMP2013Capital ExpenditureAsset replacement and renewalOther assets - Cathodic protection systemsconstant</t>
  </si>
  <si>
    <t>2013AMP2013Capital ExpenditureAsset replacement and renewalOther assets - Monitoring and control systemsconstant</t>
  </si>
  <si>
    <t>2013AMP2013Capital ExpenditureAsset replacement and renewalOther assets - Other assets (other than above)constant</t>
  </si>
  <si>
    <t>2013AMP2013Capital ExpenditureAsset replacement and renewalOther assets - Other totalconstant</t>
  </si>
  <si>
    <t>2013IDCapital ExpenditureAll assetsExpenditure on assetsconstant</t>
  </si>
  <si>
    <t>2013IDCapital ExpenditureAll assetsExpenditure on assetsnominal</t>
  </si>
  <si>
    <t>2013IDCapital ExpenditureAsset relocationsAsset relocationsconstant</t>
  </si>
  <si>
    <t>2013IDCapital ExpenditureAsset relocationsAsset relocationsnominal</t>
  </si>
  <si>
    <t>2013IDCapital ExpenditureAsset replacement and renewalAsset replacement and renewalconstant</t>
  </si>
  <si>
    <t>2013IDCapital ExpenditureAsset replacement and renewalAsset replacement and renewalnominal</t>
  </si>
  <si>
    <t>2013IDCapital ExpenditureCapital expenditureCapital expenditureconstant</t>
  </si>
  <si>
    <t>2013IDCapital ExpenditureCapital expenditureCapital expenditurenominal</t>
  </si>
  <si>
    <t>2013IDCapital ExpenditureConsumer connectionConsumer connectionconstant</t>
  </si>
  <si>
    <t>2013IDCapital ExpenditureConsumer connectionConsumer connectionnominal</t>
  </si>
  <si>
    <t>2013IDCapital ExpenditureCost of financingCost of financingconstant</t>
  </si>
  <si>
    <t>2013IDCapital ExpenditureCost of financingCost of financingnominal</t>
  </si>
  <si>
    <t>2013IDCapital ExpenditureNetwork assetsExpenditure on network assetsconstant</t>
  </si>
  <si>
    <t>2013IDCapital ExpenditureNetwork assetsExpenditure on network assetsnominal</t>
  </si>
  <si>
    <t>2013IDCapital ExpenditureNon-network assetsNon-network assetsconstant</t>
  </si>
  <si>
    <t>2013IDCapital ExpenditureNon-network assetsNon-network assetsnominal</t>
  </si>
  <si>
    <t>2013IDCapital ExpenditureReliability, safety and environmentLegislative and regulatoryconstant</t>
  </si>
  <si>
    <t>2013IDCapital ExpenditureReliability, safety and environmentLegislative and regulatorynominal</t>
  </si>
  <si>
    <t>2013IDCapital ExpenditureReliability, safety and environmentOther reliability, safety and environmentconstant</t>
  </si>
  <si>
    <t>2013IDCapital ExpenditureReliability, safety and environmentOther reliability, safety and environmentnominal</t>
  </si>
  <si>
    <t>2013IDCapital ExpenditureReliability, safety and environmentQuality of supplyconstant</t>
  </si>
  <si>
    <t>2013IDCapital ExpenditureReliability, safety and environmentQuality of supplynominal</t>
  </si>
  <si>
    <t>2013IDCapital ExpenditureReliability, safety and environmentTotal reliability, safety and environmentconstant</t>
  </si>
  <si>
    <t>2013IDCapital ExpenditureReliability, safety and environmentTotal reliability, safety and environmentnominal</t>
  </si>
  <si>
    <t>2013IDCapital ExpenditureSystem growthSystem growthconstant</t>
  </si>
  <si>
    <t>2013IDCapital ExpenditureSystem growthSystem growthnominal</t>
  </si>
  <si>
    <t>2013IDCapital ExpenditureValue of capital contributionsValue of capital contributionsconstant</t>
  </si>
  <si>
    <t>2013IDCapital ExpenditureValue of capital contributionsValue of capital contributionsnominal</t>
  </si>
  <si>
    <t>2013IDCapital ExpenditureValue of vested assetsValue of vested assetsconstant</t>
  </si>
  <si>
    <t>2013IDCapital ExpenditureValue of vested assetsValue of vested assetsnominal</t>
  </si>
  <si>
    <t>2013IDCapital ExpenditureAsset Replacement and RenewalAsset replacement and renewal expenditureconstant</t>
  </si>
  <si>
    <t>2013IDCapital ExpenditureAsset Replacement and RenewalAsset replacement and renewal expenditurenominal</t>
  </si>
  <si>
    <t>2013IDCapital ExpenditureAsset Replacement and RenewalAsset replacement and renewal less capital contributionsconstant</t>
  </si>
  <si>
    <t>2013IDCapital ExpenditureAsset Replacement and RenewalAsset replacement and renewal less capital contributionsnominal</t>
  </si>
  <si>
    <t>2013IDCapital ExpenditureAsset Replacement and RenewalCapital contributions funding asset replacement and renewalconstant</t>
  </si>
  <si>
    <t>2013IDCapital ExpenditureAsset Replacement and RenewalCapital contributions funding asset replacement and renewalnominal</t>
  </si>
  <si>
    <t>2013IDCapital ExpenditureAsset Replacement and RenewalIntermediate pressure - Line valveconstant</t>
  </si>
  <si>
    <t>2013IDCapital ExpenditureAsset Replacement and RenewalIntermediate pressure - Line valvenominal</t>
  </si>
  <si>
    <t>2013IDCapital ExpenditureAsset Replacement and RenewalIntermediate pressure - Main pipeconstant</t>
  </si>
  <si>
    <t>2013IDCapital ExpenditureAsset Replacement and RenewalIntermediate pressure - Main pipenominal</t>
  </si>
  <si>
    <t>2013IDCapital ExpenditureAsset Replacement and RenewalIntermediate pressure - Service pipeconstant</t>
  </si>
  <si>
    <t>2013IDCapital ExpenditureAsset Replacement and RenewalIntermediate pressure - Service pipenominal</t>
  </si>
  <si>
    <t>2013IDCapital ExpenditureAsset Replacement and RenewalIntermediate pressure - Special crossingsconstant</t>
  </si>
  <si>
    <t>2013IDCapital ExpenditureAsset Replacement and RenewalIntermediate pressure - Special crossingsnominal</t>
  </si>
  <si>
    <t>2013IDCapital ExpenditureAsset Replacement and RenewalIntermediate pressure - Stationsconstant</t>
  </si>
  <si>
    <t>2013IDCapital ExpenditureAsset Replacement and RenewalIntermediate pressure - Stationsnominal</t>
  </si>
  <si>
    <t>2013IDCapital ExpenditureAsset Replacement and RenewalIntermediate pressure -totalconstant</t>
  </si>
  <si>
    <t>2013IDCapital ExpenditureAsset Replacement and RenewalIntermediate pressure -totalnominal</t>
  </si>
  <si>
    <t>2013IDCapital ExpenditureAsset Replacement and RenewalLow pressure - Line valveconstant</t>
  </si>
  <si>
    <t>2013IDCapital ExpenditureAsset Replacement and RenewalLow pressure - Line valvenominal</t>
  </si>
  <si>
    <t>2013IDCapital ExpenditureAsset Replacement and RenewalLow pressure - Main pipeconstant</t>
  </si>
  <si>
    <t>2013IDCapital ExpenditureAsset Replacement and RenewalLow pressure - Main pipenominal</t>
  </si>
  <si>
    <t>2013IDCapital ExpenditureAsset Replacement and RenewalLow pressure - Service pipeconstant</t>
  </si>
  <si>
    <t>2013IDCapital ExpenditureAsset Replacement and RenewalLow pressure - Service pipenominal</t>
  </si>
  <si>
    <t>2013IDCapital ExpenditureAsset Replacement and RenewalLow pressure - Special crossingsconstant</t>
  </si>
  <si>
    <t>2013IDCapital ExpenditureAsset Replacement and RenewalLow pressure - Special crossingsnominal</t>
  </si>
  <si>
    <t>2013IDCapital ExpenditureAsset Replacement and RenewalLow pressure - totalconstant</t>
  </si>
  <si>
    <t>2013IDCapital ExpenditureAsset Replacement and RenewalLow pressure - totalnominal</t>
  </si>
  <si>
    <t>2013IDCapital ExpenditureAsset Replacement and RenewalMedium pressure - Line valveconstant</t>
  </si>
  <si>
    <t>2013IDCapital ExpenditureAsset Replacement and RenewalMedium pressure - Line valvenominal</t>
  </si>
  <si>
    <t>2013IDCapital ExpenditureAsset Replacement and RenewalMedium pressure - Main pipeconstant</t>
  </si>
  <si>
    <t>2013IDCapital ExpenditureAsset Replacement and RenewalMedium pressure - Main pipenominal</t>
  </si>
  <si>
    <t>2013IDCapital ExpenditureAsset Replacement and RenewalMedium pressure - Service pipeconstant</t>
  </si>
  <si>
    <t>2013IDCapital ExpenditureAsset Replacement and RenewalMedium pressure - Service pipenominal</t>
  </si>
  <si>
    <t>2013IDCapital ExpenditureAsset Replacement and RenewalMedium pressure - Special crossingsconstant</t>
  </si>
  <si>
    <t>2013IDCapital ExpenditureAsset Replacement and RenewalMedium pressure - Special crossingsnominal</t>
  </si>
  <si>
    <t>2013IDCapital ExpenditureAsset Replacement and RenewalMedium pressure - Stationsconstant</t>
  </si>
  <si>
    <t>2013IDCapital ExpenditureAsset Replacement and RenewalMedium pressure - Stationsnominal</t>
  </si>
  <si>
    <t>2013IDCapital ExpenditureAsset Replacement and RenewalMedium pressure - totalconstant</t>
  </si>
  <si>
    <t>2013IDCapital ExpenditureAsset Replacement and RenewalMedium pressure - totalnominal</t>
  </si>
  <si>
    <t>2013IDCapital ExpenditureAsset Replacement and RenewalOther network assets - Cathodic protection systemsconstant</t>
  </si>
  <si>
    <t>2013IDCapital ExpenditureAsset Replacement and RenewalOther network assets - Cathodic protection systemsnominal</t>
  </si>
  <si>
    <t>2013IDCapital ExpenditureAsset Replacement and RenewalOther network assets - Monitoring and control systemsconstant</t>
  </si>
  <si>
    <t>2013IDCapital ExpenditureAsset Replacement and RenewalOther network assets - Monitoring and control systemsnominal</t>
  </si>
  <si>
    <t>2013IDCapital ExpenditureAsset Replacement and RenewalOther network assets - Otherconstant</t>
  </si>
  <si>
    <t>2013IDCapital ExpenditureAsset Replacement and RenewalOther network assets - Othernominal</t>
  </si>
  <si>
    <t>2013IDCapital ExpenditureAsset Replacement and RenewalOther network assets - totalconstant</t>
  </si>
  <si>
    <t>2013IDCapital ExpenditureAsset Replacement and RenewalOther network assets - totalnominal</t>
  </si>
  <si>
    <t>2013IDCapital ExpenditureSystem GrowthCapital contributions funding system growthconstant</t>
  </si>
  <si>
    <t>2013IDCapital ExpenditureSystem GrowthCapital contributions funding system growthnominal</t>
  </si>
  <si>
    <t>2013IDCapital ExpenditureSystem GrowthIntermediate pressure - Line valveconstant</t>
  </si>
  <si>
    <t>2013IDCapital ExpenditureSystem GrowthIntermediate pressure - Line valvenominal</t>
  </si>
  <si>
    <t>2013IDCapital ExpenditureSystem GrowthIntermediate pressure - Main pipeconstant</t>
  </si>
  <si>
    <t>2013IDCapital ExpenditureSystem GrowthIntermediate pressure - Main pipenominal</t>
  </si>
  <si>
    <t>2013IDCapital ExpenditureSystem GrowthIntermediate pressure - Service pipeconstant</t>
  </si>
  <si>
    <t>2013IDCapital ExpenditureSystem GrowthIntermediate pressure - Service pipenominal</t>
  </si>
  <si>
    <t>2013IDCapital ExpenditureSystem GrowthIntermediate pressure - Special crossingsconstant</t>
  </si>
  <si>
    <t>2013IDCapital ExpenditureSystem GrowthIntermediate pressure - Special crossingsnominal</t>
  </si>
  <si>
    <t>2013IDCapital ExpenditureSystem GrowthIntermediate pressure - Stationsconstant</t>
  </si>
  <si>
    <t>2013IDCapital ExpenditureSystem GrowthIntermediate pressure - Stationsnominal</t>
  </si>
  <si>
    <t>2013IDCapital ExpenditureSystem GrowthIntermediate pressure -totalconstant</t>
  </si>
  <si>
    <t>2013IDCapital ExpenditureSystem GrowthIntermediate pressure -totalnominal</t>
  </si>
  <si>
    <t>2013IDCapital ExpenditureSystem GrowthLow pressure - Line valveconstant</t>
  </si>
  <si>
    <t>2013IDCapital ExpenditureSystem GrowthLow pressure - Line valvenominal</t>
  </si>
  <si>
    <t>2013IDCapital ExpenditureSystem GrowthLow pressure - Main pipeconstant</t>
  </si>
  <si>
    <t>2013IDCapital ExpenditureSystem GrowthLow pressure - Main pipenominal</t>
  </si>
  <si>
    <t>2013IDCapital ExpenditureSystem GrowthLow pressure - Service pipeconstant</t>
  </si>
  <si>
    <t>2013IDCapital ExpenditureSystem GrowthLow pressure - Service pipenominal</t>
  </si>
  <si>
    <t>2013IDCapital ExpenditureSystem GrowthLow pressure - Special crossingsconstant</t>
  </si>
  <si>
    <t>2013IDCapital ExpenditureSystem GrowthLow pressure - Special crossingsnominal</t>
  </si>
  <si>
    <t>2013IDCapital ExpenditureSystem GrowthLow pressure - totalconstant</t>
  </si>
  <si>
    <t>2013IDCapital ExpenditureSystem GrowthLow pressure - totalnominal</t>
  </si>
  <si>
    <t>2013IDCapital ExpenditureSystem GrowthMedium pressure - Line valveconstant</t>
  </si>
  <si>
    <t>2013IDCapital ExpenditureSystem GrowthMedium pressure - Line valvenominal</t>
  </si>
  <si>
    <t>2013IDCapital ExpenditureSystem GrowthMedium pressure - Main pipeconstant</t>
  </si>
  <si>
    <t>2013IDCapital ExpenditureSystem GrowthMedium pressure - Main pipenominal</t>
  </si>
  <si>
    <t>2013IDCapital ExpenditureSystem GrowthMedium pressure - Service pipeconstant</t>
  </si>
  <si>
    <t>2013IDCapital ExpenditureSystem GrowthMedium pressure - Service pipenominal</t>
  </si>
  <si>
    <t>2013IDCapital ExpenditureSystem GrowthMedium pressure - Special crossingsconstant</t>
  </si>
  <si>
    <t>2013IDCapital ExpenditureSystem GrowthMedium pressure - Special crossingsnominal</t>
  </si>
  <si>
    <t>2013IDCapital ExpenditureSystem GrowthMedium pressure - Stationsconstant</t>
  </si>
  <si>
    <t>2013IDCapital ExpenditureSystem GrowthMedium pressure - Stationsnominal</t>
  </si>
  <si>
    <t>2013IDCapital ExpenditureSystem GrowthMedium pressure - totalconstant</t>
  </si>
  <si>
    <t>2013IDCapital ExpenditureSystem GrowthMedium pressure - totalnominal</t>
  </si>
  <si>
    <t>2013IDCapital ExpenditureSystem GrowthOther network assets - Cathodic protection systemsconstant</t>
  </si>
  <si>
    <t>2013IDCapital ExpenditureSystem GrowthOther network assets - Cathodic protection systemsnominal</t>
  </si>
  <si>
    <t>2013IDCapital ExpenditureSystem GrowthOther network assets - Monitoring and control systemsconstant</t>
  </si>
  <si>
    <t>2013IDCapital ExpenditureSystem GrowthOther network assets - Monitoring and control systemsnominal</t>
  </si>
  <si>
    <t>2013IDCapital ExpenditureSystem GrowthOther network assets - Otherconstant</t>
  </si>
  <si>
    <t>2013IDCapital ExpenditureSystem GrowthOther network assets - Othernominal</t>
  </si>
  <si>
    <t>2013IDCapital ExpenditureSystem GrowthOther network assets - totalconstant</t>
  </si>
  <si>
    <t>2013IDCapital ExpenditureSystem GrowthOther network assets - totalnominal</t>
  </si>
  <si>
    <t>2013IDCapital ExpenditureSystem GrowthSystem growth expenditureconstant</t>
  </si>
  <si>
    <t>2013IDCapital ExpenditureSystem GrowthSystem growth expenditurenominal</t>
  </si>
  <si>
    <t>2013IDCapital ExpenditureSystem GrowthSystem growth less capital contributionsconstant</t>
  </si>
  <si>
    <t>2013IDCapital ExpenditureSystem GrowthSystem growth less capital contributionsnominal</t>
  </si>
  <si>
    <t>2013IDNetwork and DemandSystem lengthSystem lengthNA</t>
  </si>
  <si>
    <t>2013IDNetwork and DemandCustomer numbersNumber of ICPs at year endNA</t>
  </si>
  <si>
    <t>2013IDNetwork and DemandGas deliveredAverage daily deliveryNA</t>
  </si>
  <si>
    <t>2013IDNetwork and DemandGas deliveredLoad factorNA</t>
  </si>
  <si>
    <t>2013IDNetwork and DemandGas deliveredMaximum daily loadNA</t>
  </si>
  <si>
    <t>2013IDNetwork and DemandGas deliveredMaximum monthly amount of gas entering network (GJ/month)NA</t>
  </si>
  <si>
    <t>2013IDNetwork and DemandGas deliveredMaximum monthly loadNA</t>
  </si>
  <si>
    <t>2013IDNetwork and DemandGas deliveredNumber of directly billed ICPsNA</t>
  </si>
  <si>
    <t>2013IDNetwork and DemandGas deliveredTotal gas conveyedNA</t>
  </si>
  <si>
    <t>2013AMP2013Operating ExpenditureAsset replacement and renewalAsset replacement and renewalconstant</t>
  </si>
  <si>
    <t>2013AMP2013Operating ExpenditureAsset replacement and renewalAsset replacement and renewalnominal</t>
  </si>
  <si>
    <t>2013AMP2013Operating ExpenditureBusiness supportBusiness supportconstant</t>
  </si>
  <si>
    <t>2013AMP2013Operating ExpenditureBusiness supportBusiness supportnominal</t>
  </si>
  <si>
    <t>2013AMP2013Operating ExpenditureExpenditure on subcomponentsInsuranceconstant</t>
  </si>
  <si>
    <t>2013AMP2013Operating ExpenditureExpenditure on subcomponentsResearch and developmentconstant</t>
  </si>
  <si>
    <t>2013AMP2013Operating ExpenditureNetwork opexNetwork opexconstant</t>
  </si>
  <si>
    <t>2013AMP2013Operating ExpenditureNetwork opexNetwork opexnominal</t>
  </si>
  <si>
    <t>2013AMP2013Operating ExpenditureNon-network opexNon-network opexconstant</t>
  </si>
  <si>
    <t>2013AMP2013Operating ExpenditureNon-network opexNon-network opexnominal</t>
  </si>
  <si>
    <t>2013AMP2013Operating ExpenditureResearch and developmentResearch and developmentconstant</t>
  </si>
  <si>
    <t>2013AMP2013Operating ExpenditureRoutine and corrective maintenance and inspectionRoutine and corrective maintenance and inspectionconstant</t>
  </si>
  <si>
    <t>2013AMP2013Operating ExpenditureRoutine and corrective maintenance and inspectionRoutine and corrective maintenance and inspectionnominal</t>
  </si>
  <si>
    <t>2013AMP2013Operating ExpenditureService interruptions, incidents and emergenciesService interruptions, incidents and emergenciesconstant</t>
  </si>
  <si>
    <t>2013AMP2013Operating ExpenditureService interruptions, incidents and emergenciesService interruptions, incidents and emergenciesnominal</t>
  </si>
  <si>
    <t>2013AMP2013Operating ExpenditureSystem operations and network supportSystem operations and network supportconstant</t>
  </si>
  <si>
    <t>2013AMP2013Operating ExpenditureSystem operations and network supportSystem operations and network supportnominal</t>
  </si>
  <si>
    <t>2013AMP2013Operating ExpenditureTotal opexOperational expenditureconstant</t>
  </si>
  <si>
    <t>2013AMP2013Operating ExpenditureTotal opexOperational expenditurenominal</t>
  </si>
  <si>
    <t>2013IDOperating ExpenditureAsset replacement and renewalAsset replacement and renewalconstant</t>
  </si>
  <si>
    <t>2013IDOperating ExpenditureAsset replacement and renewalAsset replacement and renewalnominal</t>
  </si>
  <si>
    <t>2013IDOperating ExpenditureBusiness supportBusiness supportconstant</t>
  </si>
  <si>
    <t>2013IDOperating ExpenditureBusiness supportBusiness supportnominal</t>
  </si>
  <si>
    <t>2013IDOperating ExpenditureNetwork opexNetwork opexconstant</t>
  </si>
  <si>
    <t>2013IDOperating ExpenditureNetwork opexNetwork opexnominal</t>
  </si>
  <si>
    <t>2013IDOperating ExpenditureNon-network opexNon-network opexconstant</t>
  </si>
  <si>
    <t>2013IDOperating ExpenditureNon-network opexNon-network opexnominal</t>
  </si>
  <si>
    <t>2013IDOperating ExpenditureRoutine and corrective maintenance and inspectionRoutine and corrective maintenance and inspectionconstant</t>
  </si>
  <si>
    <t>2013IDOperating ExpenditureRoutine and corrective maintenance and inspectionRoutine and corrective maintenance and inspectionnominal</t>
  </si>
  <si>
    <t>2013IDOperating ExpenditureService interruptions, incidents and emergenciesService interruptions, incidents and emergenciesconstant</t>
  </si>
  <si>
    <t>2013IDOperating ExpenditureService interruptions, incidents and emergenciesService interruptions, incidents and emergenciesnominal</t>
  </si>
  <si>
    <t>2013IDOperating ExpenditureSystem operations and network supportSystem operations and network supportconstant</t>
  </si>
  <si>
    <t>2013IDOperating ExpenditureSystem operations and network supportSystem operations and network supportnominal</t>
  </si>
  <si>
    <t>2013IDOperating ExpenditureTotal opexOperational expenditureconstant</t>
  </si>
  <si>
    <t>2013IDOperating ExpenditureTotal opexOperational expenditurenominal</t>
  </si>
  <si>
    <t>2013IDOther dataRelated party transactionsCapital expenditureconstant</t>
  </si>
  <si>
    <t>2013IDOther dataRelated party transactionsCapital expenditurenominal</t>
  </si>
  <si>
    <t>2013IDOther dataRelated party transactionsMarket value of asset disposalsconstant</t>
  </si>
  <si>
    <t>2013IDOther dataRelated party transactionsMarket value of asset disposalsnominal</t>
  </si>
  <si>
    <t>2013IDOther dataRelated party transactionsOperational expenditureconstant</t>
  </si>
  <si>
    <t>2013IDOther dataRelated party transactionsOperational expenditurenominal</t>
  </si>
  <si>
    <t>2013IDOther dataRelated party transactionsOther related party transactionsconstant</t>
  </si>
  <si>
    <t>2013IDOther dataRelated party transactionsOther related party transactionsnominal</t>
  </si>
  <si>
    <t>2013IDOther dataRelated party transactionsTotal regulatory incomeconstant</t>
  </si>
  <si>
    <t>2013IDOther dataRelated party transactionsTotal regulatory incomenominal</t>
  </si>
  <si>
    <t>2013IDRAB valueTotal closing RAB valueIntermediate pressure main pipelinesconstant</t>
  </si>
  <si>
    <t>2013IDRAB valueTotal closing RAB valueLine valveconstant</t>
  </si>
  <si>
    <t>2013IDRAB valueTotal closing RAB valueLow pressure main pipelinesconstant</t>
  </si>
  <si>
    <t>2013IDRAB valueTotal closing RAB valueMedium pressure main pipelinesconstant</t>
  </si>
  <si>
    <t>2013IDRAB valueTotal closing RAB valueOther network assetsconstant</t>
  </si>
  <si>
    <t>2013IDRAB valueTotal closing RAB valueService pipeconstant</t>
  </si>
  <si>
    <t>2013IDRAB valueTotal closing RAB valueSpecial crossingsconstant</t>
  </si>
  <si>
    <t>2013IDRAB valueTotal closing RAB valueStationsconstant</t>
  </si>
  <si>
    <t>2013IDRAB valueTotal closing RAB valueTotalconstant</t>
  </si>
  <si>
    <t>2013IDReliabilityInterruption rateInterruptions per 100 circuit kmNA</t>
  </si>
  <si>
    <t>2013IDReliabilityInterruptionsClass BNA</t>
  </si>
  <si>
    <t>2013IDReliabilityInterruptionsClass CNA</t>
  </si>
  <si>
    <t>2013IDReliabilityCAIDIAll interruptionsNA</t>
  </si>
  <si>
    <t>2013IDReliabilityCAIDIClass INA</t>
  </si>
  <si>
    <t>2013IDReliabilitySAIDIAll interruptionsNA</t>
  </si>
  <si>
    <t>2013IDReliabilitySAIDIClass INA</t>
  </si>
  <si>
    <t>2013IDReliabilitySAIFIAll interruptionsNA</t>
  </si>
  <si>
    <t>2013IDReliabilitySAIFIClass INA</t>
  </si>
  <si>
    <t>2013IDRevenue and ProfitabilityReturn on investmentReturn on Investment (post tax)NA</t>
  </si>
  <si>
    <t>2013IDRevenue and ProfitabilityReturn on investmentReturn on Investment (vanilla)NA</t>
  </si>
  <si>
    <t>2013IDRevenue and ProfitabilityExpensesOperational expenditureconstant</t>
  </si>
  <si>
    <t>2013IDRevenue and ProfitabilityExpensesOperational expenditurenominal</t>
  </si>
  <si>
    <t>2013IDRevenue and ProfitabilityExpensesPass-through and recoverable costsconstant</t>
  </si>
  <si>
    <t>2013IDRevenue and ProfitabilityExpensesPass-through and recoverable costsnominal</t>
  </si>
  <si>
    <t>2013IDRevenue and ProfitabilityOperating surplus / (deficit)Operating surplus / (deficit)constant</t>
  </si>
  <si>
    <t>2013IDRevenue and ProfitabilityOperating surplus / (deficit)Operating surplus / (deficit)nominal</t>
  </si>
  <si>
    <t>2013IDRevenue and ProfitabilityRegulatory profit / (loss)Regulatory profit / (loss)constant</t>
  </si>
  <si>
    <t>2013IDRevenue and ProfitabilityRegulatory profit / (loss)Regulatory profit / (loss)nominal</t>
  </si>
  <si>
    <t>2013IDRevenue and ProfitabilityRegulatory profit / (loss) before taxRegulatory profit / (loss) before taxconstant</t>
  </si>
  <si>
    <t>2013IDRevenue and ProfitabilityRegulatory profit / (loss) before taxRegulatory profit / (loss) before taxnominal</t>
  </si>
  <si>
    <t>2013IDRevenue and ProfitabilityTaxRegulatory tax allowanceconstant</t>
  </si>
  <si>
    <t>2013IDRevenue and ProfitabilityTaxRegulatory tax allowancenominal</t>
  </si>
  <si>
    <t>2013IDRevenue and ProfitabilityTerm credit spread differentialTerm credit spread differential allowanceconstant</t>
  </si>
  <si>
    <t>2013IDRevenue and ProfitabilityTerm credit spread differentialTerm credit spread differential allowancenominal</t>
  </si>
  <si>
    <t>2013IDRevenue and ProfitabilityTotal regulatory incomeGains / (losses) on asset disposalsconstant</t>
  </si>
  <si>
    <t>2013IDRevenue and ProfitabilityTotal regulatory incomeGains / (losses) on asset disposalsnominal</t>
  </si>
  <si>
    <t>2013IDRevenue and ProfitabilityTotal regulatory incomeLine charge revenueconstant</t>
  </si>
  <si>
    <t>2013IDRevenue and ProfitabilityTotal regulatory incomeLine charge revenuenominal</t>
  </si>
  <si>
    <t>2013IDRevenue and ProfitabilityTotal regulatory incomeOther regulatory incomeconstant</t>
  </si>
  <si>
    <t>2013IDRevenue and ProfitabilityTotal regulatory incomeOther regulatory incomenominal</t>
  </si>
  <si>
    <t>2013IDRevenue and ProfitabilityTotal regulatory incomeTotal regulatory incomeconstant</t>
  </si>
  <si>
    <t>2013IDRevenue and ProfitabilityTotal regulatory incomeTotal regulatory incomenominal</t>
  </si>
  <si>
    <t>2014AMP2014Capital ExpenditureAll assetsExpenditure on assetsconstant</t>
  </si>
  <si>
    <t>2014AMP2013Capital ExpenditureAll assetsExpenditure on assetsconstant</t>
  </si>
  <si>
    <t>2014AMP2013Capital ExpenditureAll assetsExpenditure on assetsnominal</t>
  </si>
  <si>
    <t>2014AMP2014Capital ExpenditureAll assetsExpenditure on assetsnominal</t>
  </si>
  <si>
    <t>2014AMP2014Capital ExpenditureAsset relocationsAsset relocationsconstant</t>
  </si>
  <si>
    <t>2014AMP2013Capital ExpenditureAsset relocationsAsset relocationsconstant</t>
  </si>
  <si>
    <t>2014AMP2013Capital ExpenditureAsset relocationsAsset relocationsnominal</t>
  </si>
  <si>
    <t>2014AMP2014Capital ExpenditureAsset relocationsAsset relocationsnominal</t>
  </si>
  <si>
    <t>2014AMP2013Capital ExpenditureAsset replacement and renewalAsset replacement and renewalconstant</t>
  </si>
  <si>
    <t>2014AMP2014Capital ExpenditureAsset replacement and renewalAsset replacement and renewalconstant</t>
  </si>
  <si>
    <t>2014AMP2014Capital ExpenditureAsset replacement and renewalAsset replacement and renewalnominal</t>
  </si>
  <si>
    <t>2014AMP2013Capital ExpenditureAsset replacement and renewalAsset replacement and renewalnominal</t>
  </si>
  <si>
    <t>2014AMP2013Capital ExpenditureCapital expenditure forecastCapital expenditure forecastnominal</t>
  </si>
  <si>
    <t>2014AMP2014Capital ExpenditureCapital expenditure forecastCapital expenditure forecastnominal</t>
  </si>
  <si>
    <t>2014AMP2014Capital ExpenditureConsumer connectionConsumer connectionconstant</t>
  </si>
  <si>
    <t>2014AMP2013Capital ExpenditureConsumer connectionConsumer connectionconstant</t>
  </si>
  <si>
    <t>2014AMP2014Capital ExpenditureConsumer connectionConsumer connectionnominal</t>
  </si>
  <si>
    <t>2014AMP2013Capital ExpenditureConsumer connectionConsumer connectionnominal</t>
  </si>
  <si>
    <t>2014AMP2014Capital ExpenditureCost of financingCost of financingnominal</t>
  </si>
  <si>
    <t>2014AMP2013Capital ExpenditureCost of financingCost of financingnominal</t>
  </si>
  <si>
    <t>2014AMP2013Capital ExpenditureExpenditure on subcomponentsResearch and developmentconstant</t>
  </si>
  <si>
    <t>2014AMP2014Capital ExpenditureExpenditure on subcomponentsResearch and developmentconstant</t>
  </si>
  <si>
    <t>2014AMP2014Capital ExpenditureNetwork assetsExpenditure on network assetsconstant</t>
  </si>
  <si>
    <t>2014AMP2013Capital ExpenditureNetwork assetsExpenditure on network assetsconstant</t>
  </si>
  <si>
    <t>2014AMP2014Capital ExpenditureNetwork assetsExpenditure on network assetsnominal</t>
  </si>
  <si>
    <t>2014AMP2013Capital ExpenditureNetwork assetsExpenditure on network assetsnominal</t>
  </si>
  <si>
    <t>2014AMP2013Capital ExpenditureNon-network assetsNon-network assetsconstant</t>
  </si>
  <si>
    <t>2014AMP2014Capital ExpenditureNon-network assetsNon-network assetsconstant</t>
  </si>
  <si>
    <t>2014AMP2014Capital ExpenditureNon-network assetsNon-network assetsnominal</t>
  </si>
  <si>
    <t>2014AMP2013Capital ExpenditureNon-network assetsNon-network assetsnominal</t>
  </si>
  <si>
    <t>2014AMP2013Capital ExpenditureReliability, safety and environmentLegislative and regulatoryconstant</t>
  </si>
  <si>
    <t>2014AMP2014Capital ExpenditureReliability, safety and environmentLegislative and regulatoryconstant</t>
  </si>
  <si>
    <t>2014AMP2013Capital ExpenditureReliability, safety and environmentLegislative and regulatorynominal</t>
  </si>
  <si>
    <t>2014AMP2014Capital ExpenditureReliability, safety and environmentLegislative and regulatorynominal</t>
  </si>
  <si>
    <t>2014AMP2014Capital ExpenditureReliability, safety and environmentOther reliability, safety and environmentconstant</t>
  </si>
  <si>
    <t>2014AMP2013Capital ExpenditureReliability, safety and environmentOther reliability, safety and environmentconstant</t>
  </si>
  <si>
    <t>2014AMP2014Capital ExpenditureReliability, safety and environmentOther reliability, safety and environmentnominal</t>
  </si>
  <si>
    <t>2014AMP2013Capital ExpenditureReliability, safety and environmentOther reliability, safety and environmentnominal</t>
  </si>
  <si>
    <t>2014AMP2013Capital ExpenditureReliability, safety and environmentQuality of supplyconstant</t>
  </si>
  <si>
    <t>2014AMP2014Capital ExpenditureReliability, safety and environmentQuality of supplyconstant</t>
  </si>
  <si>
    <t>2014AMP2014Capital ExpenditureReliability, safety and environmentQuality of supplynominal</t>
  </si>
  <si>
    <t>2014AMP2013Capital ExpenditureReliability, safety and environmentQuality of supplynominal</t>
  </si>
  <si>
    <t>2014AMP2013Capital ExpenditureReliability, safety and environmentTotal reliability, safety and environmentconstant</t>
  </si>
  <si>
    <t>2014AMP2014Capital ExpenditureReliability, safety and environmentTotal reliability, safety and environmentconstant</t>
  </si>
  <si>
    <t>2014AMP2013Capital ExpenditureReliability, safety and environmentTotal reliability, safety and environmentnominal</t>
  </si>
  <si>
    <t>2014AMP2014Capital ExpenditureReliability, safety and environmentTotal reliability, safety and environmentnominal</t>
  </si>
  <si>
    <t>2014AMP2013Capital ExpenditureSystem growthSystem growthconstant</t>
  </si>
  <si>
    <t>2014AMP2014Capital ExpenditureSystem growthSystem growthconstant</t>
  </si>
  <si>
    <t>2014AMP2013Capital ExpenditureSystem growthSystem growthnominal</t>
  </si>
  <si>
    <t>2014AMP2014Capital ExpenditureSystem growthSystem growthnominal</t>
  </si>
  <si>
    <t>2014AMP2013Capital ExpenditureValue of capital contributionsValue of capital contributionsnominal</t>
  </si>
  <si>
    <t>2014AMP2014Capital ExpenditureValue of capital contributionsValue of capital contributionsnominal</t>
  </si>
  <si>
    <t>2014AMP2014Capital ExpenditureValue of commissioned assetsValue of commissioned assetsnominal</t>
  </si>
  <si>
    <t>2014AMP2013Capital ExpenditureValue of commissioned assetsValue of commissioned assetsnominal</t>
  </si>
  <si>
    <t>2014AMP2013Capital ExpenditureValue of vested assetsValue of vested assetsnominal</t>
  </si>
  <si>
    <t>2014AMP2014Capital ExpenditureValue of vested assetsValue of vested assetsnominal</t>
  </si>
  <si>
    <t>2014AMP2014Capital ExpenditureAsset replacement and renewalAsset replacement and renewal expenditure - Asset replacement and renewal expenditureconstant</t>
  </si>
  <si>
    <t>2014AMP2013Capital ExpenditureAsset replacement and renewalAsset replacement and renewal expenditure - Asset replacement and renewal expenditureconstant</t>
  </si>
  <si>
    <t>2014AMP2014Capital ExpenditureAsset replacement and renewalAsset replacement and renewal expenditure - Capital contributions funding asset replacement and renewalconstant</t>
  </si>
  <si>
    <t>2014AMP2013Capital ExpenditureAsset replacement and renewalAsset replacement and renewal expenditure - Capital contributions funding asset replacement and renewalconstant</t>
  </si>
  <si>
    <t>2014AMP2013Capital ExpenditureAsset replacement and renewalAsset replacement and renewal less capital contributions - Asset replacement and renewal less capital contributionsconstant</t>
  </si>
  <si>
    <t>2014AMP2014Capital ExpenditureAsset replacement and renewalAsset replacement and renewal less capital contributions - Asset replacement and renewal less capital contributionsconstant</t>
  </si>
  <si>
    <t>2014AMP2014Capital ExpenditureAsset replacement and renewalIntermediate pressure - Intermediate Pressure totalconstant</t>
  </si>
  <si>
    <t>2014AMP2013Capital ExpenditureAsset replacement and renewalIntermediate pressure - Intermediate Pressure totalconstant</t>
  </si>
  <si>
    <t>2014AMP2014Capital ExpenditureAsset replacement and renewalIntermediate pressure - Line valveconstant</t>
  </si>
  <si>
    <t>2014AMP2013Capital ExpenditureAsset replacement and renewalIntermediate pressure - Line valveconstant</t>
  </si>
  <si>
    <t>2014AMP2013Capital ExpenditureAsset replacement and renewalIntermediate pressure - Main pipeconstant</t>
  </si>
  <si>
    <t>2014AMP2014Capital ExpenditureAsset replacement and renewalIntermediate pressure - Main pipeconstant</t>
  </si>
  <si>
    <t>2014AMP2014Capital ExpenditureAsset replacement and renewalIntermediate pressure - Service pipeconstant</t>
  </si>
  <si>
    <t>2014AMP2013Capital ExpenditureAsset replacement and renewalIntermediate pressure - Service pipeconstant</t>
  </si>
  <si>
    <t>2014AMP2014Capital ExpenditureAsset replacement and renewalIntermediate pressure - Special crossingsconstant</t>
  </si>
  <si>
    <t>2014AMP2013Capital ExpenditureAsset replacement and renewalIntermediate pressure - Special crossingsconstant</t>
  </si>
  <si>
    <t>2014AMP2014Capital ExpenditureAsset replacement and renewalIntermediate pressure - Stationsconstant</t>
  </si>
  <si>
    <t>2014AMP2013Capital ExpenditureAsset replacement and renewalIntermediate pressure - Stationsconstant</t>
  </si>
  <si>
    <t>2014AMP2014Capital ExpenditureAsset replacement and renewalLow Pressure - Line valveconstant</t>
  </si>
  <si>
    <t>2014AMP2013Capital ExpenditureAsset replacement and renewalLow Pressure - Line valveconstant</t>
  </si>
  <si>
    <t>2014AMP2013Capital ExpenditureAsset replacement and renewalLow Pressure - Low Pressure totalconstant</t>
  </si>
  <si>
    <t>2014AMP2014Capital ExpenditureAsset replacement and renewalLow Pressure - Low Pressure totalconstant</t>
  </si>
  <si>
    <t>2014AMP2013Capital ExpenditureAsset replacement and renewalLow Pressure - Main pipeconstant</t>
  </si>
  <si>
    <t>2014AMP2014Capital ExpenditureAsset replacement and renewalLow Pressure - Main pipeconstant</t>
  </si>
  <si>
    <t>2014AMP2014Capital ExpenditureAsset replacement and renewalLow Pressure - Service pipeconstant</t>
  </si>
  <si>
    <t>2014AMP2013Capital ExpenditureAsset replacement and renewalLow Pressure - Service pipeconstant</t>
  </si>
  <si>
    <t>2014AMP2014Capital ExpenditureAsset replacement and renewalLow Pressure - Special crossingsconstant</t>
  </si>
  <si>
    <t>2014AMP2013Capital ExpenditureAsset replacement and renewalLow Pressure - Special crossingsconstant</t>
  </si>
  <si>
    <t>2014AMP2013Capital ExpenditureAsset replacement and renewalMedium pressure - Line valveconstant</t>
  </si>
  <si>
    <t>2014AMP2014Capital ExpenditureAsset replacement and renewalMedium pressure - Line valveconstant</t>
  </si>
  <si>
    <t>2014AMP2013Capital ExpenditureAsset replacement and renewalMedium pressure - Main pipeconstant</t>
  </si>
  <si>
    <t>2014AMP2014Capital ExpenditureAsset replacement and renewalMedium pressure - Main pipeconstant</t>
  </si>
  <si>
    <t>2014AMP2013Capital ExpenditureAsset replacement and renewalMedium pressure - Medium Pressure totalconstant</t>
  </si>
  <si>
    <t>2014AMP2014Capital ExpenditureAsset replacement and renewalMedium pressure - Medium Pressure totalconstant</t>
  </si>
  <si>
    <t>2014AMP2014Capital ExpenditureAsset replacement and renewalMedium pressure - Service pipeconstant</t>
  </si>
  <si>
    <t>2014AMP2013Capital ExpenditureAsset replacement and renewalMedium pressure - Service pipeconstant</t>
  </si>
  <si>
    <t>2014AMP2014Capital ExpenditureAsset replacement and renewalMedium pressure - Special crossingsconstant</t>
  </si>
  <si>
    <t>2014AMP2013Capital ExpenditureAsset replacement and renewalMedium pressure - Special crossingsconstant</t>
  </si>
  <si>
    <t>2014AMP2013Capital ExpenditureAsset replacement and renewalMedium pressure - Stationconstant</t>
  </si>
  <si>
    <t>2014AMP2014Capital ExpenditureAsset replacement and renewalMedium pressure - Stationconstant</t>
  </si>
  <si>
    <t>2014AMP2013Capital ExpenditureAsset replacement and renewalOther assets - Cathodic protection systemsconstant</t>
  </si>
  <si>
    <t>2014AMP2014Capital ExpenditureAsset replacement and renewalOther assets - Cathodic protection systemsconstant</t>
  </si>
  <si>
    <t>2014AMP2014Capital ExpenditureAsset replacement and renewalOther assets - Monitoring and control systemsconstant</t>
  </si>
  <si>
    <t>2014AMP2013Capital ExpenditureAsset replacement and renewalOther assets - Monitoring and control systemsconstant</t>
  </si>
  <si>
    <t>2014AMP2014Capital ExpenditureAsset replacement and renewalOther assets - Other assets (other than above)constant</t>
  </si>
  <si>
    <t>2014AMP2013Capital ExpenditureAsset replacement and renewalOther assets - Other assets (other than above)constant</t>
  </si>
  <si>
    <t>2014AMP2014Capital ExpenditureAsset replacement and renewalOther assets - Other totalconstant</t>
  </si>
  <si>
    <t>2014AMP2013Capital ExpenditureAsset replacement and renewalOther assets - Other totalconstant</t>
  </si>
  <si>
    <t>2014IDCapital ExpenditureAll assetsExpenditure on assetsconstant</t>
  </si>
  <si>
    <t>2014IDCapital ExpenditureAll assetsExpenditure on assetsnominal</t>
  </si>
  <si>
    <t>2014IDCapital ExpenditureAsset relocationsAsset relocationsconstant</t>
  </si>
  <si>
    <t>2014IDCapital ExpenditureAsset relocationsAsset relocationsnominal</t>
  </si>
  <si>
    <t>2014IDCapital ExpenditureAsset replacement and renewalAsset replacement and renewalconstant</t>
  </si>
  <si>
    <t>2014IDCapital ExpenditureAsset replacement and renewalAsset replacement and renewalnominal</t>
  </si>
  <si>
    <t>2014IDCapital ExpenditureCapital expenditureCapital expenditureconstant</t>
  </si>
  <si>
    <t>2014IDCapital ExpenditureCapital expenditureCapital expenditurenominal</t>
  </si>
  <si>
    <t>2014IDCapital ExpenditureConsumer connectionConsumer connectionconstant</t>
  </si>
  <si>
    <t>2014IDCapital ExpenditureConsumer connectionConsumer connectionnominal</t>
  </si>
  <si>
    <t>2014IDCapital ExpenditureCost of financingCost of financingconstant</t>
  </si>
  <si>
    <t>2014IDCapital ExpenditureCost of financingCost of financingnominal</t>
  </si>
  <si>
    <t>2014IDCapital ExpenditureNetwork assetsExpenditure on network assetsconstant</t>
  </si>
  <si>
    <t>2014IDCapital ExpenditureNetwork assetsExpenditure on network assetsnominal</t>
  </si>
  <si>
    <t>2014IDCapital ExpenditureNon-network assetsNon-network assetsconstant</t>
  </si>
  <si>
    <t>2014IDCapital ExpenditureNon-network assetsNon-network assetsnominal</t>
  </si>
  <si>
    <t>2014IDCapital ExpenditureReliability, safety and environmentLegislative and regulatoryconstant</t>
  </si>
  <si>
    <t>2014IDCapital ExpenditureReliability, safety and environmentLegislative and regulatorynominal</t>
  </si>
  <si>
    <t>2014IDCapital ExpenditureReliability, safety and environmentOther reliability, safety and environmentconstant</t>
  </si>
  <si>
    <t>2014IDCapital ExpenditureReliability, safety and environmentOther reliability, safety and environmentnominal</t>
  </si>
  <si>
    <t>2014IDCapital ExpenditureReliability, safety and environmentQuality of supplyconstant</t>
  </si>
  <si>
    <t>2014IDCapital ExpenditureReliability, safety and environmentQuality of supplynominal</t>
  </si>
  <si>
    <t>2014IDCapital ExpenditureReliability, safety and environmentTotal reliability, safety and environmentconstant</t>
  </si>
  <si>
    <t>2014IDCapital ExpenditureReliability, safety and environmentTotal reliability, safety and environmentnominal</t>
  </si>
  <si>
    <t>2014IDCapital ExpenditureSystem growthSystem growthconstant</t>
  </si>
  <si>
    <t>2014IDCapital ExpenditureSystem growthSystem growthnominal</t>
  </si>
  <si>
    <t>2014IDCapital ExpenditureValue of capital contributionsValue of capital contributionsconstant</t>
  </si>
  <si>
    <t>2014IDCapital ExpenditureValue of capital contributionsValue of capital contributionsnominal</t>
  </si>
  <si>
    <t>2014IDCapital ExpenditureValue of vested assetsValue of vested assetsconstant</t>
  </si>
  <si>
    <t>2014IDCapital ExpenditureValue of vested assetsValue of vested assetsnominal</t>
  </si>
  <si>
    <t>2014IDCapital ExpenditureAsset Replacement and RenewalAsset replacement and renewal expenditureconstant</t>
  </si>
  <si>
    <t>2014IDCapital ExpenditureAsset Replacement and RenewalAsset replacement and renewal expenditurenominal</t>
  </si>
  <si>
    <t>2014IDCapital ExpenditureAsset Replacement and RenewalAsset replacement and renewal less capital contributionsconstant</t>
  </si>
  <si>
    <t>2014IDCapital ExpenditureAsset Replacement and RenewalAsset replacement and renewal less capital contributionsnominal</t>
  </si>
  <si>
    <t>2014IDCapital ExpenditureAsset Replacement and RenewalCapital contributions funding asset replacement and renewalconstant</t>
  </si>
  <si>
    <t>2014IDCapital ExpenditureAsset Replacement and RenewalCapital contributions funding asset replacement and renewalnominal</t>
  </si>
  <si>
    <t>2014IDCapital ExpenditureAsset Replacement and RenewalIntermediate pressure - Line valveconstant</t>
  </si>
  <si>
    <t>2014IDCapital ExpenditureAsset Replacement and RenewalIntermediate pressure - Line valvenominal</t>
  </si>
  <si>
    <t>2014IDCapital ExpenditureAsset Replacement and RenewalIntermediate pressure - Main pipeconstant</t>
  </si>
  <si>
    <t>2014IDCapital ExpenditureAsset Replacement and RenewalIntermediate pressure - Main pipenominal</t>
  </si>
  <si>
    <t>2014IDCapital ExpenditureAsset Replacement and RenewalIntermediate pressure - Service pipeconstant</t>
  </si>
  <si>
    <t>2014IDCapital ExpenditureAsset Replacement and RenewalIntermediate pressure - Service pipenominal</t>
  </si>
  <si>
    <t>2014IDCapital ExpenditureAsset Replacement and RenewalIntermediate pressure - Special crossingsconstant</t>
  </si>
  <si>
    <t>2014IDCapital ExpenditureAsset Replacement and RenewalIntermediate pressure - Special crossingsnominal</t>
  </si>
  <si>
    <t>2014IDCapital ExpenditureAsset Replacement and RenewalIntermediate pressure - Stationsconstant</t>
  </si>
  <si>
    <t>2014IDCapital ExpenditureAsset Replacement and RenewalIntermediate pressure - Stationsnominal</t>
  </si>
  <si>
    <t>2014IDCapital ExpenditureAsset Replacement and RenewalIntermediate pressure -totalconstant</t>
  </si>
  <si>
    <t>2014IDCapital ExpenditureAsset Replacement and RenewalIntermediate pressure -totalnominal</t>
  </si>
  <si>
    <t>2014IDCapital ExpenditureAsset Replacement and RenewalLow pressure - Line valveconstant</t>
  </si>
  <si>
    <t>2014IDCapital ExpenditureAsset Replacement and RenewalLow pressure - Line valvenominal</t>
  </si>
  <si>
    <t>2014IDCapital ExpenditureAsset Replacement and RenewalLow pressure - Main pipeconstant</t>
  </si>
  <si>
    <t>2014IDCapital ExpenditureAsset Replacement and RenewalLow pressure - Main pipenominal</t>
  </si>
  <si>
    <t>2014IDCapital ExpenditureAsset Replacement and RenewalLow pressure - Service pipeconstant</t>
  </si>
  <si>
    <t>2014IDCapital ExpenditureAsset Replacement and RenewalLow pressure - Service pipenominal</t>
  </si>
  <si>
    <t>2014IDCapital ExpenditureAsset Replacement and RenewalLow pressure - Special crossingsconstant</t>
  </si>
  <si>
    <t>2014IDCapital ExpenditureAsset Replacement and RenewalLow pressure - Special crossingsnominal</t>
  </si>
  <si>
    <t>2014IDCapital ExpenditureAsset Replacement and RenewalLow pressure - totalconstant</t>
  </si>
  <si>
    <t>2014IDCapital ExpenditureAsset Replacement and RenewalLow pressure - totalnominal</t>
  </si>
  <si>
    <t>2014IDCapital ExpenditureAsset Replacement and RenewalMedium pressure - Line valveconstant</t>
  </si>
  <si>
    <t>2014IDCapital ExpenditureAsset Replacement and RenewalMedium pressure - Line valvenominal</t>
  </si>
  <si>
    <t>2014IDCapital ExpenditureAsset Replacement and RenewalMedium pressure - Main pipeconstant</t>
  </si>
  <si>
    <t>2014IDCapital ExpenditureAsset Replacement and RenewalMedium pressure - Main pipenominal</t>
  </si>
  <si>
    <t>2014IDCapital ExpenditureAsset Replacement and RenewalMedium pressure - Service pipeconstant</t>
  </si>
  <si>
    <t>2014IDCapital ExpenditureAsset Replacement and RenewalMedium pressure - Service pipenominal</t>
  </si>
  <si>
    <t>2014IDCapital ExpenditureAsset Replacement and RenewalMedium pressure - Special crossingsconstant</t>
  </si>
  <si>
    <t>2014IDCapital ExpenditureAsset Replacement and RenewalMedium pressure - Special crossingsnominal</t>
  </si>
  <si>
    <t>2014IDCapital ExpenditureAsset Replacement and RenewalMedium pressure - Stationsconstant</t>
  </si>
  <si>
    <t>2014IDCapital ExpenditureAsset Replacement and RenewalMedium pressure - Stationsnominal</t>
  </si>
  <si>
    <t>2014IDCapital ExpenditureAsset Replacement and RenewalMedium pressure - totalconstant</t>
  </si>
  <si>
    <t>2014IDCapital ExpenditureAsset Replacement and RenewalMedium pressure - totalnominal</t>
  </si>
  <si>
    <t>2014IDCapital ExpenditureAsset Replacement and RenewalOther network assets - Cathodic protection systemsconstant</t>
  </si>
  <si>
    <t>2014IDCapital ExpenditureAsset Replacement and RenewalOther network assets - Cathodic protection systemsnominal</t>
  </si>
  <si>
    <t>2014IDCapital ExpenditureAsset Replacement and RenewalOther network assets - Monitoring and control systemsconstant</t>
  </si>
  <si>
    <t>2014IDCapital ExpenditureAsset Replacement and RenewalOther network assets - Monitoring and control systemsnominal</t>
  </si>
  <si>
    <t>2014IDCapital ExpenditureAsset Replacement and RenewalOther network assets - Otherconstant</t>
  </si>
  <si>
    <t>2014IDCapital ExpenditureAsset Replacement and RenewalOther network assets - Othernominal</t>
  </si>
  <si>
    <t>2014IDCapital ExpenditureAsset Replacement and RenewalOther network assets - totalconstant</t>
  </si>
  <si>
    <t>2014IDCapital ExpenditureAsset Replacement and RenewalOther network assets - totalnominal</t>
  </si>
  <si>
    <t>2014IDCapital ExpenditureSystem GrowthCapital contributions funding system growthconstant</t>
  </si>
  <si>
    <t>2014IDCapital ExpenditureSystem GrowthCapital contributions funding system growthnominal</t>
  </si>
  <si>
    <t>2014IDCapital ExpenditureSystem GrowthIntermediate pressure - Line valveconstant</t>
  </si>
  <si>
    <t>2014IDCapital ExpenditureSystem GrowthIntermediate pressure - Line valvenominal</t>
  </si>
  <si>
    <t>2014IDCapital ExpenditureSystem GrowthIntermediate pressure - Main pipeconstant</t>
  </si>
  <si>
    <t>2014IDCapital ExpenditureSystem GrowthIntermediate pressure - Main pipenominal</t>
  </si>
  <si>
    <t>2014IDCapital ExpenditureSystem GrowthIntermediate pressure - Service pipeconstant</t>
  </si>
  <si>
    <t>2014IDCapital ExpenditureSystem GrowthIntermediate pressure - Service pipenominal</t>
  </si>
  <si>
    <t>2014IDCapital ExpenditureSystem GrowthIntermediate pressure - Special crossingsconstant</t>
  </si>
  <si>
    <t>2014IDCapital ExpenditureSystem GrowthIntermediate pressure - Special crossingsnominal</t>
  </si>
  <si>
    <t>2014IDCapital ExpenditureSystem GrowthIntermediate pressure - Stationsconstant</t>
  </si>
  <si>
    <t>2014IDCapital ExpenditureSystem GrowthIntermediate pressure - Stationsnominal</t>
  </si>
  <si>
    <t>2014IDCapital ExpenditureSystem GrowthIntermediate pressure -totalconstant</t>
  </si>
  <si>
    <t>2014IDCapital ExpenditureSystem GrowthIntermediate pressure -totalnominal</t>
  </si>
  <si>
    <t>2014IDCapital ExpenditureSystem GrowthLow pressure - Line valveconstant</t>
  </si>
  <si>
    <t>2014IDCapital ExpenditureSystem GrowthLow pressure - Line valvenominal</t>
  </si>
  <si>
    <t>2014IDCapital ExpenditureSystem GrowthLow pressure - Main pipeconstant</t>
  </si>
  <si>
    <t>2014IDCapital ExpenditureSystem GrowthLow pressure - Main pipenominal</t>
  </si>
  <si>
    <t>2014IDCapital ExpenditureSystem GrowthLow pressure - Service pipeconstant</t>
  </si>
  <si>
    <t>2014IDCapital ExpenditureSystem GrowthLow pressure - Service pipenominal</t>
  </si>
  <si>
    <t>2014IDCapital ExpenditureSystem GrowthLow pressure - Special crossingsconstant</t>
  </si>
  <si>
    <t>2014IDCapital ExpenditureSystem GrowthLow pressure - Special crossingsnominal</t>
  </si>
  <si>
    <t>2014IDCapital ExpenditureSystem GrowthLow pressure - totalconstant</t>
  </si>
  <si>
    <t>2014IDCapital ExpenditureSystem GrowthLow pressure - totalnominal</t>
  </si>
  <si>
    <t>2014IDCapital ExpenditureSystem GrowthMedium pressure - Line valveconstant</t>
  </si>
  <si>
    <t>2014IDCapital ExpenditureSystem GrowthMedium pressure - Line valvenominal</t>
  </si>
  <si>
    <t>2014IDCapital ExpenditureSystem GrowthMedium pressure - Main pipeconstant</t>
  </si>
  <si>
    <t>2014IDCapital ExpenditureSystem GrowthMedium pressure - Main pipenominal</t>
  </si>
  <si>
    <t>2014IDCapital ExpenditureSystem GrowthMedium pressure - Service pipeconstant</t>
  </si>
  <si>
    <t>2014IDCapital ExpenditureSystem GrowthMedium pressure - Service pipenominal</t>
  </si>
  <si>
    <t>2014IDCapital ExpenditureSystem GrowthMedium pressure - Special crossingsconstant</t>
  </si>
  <si>
    <t>2014IDCapital ExpenditureSystem GrowthMedium pressure - Special crossingsnominal</t>
  </si>
  <si>
    <t>2014IDCapital ExpenditureSystem GrowthMedium pressure - Stationsconstant</t>
  </si>
  <si>
    <t>2014IDCapital ExpenditureSystem GrowthMedium pressure - Stationsnominal</t>
  </si>
  <si>
    <t>2014IDCapital ExpenditureSystem GrowthMedium pressure - totalconstant</t>
  </si>
  <si>
    <t>2014IDCapital ExpenditureSystem GrowthMedium pressure - totalnominal</t>
  </si>
  <si>
    <t>2014IDCapital ExpenditureSystem GrowthOther network assets - Cathodic protection systemsconstant</t>
  </si>
  <si>
    <t>2014IDCapital ExpenditureSystem GrowthOther network assets - Cathodic protection systemsnominal</t>
  </si>
  <si>
    <t>2014IDCapital ExpenditureSystem GrowthOther network assets - Monitoring and control systemsconstant</t>
  </si>
  <si>
    <t>2014IDCapital ExpenditureSystem GrowthOther network assets - Monitoring and control systemsnominal</t>
  </si>
  <si>
    <t>2014IDCapital ExpenditureSystem GrowthOther network assets - Otherconstant</t>
  </si>
  <si>
    <t>2014IDCapital ExpenditureSystem GrowthOther network assets - Othernominal</t>
  </si>
  <si>
    <t>2014IDCapital ExpenditureSystem GrowthOther network assets - totalconstant</t>
  </si>
  <si>
    <t>2014IDCapital ExpenditureSystem GrowthOther network assets - totalnominal</t>
  </si>
  <si>
    <t>2014IDCapital ExpenditureSystem GrowthSystem growth expenditureconstant</t>
  </si>
  <si>
    <t>2014IDCapital ExpenditureSystem GrowthSystem growth expenditurenominal</t>
  </si>
  <si>
    <t>2014IDCapital ExpenditureSystem GrowthSystem growth less capital contributionsconstant</t>
  </si>
  <si>
    <t>2014IDCapital ExpenditureSystem GrowthSystem growth less capital contributionsnominal</t>
  </si>
  <si>
    <t>2014IDNetwork and DemandSystem lengthSystem lengthNA</t>
  </si>
  <si>
    <t>2014IDNetwork and DemandCustomer numbersNumber of ICPs at year endNA</t>
  </si>
  <si>
    <t>2014IDNetwork and DemandGas deliveredAverage daily deliveryNA</t>
  </si>
  <si>
    <t>2014IDNetwork and DemandGas deliveredLoad factorNA</t>
  </si>
  <si>
    <t>2014IDNetwork and DemandGas deliveredMaximum daily loadNA</t>
  </si>
  <si>
    <t>2014IDNetwork and DemandGas deliveredMaximum monthly amount of gas entering network (GJ/month)NA</t>
  </si>
  <si>
    <t>2014IDNetwork and DemandGas deliveredMaximum monthly loadNA</t>
  </si>
  <si>
    <t>2014IDNetwork and DemandGas deliveredNumber of directly billed ICPsNA</t>
  </si>
  <si>
    <t>2014IDNetwork and DemandGas deliveredTotal gas conveyedNA</t>
  </si>
  <si>
    <t>2014AMP2014Operating ExpenditureAsset replacement and renewalAsset replacement and renewalconstant</t>
  </si>
  <si>
    <t>2014AMP2013Operating ExpenditureAsset replacement and renewalAsset replacement and renewalconstant</t>
  </si>
  <si>
    <t>2014AMP2013Operating ExpenditureAsset replacement and renewalAsset replacement and renewalnominal</t>
  </si>
  <si>
    <t>2014AMP2014Operating ExpenditureAsset replacement and renewalAsset replacement and renewalnominal</t>
  </si>
  <si>
    <t>2014AMP2014Operating ExpenditureBusiness supportBusiness supportconstant</t>
  </si>
  <si>
    <t>2014AMP2013Operating ExpenditureBusiness supportBusiness supportconstant</t>
  </si>
  <si>
    <t>2014AMP2013Operating ExpenditureBusiness supportBusiness supportnominal</t>
  </si>
  <si>
    <t>2014AMP2014Operating ExpenditureBusiness supportBusiness supportnominal</t>
  </si>
  <si>
    <t>2014AMP2013Operating ExpenditureExpenditure on subcomponentsInsuranceconstant</t>
  </si>
  <si>
    <t>2014AMP2014Operating ExpenditureExpenditure on subcomponentsInsuranceconstant</t>
  </si>
  <si>
    <t>2014AMP2014Operating ExpenditureExpenditure on subcomponentsResearch and developmentconstant</t>
  </si>
  <si>
    <t>2014AMP2013Operating ExpenditureExpenditure on subcomponentsResearch and developmentconstant</t>
  </si>
  <si>
    <t>2014AMP2014Operating ExpenditureNetwork opexNetwork opexconstant</t>
  </si>
  <si>
    <t>2014AMP2013Operating ExpenditureNetwork opexNetwork opexconstant</t>
  </si>
  <si>
    <t>2014AMP2014Operating ExpenditureNetwork opexNetwork opexnominal</t>
  </si>
  <si>
    <t>2014AMP2013Operating ExpenditureNetwork opexNetwork opexnominal</t>
  </si>
  <si>
    <t>2014AMP2013Operating ExpenditureNon-network opexNon-network opexconstant</t>
  </si>
  <si>
    <t>2014AMP2014Operating ExpenditureNon-network opexNon-network opexconstant</t>
  </si>
  <si>
    <t>2014AMP2013Operating ExpenditureNon-network opexNon-network opexnominal</t>
  </si>
  <si>
    <t>2014AMP2014Operating ExpenditureNon-network opexNon-network opexnominal</t>
  </si>
  <si>
    <t>2014AMP2014Operating ExpenditureResearch and developmentResearch and developmentconstant</t>
  </si>
  <si>
    <t>2014AMP2013Operating ExpenditureResearch and developmentResearch and developmentconstant</t>
  </si>
  <si>
    <t>2014AMP2013Operating ExpenditureRoutine and corrective maintenance and inspectionRoutine and corrective maintenance and inspectionconstant</t>
  </si>
  <si>
    <t>2014AMP2014Operating ExpenditureRoutine and corrective maintenance and inspectionRoutine and corrective maintenance and inspectionconstant</t>
  </si>
  <si>
    <t>2014AMP2013Operating ExpenditureRoutine and corrective maintenance and inspectionRoutine and corrective maintenance and inspectionnominal</t>
  </si>
  <si>
    <t>2014AMP2014Operating ExpenditureRoutine and corrective maintenance and inspectionRoutine and corrective maintenance and inspectionnominal</t>
  </si>
  <si>
    <t>2014AMP2013Operating ExpenditureService interruptions, incidents and emergenciesService interruptions, incidents and emergenciesconstant</t>
  </si>
  <si>
    <t>2014AMP2014Operating ExpenditureService interruptions, incidents and emergenciesService interruptions, incidents and emergenciesconstant</t>
  </si>
  <si>
    <t>2014AMP2013Operating ExpenditureService interruptions, incidents and emergenciesService interruptions, incidents and emergenciesnominal</t>
  </si>
  <si>
    <t>2014AMP2014Operating ExpenditureService interruptions, incidents and emergenciesService interruptions, incidents and emergenciesnominal</t>
  </si>
  <si>
    <t>2014AMP2013Operating ExpenditureSystem operations and network supportSystem operations and network supportconstant</t>
  </si>
  <si>
    <t>2014AMP2014Operating ExpenditureSystem operations and network supportSystem operations and network supportconstant</t>
  </si>
  <si>
    <t>2014AMP2013Operating ExpenditureSystem operations and network supportSystem operations and network supportnominal</t>
  </si>
  <si>
    <t>2014AMP2014Operating ExpenditureSystem operations and network supportSystem operations and network supportnominal</t>
  </si>
  <si>
    <t>2014AMP2013Operating ExpenditureTotal opexOperational expenditureconstant</t>
  </si>
  <si>
    <t>2014AMP2014Operating ExpenditureTotal opexOperational expenditureconstant</t>
  </si>
  <si>
    <t>2014AMP2013Operating ExpenditureTotal opexOperational expenditurenominal</t>
  </si>
  <si>
    <t>2014AMP2014Operating ExpenditureTotal opexOperational expenditurenominal</t>
  </si>
  <si>
    <t>2014IDOperating ExpenditureAsset replacement and renewalAsset replacement and renewalconstant</t>
  </si>
  <si>
    <t>2014IDOperating ExpenditureAsset replacement and renewalAsset replacement and renewalnominal</t>
  </si>
  <si>
    <t>2014IDOperating ExpenditureBusiness supportBusiness supportconstant</t>
  </si>
  <si>
    <t>2014IDOperating ExpenditureBusiness supportBusiness supportnominal</t>
  </si>
  <si>
    <t>2014IDOperating ExpenditureNetwork opexNetwork opexconstant</t>
  </si>
  <si>
    <t>2014IDOperating ExpenditureNetwork opexNetwork opexnominal</t>
  </si>
  <si>
    <t>2014IDOperating ExpenditureNon-network opexNon-network opexconstant</t>
  </si>
  <si>
    <t>2014IDOperating ExpenditureNon-network opexNon-network opexnominal</t>
  </si>
  <si>
    <t>2014IDOperating ExpenditureRoutine and corrective maintenance and inspectionRoutine and corrective maintenance and inspectionconstant</t>
  </si>
  <si>
    <t>2014IDOperating ExpenditureRoutine and corrective maintenance and inspectionRoutine and corrective maintenance and inspectionnominal</t>
  </si>
  <si>
    <t>2014IDOperating ExpenditureService interruptions, incidents and emergenciesService interruptions, incidents and emergenciesconstant</t>
  </si>
  <si>
    <t>2014IDOperating ExpenditureService interruptions, incidents and emergenciesService interruptions, incidents and emergenciesnominal</t>
  </si>
  <si>
    <t>2014IDOperating ExpenditureSystem operations and network supportSystem operations and network supportconstant</t>
  </si>
  <si>
    <t>2014IDOperating ExpenditureSystem operations and network supportSystem operations and network supportnominal</t>
  </si>
  <si>
    <t>2014IDOperating ExpenditureTotal opexOperational expenditureconstant</t>
  </si>
  <si>
    <t>2014IDOperating ExpenditureTotal opexOperational expenditurenominal</t>
  </si>
  <si>
    <t>2014IDOther dataRelated party transactionsCapital expenditureconstant</t>
  </si>
  <si>
    <t>2014IDOther dataRelated party transactionsCapital expenditurenominal</t>
  </si>
  <si>
    <t>2014IDOther dataRelated party transactionsMarket value of asset disposalsconstant</t>
  </si>
  <si>
    <t>2014IDOther dataRelated party transactionsMarket value of asset disposalsnominal</t>
  </si>
  <si>
    <t>2014IDOther dataRelated party transactionsOperational expenditureconstant</t>
  </si>
  <si>
    <t>2014IDOther dataRelated party transactionsOperational expenditurenominal</t>
  </si>
  <si>
    <t>2014IDOther dataRelated party transactionsOther related party transactionsconstant</t>
  </si>
  <si>
    <t>2014IDOther dataRelated party transactionsOther related party transactionsnominal</t>
  </si>
  <si>
    <t>2014IDOther dataRelated party transactionsTotal regulatory incomeconstant</t>
  </si>
  <si>
    <t>2014IDOther dataRelated party transactionsTotal regulatory incomenominal</t>
  </si>
  <si>
    <t>2014IDRAB valueTotal closing RAB valueIntermediate pressure main pipelinesconstant</t>
  </si>
  <si>
    <t>2014IDRAB valueTotal closing RAB valueLine valveconstant</t>
  </si>
  <si>
    <t>2014IDRAB valueTotal closing RAB valueLow pressure main pipelinesconstant</t>
  </si>
  <si>
    <t>2014IDRAB valueTotal closing RAB valueMedium pressure main pipelinesconstant</t>
  </si>
  <si>
    <t>2014IDRAB valueTotal closing RAB valueOther network assetsconstant</t>
  </si>
  <si>
    <t>2014IDRAB valueTotal closing RAB valueService pipeconstant</t>
  </si>
  <si>
    <t>2014IDRAB valueTotal closing RAB valueSpecial crossingsconstant</t>
  </si>
  <si>
    <t>2014IDRAB valueTotal closing RAB valueStationsconstant</t>
  </si>
  <si>
    <t>2014IDRAB valueTotal closing RAB valueTotalconstant</t>
  </si>
  <si>
    <t>2014IDReliabilityInterruption rateInterruptions per 100 circuit kmNA</t>
  </si>
  <si>
    <t>2014IDReliabilityInterruptionsClass BNA</t>
  </si>
  <si>
    <t>2014IDReliabilityInterruptionsClass CNA</t>
  </si>
  <si>
    <t>2014IDReliabilityCAIDIAll interruptionsNA</t>
  </si>
  <si>
    <t>2014IDReliabilityCAIDIClass INA</t>
  </si>
  <si>
    <t>2014IDReliabilitySAIDIAll interruptionsNA</t>
  </si>
  <si>
    <t>2014IDReliabilitySAIDIClass INA</t>
  </si>
  <si>
    <t>2014IDReliabilitySAIFIAll interruptionsNA</t>
  </si>
  <si>
    <t>2014IDReliabilitySAIFIClass INA</t>
  </si>
  <si>
    <t>2014IDRevenue and ProfitabilityReturn on investmentReturn on Investment (post tax)NA</t>
  </si>
  <si>
    <t>2014IDRevenue and ProfitabilityReturn on investmentReturn on Investment (vanilla)NA</t>
  </si>
  <si>
    <t>2014IDRevenue and ProfitabilityExpensesOperational expenditureconstant</t>
  </si>
  <si>
    <t>2014IDRevenue and ProfitabilityExpensesOperational expenditurenominal</t>
  </si>
  <si>
    <t>2014IDRevenue and ProfitabilityExpensesPass-through and recoverable costsconstant</t>
  </si>
  <si>
    <t>2014IDRevenue and ProfitabilityExpensesPass-through and recoverable costsnominal</t>
  </si>
  <si>
    <t>2014IDRevenue and ProfitabilityOperating surplus / (deficit)Operating surplus / (deficit)constant</t>
  </si>
  <si>
    <t>2014IDRevenue and ProfitabilityOperating surplus / (deficit)Operating surplus / (deficit)nominal</t>
  </si>
  <si>
    <t>2014IDRevenue and ProfitabilityRegulatory profit / (loss)Regulatory profit / (loss)constant</t>
  </si>
  <si>
    <t>2014IDRevenue and ProfitabilityRegulatory profit / (loss)Regulatory profit / (loss)nominal</t>
  </si>
  <si>
    <t>2014IDRevenue and ProfitabilityRegulatory profit / (loss) before taxRegulatory profit / (loss) before taxconstant</t>
  </si>
  <si>
    <t>2014IDRevenue and ProfitabilityRegulatory profit / (loss) before taxRegulatory profit / (loss) before taxnominal</t>
  </si>
  <si>
    <t>2014IDRevenue and ProfitabilityTaxRegulatory tax allowanceconstant</t>
  </si>
  <si>
    <t>2014IDRevenue and ProfitabilityTaxRegulatory tax allowancenominal</t>
  </si>
  <si>
    <t>2014IDRevenue and ProfitabilityTerm credit spread differentialTerm credit spread differential allowanceconstant</t>
  </si>
  <si>
    <t>2014IDRevenue and ProfitabilityTerm credit spread differentialTerm credit spread differential allowancenominal</t>
  </si>
  <si>
    <t>2014IDRevenue and ProfitabilityTotal regulatory incomeGains / (losses) on asset disposalsconstant</t>
  </si>
  <si>
    <t>2014IDRevenue and ProfitabilityTotal regulatory incomeGains / (losses) on asset disposalsnominal</t>
  </si>
  <si>
    <t>2014IDRevenue and ProfitabilityTotal regulatory incomeLine charge revenueconstant</t>
  </si>
  <si>
    <t>2014IDRevenue and ProfitabilityTotal regulatory incomeLine charge revenuenominal</t>
  </si>
  <si>
    <t>2014IDRevenue and ProfitabilityTotal regulatory incomeOther regulatory incomeconstant</t>
  </si>
  <si>
    <t>2014IDRevenue and ProfitabilityTotal regulatory incomeOther regulatory incomenominal</t>
  </si>
  <si>
    <t>2014IDRevenue and ProfitabilityTotal regulatory incomeTotal regulatory incomeconstant</t>
  </si>
  <si>
    <t>2014IDRevenue and ProfitabilityTotal regulatory incomeTotal regulatory incomenominal</t>
  </si>
  <si>
    <t>2015AMP2013Capital ExpenditureAll assetsExpenditure on assetsconstant</t>
  </si>
  <si>
    <t>2015AMP2014Capital ExpenditureAll assetsExpenditure on assetsconstant</t>
  </si>
  <si>
    <t>2015AMP2015Capital ExpenditureAll assetsExpenditure on assetsconstant</t>
  </si>
  <si>
    <t>2015AMP2014Capital ExpenditureAll assetsExpenditure on assetsnominal</t>
  </si>
  <si>
    <t>2015AMP2013Capital ExpenditureAll assetsExpenditure on assetsnominal</t>
  </si>
  <si>
    <t>2015AMP2015Capital ExpenditureAll assetsExpenditure on assetsnominal</t>
  </si>
  <si>
    <t>2015AMP2014Capital ExpenditureAsset relocationsAsset relocationsconstant</t>
  </si>
  <si>
    <t>2015AMP2015Capital ExpenditureAsset relocationsAsset relocationsconstant</t>
  </si>
  <si>
    <t>2015AMP2013Capital ExpenditureAsset relocationsAsset relocationsconstant</t>
  </si>
  <si>
    <t>2015AMP2013Capital ExpenditureAsset relocationsAsset relocationsnominal</t>
  </si>
  <si>
    <t>2015AMP2015Capital ExpenditureAsset relocationsAsset relocationsnominal</t>
  </si>
  <si>
    <t>2015AMP2014Capital ExpenditureAsset relocationsAsset relocationsnominal</t>
  </si>
  <si>
    <t>2015AMP2014Capital ExpenditureAsset replacement and renewalAsset replacement and renewalconstant</t>
  </si>
  <si>
    <t>2015AMP2015Capital ExpenditureAsset replacement and renewalAsset replacement and renewalconstant</t>
  </si>
  <si>
    <t>2015AMP2013Capital ExpenditureAsset replacement and renewalAsset replacement and renewalconstant</t>
  </si>
  <si>
    <t>2015AMP2014Capital ExpenditureAsset replacement and renewalAsset replacement and renewalnominal</t>
  </si>
  <si>
    <t>2015AMP2015Capital ExpenditureAsset replacement and renewalAsset replacement and renewalnominal</t>
  </si>
  <si>
    <t>2015AMP2013Capital ExpenditureAsset replacement and renewalAsset replacement and renewalnominal</t>
  </si>
  <si>
    <t>2015AMP2015Capital ExpenditureAssets commissionedAssets commissionednominal</t>
  </si>
  <si>
    <t>2015AMP2015Capital ExpenditureCapital expenditure forecastCapital expenditure forecastnominal</t>
  </si>
  <si>
    <t>2015AMP2013Capital ExpenditureCapital expenditure forecastCapital expenditure forecastnominal</t>
  </si>
  <si>
    <t>2015AMP2014Capital ExpenditureCapital expenditure forecastCapital expenditure forecastnominal</t>
  </si>
  <si>
    <t>2015AMP2014Capital ExpenditureConsumer connectionConsumer connectionconstant</t>
  </si>
  <si>
    <t>2015AMP2013Capital ExpenditureConsumer connectionConsumer connectionconstant</t>
  </si>
  <si>
    <t>2015AMP2015Capital ExpenditureConsumer connectionConsumer connectionconstant</t>
  </si>
  <si>
    <t>2015AMP2013Capital ExpenditureConsumer connectionConsumer connectionnominal</t>
  </si>
  <si>
    <t>2015AMP2015Capital ExpenditureConsumer connectionConsumer connectionnominal</t>
  </si>
  <si>
    <t>2015AMP2014Capital ExpenditureConsumer connectionConsumer connectionnominal</t>
  </si>
  <si>
    <t>2015AMP2013Capital ExpenditureCost of financingCost of financingnominal</t>
  </si>
  <si>
    <t>2015AMP2015Capital ExpenditureCost of financingCost of financingnominal</t>
  </si>
  <si>
    <t>2015AMP2014Capital ExpenditureCost of financingCost of financingnominal</t>
  </si>
  <si>
    <t>2015AMP2015Capital ExpenditureExpenditure on subcomponentsResearch and developmentconstant</t>
  </si>
  <si>
    <t>2015AMP2013Capital ExpenditureExpenditure on subcomponentsResearch and developmentconstant</t>
  </si>
  <si>
    <t>2015AMP2014Capital ExpenditureExpenditure on subcomponentsResearch and developmentconstant</t>
  </si>
  <si>
    <t>2015AMP2014Capital ExpenditureNetwork assetsExpenditure on network assetsconstant</t>
  </si>
  <si>
    <t>2015AMP2015Capital ExpenditureNetwork assetsExpenditure on network assetsconstant</t>
  </si>
  <si>
    <t>2015AMP2013Capital ExpenditureNetwork assetsExpenditure on network assetsconstant</t>
  </si>
  <si>
    <t>2015AMP2014Capital ExpenditureNetwork assetsExpenditure on network assetsnominal</t>
  </si>
  <si>
    <t>2015AMP2015Capital ExpenditureNetwork assetsExpenditure on network assetsnominal</t>
  </si>
  <si>
    <t>2015AMP2013Capital ExpenditureNetwork assetsExpenditure on network assetsnominal</t>
  </si>
  <si>
    <t>2015AMP2013Capital ExpenditureNon-network assetsNon-network assetsconstant</t>
  </si>
  <si>
    <t>2015AMP2015Capital ExpenditureNon-network assetsNon-network assetsconstant</t>
  </si>
  <si>
    <t>2015AMP2014Capital ExpenditureNon-network assetsNon-network assetsconstant</t>
  </si>
  <si>
    <t>2015AMP2013Capital ExpenditureNon-network assetsNon-network assetsnominal</t>
  </si>
  <si>
    <t>2015AMP2014Capital ExpenditureNon-network assetsNon-network assetsnominal</t>
  </si>
  <si>
    <t>2015AMP2015Capital ExpenditureNon-network assetsNon-network assetsnominal</t>
  </si>
  <si>
    <t>2015AMP2013Capital ExpenditureReliability, safety and environmentLegislative and regulatoryconstant</t>
  </si>
  <si>
    <t>2015AMP2014Capital ExpenditureReliability, safety and environmentLegislative and regulatoryconstant</t>
  </si>
  <si>
    <t>2015AMP2015Capital ExpenditureReliability, safety and environmentLegislative and regulatoryconstant</t>
  </si>
  <si>
    <t>2015AMP2014Capital ExpenditureReliability, safety and environmentLegislative and regulatorynominal</t>
  </si>
  <si>
    <t>2015AMP2015Capital ExpenditureReliability, safety and environmentLegislative and regulatorynominal</t>
  </si>
  <si>
    <t>2015AMP2013Capital ExpenditureReliability, safety and environmentLegislative and regulatorynominal</t>
  </si>
  <si>
    <t>2015AMP2014Capital ExpenditureReliability, safety and environmentOther reliability, safety and environmentconstant</t>
  </si>
  <si>
    <t>2015AMP2015Capital ExpenditureReliability, safety and environmentOther reliability, safety and environmentconstant</t>
  </si>
  <si>
    <t>2015AMP2013Capital ExpenditureReliability, safety and environmentOther reliability, safety and environmentconstant</t>
  </si>
  <si>
    <t>2015AMP2013Capital ExpenditureReliability, safety and environmentOther reliability, safety and environmentnominal</t>
  </si>
  <si>
    <t>2015AMP2015Capital ExpenditureReliability, safety and environmentOther reliability, safety and environmentnominal</t>
  </si>
  <si>
    <t>2015AMP2014Capital ExpenditureReliability, safety and environmentOther reliability, safety and environmentnominal</t>
  </si>
  <si>
    <t>2015AMP2014Capital ExpenditureReliability, safety and environmentQuality of supplyconstant</t>
  </si>
  <si>
    <t>2015AMP2015Capital ExpenditureReliability, safety and environmentQuality of supplyconstant</t>
  </si>
  <si>
    <t>2015AMP2013Capital ExpenditureReliability, safety and environmentQuality of supplyconstant</t>
  </si>
  <si>
    <t>2015AMP2015Capital ExpenditureReliability, safety and environmentQuality of supplynominal</t>
  </si>
  <si>
    <t>2015AMP2014Capital ExpenditureReliability, safety and environmentQuality of supplynominal</t>
  </si>
  <si>
    <t>2015AMP2013Capital ExpenditureReliability, safety and environmentQuality of supplynominal</t>
  </si>
  <si>
    <t>2015AMP2015Capital ExpenditureReliability, safety and environmentTotal reliability, safety and environmentconstant</t>
  </si>
  <si>
    <t>2015AMP2013Capital ExpenditureReliability, safety and environmentTotal reliability, safety and environmentconstant</t>
  </si>
  <si>
    <t>2015AMP2014Capital ExpenditureReliability, safety and environmentTotal reliability, safety and environmentconstant</t>
  </si>
  <si>
    <t>2015AMP2013Capital ExpenditureReliability, safety and environmentTotal reliability, safety and environmentnominal</t>
  </si>
  <si>
    <t>2015AMP2014Capital ExpenditureReliability, safety and environmentTotal reliability, safety and environmentnominal</t>
  </si>
  <si>
    <t>2015AMP2015Capital ExpenditureReliability, safety and environmentTotal reliability, safety and environmentnominal</t>
  </si>
  <si>
    <t>2015AMP2014Capital ExpenditureSystem growthSystem growthconstant</t>
  </si>
  <si>
    <t>2015AMP2013Capital ExpenditureSystem growthSystem growthconstant</t>
  </si>
  <si>
    <t>2015AMP2015Capital ExpenditureSystem growthSystem growthconstant</t>
  </si>
  <si>
    <t>2015AMP2014Capital ExpenditureSystem growthSystem growthnominal</t>
  </si>
  <si>
    <t>2015AMP2015Capital ExpenditureSystem growthSystem growthnominal</t>
  </si>
  <si>
    <t>2015AMP2013Capital ExpenditureSystem growthSystem growthnominal</t>
  </si>
  <si>
    <t>2015AMP2013Capital ExpenditureValue of capital contributionsValue of capital contributionsnominal</t>
  </si>
  <si>
    <t>2015AMP2014Capital ExpenditureValue of capital contributionsValue of capital contributionsnominal</t>
  </si>
  <si>
    <t>2015AMP2015Capital ExpenditureValue of capital contributionsValue of capital contributionsnominal</t>
  </si>
  <si>
    <t>2015AMP2013Capital ExpenditureValue of commissioned assetsValue of commissioned assetsnominal</t>
  </si>
  <si>
    <t>2015AMP2014Capital ExpenditureValue of commissioned assetsValue of commissioned assetsnominal</t>
  </si>
  <si>
    <t>2015AMP2015Capital ExpenditureValue of vested assetsValue of vested assetsnominal</t>
  </si>
  <si>
    <t>2015AMP2013Capital ExpenditureValue of vested assetsValue of vested assetsnominal</t>
  </si>
  <si>
    <t>2015AMP2014Capital ExpenditureValue of vested assetsValue of vested assetsnominal</t>
  </si>
  <si>
    <t>2015AMP2015Capital ExpenditureAsset replacement and renewalAsset replacement and renewal expenditure - Asset replacement and renewal expenditureconstant</t>
  </si>
  <si>
    <t>2015AMP2013Capital ExpenditureAsset replacement and renewalAsset replacement and renewal expenditure - Asset replacement and renewal expenditureconstant</t>
  </si>
  <si>
    <t>2015AMP2014Capital ExpenditureAsset replacement and renewalAsset replacement and renewal expenditure - Asset replacement and renewal expenditureconstant</t>
  </si>
  <si>
    <t>2015AMP2014Capital ExpenditureAsset replacement and renewalAsset replacement and renewal expenditure - Capital contributions funding asset replacement and renewalconstant</t>
  </si>
  <si>
    <t>2015AMP2013Capital ExpenditureAsset replacement and renewalAsset replacement and renewal expenditure - Capital contributions funding asset replacement and renewalconstant</t>
  </si>
  <si>
    <t>2015AMP2015Capital ExpenditureAsset replacement and renewalAsset replacement and renewal expenditure - Capital contributions funding asset replacement and renewalconstant</t>
  </si>
  <si>
    <t>2015AMP2014Capital ExpenditureAsset replacement and renewalAsset replacement and renewal less capital contributions - Asset replacement and renewal less capital contributionsconstant</t>
  </si>
  <si>
    <t>2015AMP2015Capital ExpenditureAsset replacement and renewalAsset replacement and renewal less capital contributions - Asset replacement and renewal less capital contributionsconstant</t>
  </si>
  <si>
    <t>2015AMP2013Capital ExpenditureAsset replacement and renewalAsset replacement and renewal less capital contributions - Asset replacement and renewal less capital contributionsconstant</t>
  </si>
  <si>
    <t>2015AMP2013Capital ExpenditureAsset replacement and renewalIntermediate pressure - Intermediate Pressure totalconstant</t>
  </si>
  <si>
    <t>2015AMP2014Capital ExpenditureAsset replacement and renewalIntermediate pressure - Intermediate Pressure totalconstant</t>
  </si>
  <si>
    <t>2015AMP2015Capital ExpenditureAsset replacement and renewalIntermediate pressure - Intermediate Pressure totalconstant</t>
  </si>
  <si>
    <t>2015AMP2014Capital ExpenditureAsset replacement and renewalIntermediate pressure - Line valveconstant</t>
  </si>
  <si>
    <t>2015AMP2013Capital ExpenditureAsset replacement and renewalIntermediate pressure - Line valveconstant</t>
  </si>
  <si>
    <t>2015AMP2015Capital ExpenditureAsset replacement and renewalIntermediate pressure - Line valveconstant</t>
  </si>
  <si>
    <t>2015AMP2015Capital ExpenditureAsset replacement and renewalIntermediate pressure - Main pipeconstant</t>
  </si>
  <si>
    <t>2015AMP2013Capital ExpenditureAsset replacement and renewalIntermediate pressure - Main pipeconstant</t>
  </si>
  <si>
    <t>2015AMP2014Capital ExpenditureAsset replacement and renewalIntermediate pressure - Main pipeconstant</t>
  </si>
  <si>
    <t>2015AMP2014Capital ExpenditureAsset replacement and renewalIntermediate pressure - Service pipeconstant</t>
  </si>
  <si>
    <t>2015AMP2015Capital ExpenditureAsset replacement and renewalIntermediate pressure - Service pipeconstant</t>
  </si>
  <si>
    <t>2015AMP2013Capital ExpenditureAsset replacement and renewalIntermediate pressure - Service pipeconstant</t>
  </si>
  <si>
    <t>2015AMP2014Capital ExpenditureAsset replacement and renewalIntermediate pressure - Special crossingsconstant</t>
  </si>
  <si>
    <t>2015AMP2013Capital ExpenditureAsset replacement and renewalIntermediate pressure - Special crossingsconstant</t>
  </si>
  <si>
    <t>2015AMP2015Capital ExpenditureAsset replacement and renewalIntermediate pressure - Special crossingsconstant</t>
  </si>
  <si>
    <t>2015AMP2014Capital ExpenditureAsset replacement and renewalIntermediate pressure - Stationsconstant</t>
  </si>
  <si>
    <t>2015AMP2013Capital ExpenditureAsset replacement and renewalIntermediate pressure - Stationsconstant</t>
  </si>
  <si>
    <t>2015AMP2015Capital ExpenditureAsset replacement and renewalIntermediate pressure - Stationsconstant</t>
  </si>
  <si>
    <t>2015AMP2015Capital ExpenditureAsset replacement and renewalLow Pressure - Line valveconstant</t>
  </si>
  <si>
    <t>2015AMP2013Capital ExpenditureAsset replacement and renewalLow Pressure - Line valveconstant</t>
  </si>
  <si>
    <t>2015AMP2014Capital ExpenditureAsset replacement and renewalLow Pressure - Line valveconstant</t>
  </si>
  <si>
    <t>2015AMP2014Capital ExpenditureAsset replacement and renewalLow Pressure - Low Pressure totalconstant</t>
  </si>
  <si>
    <t>2015AMP2015Capital ExpenditureAsset replacement and renewalLow Pressure - Low Pressure totalconstant</t>
  </si>
  <si>
    <t>2015AMP2013Capital ExpenditureAsset replacement and renewalLow Pressure - Low Pressure totalconstant</t>
  </si>
  <si>
    <t>2015AMP2014Capital ExpenditureAsset replacement and renewalLow Pressure - Main pipeconstant</t>
  </si>
  <si>
    <t>2015AMP2015Capital ExpenditureAsset replacement and renewalLow Pressure - Main pipeconstant</t>
  </si>
  <si>
    <t>2015AMP2013Capital ExpenditureAsset replacement and renewalLow Pressure - Main pipeconstant</t>
  </si>
  <si>
    <t>2015AMP2013Capital ExpenditureAsset replacement and renewalLow Pressure - Service pipeconstant</t>
  </si>
  <si>
    <t>2015AMP2015Capital ExpenditureAsset replacement and renewalLow Pressure - Service pipeconstant</t>
  </si>
  <si>
    <t>2015AMP2014Capital ExpenditureAsset replacement and renewalLow Pressure - Service pipeconstant</t>
  </si>
  <si>
    <t>2015AMP2015Capital ExpenditureAsset replacement and renewalLow Pressure - Special crossingsconstant</t>
  </si>
  <si>
    <t>2015AMP2014Capital ExpenditureAsset replacement and renewalLow Pressure - Special crossingsconstant</t>
  </si>
  <si>
    <t>2015AMP2013Capital ExpenditureAsset replacement and renewalLow Pressure - Special crossingsconstant</t>
  </si>
  <si>
    <t>2015AMP2014Capital ExpenditureAsset replacement and renewalMedium pressure - Line valveconstant</t>
  </si>
  <si>
    <t>2015AMP2015Capital ExpenditureAsset replacement and renewalMedium pressure - Line valveconstant</t>
  </si>
  <si>
    <t>2015AMP2013Capital ExpenditureAsset replacement and renewalMedium pressure - Line valveconstant</t>
  </si>
  <si>
    <t>2015AMP2015Capital ExpenditureAsset replacement and renewalMedium pressure - Main pipeconstant</t>
  </si>
  <si>
    <t>2015AMP2014Capital ExpenditureAsset replacement and renewalMedium pressure - Main pipeconstant</t>
  </si>
  <si>
    <t>2015AMP2013Capital ExpenditureAsset replacement and renewalMedium pressure - Main pipeconstant</t>
  </si>
  <si>
    <t>2015AMP2015Capital ExpenditureAsset replacement and renewalMedium pressure - Medium Pressure totalconstant</t>
  </si>
  <si>
    <t>2015AMP2014Capital ExpenditureAsset replacement and renewalMedium pressure - Medium Pressure totalconstant</t>
  </si>
  <si>
    <t>2015AMP2013Capital ExpenditureAsset replacement and renewalMedium pressure - Medium Pressure totalconstant</t>
  </si>
  <si>
    <t>2015AMP2014Capital ExpenditureAsset replacement and renewalMedium pressure - Service pipeconstant</t>
  </si>
  <si>
    <t>2015AMP2013Capital ExpenditureAsset replacement and renewalMedium pressure - Service pipeconstant</t>
  </si>
  <si>
    <t>2015AMP2015Capital ExpenditureAsset replacement and renewalMedium pressure - Service pipeconstant</t>
  </si>
  <si>
    <t>2015AMP2013Capital ExpenditureAsset replacement and renewalMedium pressure - Special crossingsconstant</t>
  </si>
  <si>
    <t>2015AMP2014Capital ExpenditureAsset replacement and renewalMedium pressure - Special crossingsconstant</t>
  </si>
  <si>
    <t>2015AMP2015Capital ExpenditureAsset replacement and renewalMedium pressure - Special crossingsconstant</t>
  </si>
  <si>
    <t>2015AMP2013Capital ExpenditureAsset replacement and renewalMedium pressure - Stationconstant</t>
  </si>
  <si>
    <t>2015AMP2014Capital ExpenditureAsset replacement and renewalMedium pressure - Stationconstant</t>
  </si>
  <si>
    <t>2015AMP2015Capital ExpenditureAsset replacement and renewalMedium pressure - Stationconstant</t>
  </si>
  <si>
    <t>2015AMP2014Capital ExpenditureAsset replacement and renewalOther assets - Cathodic protection systemsconstant</t>
  </si>
  <si>
    <t>2015AMP2013Capital ExpenditureAsset replacement and renewalOther assets - Cathodic protection systemsconstant</t>
  </si>
  <si>
    <t>2015AMP2014Capital ExpenditureAsset replacement and renewalOther assets - Monitoring and control systemsconstant</t>
  </si>
  <si>
    <t>2015AMP2013Capital ExpenditureAsset replacement and renewalOther assets - Monitoring and control systemsconstant</t>
  </si>
  <si>
    <t>2015AMP2014Capital ExpenditureAsset replacement and renewalOther assets - Other assets (other than above)constant</t>
  </si>
  <si>
    <t>2015AMP2013Capital ExpenditureAsset replacement and renewalOther assets - Other assets (other than above)constant</t>
  </si>
  <si>
    <t>2015AMP2014Capital ExpenditureAsset replacement and renewalOther assets - Other totalconstant</t>
  </si>
  <si>
    <t>2015AMP2013Capital ExpenditureAsset replacement and renewalOther assets - Other totalconstant</t>
  </si>
  <si>
    <t>2015AMP2015Capital ExpenditureAsset replacement and renewalOther network assets - Cathodic protection systemsconstant</t>
  </si>
  <si>
    <t>2015AMP2015Capital ExpenditureAsset replacement and renewalOther network assets - Monitoring and control systemsconstant</t>
  </si>
  <si>
    <t>2015AMP2015Capital ExpenditureAsset replacement and renewalOther network assets - Other assets (other than above)constant</t>
  </si>
  <si>
    <t>2015AMP2015Capital ExpenditureAsset replacement and renewalOther network assets - Other network assets totalconstant</t>
  </si>
  <si>
    <t>2015IDCapital ExpenditureAll assetsExpenditure on assetsconstant</t>
  </si>
  <si>
    <t>2015IDCapital ExpenditureAll assetsExpenditure on assetsnominal</t>
  </si>
  <si>
    <t>2015IDCapital ExpenditureAsset relocationsAsset relocationsconstant</t>
  </si>
  <si>
    <t>2015IDCapital ExpenditureAsset relocationsAsset relocationsnominal</t>
  </si>
  <si>
    <t>2015IDCapital ExpenditureAsset replacement and renewalAsset replacement and renewalconstant</t>
  </si>
  <si>
    <t>2015IDCapital ExpenditureAsset replacement and renewalAsset replacement and renewalnominal</t>
  </si>
  <si>
    <t>2015IDCapital ExpenditureCapital expenditureCapital expenditureconstant</t>
  </si>
  <si>
    <t>2015IDCapital ExpenditureCapital expenditureCapital expenditurenominal</t>
  </si>
  <si>
    <t>2015IDCapital ExpenditureConsumer connectionConsumer connectionconstant</t>
  </si>
  <si>
    <t>2015IDCapital ExpenditureConsumer connectionConsumer connectionnominal</t>
  </si>
  <si>
    <t>2015IDCapital ExpenditureCost of financingCost of financingconstant</t>
  </si>
  <si>
    <t>2015IDCapital ExpenditureCost of financingCost of financingnominal</t>
  </si>
  <si>
    <t>2015IDCapital ExpenditureNetwork assetsExpenditure on network assetsconstant</t>
  </si>
  <si>
    <t>2015IDCapital ExpenditureNetwork assetsExpenditure on network assetsnominal</t>
  </si>
  <si>
    <t>2015IDCapital ExpenditureNon-network assetsNon-network assetsconstant</t>
  </si>
  <si>
    <t>2015IDCapital ExpenditureNon-network assetsNon-network assetsnominal</t>
  </si>
  <si>
    <t>2015IDCapital ExpenditureReliability, safety and environmentLegislative and regulatoryconstant</t>
  </si>
  <si>
    <t>2015IDCapital ExpenditureReliability, safety and environmentLegislative and regulatorynominal</t>
  </si>
  <si>
    <t>2015IDCapital ExpenditureReliability, safety and environmentOther reliability, safety and environmentconstant</t>
  </si>
  <si>
    <t>2015IDCapital ExpenditureReliability, safety and environmentOther reliability, safety and environmentnominal</t>
  </si>
  <si>
    <t>2015IDCapital ExpenditureReliability, safety and environmentQuality of supplyconstant</t>
  </si>
  <si>
    <t>2015IDCapital ExpenditureReliability, safety and environmentQuality of supplynominal</t>
  </si>
  <si>
    <t>2015IDCapital ExpenditureReliability, safety and environmentTotal reliability, safety and environmentconstant</t>
  </si>
  <si>
    <t>2015IDCapital ExpenditureReliability, safety and environmentTotal reliability, safety and environmentnominal</t>
  </si>
  <si>
    <t>2015IDCapital ExpenditureSystem growthSystem growthconstant</t>
  </si>
  <si>
    <t>2015IDCapital ExpenditureSystem growthSystem growthnominal</t>
  </si>
  <si>
    <t>2015IDCapital ExpenditureValue of capital contributionsValue of capital contributionsconstant</t>
  </si>
  <si>
    <t>2015IDCapital ExpenditureValue of capital contributionsValue of capital contributionsnominal</t>
  </si>
  <si>
    <t>2015IDCapital ExpenditureValue of vested assetsValue of vested assetsconstant</t>
  </si>
  <si>
    <t>2015IDCapital ExpenditureValue of vested assetsValue of vested assetsnominal</t>
  </si>
  <si>
    <t>2015IDCapital ExpenditureAsset Replacement and RenewalAsset replacement and renewal expenditureconstant</t>
  </si>
  <si>
    <t>2015IDCapital ExpenditureAsset Replacement and RenewalAsset replacement and renewal expenditurenominal</t>
  </si>
  <si>
    <t>2015IDCapital ExpenditureAsset Replacement and RenewalAsset replacement and renewal less capital contributionsconstant</t>
  </si>
  <si>
    <t>2015IDCapital ExpenditureAsset Replacement and RenewalAsset replacement and renewal less capital contributionsnominal</t>
  </si>
  <si>
    <t>2015IDCapital ExpenditureAsset Replacement and RenewalCapital contributions funding asset replacement and renewalconstant</t>
  </si>
  <si>
    <t>2015IDCapital ExpenditureAsset Replacement and RenewalCapital contributions funding asset replacement and renewalnominal</t>
  </si>
  <si>
    <t>2015IDCapital ExpenditureAsset Replacement and RenewalIntermediate pressure - Line valveconstant</t>
  </si>
  <si>
    <t>2015IDCapital ExpenditureAsset Replacement and RenewalIntermediate pressure - Line valvenominal</t>
  </si>
  <si>
    <t>2015IDCapital ExpenditureAsset Replacement and RenewalIntermediate pressure - Main pipeconstant</t>
  </si>
  <si>
    <t>2015IDCapital ExpenditureAsset Replacement and RenewalIntermediate pressure - Main pipenominal</t>
  </si>
  <si>
    <t>2015IDCapital ExpenditureAsset Replacement and RenewalIntermediate pressure - Service pipeconstant</t>
  </si>
  <si>
    <t>2015IDCapital ExpenditureAsset Replacement and RenewalIntermediate pressure - Service pipenominal</t>
  </si>
  <si>
    <t>2015IDCapital ExpenditureAsset Replacement and RenewalIntermediate pressure - Special crossingsconstant</t>
  </si>
  <si>
    <t>2015IDCapital ExpenditureAsset Replacement and RenewalIntermediate pressure - Special crossingsnominal</t>
  </si>
  <si>
    <t>2015IDCapital ExpenditureAsset Replacement and RenewalIntermediate pressure - Stationsconstant</t>
  </si>
  <si>
    <t>2015IDCapital ExpenditureAsset Replacement and RenewalIntermediate pressure - Stationsnominal</t>
  </si>
  <si>
    <t>2015IDCapital ExpenditureAsset Replacement and RenewalIntermediate pressure -totalconstant</t>
  </si>
  <si>
    <t>2015IDCapital ExpenditureAsset Replacement and RenewalIntermediate pressure -totalnominal</t>
  </si>
  <si>
    <t>2015IDCapital ExpenditureAsset Replacement and RenewalLow pressure - Line valveconstant</t>
  </si>
  <si>
    <t>2015IDCapital ExpenditureAsset Replacement and RenewalLow pressure - Line valvenominal</t>
  </si>
  <si>
    <t>2015IDCapital ExpenditureAsset Replacement and RenewalLow pressure - Main pipeconstant</t>
  </si>
  <si>
    <t>2015IDCapital ExpenditureAsset Replacement and RenewalLow pressure - Main pipenominal</t>
  </si>
  <si>
    <t>2015IDCapital ExpenditureAsset Replacement and RenewalLow pressure - Service pipeconstant</t>
  </si>
  <si>
    <t>2015IDCapital ExpenditureAsset Replacement and RenewalLow pressure - Service pipenominal</t>
  </si>
  <si>
    <t>2015IDCapital ExpenditureAsset Replacement and RenewalLow pressure - Special crossingsconstant</t>
  </si>
  <si>
    <t>2015IDCapital ExpenditureAsset Replacement and RenewalLow pressure - Special crossingsnominal</t>
  </si>
  <si>
    <t>2015IDCapital ExpenditureAsset Replacement and RenewalLow pressure - totalconstant</t>
  </si>
  <si>
    <t>2015IDCapital ExpenditureAsset Replacement and RenewalLow pressure - totalnominal</t>
  </si>
  <si>
    <t>2015IDCapital ExpenditureAsset Replacement and RenewalMedium pressure - Line valveconstant</t>
  </si>
  <si>
    <t>2015IDCapital ExpenditureAsset Replacement and RenewalMedium pressure - Line valvenominal</t>
  </si>
  <si>
    <t>2015IDCapital ExpenditureAsset Replacement and RenewalMedium pressure - Main pipeconstant</t>
  </si>
  <si>
    <t>2015IDCapital ExpenditureAsset Replacement and RenewalMedium pressure - Main pipenominal</t>
  </si>
  <si>
    <t>2015IDCapital ExpenditureAsset Replacement and RenewalMedium pressure - Service pipeconstant</t>
  </si>
  <si>
    <t>2015IDCapital ExpenditureAsset Replacement and RenewalMedium pressure - Service pipenominal</t>
  </si>
  <si>
    <t>2015IDCapital ExpenditureAsset Replacement and RenewalMedium pressure - Special crossingsconstant</t>
  </si>
  <si>
    <t>2015IDCapital ExpenditureAsset Replacement and RenewalMedium pressure - Special crossingsnominal</t>
  </si>
  <si>
    <t>2015IDCapital ExpenditureAsset Replacement and RenewalMedium pressure - Stationsconstant</t>
  </si>
  <si>
    <t>2015IDCapital ExpenditureAsset Replacement and RenewalMedium pressure - Stationsnominal</t>
  </si>
  <si>
    <t>2015IDCapital ExpenditureAsset Replacement and RenewalMedium pressure - totalconstant</t>
  </si>
  <si>
    <t>2015IDCapital ExpenditureAsset Replacement and RenewalMedium pressure - totalnominal</t>
  </si>
  <si>
    <t>2015IDCapital ExpenditureAsset Replacement and RenewalOther network assets - Cathodic protection systemsconstant</t>
  </si>
  <si>
    <t>2015IDCapital ExpenditureAsset Replacement and RenewalOther network assets - Cathodic protection systemsnominal</t>
  </si>
  <si>
    <t>2015IDCapital ExpenditureAsset Replacement and RenewalOther network assets - Monitoring and control systemsconstant</t>
  </si>
  <si>
    <t>2015IDCapital ExpenditureAsset Replacement and RenewalOther network assets - Monitoring and control systemsnominal</t>
  </si>
  <si>
    <t>2015IDCapital ExpenditureAsset Replacement and RenewalOther network assets - Other assets (other than above)constant</t>
  </si>
  <si>
    <t>2015IDCapital ExpenditureAsset Replacement and RenewalOther network assets - Other assets (other than above)nominal</t>
  </si>
  <si>
    <t>2015IDCapital ExpenditureAsset Replacement and RenewalOther network assets - totalconstant</t>
  </si>
  <si>
    <t>2015IDCapital ExpenditureAsset Replacement and RenewalOther network assets - totalnominal</t>
  </si>
  <si>
    <t>2015IDCapital ExpenditureSystem GrowthCapital contributions funding system growthconstant</t>
  </si>
  <si>
    <t>2015IDCapital ExpenditureSystem GrowthCapital contributions funding system growthnominal</t>
  </si>
  <si>
    <t>2015IDCapital ExpenditureSystem GrowthIntermediate pressure - Line valveconstant</t>
  </si>
  <si>
    <t>2015IDCapital ExpenditureSystem GrowthIntermediate pressure - Line valvenominal</t>
  </si>
  <si>
    <t>2015IDCapital ExpenditureSystem GrowthIntermediate pressure - Main pipeconstant</t>
  </si>
  <si>
    <t>2015IDCapital ExpenditureSystem GrowthIntermediate pressure - Main pipenominal</t>
  </si>
  <si>
    <t>2015IDCapital ExpenditureSystem GrowthIntermediate pressure - Service pipeconstant</t>
  </si>
  <si>
    <t>2015IDCapital ExpenditureSystem GrowthIntermediate pressure - Service pipenominal</t>
  </si>
  <si>
    <t>2015IDCapital ExpenditureSystem GrowthIntermediate pressure - Special crossingsconstant</t>
  </si>
  <si>
    <t>2015IDCapital ExpenditureSystem GrowthIntermediate pressure - Special crossingsnominal</t>
  </si>
  <si>
    <t>2015IDCapital ExpenditureSystem GrowthIntermediate pressure - Stationsconstant</t>
  </si>
  <si>
    <t>2015IDCapital ExpenditureSystem GrowthIntermediate pressure - Stationsnominal</t>
  </si>
  <si>
    <t>2015IDCapital ExpenditureSystem GrowthIntermediate pressure -totalconstant</t>
  </si>
  <si>
    <t>2015IDCapital ExpenditureSystem GrowthIntermediate pressure -totalnominal</t>
  </si>
  <si>
    <t>2015IDCapital ExpenditureSystem GrowthLow pressure - Line valveconstant</t>
  </si>
  <si>
    <t>2015IDCapital ExpenditureSystem GrowthLow pressure - Line valvenominal</t>
  </si>
  <si>
    <t>2015IDCapital ExpenditureSystem GrowthLow pressure - Main pipeconstant</t>
  </si>
  <si>
    <t>2015IDCapital ExpenditureSystem GrowthLow pressure - Main pipenominal</t>
  </si>
  <si>
    <t>2015IDCapital ExpenditureSystem GrowthLow pressure - Service pipeconstant</t>
  </si>
  <si>
    <t>2015IDCapital ExpenditureSystem GrowthLow pressure - Service pipenominal</t>
  </si>
  <si>
    <t>2015IDCapital ExpenditureSystem GrowthLow pressure - Special crossingsconstant</t>
  </si>
  <si>
    <t>2015IDCapital ExpenditureSystem GrowthLow pressure - Special crossingsnominal</t>
  </si>
  <si>
    <t>2015IDCapital ExpenditureSystem GrowthLow pressure - totalconstant</t>
  </si>
  <si>
    <t>2015IDCapital ExpenditureSystem GrowthLow pressure - totalnominal</t>
  </si>
  <si>
    <t>2015IDCapital ExpenditureSystem GrowthMedium pressure - Line valveconstant</t>
  </si>
  <si>
    <t>2015IDCapital ExpenditureSystem GrowthMedium pressure - Line valvenominal</t>
  </si>
  <si>
    <t>2015IDCapital ExpenditureSystem GrowthMedium pressure - Main pipeconstant</t>
  </si>
  <si>
    <t>2015IDCapital ExpenditureSystem GrowthMedium pressure - Main pipenominal</t>
  </si>
  <si>
    <t>2015IDCapital ExpenditureSystem GrowthMedium pressure - Service pipeconstant</t>
  </si>
  <si>
    <t>2015IDCapital ExpenditureSystem GrowthMedium pressure - Service pipenominal</t>
  </si>
  <si>
    <t>2015IDCapital ExpenditureSystem GrowthMedium pressure - Special crossingsconstant</t>
  </si>
  <si>
    <t>2015IDCapital ExpenditureSystem GrowthMedium pressure - Special crossingsnominal</t>
  </si>
  <si>
    <t>2015IDCapital ExpenditureSystem GrowthMedium pressure - Stationsconstant</t>
  </si>
  <si>
    <t>2015IDCapital ExpenditureSystem GrowthMedium pressure - Stationsnominal</t>
  </si>
  <si>
    <t>2015IDCapital ExpenditureSystem GrowthMedium pressure - totalconstant</t>
  </si>
  <si>
    <t>2015IDCapital ExpenditureSystem GrowthMedium pressure - totalnominal</t>
  </si>
  <si>
    <t>2015IDCapital ExpenditureSystem GrowthOther network assets - Cathodic protection systemsconstant</t>
  </si>
  <si>
    <t>2015IDCapital ExpenditureSystem GrowthOther network assets - Cathodic protection systemsnominal</t>
  </si>
  <si>
    <t>2015IDCapital ExpenditureSystem GrowthOther network assets - Monitoring and control systemsconstant</t>
  </si>
  <si>
    <t>2015IDCapital ExpenditureSystem GrowthOther network assets - Monitoring and control systemsnominal</t>
  </si>
  <si>
    <t>2015IDCapital ExpenditureSystem GrowthOther network assets - Other assets (other than above)constant</t>
  </si>
  <si>
    <t>2015IDCapital ExpenditureSystem GrowthOther network assets - Other assets (other than above)nominal</t>
  </si>
  <si>
    <t>2015IDCapital ExpenditureSystem GrowthOther network assets - totalconstant</t>
  </si>
  <si>
    <t>2015IDCapital ExpenditureSystem GrowthOther network assets - totalnominal</t>
  </si>
  <si>
    <t>2015IDCapital ExpenditureSystem GrowthSystem growth expenditureconstant</t>
  </si>
  <si>
    <t>2015IDCapital ExpenditureSystem GrowthSystem growth expenditurenominal</t>
  </si>
  <si>
    <t>2015IDCapital ExpenditureSystem GrowthSystem growth less capital contributionsconstant</t>
  </si>
  <si>
    <t>2015IDCapital ExpenditureSystem GrowthSystem growth less capital contributionsnominal</t>
  </si>
  <si>
    <t>2015IDNetwork and DemandSystem lengthSystem lengthNA</t>
  </si>
  <si>
    <t>2015IDNetwork and DemandCustomer numbersNumber of ICPs at year endNA</t>
  </si>
  <si>
    <t>2015IDNetwork and DemandGas deliveredAverage daily deliveryNA</t>
  </si>
  <si>
    <t>2015IDNetwork and DemandGas deliveredLoad factorNA</t>
  </si>
  <si>
    <t>2015IDNetwork and DemandGas deliveredMaximum daily loadNA</t>
  </si>
  <si>
    <t>2015IDNetwork and DemandGas deliveredMaximum monthly loadNA</t>
  </si>
  <si>
    <t>2015IDNetwork and DemandGas deliveredNumber of directly billed ICPsNA</t>
  </si>
  <si>
    <t>2015IDNetwork and DemandGas deliveredTotal gas conveyedNA</t>
  </si>
  <si>
    <t>2015AMP2014Operating ExpenditureAsset replacement and renewalAsset replacement and renewalconstant</t>
  </si>
  <si>
    <t>2015AMP2013Operating ExpenditureAsset replacement and renewalAsset replacement and renewalconstant</t>
  </si>
  <si>
    <t>2015AMP2015Operating ExpenditureAsset replacement and renewalAsset replacement and renewalconstant</t>
  </si>
  <si>
    <t>2015AMP2015Operating ExpenditureAsset replacement and renewalAsset replacement and renewalnominal</t>
  </si>
  <si>
    <t>2015AMP2014Operating ExpenditureAsset replacement and renewalAsset replacement and renewalnominal</t>
  </si>
  <si>
    <t>2015AMP2013Operating ExpenditureAsset replacement and renewalAsset replacement and renewalnominal</t>
  </si>
  <si>
    <t>2015AMP2015Operating ExpenditureBusiness supportBusiness supportconstant</t>
  </si>
  <si>
    <t>2015AMP2014Operating ExpenditureBusiness supportBusiness supportconstant</t>
  </si>
  <si>
    <t>2015AMP2013Operating ExpenditureBusiness supportBusiness supportconstant</t>
  </si>
  <si>
    <t>2015AMP2013Operating ExpenditureBusiness supportBusiness supportnominal</t>
  </si>
  <si>
    <t>2015AMP2015Operating ExpenditureBusiness supportBusiness supportnominal</t>
  </si>
  <si>
    <t>2015AMP2014Operating ExpenditureBusiness supportBusiness supportnominal</t>
  </si>
  <si>
    <t>2015AMP2014Operating ExpenditureExpenditure on subcomponentsInsuranceconstant</t>
  </si>
  <si>
    <t>2015AMP2015Operating ExpenditureExpenditure on subcomponentsInsuranceconstant</t>
  </si>
  <si>
    <t>2015AMP2013Operating ExpenditureExpenditure on subcomponentsInsuranceconstant</t>
  </si>
  <si>
    <t>2015AMP2014Operating ExpenditureExpenditure on subcomponentsResearch and developmentconstant</t>
  </si>
  <si>
    <t>2015AMP2015Operating ExpenditureExpenditure on subcomponentsResearch and developmentconstant</t>
  </si>
  <si>
    <t>2015AMP2013Operating ExpenditureExpenditure on subcomponentsResearch and developmentconstant</t>
  </si>
  <si>
    <t>2015AMP2013Operating ExpenditureNetwork opexNetwork opexconstant</t>
  </si>
  <si>
    <t>2015AMP2015Operating ExpenditureNetwork opexNetwork opexconstant</t>
  </si>
  <si>
    <t>2015AMP2014Operating ExpenditureNetwork opexNetwork opexconstant</t>
  </si>
  <si>
    <t>2015AMP2013Operating ExpenditureNetwork opexNetwork opexnominal</t>
  </si>
  <si>
    <t>2015AMP2014Operating ExpenditureNetwork opexNetwork opexnominal</t>
  </si>
  <si>
    <t>2015AMP2015Operating ExpenditureNetwork opexNetwork opexnominal</t>
  </si>
  <si>
    <t>2015AMP2013Operating ExpenditureNon-network opexNon-network opexconstant</t>
  </si>
  <si>
    <t>2015AMP2014Operating ExpenditureNon-network opexNon-network opexconstant</t>
  </si>
  <si>
    <t>2015AMP2015Operating ExpenditureNon-network opexNon-network opexconstant</t>
  </si>
  <si>
    <t>2015AMP2013Operating ExpenditureNon-network opexNon-network opexnominal</t>
  </si>
  <si>
    <t>2015AMP2015Operating ExpenditureNon-network opexNon-network opexnominal</t>
  </si>
  <si>
    <t>2015AMP2014Operating ExpenditureNon-network opexNon-network opexnominal</t>
  </si>
  <si>
    <t>2015AMP2015Operating ExpenditureResearch and developmentResearch and developmentconstant</t>
  </si>
  <si>
    <t>2015AMP2013Operating ExpenditureResearch and developmentResearch and developmentconstant</t>
  </si>
  <si>
    <t>2015AMP2014Operating ExpenditureResearch and developmentResearch and developmentconstant</t>
  </si>
  <si>
    <t>2015AMP2015Operating ExpenditureRoutine and corrective maintenance and inspectionRoutine and corrective maintenance and inspectionconstant</t>
  </si>
  <si>
    <t>2015AMP2013Operating ExpenditureRoutine and corrective maintenance and inspectionRoutine and corrective maintenance and inspectionconstant</t>
  </si>
  <si>
    <t>2015AMP2014Operating ExpenditureRoutine and corrective maintenance and inspectionRoutine and corrective maintenance and inspectionconstant</t>
  </si>
  <si>
    <t>2015AMP2013Operating ExpenditureRoutine and corrective maintenance and inspectionRoutine and corrective maintenance and inspectionnominal</t>
  </si>
  <si>
    <t>2015AMP2014Operating ExpenditureRoutine and corrective maintenance and inspectionRoutine and corrective maintenance and inspectionnominal</t>
  </si>
  <si>
    <t>2015AMP2015Operating ExpenditureRoutine and corrective maintenance and inspectionRoutine and corrective maintenance and inspectionnominal</t>
  </si>
  <si>
    <t>2015AMP2014Operating ExpenditureService interruptions, incidents and emergenciesService interruptions, incidents and emergenciesconstant</t>
  </si>
  <si>
    <t>2015AMP2015Operating ExpenditureService interruptions, incidents and emergenciesService interruptions, incidents and emergenciesconstant</t>
  </si>
  <si>
    <t>2015AMP2013Operating ExpenditureService interruptions, incidents and emergenciesService interruptions, incidents and emergenciesconstant</t>
  </si>
  <si>
    <t>2015AMP2015Operating ExpenditureService interruptions, incidents and emergenciesService interruptions, incidents and emergenciesnominal</t>
  </si>
  <si>
    <t>2015AMP2014Operating ExpenditureService interruptions, incidents and emergenciesService interruptions, incidents and emergenciesnominal</t>
  </si>
  <si>
    <t>2015AMP2013Operating ExpenditureService interruptions, incidents and emergenciesService interruptions, incidents and emergenciesnominal</t>
  </si>
  <si>
    <t>2015AMP2014Operating ExpenditureSystem operations and network supportSystem operations and network supportconstant</t>
  </si>
  <si>
    <t>2015AMP2015Operating ExpenditureSystem operations and network supportSystem operations and network supportconstant</t>
  </si>
  <si>
    <t>2015AMP2013Operating ExpenditureSystem operations and network supportSystem operations and network supportconstant</t>
  </si>
  <si>
    <t>2015AMP2014Operating ExpenditureSystem operations and network supportSystem operations and network supportnominal</t>
  </si>
  <si>
    <t>2015AMP2013Operating ExpenditureSystem operations and network supportSystem operations and network supportnominal</t>
  </si>
  <si>
    <t>2015AMP2015Operating ExpenditureSystem operations and network supportSystem operations and network supportnominal</t>
  </si>
  <si>
    <t>2015AMP2014Operating ExpenditureTotal opexOperational expenditureconstant</t>
  </si>
  <si>
    <t>2015AMP2015Operating ExpenditureTotal opexOperational expenditureconstant</t>
  </si>
  <si>
    <t>2015AMP2013Operating ExpenditureTotal opexOperational expenditureconstant</t>
  </si>
  <si>
    <t>2015AMP2014Operating ExpenditureTotal opexOperational expenditurenominal</t>
  </si>
  <si>
    <t>2015AMP2015Operating ExpenditureTotal opexOperational expenditurenominal</t>
  </si>
  <si>
    <t>2015AMP2013Operating ExpenditureTotal opexOperational expenditurenominal</t>
  </si>
  <si>
    <t>2015IDOperating ExpenditureAsset replacement and renewalAsset replacement and renewalconstant</t>
  </si>
  <si>
    <t>2015IDOperating ExpenditureAsset replacement and renewalAsset replacement and renewalnominal</t>
  </si>
  <si>
    <t>2015IDOperating ExpenditureBusiness supportBusiness supportconstant</t>
  </si>
  <si>
    <t>2015IDOperating ExpenditureBusiness supportBusiness supportnominal</t>
  </si>
  <si>
    <t>2015IDOperating ExpenditureNetwork opexNetwork opexconstant</t>
  </si>
  <si>
    <t>2015IDOperating ExpenditureNetwork opexNetwork opexnominal</t>
  </si>
  <si>
    <t>2015IDOperating ExpenditureNon-network opexNon-network opexconstant</t>
  </si>
  <si>
    <t>2015IDOperating ExpenditureNon-network opexNon-network opexnominal</t>
  </si>
  <si>
    <t>2015IDOperating ExpenditureRoutine and corrective maintenance and inspectionRoutine and corrective maintenance and inspectionconstant</t>
  </si>
  <si>
    <t>2015IDOperating ExpenditureRoutine and corrective maintenance and inspectionRoutine and corrective maintenance and inspectionnominal</t>
  </si>
  <si>
    <t>2015IDOperating ExpenditureService interruptions, incidents and emergenciesService interruptions, incidents and emergenciesconstant</t>
  </si>
  <si>
    <t>2015IDOperating ExpenditureService interruptions, incidents and emergenciesService interruptions, incidents and emergenciesnominal</t>
  </si>
  <si>
    <t>2015IDOperating ExpenditureSystem operations and network supportSystem operations and network supportconstant</t>
  </si>
  <si>
    <t>2015IDOperating ExpenditureSystem operations and network supportSystem operations and network supportnominal</t>
  </si>
  <si>
    <t>2015IDOperating ExpenditureTotal opexOperational expenditureconstant</t>
  </si>
  <si>
    <t>2015IDOperating ExpenditureTotal opexOperational expenditurenominal</t>
  </si>
  <si>
    <t>2015IDOther dataRelated party transactionsCapital expenditureconstant</t>
  </si>
  <si>
    <t>2015IDOther dataRelated party transactionsCapital expenditurenominal</t>
  </si>
  <si>
    <t>2015IDOther dataRelated party transactionsMarket value of asset disposalsconstant</t>
  </si>
  <si>
    <t>2015IDOther dataRelated party transactionsMarket value of asset disposalsnominal</t>
  </si>
  <si>
    <t>2015IDOther dataRelated party transactionsOperational expenditureconstant</t>
  </si>
  <si>
    <t>2015IDOther dataRelated party transactionsOperational expenditurenominal</t>
  </si>
  <si>
    <t>2015IDOther dataRelated party transactionsOther related party transactionsconstant</t>
  </si>
  <si>
    <t>2015IDOther dataRelated party transactionsOther related party transactionsnominal</t>
  </si>
  <si>
    <t>2015IDOther dataRelated party transactionsTotal regulatory incomeconstant</t>
  </si>
  <si>
    <t>2015IDOther dataRelated party transactionsTotal regulatory incomenominal</t>
  </si>
  <si>
    <t>2015IDRAB valueTotal closing RAB valueIntermediate pressure main pipelinesconstant</t>
  </si>
  <si>
    <t>2015IDRAB valueTotal closing RAB valueLine valveconstant</t>
  </si>
  <si>
    <t>2015IDRAB valueTotal closing RAB valueLow pressure main pipelinesconstant</t>
  </si>
  <si>
    <t>2015IDRAB valueTotal closing RAB valueMedium pressure main pipelinesconstant</t>
  </si>
  <si>
    <t>2015IDRAB valueTotal closing RAB valueOther network assetsconstant</t>
  </si>
  <si>
    <t>2015IDRAB valueTotal closing RAB valueService pipeconstant</t>
  </si>
  <si>
    <t>2015IDRAB valueTotal closing RAB valueSpecial crossingsconstant</t>
  </si>
  <si>
    <t>2015IDRAB valueTotal closing RAB valueStationsconstant</t>
  </si>
  <si>
    <t>2015IDRAB valueTotal closing RAB valueTotalconstant</t>
  </si>
  <si>
    <t>2015IDReliabilityInterruption rateInterruptions per 100 circuit kmNA</t>
  </si>
  <si>
    <t>2015IDReliabilityInterruptionsClass BNA</t>
  </si>
  <si>
    <t>2015IDReliabilityInterruptionsClass CNA</t>
  </si>
  <si>
    <t>2015IDReliabilityCAIDIAll interruptionsNA</t>
  </si>
  <si>
    <t>2015IDReliabilityCAIDIClass INA</t>
  </si>
  <si>
    <t>2015IDReliabilitySAIDIAll interruptionsNA</t>
  </si>
  <si>
    <t>2015IDReliabilitySAIDIClass INA</t>
  </si>
  <si>
    <t>2015IDReliabilitySAIFIAll interruptionsNA</t>
  </si>
  <si>
    <t>2015IDReliabilitySAIFIClass INA</t>
  </si>
  <si>
    <t>2015IDRevenue and ProfitabilityReturn on investmentReturn on Investment (post tax)NA</t>
  </si>
  <si>
    <t>2015IDRevenue and ProfitabilityReturn on investmentReturn on Investment (vanilla)NA</t>
  </si>
  <si>
    <t>2015IDRevenue and ProfitabilityExpensesOperational expenditureconstant</t>
  </si>
  <si>
    <t>2015IDRevenue and ProfitabilityExpensesOperational expenditurenominal</t>
  </si>
  <si>
    <t>2015IDRevenue and ProfitabilityExpensesPass-through and recoverable costsconstant</t>
  </si>
  <si>
    <t>2015IDRevenue and ProfitabilityExpensesPass-through and recoverable costsnominal</t>
  </si>
  <si>
    <t>2015IDRevenue and ProfitabilityOperating surplus / (deficit)Operating surplus / (deficit)constant</t>
  </si>
  <si>
    <t>2015IDRevenue and ProfitabilityOperating surplus / (deficit)Operating surplus / (deficit)nominal</t>
  </si>
  <si>
    <t>2015IDRevenue and ProfitabilityRegulatory profit / (loss)Regulatory profit / (loss)constant</t>
  </si>
  <si>
    <t>2015IDRevenue and ProfitabilityRegulatory profit / (loss)Regulatory profit / (loss)nominal</t>
  </si>
  <si>
    <t>2015IDRevenue and ProfitabilityRegulatory profit / (loss) before taxRegulatory profit / (loss) before taxconstant</t>
  </si>
  <si>
    <t>2015IDRevenue and ProfitabilityRegulatory profit / (loss) before taxRegulatory profit / (loss) before taxnominal</t>
  </si>
  <si>
    <t>2015IDRevenue and ProfitabilityTaxRegulatory tax allowanceconstant</t>
  </si>
  <si>
    <t>2015IDRevenue and ProfitabilityTaxRegulatory tax allowancenominal</t>
  </si>
  <si>
    <t>2015IDRevenue and ProfitabilityTerm credit spread differentialTerm credit spread differential allowanceconstant</t>
  </si>
  <si>
    <t>2015IDRevenue and ProfitabilityTerm credit spread differentialTerm credit spread differential allowancenominal</t>
  </si>
  <si>
    <t>2015IDRevenue and ProfitabilityTotal regulatory incomeGains / (losses) on asset disposalsconstant</t>
  </si>
  <si>
    <t>2015IDRevenue and ProfitabilityTotal regulatory incomeGains / (losses) on asset disposalsnominal</t>
  </si>
  <si>
    <t>2015IDRevenue and ProfitabilityTotal regulatory incomeLine charge revenueconstant</t>
  </si>
  <si>
    <t>2015IDRevenue and ProfitabilityTotal regulatory incomeLine charge revenuenominal</t>
  </si>
  <si>
    <t>2015IDRevenue and ProfitabilityTotal regulatory incomeOther regulatory incomeconstant</t>
  </si>
  <si>
    <t>2015IDRevenue and ProfitabilityTotal regulatory incomeOther regulatory incomenominal</t>
  </si>
  <si>
    <t>2015IDRevenue and ProfitabilityTotal regulatory incomeTotal regulatory incomeconstant</t>
  </si>
  <si>
    <t>2015IDRevenue and ProfitabilityTotal regulatory incomeTotal regulatory incomenominal</t>
  </si>
  <si>
    <t>2016AMP2016Capital ExpenditureAll assetsExpenditure on assetsconstant</t>
  </si>
  <si>
    <t>2016AMP2014Capital ExpenditureAll assetsExpenditure on assetsconstant</t>
  </si>
  <si>
    <t>2016AMP2013Capital ExpenditureAll assetsExpenditure on assetsconstant</t>
  </si>
  <si>
    <t>2016AMP2015Capital ExpenditureAll assetsExpenditure on assetsconstant</t>
  </si>
  <si>
    <t>2016AMP2013Capital ExpenditureAll assetsExpenditure on assetsnominal</t>
  </si>
  <si>
    <t>2016AMP2015Capital ExpenditureAll assetsExpenditure on assetsnominal</t>
  </si>
  <si>
    <t>2016AMP2016Capital ExpenditureAll assetsExpenditure on assetsnominal</t>
  </si>
  <si>
    <t>2016AMP2014Capital ExpenditureAll assetsExpenditure on assetsnominal</t>
  </si>
  <si>
    <t>2016AMP2013Capital ExpenditureAsset relocationsAsset relocationsconstant</t>
  </si>
  <si>
    <t>2016AMP2016Capital ExpenditureAsset relocationsAsset relocationsconstant</t>
  </si>
  <si>
    <t>2016AMP2014Capital ExpenditureAsset relocationsAsset relocationsconstant</t>
  </si>
  <si>
    <t>2016AMP2015Capital ExpenditureAsset relocationsAsset relocationsconstant</t>
  </si>
  <si>
    <t>2016AMP2014Capital ExpenditureAsset relocationsAsset relocationsnominal</t>
  </si>
  <si>
    <t>2016AMP2015Capital ExpenditureAsset relocationsAsset relocationsnominal</t>
  </si>
  <si>
    <t>2016AMP2013Capital ExpenditureAsset relocationsAsset relocationsnominal</t>
  </si>
  <si>
    <t>2016AMP2016Capital ExpenditureAsset relocationsAsset relocationsnominal</t>
  </si>
  <si>
    <t>2016AMP2015Capital ExpenditureAsset replacement and renewalAsset replacement and renewalconstant</t>
  </si>
  <si>
    <t>2016AMP2014Capital ExpenditureAsset replacement and renewalAsset replacement and renewalconstant</t>
  </si>
  <si>
    <t>2016AMP2013Capital ExpenditureAsset replacement and renewalAsset replacement and renewalconstant</t>
  </si>
  <si>
    <t>2016AMP2016Capital ExpenditureAsset replacement and renewalAsset replacement and renewalconstant</t>
  </si>
  <si>
    <t>2016AMP2014Capital ExpenditureAsset replacement and renewalAsset replacement and renewalnominal</t>
  </si>
  <si>
    <t>2016AMP2016Capital ExpenditureAsset replacement and renewalAsset replacement and renewalnominal</t>
  </si>
  <si>
    <t>2016AMP2013Capital ExpenditureAsset replacement and renewalAsset replacement and renewalnominal</t>
  </si>
  <si>
    <t>2016AMP2015Capital ExpenditureAsset replacement and renewalAsset replacement and renewalnominal</t>
  </si>
  <si>
    <t>2016AMP2016Capital ExpenditureAssets commissionedAssets commissionednominal</t>
  </si>
  <si>
    <t>2016AMP2015Capital ExpenditureAssets commissionedAssets commissionednominal</t>
  </si>
  <si>
    <t>2016AMP2014Capital ExpenditureCapital expenditure forecastCapital expenditure forecastnominal</t>
  </si>
  <si>
    <t>2016AMP2015Capital ExpenditureCapital expenditure forecastCapital expenditure forecastnominal</t>
  </si>
  <si>
    <t>2016AMP2013Capital ExpenditureCapital expenditure forecastCapital expenditure forecastnominal</t>
  </si>
  <si>
    <t>2016AMP2016Capital ExpenditureCapital expenditure forecastCapital expenditure forecastnominal</t>
  </si>
  <si>
    <t>2016AMP2015Capital ExpenditureConsumer connectionConsumer connectionconstant</t>
  </si>
  <si>
    <t>2016AMP2016Capital ExpenditureConsumer connectionConsumer connectionconstant</t>
  </si>
  <si>
    <t>2016AMP2013Capital ExpenditureConsumer connectionConsumer connectionconstant</t>
  </si>
  <si>
    <t>2016AMP2014Capital ExpenditureConsumer connectionConsumer connectionconstant</t>
  </si>
  <si>
    <t>2016AMP2013Capital ExpenditureConsumer connectionConsumer connectionnominal</t>
  </si>
  <si>
    <t>2016AMP2014Capital ExpenditureConsumer connectionConsumer connectionnominal</t>
  </si>
  <si>
    <t>2016AMP2016Capital ExpenditureConsumer connectionConsumer connectionnominal</t>
  </si>
  <si>
    <t>2016AMP2015Capital ExpenditureConsumer connectionConsumer connectionnominal</t>
  </si>
  <si>
    <t>2016AMP2013Capital ExpenditureCost of financingCost of financingnominal</t>
  </si>
  <si>
    <t>2016AMP2014Capital ExpenditureCost of financingCost of financingnominal</t>
  </si>
  <si>
    <t>2016AMP2016Capital ExpenditureCost of financingCost of financingnominal</t>
  </si>
  <si>
    <t>2016AMP2015Capital ExpenditureCost of financingCost of financingnominal</t>
  </si>
  <si>
    <t>2016AMP2014Capital ExpenditureExpenditure on subcomponentsResearch and developmentconstant</t>
  </si>
  <si>
    <t>2016AMP2016Capital ExpenditureExpenditure on subcomponentsResearch and developmentconstant</t>
  </si>
  <si>
    <t>2016AMP2015Capital ExpenditureExpenditure on subcomponentsResearch and developmentconstant</t>
  </si>
  <si>
    <t>2016AMP2013Capital ExpenditureExpenditure on subcomponentsResearch and developmentconstant</t>
  </si>
  <si>
    <t>2016AMP2013Capital ExpenditureNetwork assetsExpenditure on network assetsconstant</t>
  </si>
  <si>
    <t>2016AMP2016Capital ExpenditureNetwork assetsExpenditure on network assetsconstant</t>
  </si>
  <si>
    <t>2016AMP2015Capital ExpenditureNetwork assetsExpenditure on network assetsconstant</t>
  </si>
  <si>
    <t>2016AMP2014Capital ExpenditureNetwork assetsExpenditure on network assetsconstant</t>
  </si>
  <si>
    <t>2016AMP2015Capital ExpenditureNetwork assetsExpenditure on network assetsnominal</t>
  </si>
  <si>
    <t>2016AMP2016Capital ExpenditureNetwork assetsExpenditure on network assetsnominal</t>
  </si>
  <si>
    <t>2016AMP2014Capital ExpenditureNetwork assetsExpenditure on network assetsnominal</t>
  </si>
  <si>
    <t>2016AMP2013Capital ExpenditureNetwork assetsExpenditure on network assetsnominal</t>
  </si>
  <si>
    <t>2016AMP2015Capital ExpenditureNon-network assetsNon-network assetsconstant</t>
  </si>
  <si>
    <t>2016AMP2014Capital ExpenditureNon-network assetsNon-network assetsconstant</t>
  </si>
  <si>
    <t>2016AMP2016Capital ExpenditureNon-network assetsNon-network assetsconstant</t>
  </si>
  <si>
    <t>2016AMP2013Capital ExpenditureNon-network assetsNon-network assetsconstant</t>
  </si>
  <si>
    <t>2016AMP2016Capital ExpenditureNon-network assetsNon-network assetsnominal</t>
  </si>
  <si>
    <t>2016AMP2014Capital ExpenditureNon-network assetsNon-network assetsnominal</t>
  </si>
  <si>
    <t>2016AMP2013Capital ExpenditureNon-network assetsNon-network assetsnominal</t>
  </si>
  <si>
    <t>2016AMP2015Capital ExpenditureNon-network assetsNon-network assetsnominal</t>
  </si>
  <si>
    <t>2016AMP2016Capital ExpenditureReliability, safety and environmentLegislative and regulatoryconstant</t>
  </si>
  <si>
    <t>2016AMP2014Capital ExpenditureReliability, safety and environmentLegislative and regulatoryconstant</t>
  </si>
  <si>
    <t>2016AMP2015Capital ExpenditureReliability, safety and environmentLegislative and regulatoryconstant</t>
  </si>
  <si>
    <t>2016AMP2013Capital ExpenditureReliability, safety and environmentLegislative and regulatoryconstant</t>
  </si>
  <si>
    <t>2016AMP2014Capital ExpenditureReliability, safety and environmentLegislative and regulatorynominal</t>
  </si>
  <si>
    <t>2016AMP2016Capital ExpenditureReliability, safety and environmentLegislative and regulatorynominal</t>
  </si>
  <si>
    <t>2016AMP2013Capital ExpenditureReliability, safety and environmentLegislative and regulatorynominal</t>
  </si>
  <si>
    <t>2016AMP2015Capital ExpenditureReliability, safety and environmentLegislative and regulatorynominal</t>
  </si>
  <si>
    <t>2016AMP2015Capital ExpenditureReliability, safety and environmentOther reliability, safety and environmentconstant</t>
  </si>
  <si>
    <t>2016AMP2013Capital ExpenditureReliability, safety and environmentOther reliability, safety and environmentconstant</t>
  </si>
  <si>
    <t>2016AMP2014Capital ExpenditureReliability, safety and environmentOther reliability, safety and environmentconstant</t>
  </si>
  <si>
    <t>2016AMP2016Capital ExpenditureReliability, safety and environmentOther reliability, safety and environmentconstant</t>
  </si>
  <si>
    <t>2016AMP2015Capital ExpenditureReliability, safety and environmentOther reliability, safety and environmentnominal</t>
  </si>
  <si>
    <t>2016AMP2013Capital ExpenditureReliability, safety and environmentOther reliability, safety and environmentnominal</t>
  </si>
  <si>
    <t>2016AMP2016Capital ExpenditureReliability, safety and environmentOther reliability, safety and environmentnominal</t>
  </si>
  <si>
    <t>2016AMP2014Capital ExpenditureReliability, safety and environmentOther reliability, safety and environmentnominal</t>
  </si>
  <si>
    <t>2016AMP2013Capital ExpenditureReliability, safety and environmentQuality of supplyconstant</t>
  </si>
  <si>
    <t>2016AMP2015Capital ExpenditureReliability, safety and environmentQuality of supplyconstant</t>
  </si>
  <si>
    <t>2016AMP2016Capital ExpenditureReliability, safety and environmentQuality of supplyconstant</t>
  </si>
  <si>
    <t>2016AMP2014Capital ExpenditureReliability, safety and environmentQuality of supplyconstant</t>
  </si>
  <si>
    <t>2016AMP2014Capital ExpenditureReliability, safety and environmentQuality of supplynominal</t>
  </si>
  <si>
    <t>2016AMP2015Capital ExpenditureReliability, safety and environmentQuality of supplynominal</t>
  </si>
  <si>
    <t>2016AMP2013Capital ExpenditureReliability, safety and environmentQuality of supplynominal</t>
  </si>
  <si>
    <t>2016AMP2016Capital ExpenditureReliability, safety and environmentQuality of supplynominal</t>
  </si>
  <si>
    <t>2016AMP2015Capital ExpenditureReliability, safety and environmentTotal reliability, safety and environmentconstant</t>
  </si>
  <si>
    <t>2016AMP2013Capital ExpenditureReliability, safety and environmentTotal reliability, safety and environmentconstant</t>
  </si>
  <si>
    <t>2016AMP2014Capital ExpenditureReliability, safety and environmentTotal reliability, safety and environmentconstant</t>
  </si>
  <si>
    <t>2016AMP2016Capital ExpenditureReliability, safety and environmentTotal reliability, safety and environmentconstant</t>
  </si>
  <si>
    <t>2016AMP2013Capital ExpenditureReliability, safety and environmentTotal reliability, safety and environmentnominal</t>
  </si>
  <si>
    <t>2016AMP2014Capital ExpenditureReliability, safety and environmentTotal reliability, safety and environmentnominal</t>
  </si>
  <si>
    <t>2016AMP2016Capital ExpenditureReliability, safety and environmentTotal reliability, safety and environmentnominal</t>
  </si>
  <si>
    <t>2016AMP2015Capital ExpenditureReliability, safety and environmentTotal reliability, safety and environmentnominal</t>
  </si>
  <si>
    <t>2016AMP2016Capital ExpenditureSystem growthSystem growthconstant</t>
  </si>
  <si>
    <t>2016AMP2013Capital ExpenditureSystem growthSystem growthconstant</t>
  </si>
  <si>
    <t>2016AMP2015Capital ExpenditureSystem growthSystem growthconstant</t>
  </si>
  <si>
    <t>2016AMP2014Capital ExpenditureSystem growthSystem growthconstant</t>
  </si>
  <si>
    <t>2016AMP2013Capital ExpenditureSystem growthSystem growthnominal</t>
  </si>
  <si>
    <t>2016AMP2014Capital ExpenditureSystem growthSystem growthnominal</t>
  </si>
  <si>
    <t>2016AMP2015Capital ExpenditureSystem growthSystem growthnominal</t>
  </si>
  <si>
    <t>2016AMP2016Capital ExpenditureSystem growthSystem growthnominal</t>
  </si>
  <si>
    <t>2016AMP2015Capital ExpenditureValue of capital contributionsValue of capital contributionsnominal</t>
  </si>
  <si>
    <t>2016AMP2016Capital ExpenditureValue of capital contributionsValue of capital contributionsnominal</t>
  </si>
  <si>
    <t>2016AMP2014Capital ExpenditureValue of capital contributionsValue of capital contributionsnominal</t>
  </si>
  <si>
    <t>2016AMP2013Capital ExpenditureValue of capital contributionsValue of capital contributionsnominal</t>
  </si>
  <si>
    <t>2016AMP2013Capital ExpenditureValue of commissioned assetsValue of commissioned assetsnominal</t>
  </si>
  <si>
    <t>2016AMP2014Capital ExpenditureValue of commissioned assetsValue of commissioned assetsnominal</t>
  </si>
  <si>
    <t>2016AMP2013Capital ExpenditureValue of vested assetsValue of vested assetsnominal</t>
  </si>
  <si>
    <t>2016AMP2015Capital ExpenditureValue of vested assetsValue of vested assetsnominal</t>
  </si>
  <si>
    <t>2016AMP2016Capital ExpenditureValue of vested assetsValue of vested assetsnominal</t>
  </si>
  <si>
    <t>2016AMP2014Capital ExpenditureValue of vested assetsValue of vested assetsnominal</t>
  </si>
  <si>
    <t>2016AMP2015Capital ExpenditureAsset replacement and renewalAsset replacement and renewal expenditure - Asset replacement and renewal expenditureconstant</t>
  </si>
  <si>
    <t>2016AMP2016Capital ExpenditureAsset replacement and renewalAsset replacement and renewal expenditure - Asset replacement and renewal expenditureconstant</t>
  </si>
  <si>
    <t>2016AMP2013Capital ExpenditureAsset replacement and renewalAsset replacement and renewal expenditure - Asset replacement and renewal expenditureconstant</t>
  </si>
  <si>
    <t>2016AMP2014Capital ExpenditureAsset replacement and renewalAsset replacement and renewal expenditure - Asset replacement and renewal expenditureconstant</t>
  </si>
  <si>
    <t>2016AMP2016Capital ExpenditureAsset replacement and renewalAsset replacement and renewal expenditure - Capital contributions funding asset replacement and renewalconstant</t>
  </si>
  <si>
    <t>2016AMP2015Capital ExpenditureAsset replacement and renewalAsset replacement and renewal expenditure - Capital contributions funding asset replacement and renewalconstant</t>
  </si>
  <si>
    <t>2016AMP2013Capital ExpenditureAsset replacement and renewalAsset replacement and renewal expenditure - Capital contributions funding asset replacement and renewalconstant</t>
  </si>
  <si>
    <t>2016AMP2014Capital ExpenditureAsset replacement and renewalAsset replacement and renewal expenditure - Capital contributions funding asset replacement and renewalconstant</t>
  </si>
  <si>
    <t>2016AMP2015Capital ExpenditureAsset replacement and renewalAsset replacement and renewal less capital contributions - Asset replacement and renewal less capital contributionsconstant</t>
  </si>
  <si>
    <t>2016AMP2014Capital ExpenditureAsset replacement and renewalAsset replacement and renewal less capital contributions - Asset replacement and renewal less capital contributionsconstant</t>
  </si>
  <si>
    <t>2016AMP2013Capital ExpenditureAsset replacement and renewalAsset replacement and renewal less capital contributions - Asset replacement and renewal less capital contributionsconstant</t>
  </si>
  <si>
    <t>2016AMP2016Capital ExpenditureAsset replacement and renewalAsset replacement and renewal less capital contributions - Asset replacement and renewal less capital contributionsconstant</t>
  </si>
  <si>
    <t>2016AMP2013Capital ExpenditureAsset replacement and renewalIntermediate pressure - Intermediate Pressure totalconstant</t>
  </si>
  <si>
    <t>2016AMP2015Capital ExpenditureAsset replacement and renewalIntermediate pressure - Intermediate Pressure totalconstant</t>
  </si>
  <si>
    <t>2016AMP2014Capital ExpenditureAsset replacement and renewalIntermediate pressure - Intermediate Pressure totalconstant</t>
  </si>
  <si>
    <t>2016AMP2016Capital ExpenditureAsset replacement and renewalIntermediate pressure - Intermediate Pressure totalconstant</t>
  </si>
  <si>
    <t>2016AMP2016Capital ExpenditureAsset replacement and renewalIntermediate pressure - Line valveconstant</t>
  </si>
  <si>
    <t>2016AMP2014Capital ExpenditureAsset replacement and renewalIntermediate pressure - Line valveconstant</t>
  </si>
  <si>
    <t>2016AMP2013Capital ExpenditureAsset replacement and renewalIntermediate pressure - Line valveconstant</t>
  </si>
  <si>
    <t>2016AMP2015Capital ExpenditureAsset replacement and renewalIntermediate pressure - Line valveconstant</t>
  </si>
  <si>
    <t>2016AMP2013Capital ExpenditureAsset replacement and renewalIntermediate pressure - Main pipeconstant</t>
  </si>
  <si>
    <t>2016AMP2014Capital ExpenditureAsset replacement and renewalIntermediate pressure - Main pipeconstant</t>
  </si>
  <si>
    <t>2016AMP2015Capital ExpenditureAsset replacement and renewalIntermediate pressure - Main pipeconstant</t>
  </si>
  <si>
    <t>2016AMP2016Capital ExpenditureAsset replacement and renewalIntermediate pressure - Main pipeconstant</t>
  </si>
  <si>
    <t>2016AMP2014Capital ExpenditureAsset replacement and renewalIntermediate pressure - Service pipeconstant</t>
  </si>
  <si>
    <t>2016AMP2013Capital ExpenditureAsset replacement and renewalIntermediate pressure - Service pipeconstant</t>
  </si>
  <si>
    <t>2016AMP2016Capital ExpenditureAsset replacement and renewalIntermediate pressure - Service pipeconstant</t>
  </si>
  <si>
    <t>2016AMP2015Capital ExpenditureAsset replacement and renewalIntermediate pressure - Service pipeconstant</t>
  </si>
  <si>
    <t>2016AMP2016Capital ExpenditureAsset replacement and renewalIntermediate pressure - Special crossingsconstant</t>
  </si>
  <si>
    <t>2016AMP2015Capital ExpenditureAsset replacement and renewalIntermediate pressure - Special crossingsconstant</t>
  </si>
  <si>
    <t>2016AMP2014Capital ExpenditureAsset replacement and renewalIntermediate pressure - Special crossingsconstant</t>
  </si>
  <si>
    <t>2016AMP2013Capital ExpenditureAsset replacement and renewalIntermediate pressure - Special crossingsconstant</t>
  </si>
  <si>
    <t>2016AMP2013Capital ExpenditureAsset replacement and renewalIntermediate pressure - Stationsconstant</t>
  </si>
  <si>
    <t>2016AMP2014Capital ExpenditureAsset replacement and renewalIntermediate pressure - Stationsconstant</t>
  </si>
  <si>
    <t>2016AMP2016Capital ExpenditureAsset replacement and renewalIntermediate pressure - Stationsconstant</t>
  </si>
  <si>
    <t>2016AMP2015Capital ExpenditureAsset replacement and renewalIntermediate pressure - Stationsconstant</t>
  </si>
  <si>
    <t>2016AMP2015Capital ExpenditureAsset replacement and renewalLow Pressure - Line valveconstant</t>
  </si>
  <si>
    <t>2016AMP2014Capital ExpenditureAsset replacement and renewalLow Pressure - Line valveconstant</t>
  </si>
  <si>
    <t>2016AMP2016Capital ExpenditureAsset replacement and renewalLow Pressure - Line valveconstant</t>
  </si>
  <si>
    <t>2016AMP2013Capital ExpenditureAsset replacement and renewalLow Pressure - Line valveconstant</t>
  </si>
  <si>
    <t>2016AMP2016Capital ExpenditureAsset replacement and renewalLow Pressure - Low Pressure totalconstant</t>
  </si>
  <si>
    <t>2016AMP2015Capital ExpenditureAsset replacement and renewalLow Pressure - Low Pressure totalconstant</t>
  </si>
  <si>
    <t>2016AMP2013Capital ExpenditureAsset replacement and renewalLow Pressure - Low Pressure totalconstant</t>
  </si>
  <si>
    <t>2016AMP2014Capital ExpenditureAsset replacement and renewalLow Pressure - Low Pressure totalconstant</t>
  </si>
  <si>
    <t>2016AMP2014Capital ExpenditureAsset replacement and renewalLow Pressure - Main pipeconstant</t>
  </si>
  <si>
    <t>2016AMP2013Capital ExpenditureAsset replacement and renewalLow Pressure - Main pipeconstant</t>
  </si>
  <si>
    <t>2016AMP2015Capital ExpenditureAsset replacement and renewalLow Pressure - Main pipeconstant</t>
  </si>
  <si>
    <t>2016AMP2016Capital ExpenditureAsset replacement and renewalLow Pressure - Main pipeconstant</t>
  </si>
  <si>
    <t>2016AMP2016Capital ExpenditureAsset replacement and renewalLow Pressure - Service pipeconstant</t>
  </si>
  <si>
    <t>2016AMP2013Capital ExpenditureAsset replacement and renewalLow Pressure - Service pipeconstant</t>
  </si>
  <si>
    <t>2016AMP2014Capital ExpenditureAsset replacement and renewalLow Pressure - Service pipeconstant</t>
  </si>
  <si>
    <t>2016AMP2015Capital ExpenditureAsset replacement and renewalLow Pressure - Service pipeconstant</t>
  </si>
  <si>
    <t>2016AMP2015Capital ExpenditureAsset replacement and renewalLow Pressure - Special crossingsconstant</t>
  </si>
  <si>
    <t>2016AMP2014Capital ExpenditureAsset replacement and renewalLow Pressure - Special crossingsconstant</t>
  </si>
  <si>
    <t>2016AMP2013Capital ExpenditureAsset replacement and renewalLow Pressure - Special crossingsconstant</t>
  </si>
  <si>
    <t>2016AMP2016Capital ExpenditureAsset replacement and renewalLow Pressure - Special crossingsconstant</t>
  </si>
  <si>
    <t>2016AMP2013Capital ExpenditureAsset replacement and renewalMedium pressure - Line valveconstant</t>
  </si>
  <si>
    <t>2016AMP2014Capital ExpenditureAsset replacement and renewalMedium pressure - Line valveconstant</t>
  </si>
  <si>
    <t>2016AMP2015Capital ExpenditureAsset replacement and renewalMedium pressure - Line valveconstant</t>
  </si>
  <si>
    <t>2016AMP2016Capital ExpenditureAsset replacement and renewalMedium pressure - Line valveconstant</t>
  </si>
  <si>
    <t>2016AMP2016Capital ExpenditureAsset replacement and renewalMedium pressure - Main pipeconstant</t>
  </si>
  <si>
    <t>2016AMP2013Capital ExpenditureAsset replacement and renewalMedium pressure - Main pipeconstant</t>
  </si>
  <si>
    <t>2016AMP2015Capital ExpenditureAsset replacement and renewalMedium pressure - Main pipeconstant</t>
  </si>
  <si>
    <t>2016AMP2014Capital ExpenditureAsset replacement and renewalMedium pressure - Main pipeconstant</t>
  </si>
  <si>
    <t>2016AMP2016Capital ExpenditureAsset replacement and renewalMedium pressure - Medium Pressure totalconstant</t>
  </si>
  <si>
    <t>2016AMP2013Capital ExpenditureAsset replacement and renewalMedium pressure - Medium Pressure totalconstant</t>
  </si>
  <si>
    <t>2016AMP2015Capital ExpenditureAsset replacement and renewalMedium pressure - Medium Pressure totalconstant</t>
  </si>
  <si>
    <t>2016AMP2014Capital ExpenditureAsset replacement and renewalMedium pressure - Medium Pressure totalconstant</t>
  </si>
  <si>
    <t>2016AMP2013Capital ExpenditureAsset replacement and renewalMedium pressure - Service pipeconstant</t>
  </si>
  <si>
    <t>2016AMP2015Capital ExpenditureAsset replacement and renewalMedium pressure - Service pipeconstant</t>
  </si>
  <si>
    <t>2016AMP2016Capital ExpenditureAsset replacement and renewalMedium pressure - Service pipeconstant</t>
  </si>
  <si>
    <t>2016AMP2014Capital ExpenditureAsset replacement and renewalMedium pressure - Service pipeconstant</t>
  </si>
  <si>
    <t>2016AMP2015Capital ExpenditureAsset replacement and renewalMedium pressure - Special crossingsconstant</t>
  </si>
  <si>
    <t>2016AMP2014Capital ExpenditureAsset replacement and renewalMedium pressure - Special crossingsconstant</t>
  </si>
  <si>
    <t>2016AMP2016Capital ExpenditureAsset replacement and renewalMedium pressure - Special crossingsconstant</t>
  </si>
  <si>
    <t>2016AMP2013Capital ExpenditureAsset replacement and renewalMedium pressure - Special crossingsconstant</t>
  </si>
  <si>
    <t>2016AMP2013Capital ExpenditureAsset replacement and renewalMedium pressure - Stationconstant</t>
  </si>
  <si>
    <t>2016AMP2016Capital ExpenditureAsset replacement and renewalMedium pressure - Stationconstant</t>
  </si>
  <si>
    <t>2016AMP2015Capital ExpenditureAsset replacement and renewalMedium pressure - Stationconstant</t>
  </si>
  <si>
    <t>2016AMP2014Capital ExpenditureAsset replacement and renewalMedium pressure - Stationconstant</t>
  </si>
  <si>
    <t>2016AMP2013Capital ExpenditureAsset replacement and renewalOther assets - Cathodic protection systemsconstant</t>
  </si>
  <si>
    <t>2016AMP2014Capital ExpenditureAsset replacement and renewalOther assets - Cathodic protection systemsconstant</t>
  </si>
  <si>
    <t>2016AMP2013Capital ExpenditureAsset replacement and renewalOther assets - Monitoring and control systemsconstant</t>
  </si>
  <si>
    <t>2016AMP2014Capital ExpenditureAsset replacement and renewalOther assets - Monitoring and control systemsconstant</t>
  </si>
  <si>
    <t>2016AMP2013Capital ExpenditureAsset replacement and renewalOther assets - Other assets (other than above)constant</t>
  </si>
  <si>
    <t>2016AMP2014Capital ExpenditureAsset replacement and renewalOther assets - Other assets (other than above)constant</t>
  </si>
  <si>
    <t>2016AMP2014Capital ExpenditureAsset replacement and renewalOther assets - Other totalconstant</t>
  </si>
  <si>
    <t>2016AMP2013Capital ExpenditureAsset replacement and renewalOther assets - Other totalconstant</t>
  </si>
  <si>
    <t>2016AMP2016Capital ExpenditureAsset replacement and renewalOther network assets - Cathodic protection systemsconstant</t>
  </si>
  <si>
    <t>2016AMP2015Capital ExpenditureAsset replacement and renewalOther network assets - Cathodic protection systemsconstant</t>
  </si>
  <si>
    <t>2016AMP2016Capital ExpenditureAsset replacement and renewalOther network assets - Monitoring and control systemsconstant</t>
  </si>
  <si>
    <t>2016AMP2015Capital ExpenditureAsset replacement and renewalOther network assets - Monitoring and control systemsconstant</t>
  </si>
  <si>
    <t>2016AMP2015Capital ExpenditureAsset replacement and renewalOther network assets - Other assets (other than above)constant</t>
  </si>
  <si>
    <t>2016AMP2016Capital ExpenditureAsset replacement and renewalOther network assets - Other assets (other than above)constant</t>
  </si>
  <si>
    <t>2016AMP2016Capital ExpenditureAsset replacement and renewalOther network assets - Other network assets totalconstant</t>
  </si>
  <si>
    <t>2016AMP2015Capital ExpenditureAsset replacement and renewalOther network assets - Other network assets totalconstant</t>
  </si>
  <si>
    <t>2016IDCapital ExpenditureAll assetsExpenditure on assetsconstant</t>
  </si>
  <si>
    <t>2016IDCapital ExpenditureAll assetsExpenditure on assetsnominal</t>
  </si>
  <si>
    <t>2016IDCapital ExpenditureAsset relocationsAsset relocationsconstant</t>
  </si>
  <si>
    <t>2016IDCapital ExpenditureAsset relocationsAsset relocationsnominal</t>
  </si>
  <si>
    <t>2016IDCapital ExpenditureAsset replacement and renewalAsset replacement and renewalconstant</t>
  </si>
  <si>
    <t>2016IDCapital ExpenditureAsset replacement and renewalAsset replacement and renewalnominal</t>
  </si>
  <si>
    <t>2016IDCapital ExpenditureCapital expenditureCapital expenditureconstant</t>
  </si>
  <si>
    <t>2016IDCapital ExpenditureCapital expenditureCapital expenditurenominal</t>
  </si>
  <si>
    <t>2016IDCapital ExpenditureConsumer connectionConsumer connectionconstant</t>
  </si>
  <si>
    <t>2016IDCapital ExpenditureConsumer connectionConsumer connectionnominal</t>
  </si>
  <si>
    <t>2016IDCapital ExpenditureCost of financingCost of financingconstant</t>
  </si>
  <si>
    <t>2016IDCapital ExpenditureCost of financingCost of financingnominal</t>
  </si>
  <si>
    <t>2016IDCapital ExpenditureNetwork assetsExpenditure on network assetsconstant</t>
  </si>
  <si>
    <t>2016IDCapital ExpenditureNetwork assetsExpenditure on network assetsnominal</t>
  </si>
  <si>
    <t>2016IDCapital ExpenditureNon-network assetsNon-network assetsconstant</t>
  </si>
  <si>
    <t>2016IDCapital ExpenditureNon-network assetsNon-network assetsnominal</t>
  </si>
  <si>
    <t>2016IDCapital ExpenditureReliability, safety and environmentLegislative and regulatoryconstant</t>
  </si>
  <si>
    <t>2016IDCapital ExpenditureReliability, safety and environmentLegislative and regulatorynominal</t>
  </si>
  <si>
    <t>2016IDCapital ExpenditureReliability, safety and environmentOther reliability, safety and environmentconstant</t>
  </si>
  <si>
    <t>2016IDCapital ExpenditureReliability, safety and environmentOther reliability, safety and environmentnominal</t>
  </si>
  <si>
    <t>2016IDCapital ExpenditureReliability, safety and environmentQuality of supplyconstant</t>
  </si>
  <si>
    <t>2016IDCapital ExpenditureReliability, safety and environmentQuality of supplynominal</t>
  </si>
  <si>
    <t>2016IDCapital ExpenditureReliability, safety and environmentTotal reliability, safety and environmentconstant</t>
  </si>
  <si>
    <t>2016IDCapital ExpenditureReliability, safety and environmentTotal reliability, safety and environmentnominal</t>
  </si>
  <si>
    <t>2016IDCapital ExpenditureSystem growthSystem growthconstant</t>
  </si>
  <si>
    <t>2016IDCapital ExpenditureSystem growthSystem growthnominal</t>
  </si>
  <si>
    <t>2016IDCapital ExpenditureValue of capital contributionsValue of capital contributionsconstant</t>
  </si>
  <si>
    <t>2016IDCapital ExpenditureValue of capital contributionsValue of capital contributionsnominal</t>
  </si>
  <si>
    <t>2016IDCapital ExpenditureValue of vested assetsValue of vested assetsconstant</t>
  </si>
  <si>
    <t>2016IDCapital ExpenditureValue of vested assetsValue of vested assetsnominal</t>
  </si>
  <si>
    <t>2016IDCapital ExpenditureAsset Replacement and RenewalAsset replacement and renewal expenditureconstant</t>
  </si>
  <si>
    <t>2016IDCapital ExpenditureAsset Replacement and RenewalAsset replacement and renewal expenditurenominal</t>
  </si>
  <si>
    <t>2016IDCapital ExpenditureAsset Replacement and RenewalAsset replacement and renewal less capital contributionsconstant</t>
  </si>
  <si>
    <t>2016IDCapital ExpenditureAsset Replacement and RenewalAsset replacement and renewal less capital contributionsnominal</t>
  </si>
  <si>
    <t>2016IDCapital ExpenditureAsset Replacement and RenewalCapital contributions funding asset replacement and renewalconstant</t>
  </si>
  <si>
    <t>2016IDCapital ExpenditureAsset Replacement and RenewalCapital contributions funding asset replacement and renewalnominal</t>
  </si>
  <si>
    <t>2016IDCapital ExpenditureAsset Replacement and RenewalIntermediate pressure - Line valveconstant</t>
  </si>
  <si>
    <t>2016IDCapital ExpenditureAsset Replacement and RenewalIntermediate pressure - Line valvenominal</t>
  </si>
  <si>
    <t>2016IDCapital ExpenditureAsset Replacement and RenewalIntermediate pressure - Main pipeconstant</t>
  </si>
  <si>
    <t>2016IDCapital ExpenditureAsset Replacement and RenewalIntermediate pressure - Main pipenominal</t>
  </si>
  <si>
    <t>2016IDCapital ExpenditureAsset Replacement and RenewalIntermediate pressure - Service pipeconstant</t>
  </si>
  <si>
    <t>2016IDCapital ExpenditureAsset Replacement and RenewalIntermediate pressure - Service pipenominal</t>
  </si>
  <si>
    <t>2016IDCapital ExpenditureAsset Replacement and RenewalIntermediate pressure - Special crossingsconstant</t>
  </si>
  <si>
    <t>2016IDCapital ExpenditureAsset Replacement and RenewalIntermediate pressure - Special crossingsnominal</t>
  </si>
  <si>
    <t>2016IDCapital ExpenditureAsset Replacement and RenewalIntermediate pressure - Stationsconstant</t>
  </si>
  <si>
    <t>2016IDCapital ExpenditureAsset Replacement and RenewalIntermediate pressure - Stationsnominal</t>
  </si>
  <si>
    <t>2016IDCapital ExpenditureAsset Replacement and RenewalIntermediate pressure -totalconstant</t>
  </si>
  <si>
    <t>2016IDCapital ExpenditureAsset Replacement and RenewalIntermediate pressure -totalnominal</t>
  </si>
  <si>
    <t>2016IDCapital ExpenditureAsset Replacement and RenewalLow pressure - Line valveconstant</t>
  </si>
  <si>
    <t>2016IDCapital ExpenditureAsset Replacement and RenewalLow pressure - Line valvenominal</t>
  </si>
  <si>
    <t>2016IDCapital ExpenditureAsset Replacement and RenewalLow pressure - Main pipeconstant</t>
  </si>
  <si>
    <t>2016IDCapital ExpenditureAsset Replacement and RenewalLow pressure - Main pipenominal</t>
  </si>
  <si>
    <t>2016IDCapital ExpenditureAsset Replacement and RenewalLow pressure - Service pipeconstant</t>
  </si>
  <si>
    <t>2016IDCapital ExpenditureAsset Replacement and RenewalLow pressure - Service pipenominal</t>
  </si>
  <si>
    <t>2016IDCapital ExpenditureAsset Replacement and RenewalLow pressure - Special crossingsconstant</t>
  </si>
  <si>
    <t>2016IDCapital ExpenditureAsset Replacement and RenewalLow pressure - Special crossingsnominal</t>
  </si>
  <si>
    <t>2016IDCapital ExpenditureAsset Replacement and RenewalLow pressure - totalconstant</t>
  </si>
  <si>
    <t>2016IDCapital ExpenditureAsset Replacement and RenewalLow pressure - totalnominal</t>
  </si>
  <si>
    <t>2016IDCapital ExpenditureAsset Replacement and RenewalMedium pressure - Line valveconstant</t>
  </si>
  <si>
    <t>2016IDCapital ExpenditureAsset Replacement and RenewalMedium pressure - Line valvenominal</t>
  </si>
  <si>
    <t>2016IDCapital ExpenditureAsset Replacement and RenewalMedium pressure - Main pipeconstant</t>
  </si>
  <si>
    <t>2016IDCapital ExpenditureAsset Replacement and RenewalMedium pressure - Main pipenominal</t>
  </si>
  <si>
    <t>2016IDCapital ExpenditureAsset Replacement and RenewalMedium pressure - Service pipeconstant</t>
  </si>
  <si>
    <t>2016IDCapital ExpenditureAsset Replacement and RenewalMedium pressure - Service pipenominal</t>
  </si>
  <si>
    <t>2016IDCapital ExpenditureAsset Replacement and RenewalMedium pressure - Special crossingsconstant</t>
  </si>
  <si>
    <t>2016IDCapital ExpenditureAsset Replacement and RenewalMedium pressure - Special crossingsnominal</t>
  </si>
  <si>
    <t>2016IDCapital ExpenditureAsset Replacement and RenewalMedium pressure - Stationsconstant</t>
  </si>
  <si>
    <t>2016IDCapital ExpenditureAsset Replacement and RenewalMedium pressure - Stationsnominal</t>
  </si>
  <si>
    <t>2016IDCapital ExpenditureAsset Replacement and RenewalMedium pressure - totalconstant</t>
  </si>
  <si>
    <t>2016IDCapital ExpenditureAsset Replacement and RenewalMedium pressure - totalnominal</t>
  </si>
  <si>
    <t>2016IDCapital ExpenditureAsset Replacement and RenewalOther network assets - Cathodic protection systemsconstant</t>
  </si>
  <si>
    <t>2016IDCapital ExpenditureAsset Replacement and RenewalOther network assets - Cathodic protection systemsnominal</t>
  </si>
  <si>
    <t>2016IDCapital ExpenditureAsset Replacement and RenewalOther network assets - Monitoring and control systemsconstant</t>
  </si>
  <si>
    <t>2016IDCapital ExpenditureAsset Replacement and RenewalOther network assets - Monitoring and control systemsnominal</t>
  </si>
  <si>
    <t>2016IDCapital ExpenditureAsset Replacement and RenewalOther network assets - Other assets (other than above)constant</t>
  </si>
  <si>
    <t>2016IDCapital ExpenditureAsset Replacement and RenewalOther network assets - Other assets (other than above)nominal</t>
  </si>
  <si>
    <t>2016IDCapital ExpenditureAsset Replacement and RenewalOther network assets - totalconstant</t>
  </si>
  <si>
    <t>2016IDCapital ExpenditureAsset Replacement and RenewalOther network assets - totalnominal</t>
  </si>
  <si>
    <t>2016IDCapital ExpenditureSystem GrowthCapital contributions funding system growthconstant</t>
  </si>
  <si>
    <t>2016IDCapital ExpenditureSystem GrowthCapital contributions funding system growthnominal</t>
  </si>
  <si>
    <t>2016IDCapital ExpenditureSystem GrowthIntermediate pressure - Line valveconstant</t>
  </si>
  <si>
    <t>2016IDCapital ExpenditureSystem GrowthIntermediate pressure - Line valvenominal</t>
  </si>
  <si>
    <t>2016IDCapital ExpenditureSystem GrowthIntermediate pressure - Main pipeconstant</t>
  </si>
  <si>
    <t>2016IDCapital ExpenditureSystem GrowthIntermediate pressure - Main pipenominal</t>
  </si>
  <si>
    <t>2016IDCapital ExpenditureSystem GrowthIntermediate pressure - Service pipeconstant</t>
  </si>
  <si>
    <t>2016IDCapital ExpenditureSystem GrowthIntermediate pressure - Service pipenominal</t>
  </si>
  <si>
    <t>2016IDCapital ExpenditureSystem GrowthIntermediate pressure - Special crossingsconstant</t>
  </si>
  <si>
    <t>2016IDCapital ExpenditureSystem GrowthIntermediate pressure - Special crossingsnominal</t>
  </si>
  <si>
    <t>2016IDCapital ExpenditureSystem GrowthIntermediate pressure - Stationsconstant</t>
  </si>
  <si>
    <t>2016IDCapital ExpenditureSystem GrowthIntermediate pressure - Stationsnominal</t>
  </si>
  <si>
    <t>2016IDCapital ExpenditureSystem GrowthIntermediate pressure -totalconstant</t>
  </si>
  <si>
    <t>2016IDCapital ExpenditureSystem GrowthIntermediate pressure -totalnominal</t>
  </si>
  <si>
    <t>2016IDCapital ExpenditureSystem GrowthLow pressure - Line valveconstant</t>
  </si>
  <si>
    <t>2016IDCapital ExpenditureSystem GrowthLow pressure - Line valvenominal</t>
  </si>
  <si>
    <t>2016IDCapital ExpenditureSystem GrowthLow pressure - Main pipeconstant</t>
  </si>
  <si>
    <t>2016IDCapital ExpenditureSystem GrowthLow pressure - Main pipenominal</t>
  </si>
  <si>
    <t>2016IDCapital ExpenditureSystem GrowthLow pressure - Service pipeconstant</t>
  </si>
  <si>
    <t>2016IDCapital ExpenditureSystem GrowthLow pressure - Service pipenominal</t>
  </si>
  <si>
    <t>2016IDCapital ExpenditureSystem GrowthLow pressure - Special crossingsconstant</t>
  </si>
  <si>
    <t>2016IDCapital ExpenditureSystem GrowthLow pressure - Special crossingsnominal</t>
  </si>
  <si>
    <t>2016IDCapital ExpenditureSystem GrowthLow pressure - totalconstant</t>
  </si>
  <si>
    <t>2016IDCapital ExpenditureSystem GrowthLow pressure - totalnominal</t>
  </si>
  <si>
    <t>2016IDCapital ExpenditureSystem GrowthMedium pressure - Line valveconstant</t>
  </si>
  <si>
    <t>2016IDCapital ExpenditureSystem GrowthMedium pressure - Line valvenominal</t>
  </si>
  <si>
    <t>2016IDCapital ExpenditureSystem GrowthMedium pressure - Main pipeconstant</t>
  </si>
  <si>
    <t>2016IDCapital ExpenditureSystem GrowthMedium pressure - Main pipenominal</t>
  </si>
  <si>
    <t>2016IDCapital ExpenditureSystem GrowthMedium pressure - Service pipeconstant</t>
  </si>
  <si>
    <t>2016IDCapital ExpenditureSystem GrowthMedium pressure - Service pipenominal</t>
  </si>
  <si>
    <t>2016IDCapital ExpenditureSystem GrowthMedium pressure - Special crossingsconstant</t>
  </si>
  <si>
    <t>2016IDCapital ExpenditureSystem GrowthMedium pressure - Special crossingsnominal</t>
  </si>
  <si>
    <t>2016IDCapital ExpenditureSystem GrowthMedium pressure - Stationsconstant</t>
  </si>
  <si>
    <t>2016IDCapital ExpenditureSystem GrowthMedium pressure - Stationsnominal</t>
  </si>
  <si>
    <t>2016IDCapital ExpenditureSystem GrowthMedium pressure - totalconstant</t>
  </si>
  <si>
    <t>2016IDCapital ExpenditureSystem GrowthMedium pressure - totalnominal</t>
  </si>
  <si>
    <t>2016IDCapital ExpenditureSystem GrowthOther network assets - Cathodic protection systemsconstant</t>
  </si>
  <si>
    <t>2016IDCapital ExpenditureSystem GrowthOther network assets - Cathodic protection systemsnominal</t>
  </si>
  <si>
    <t>2016IDCapital ExpenditureSystem GrowthOther network assets - Monitoring and control systemsconstant</t>
  </si>
  <si>
    <t>2016IDCapital ExpenditureSystem GrowthOther network assets - Monitoring and control systemsnominal</t>
  </si>
  <si>
    <t>2016IDCapital ExpenditureSystem GrowthOther network assets - Other assets (other than above)constant</t>
  </si>
  <si>
    <t>2016IDCapital ExpenditureSystem GrowthOther network assets - Other assets (other than above)nominal</t>
  </si>
  <si>
    <t>2016IDCapital ExpenditureSystem GrowthOther network assets - totalconstant</t>
  </si>
  <si>
    <t>2016IDCapital ExpenditureSystem GrowthOther network assets - totalnominal</t>
  </si>
  <si>
    <t>2016IDCapital ExpenditureSystem GrowthSystem growth expenditureconstant</t>
  </si>
  <si>
    <t>2016IDCapital ExpenditureSystem GrowthSystem growth expenditurenominal</t>
  </si>
  <si>
    <t>2016IDCapital ExpenditureSystem GrowthSystem growth less capital contributionsconstant</t>
  </si>
  <si>
    <t>2016IDCapital ExpenditureSystem GrowthSystem growth less capital contributionsnominal</t>
  </si>
  <si>
    <t>2016IDNetwork and DemandSystem lengthSystem lengthNA</t>
  </si>
  <si>
    <t>2016IDNetwork and DemandCustomer numbersNumber of ICPs at year endNA</t>
  </si>
  <si>
    <t>2016IDNetwork and DemandGas deliveredAverage daily deliveryNA</t>
  </si>
  <si>
    <t>2016IDNetwork and DemandGas deliveredLoad factorNA</t>
  </si>
  <si>
    <t>2016IDNetwork and DemandGas deliveredMaximum daily loadNA</t>
  </si>
  <si>
    <t>2016IDNetwork and DemandGas deliveredMaximum monthly loadNA</t>
  </si>
  <si>
    <t>2016IDNetwork and DemandGas deliveredNumber of directly billed ICPsNA</t>
  </si>
  <si>
    <t>2016IDNetwork and DemandGas deliveredTotal gas conveyedNA</t>
  </si>
  <si>
    <t>2016AMP2015Operating ExpenditureAsset replacement and renewalAsset replacement and renewalconstant</t>
  </si>
  <si>
    <t>2016AMP2013Operating ExpenditureAsset replacement and renewalAsset replacement and renewalconstant</t>
  </si>
  <si>
    <t>2016AMP2014Operating ExpenditureAsset replacement and renewalAsset replacement and renewalconstant</t>
  </si>
  <si>
    <t>2016AMP2016Operating ExpenditureAsset replacement and renewalAsset replacement and renewalconstant</t>
  </si>
  <si>
    <t>2016AMP2015Operating ExpenditureAsset replacement and renewalAsset replacement and renewalnominal</t>
  </si>
  <si>
    <t>2016AMP2013Operating ExpenditureAsset replacement and renewalAsset replacement and renewalnominal</t>
  </si>
  <si>
    <t>2016AMP2014Operating ExpenditureAsset replacement and renewalAsset replacement and renewalnominal</t>
  </si>
  <si>
    <t>2016AMP2016Operating ExpenditureAsset replacement and renewalAsset replacement and renewalnominal</t>
  </si>
  <si>
    <t>2016AMP2016Operating ExpenditureBusiness supportBusiness supportconstant</t>
  </si>
  <si>
    <t>2016AMP2014Operating ExpenditureBusiness supportBusiness supportconstant</t>
  </si>
  <si>
    <t>2016AMP2015Operating ExpenditureBusiness supportBusiness supportconstant</t>
  </si>
  <si>
    <t>2016AMP2013Operating ExpenditureBusiness supportBusiness supportconstant</t>
  </si>
  <si>
    <t>2016AMP2015Operating ExpenditureBusiness supportBusiness supportnominal</t>
  </si>
  <si>
    <t>2016AMP2016Operating ExpenditureBusiness supportBusiness supportnominal</t>
  </si>
  <si>
    <t>2016AMP2013Operating ExpenditureBusiness supportBusiness supportnominal</t>
  </si>
  <si>
    <t>2016AMP2014Operating ExpenditureBusiness supportBusiness supportnominal</t>
  </si>
  <si>
    <t>2016AMP2013Operating ExpenditureExpenditure on subcomponentsInsuranceconstant</t>
  </si>
  <si>
    <t>2016AMP2014Operating ExpenditureExpenditure on subcomponentsInsuranceconstant</t>
  </si>
  <si>
    <t>2016AMP2016Operating ExpenditureExpenditure on subcomponentsInsuranceconstant</t>
  </si>
  <si>
    <t>2016AMP2015Operating ExpenditureExpenditure on subcomponentsInsuranceconstant</t>
  </si>
  <si>
    <t>2016AMP2014Operating ExpenditureExpenditure on subcomponentsResearch and developmentconstant</t>
  </si>
  <si>
    <t>2016AMP2015Operating ExpenditureExpenditure on subcomponentsResearch and developmentconstant</t>
  </si>
  <si>
    <t>2016AMP2016Operating ExpenditureExpenditure on subcomponentsResearch and developmentconstant</t>
  </si>
  <si>
    <t>2016AMP2013Operating ExpenditureExpenditure on subcomponentsResearch and developmentconstant</t>
  </si>
  <si>
    <t>2016AMP2016Operating ExpenditureNetwork opexNetwork opexconstant</t>
  </si>
  <si>
    <t>2016AMP2014Operating ExpenditureNetwork opexNetwork opexconstant</t>
  </si>
  <si>
    <t>2016AMP2013Operating ExpenditureNetwork opexNetwork opexconstant</t>
  </si>
  <si>
    <t>2016AMP2015Operating ExpenditureNetwork opexNetwork opexconstant</t>
  </si>
  <si>
    <t>2016AMP2015Operating ExpenditureNetwork opexNetwork opexnominal</t>
  </si>
  <si>
    <t>2016AMP2014Operating ExpenditureNetwork opexNetwork opexnominal</t>
  </si>
  <si>
    <t>2016AMP2013Operating ExpenditureNetwork opexNetwork opexnominal</t>
  </si>
  <si>
    <t>2016AMP2016Operating ExpenditureNetwork opexNetwork opexnominal</t>
  </si>
  <si>
    <t>2016AMP2014Operating ExpenditureNon-network opexNon-network opexconstant</t>
  </si>
  <si>
    <t>2016AMP2015Operating ExpenditureNon-network opexNon-network opexconstant</t>
  </si>
  <si>
    <t>2016AMP2013Operating ExpenditureNon-network opexNon-network opexconstant</t>
  </si>
  <si>
    <t>2016AMP2016Operating ExpenditureNon-network opexNon-network opexconstant</t>
  </si>
  <si>
    <t>2016AMP2014Operating ExpenditureNon-network opexNon-network opexnominal</t>
  </si>
  <si>
    <t>2016AMP2015Operating ExpenditureNon-network opexNon-network opexnominal</t>
  </si>
  <si>
    <t>2016AMP2013Operating ExpenditureNon-network opexNon-network opexnominal</t>
  </si>
  <si>
    <t>2016AMP2016Operating ExpenditureNon-network opexNon-network opexnominal</t>
  </si>
  <si>
    <t>2016AMP2015Operating ExpenditureResearch and developmentResearch and developmentconstant</t>
  </si>
  <si>
    <t>2016AMP2016Operating ExpenditureResearch and developmentResearch and developmentconstant</t>
  </si>
  <si>
    <t>2016AMP2013Operating ExpenditureResearch and developmentResearch and developmentconstant</t>
  </si>
  <si>
    <t>2016AMP2014Operating ExpenditureResearch and developmentResearch and developmentconstant</t>
  </si>
  <si>
    <t>2016AMP2013Operating ExpenditureRoutine and corrective maintenance and inspectionRoutine and corrective maintenance and inspectionconstant</t>
  </si>
  <si>
    <t>2016AMP2015Operating ExpenditureRoutine and corrective maintenance and inspectionRoutine and corrective maintenance and inspectionconstant</t>
  </si>
  <si>
    <t>2016AMP2016Operating ExpenditureRoutine and corrective maintenance and inspectionRoutine and corrective maintenance and inspectionconstant</t>
  </si>
  <si>
    <t>2016AMP2014Operating ExpenditureRoutine and corrective maintenance and inspectionRoutine and corrective maintenance and inspectionconstant</t>
  </si>
  <si>
    <t>2016AMP2015Operating ExpenditureRoutine and corrective maintenance and inspectionRoutine and corrective maintenance and inspectionnominal</t>
  </si>
  <si>
    <t>2016AMP2014Operating ExpenditureRoutine and corrective maintenance and inspectionRoutine and corrective maintenance and inspectionnominal</t>
  </si>
  <si>
    <t>2016AMP2016Operating ExpenditureRoutine and corrective maintenance and inspectionRoutine and corrective maintenance and inspectionnominal</t>
  </si>
  <si>
    <t>2016AMP2013Operating ExpenditureRoutine and corrective maintenance and inspectionRoutine and corrective maintenance and inspectionnominal</t>
  </si>
  <si>
    <t>2016AMP2013Operating ExpenditureService interruptions, incidents and emergenciesService interruptions, incidents and emergenciesconstant</t>
  </si>
  <si>
    <t>2016AMP2016Operating ExpenditureService interruptions, incidents and emergenciesService interruptions, incidents and emergenciesconstant</t>
  </si>
  <si>
    <t>2016AMP2014Operating ExpenditureService interruptions, incidents and emergenciesService interruptions, incidents and emergenciesconstant</t>
  </si>
  <si>
    <t>2016AMP2015Operating ExpenditureService interruptions, incidents and emergenciesService interruptions, incidents and emergenciesconstant</t>
  </si>
  <si>
    <t>2016AMP2014Operating ExpenditureService interruptions, incidents and emergenciesService interruptions, incidents and emergenciesnominal</t>
  </si>
  <si>
    <t>2016AMP2015Operating ExpenditureService interruptions, incidents and emergenciesService interruptions, incidents and emergenciesnominal</t>
  </si>
  <si>
    <t>2016AMP2013Operating ExpenditureService interruptions, incidents and emergenciesService interruptions, incidents and emergenciesnominal</t>
  </si>
  <si>
    <t>2016AMP2016Operating ExpenditureService interruptions, incidents and emergenciesService interruptions, incidents and emergenciesnominal</t>
  </si>
  <si>
    <t>2016AMP2013Operating ExpenditureSystem operations and network supportSystem operations and network supportconstant</t>
  </si>
  <si>
    <t>2016AMP2015Operating ExpenditureSystem operations and network supportSystem operations and network supportconstant</t>
  </si>
  <si>
    <t>2016AMP2016Operating ExpenditureSystem operations and network supportSystem operations and network supportconstant</t>
  </si>
  <si>
    <t>2016AMP2014Operating ExpenditureSystem operations and network supportSystem operations and network supportconstant</t>
  </si>
  <si>
    <t>2016AMP2014Operating ExpenditureSystem operations and network supportSystem operations and network supportnominal</t>
  </si>
  <si>
    <t>2016AMP2013Operating ExpenditureSystem operations and network supportSystem operations and network supportnominal</t>
  </si>
  <si>
    <t>2016AMP2016Operating ExpenditureSystem operations and network supportSystem operations and network supportnominal</t>
  </si>
  <si>
    <t>2016AMP2015Operating ExpenditureSystem operations and network supportSystem operations and network supportnominal</t>
  </si>
  <si>
    <t>2016AMP2013Operating ExpenditureTotal opexOperational expenditureconstant</t>
  </si>
  <si>
    <t>2016AMP2016Operating ExpenditureTotal opexOperational expenditureconstant</t>
  </si>
  <si>
    <t>2016AMP2014Operating ExpenditureTotal opexOperational expenditureconstant</t>
  </si>
  <si>
    <t>2016AMP2015Operating ExpenditureTotal opexOperational expenditureconstant</t>
  </si>
  <si>
    <t>2016AMP2015Operating ExpenditureTotal opexOperational expenditurenominal</t>
  </si>
  <si>
    <t>2016AMP2014Operating ExpenditureTotal opexOperational expenditurenominal</t>
  </si>
  <si>
    <t>2016AMP2013Operating ExpenditureTotal opexOperational expenditurenominal</t>
  </si>
  <si>
    <t>2016AMP2016Operating ExpenditureTotal opexOperational expenditurenominal</t>
  </si>
  <si>
    <t>2016IDOperating ExpenditureAsset replacement and renewalAsset replacement and renewalconstant</t>
  </si>
  <si>
    <t>2016IDOperating ExpenditureAsset replacement and renewalAsset replacement and renewalnominal</t>
  </si>
  <si>
    <t>2016IDOperating ExpenditureBusiness supportBusiness supportconstant</t>
  </si>
  <si>
    <t>2016IDOperating ExpenditureBusiness supportBusiness supportnominal</t>
  </si>
  <si>
    <t>2016IDOperating ExpenditureNetwork opexNetwork opexconstant</t>
  </si>
  <si>
    <t>2016IDOperating ExpenditureNetwork opexNetwork opexnominal</t>
  </si>
  <si>
    <t>2016IDOperating ExpenditureNon-network opexNon-network opexconstant</t>
  </si>
  <si>
    <t>2016IDOperating ExpenditureNon-network opexNon-network opexnominal</t>
  </si>
  <si>
    <t>2016IDOperating ExpenditureRoutine and corrective maintenance and inspectionRoutine and corrective maintenance and inspectionconstant</t>
  </si>
  <si>
    <t>2016IDOperating ExpenditureRoutine and corrective maintenance and inspectionRoutine and corrective maintenance and inspectionnominal</t>
  </si>
  <si>
    <t>2016IDOperating ExpenditureService interruptions, incidents and emergenciesService interruptions, incidents and emergenciesconstant</t>
  </si>
  <si>
    <t>2016IDOperating ExpenditureService interruptions, incidents and emergenciesService interruptions, incidents and emergenciesnominal</t>
  </si>
  <si>
    <t>2016IDOperating ExpenditureSystem operations and network supportSystem operations and network supportconstant</t>
  </si>
  <si>
    <t>2016IDOperating ExpenditureSystem operations and network supportSystem operations and network supportnominal</t>
  </si>
  <si>
    <t>2016IDOperating ExpenditureTotal opexOperational expenditureconstant</t>
  </si>
  <si>
    <t>2016IDOperating ExpenditureTotal opexOperational expenditurenominal</t>
  </si>
  <si>
    <t>2016IDOther dataRelated party transactionsCapital expenditureconstant</t>
  </si>
  <si>
    <t>2016IDOther dataRelated party transactionsCapital expenditurenominal</t>
  </si>
  <si>
    <t>2016IDOther dataRelated party transactionsMarket value of asset disposalsconstant</t>
  </si>
  <si>
    <t>2016IDOther dataRelated party transactionsMarket value of asset disposalsnominal</t>
  </si>
  <si>
    <t>2016IDOther dataRelated party transactionsOperational expenditureconstant</t>
  </si>
  <si>
    <t>2016IDOther dataRelated party transactionsOperational expenditurenominal</t>
  </si>
  <si>
    <t>2016IDOther dataRelated party transactionsOther related party transactionsconstant</t>
  </si>
  <si>
    <t>2016IDOther dataRelated party transactionsOther related party transactionsnominal</t>
  </si>
  <si>
    <t>2016IDOther dataRelated party transactionsTotal regulatory incomeconstant</t>
  </si>
  <si>
    <t>2016IDOther dataRelated party transactionsTotal regulatory incomenominal</t>
  </si>
  <si>
    <t>2016IDRAB valueTotal closing RAB valueIntermediate pressure main pipelinesconstant</t>
  </si>
  <si>
    <t>2016IDRAB valueTotal closing RAB valueLine valveconstant</t>
  </si>
  <si>
    <t>2016IDRAB valueTotal closing RAB valueLow pressure main pipelinesconstant</t>
  </si>
  <si>
    <t>2016IDRAB valueTotal closing RAB valueMedium pressure main pipelinesconstant</t>
  </si>
  <si>
    <t>2016IDRAB valueTotal closing RAB valueOther network assetsconstant</t>
  </si>
  <si>
    <t>2016IDRAB valueTotal closing RAB valueService pipeconstant</t>
  </si>
  <si>
    <t>2016IDRAB valueTotal closing RAB valueSpecial crossingsconstant</t>
  </si>
  <si>
    <t>2016IDRAB valueTotal closing RAB valueStationsconstant</t>
  </si>
  <si>
    <t>2016IDRAB valueTotal closing RAB valueTotalconstant</t>
  </si>
  <si>
    <t>2016IDReliabilityInterruption rateInterruptions per 100 circuit kmNA</t>
  </si>
  <si>
    <t>2016IDReliabilityInterruptionsClass BNA</t>
  </si>
  <si>
    <t>2016IDReliabilityInterruptionsClass CNA</t>
  </si>
  <si>
    <t>2016IDReliabilityCAIDIAll interruptionsNA</t>
  </si>
  <si>
    <t>2016IDReliabilityCAIDIClass INA</t>
  </si>
  <si>
    <t>2016IDReliabilitySAIDIAll interruptionsNA</t>
  </si>
  <si>
    <t>2016IDReliabilitySAIDIClass INA</t>
  </si>
  <si>
    <t>2016IDReliabilitySAIFIAll interruptionsNA</t>
  </si>
  <si>
    <t>2016IDReliabilitySAIFIClass INA</t>
  </si>
  <si>
    <t>2016IDRevenue and ProfitabilityReturn on investmentReturn on Investment (post tax)NA</t>
  </si>
  <si>
    <t>2016IDRevenue and ProfitabilityReturn on investmentReturn on Investment (vanilla)NA</t>
  </si>
  <si>
    <t>2016IDRevenue and ProfitabilityExpensesOperational expenditureconstant</t>
  </si>
  <si>
    <t>2016IDRevenue and ProfitabilityExpensesOperational expenditurenominal</t>
  </si>
  <si>
    <t>2016IDRevenue and ProfitabilityExpensesPass-through and recoverable costsconstant</t>
  </si>
  <si>
    <t>2016IDRevenue and ProfitabilityExpensesPass-through and recoverable costsnominal</t>
  </si>
  <si>
    <t>2016IDRevenue and ProfitabilityOperating surplus / (deficit)Operating surplus / (deficit)constant</t>
  </si>
  <si>
    <t>2016IDRevenue and ProfitabilityOperating surplus / (deficit)Operating surplus / (deficit)nominal</t>
  </si>
  <si>
    <t>2016IDRevenue and ProfitabilityRegulatory profit / (loss)Regulatory profit / (loss)constant</t>
  </si>
  <si>
    <t>2016IDRevenue and ProfitabilityRegulatory profit / (loss)Regulatory profit / (loss)nominal</t>
  </si>
  <si>
    <t>2016IDRevenue and ProfitabilityRegulatory profit / (loss) before taxRegulatory profit / (loss) before taxconstant</t>
  </si>
  <si>
    <t>2016IDRevenue and ProfitabilityRegulatory profit / (loss) before taxRegulatory profit / (loss) before taxnominal</t>
  </si>
  <si>
    <t>2016IDRevenue and ProfitabilityTaxRegulatory tax allowanceconstant</t>
  </si>
  <si>
    <t>2016IDRevenue and ProfitabilityTaxRegulatory tax allowancenominal</t>
  </si>
  <si>
    <t>2016IDRevenue and ProfitabilityTerm credit spread differentialTerm credit spread differential allowanceconstant</t>
  </si>
  <si>
    <t>2016IDRevenue and ProfitabilityTerm credit spread differentialTerm credit spread differential allowancenominal</t>
  </si>
  <si>
    <t>2016IDRevenue and ProfitabilityTotal regulatory incomeGains / (losses) on asset disposalsconstant</t>
  </si>
  <si>
    <t>2016IDRevenue and ProfitabilityTotal regulatory incomeGains / (losses) on asset disposalsnominal</t>
  </si>
  <si>
    <t>2016IDRevenue and ProfitabilityTotal regulatory incomeLine charge revenueconstant</t>
  </si>
  <si>
    <t>2016IDRevenue and ProfitabilityTotal regulatory incomeLine charge revenuenominal</t>
  </si>
  <si>
    <t>2016IDRevenue and ProfitabilityTotal regulatory incomeOther regulatory incomeconstant</t>
  </si>
  <si>
    <t>2016IDRevenue and ProfitabilityTotal regulatory incomeOther regulatory incomenominal</t>
  </si>
  <si>
    <t>2016IDRevenue and ProfitabilityTotal regulatory incomeTotal regulatory incomeconstant</t>
  </si>
  <si>
    <t>2016IDRevenue and ProfitabilityTotal regulatory incomeTotal regulatory incomenominal</t>
  </si>
  <si>
    <t>2017AMP2015Capital ExpenditureAll assetsExpenditure on assetsconstant</t>
  </si>
  <si>
    <t>2017AMP2013Capital ExpenditureAll assetsExpenditure on assetsconstant</t>
  </si>
  <si>
    <t>2017AMP2016Capital ExpenditureAll assetsExpenditure on assetsconstant</t>
  </si>
  <si>
    <t>2017AMP2017Capital ExpenditureAll assetsExpenditure on assetsconstant</t>
  </si>
  <si>
    <t>2017AMP2014Capital ExpenditureAll assetsExpenditure on assetsconstant</t>
  </si>
  <si>
    <t>2017AMP2015Capital ExpenditureAll assetsExpenditure on assetsnominal</t>
  </si>
  <si>
    <t>2017AMP2016Capital ExpenditureAll assetsExpenditure on assetsnominal</t>
  </si>
  <si>
    <t>2017AMP2017Capital ExpenditureAll assetsExpenditure on assetsnominal</t>
  </si>
  <si>
    <t>2017AMP2013Capital ExpenditureAll assetsExpenditure on assetsnominal</t>
  </si>
  <si>
    <t>2017AMP2014Capital ExpenditureAll assetsExpenditure on assetsnominal</t>
  </si>
  <si>
    <t>2017AMP2015Capital ExpenditureAsset relocationsAsset relocationsconstant</t>
  </si>
  <si>
    <t>2017AMP2013Capital ExpenditureAsset relocationsAsset relocationsconstant</t>
  </si>
  <si>
    <t>2017AMP2016Capital ExpenditureAsset relocationsAsset relocationsconstant</t>
  </si>
  <si>
    <t>2017AMP2017Capital ExpenditureAsset relocationsAsset relocationsconstant</t>
  </si>
  <si>
    <t>2017AMP2014Capital ExpenditureAsset relocationsAsset relocationsconstant</t>
  </si>
  <si>
    <t>2017AMP2016Capital ExpenditureAsset relocationsAsset relocationsnominal</t>
  </si>
  <si>
    <t>2017AMP2017Capital ExpenditureAsset relocationsAsset relocationsnominal</t>
  </si>
  <si>
    <t>2017AMP2013Capital ExpenditureAsset relocationsAsset relocationsnominal</t>
  </si>
  <si>
    <t>2017AMP2014Capital ExpenditureAsset relocationsAsset relocationsnominal</t>
  </si>
  <si>
    <t>2017AMP2015Capital ExpenditureAsset relocationsAsset relocationsnominal</t>
  </si>
  <si>
    <t>2017AMP2014Capital ExpenditureAsset replacement and renewalAsset replacement and renewalconstant</t>
  </si>
  <si>
    <t>2017AMP2017Capital ExpenditureAsset replacement and renewalAsset replacement and renewalconstant</t>
  </si>
  <si>
    <t>2017AMP2016Capital ExpenditureAsset replacement and renewalAsset replacement and renewalconstant</t>
  </si>
  <si>
    <t>2017AMP2013Capital ExpenditureAsset replacement and renewalAsset replacement and renewalconstant</t>
  </si>
  <si>
    <t>2017AMP2015Capital ExpenditureAsset replacement and renewalAsset replacement and renewalconstant</t>
  </si>
  <si>
    <t>2017AMP2015Capital ExpenditureAsset replacement and renewalAsset replacement and renewalnominal</t>
  </si>
  <si>
    <t>2017AMP2014Capital ExpenditureAsset replacement and renewalAsset replacement and renewalnominal</t>
  </si>
  <si>
    <t>2017AMP2016Capital ExpenditureAsset replacement and renewalAsset replacement and renewalnominal</t>
  </si>
  <si>
    <t>2017AMP2013Capital ExpenditureAsset replacement and renewalAsset replacement and renewalnominal</t>
  </si>
  <si>
    <t>2017AMP2017Capital ExpenditureAsset replacement and renewalAsset replacement and renewalnominal</t>
  </si>
  <si>
    <t>2017AMP2015Capital ExpenditureAssets commissionedAssets commissionednominal</t>
  </si>
  <si>
    <t>2017AMP2016Capital ExpenditureAssets commissionedAssets commissionednominal</t>
  </si>
  <si>
    <t>2017AMP2017Capital ExpenditureAssets commissionedAssets commissionednominal</t>
  </si>
  <si>
    <t>2017AMP2015Capital ExpenditureCapital expenditure forecastCapital expenditure forecastnominal</t>
  </si>
  <si>
    <t>2017AMP2017Capital ExpenditureCapital expenditure forecastCapital expenditure forecastnominal</t>
  </si>
  <si>
    <t>2017AMP2016Capital ExpenditureCapital expenditure forecastCapital expenditure forecastnominal</t>
  </si>
  <si>
    <t>2017AMP2013Capital ExpenditureCapital expenditure forecastCapital expenditure forecastnominal</t>
  </si>
  <si>
    <t>2017AMP2014Capital ExpenditureCapital expenditure forecastCapital expenditure forecastnominal</t>
  </si>
  <si>
    <t>2017AMP2015Capital ExpenditureConsumer connectionConsumer connectionconstant</t>
  </si>
  <si>
    <t>2017AMP2013Capital ExpenditureConsumer connectionConsumer connectionconstant</t>
  </si>
  <si>
    <t>2017AMP2016Capital ExpenditureConsumer connectionConsumer connectionconstant</t>
  </si>
  <si>
    <t>2017AMP2014Capital ExpenditureConsumer connectionConsumer connectionconstant</t>
  </si>
  <si>
    <t>2017AMP2017Capital ExpenditureConsumer connectionConsumer connectionconstant</t>
  </si>
  <si>
    <t>2017AMP2014Capital ExpenditureConsumer connectionConsumer connectionnominal</t>
  </si>
  <si>
    <t>2017AMP2016Capital ExpenditureConsumer connectionConsumer connectionnominal</t>
  </si>
  <si>
    <t>2017AMP2013Capital ExpenditureConsumer connectionConsumer connectionnominal</t>
  </si>
  <si>
    <t>2017AMP2017Capital ExpenditureConsumer connectionConsumer connectionnominal</t>
  </si>
  <si>
    <t>2017AMP2015Capital ExpenditureConsumer connectionConsumer connectionnominal</t>
  </si>
  <si>
    <t>2017AMP2016Capital ExpenditureCost of financingCost of financingnominal</t>
  </si>
  <si>
    <t>2017AMP2017Capital ExpenditureCost of financingCost of financingnominal</t>
  </si>
  <si>
    <t>2017AMP2014Capital ExpenditureCost of financingCost of financingnominal</t>
  </si>
  <si>
    <t>2017AMP2015Capital ExpenditureCost of financingCost of financingnominal</t>
  </si>
  <si>
    <t>2017AMP2013Capital ExpenditureCost of financingCost of financingnominal</t>
  </si>
  <si>
    <t>2017AMP2017Capital ExpenditureExpenditure on subcomponentsResearch and developmentconstant</t>
  </si>
  <si>
    <t>2017AMP2015Capital ExpenditureExpenditure on subcomponentsResearch and developmentconstant</t>
  </si>
  <si>
    <t>2017AMP2013Capital ExpenditureExpenditure on subcomponentsResearch and developmentconstant</t>
  </si>
  <si>
    <t>2017AMP2016Capital ExpenditureExpenditure on subcomponentsResearch and developmentconstant</t>
  </si>
  <si>
    <t>2017AMP2014Capital ExpenditureExpenditure on subcomponentsResearch and developmentconstant</t>
  </si>
  <si>
    <t>2017AMP2014Capital ExpenditureNetwork assetsExpenditure on network assetsconstant</t>
  </si>
  <si>
    <t>2017AMP2015Capital ExpenditureNetwork assetsExpenditure on network assetsconstant</t>
  </si>
  <si>
    <t>2017AMP2016Capital ExpenditureNetwork assetsExpenditure on network assetsconstant</t>
  </si>
  <si>
    <t>2017AMP2013Capital ExpenditureNetwork assetsExpenditure on network assetsconstant</t>
  </si>
  <si>
    <t>2017AMP2017Capital ExpenditureNetwork assetsExpenditure on network assetsconstant</t>
  </si>
  <si>
    <t>2017AMP2013Capital ExpenditureNetwork assetsExpenditure on network assetsnominal</t>
  </si>
  <si>
    <t>2017AMP2017Capital ExpenditureNetwork assetsExpenditure on network assetsnominal</t>
  </si>
  <si>
    <t>2017AMP2014Capital ExpenditureNetwork assetsExpenditure on network assetsnominal</t>
  </si>
  <si>
    <t>2017AMP2016Capital ExpenditureNetwork assetsExpenditure on network assetsnominal</t>
  </si>
  <si>
    <t>2017AMP2015Capital ExpenditureNetwork assetsExpenditure on network assetsnominal</t>
  </si>
  <si>
    <t>2017AMP2014Capital ExpenditureNon-network assetsNon-network assetsconstant</t>
  </si>
  <si>
    <t>2017AMP2013Capital ExpenditureNon-network assetsNon-network assetsconstant</t>
  </si>
  <si>
    <t>2017AMP2017Capital ExpenditureNon-network assetsNon-network assetsconstant</t>
  </si>
  <si>
    <t>2017AMP2016Capital ExpenditureNon-network assetsNon-network assetsconstant</t>
  </si>
  <si>
    <t>2017AMP2015Capital ExpenditureNon-network assetsNon-network assetsconstant</t>
  </si>
  <si>
    <t>2017AMP2014Capital ExpenditureNon-network assetsNon-network assetsnominal</t>
  </si>
  <si>
    <t>2017AMP2016Capital ExpenditureNon-network assetsNon-network assetsnominal</t>
  </si>
  <si>
    <t>2017AMP2017Capital ExpenditureNon-network assetsNon-network assetsnominal</t>
  </si>
  <si>
    <t>2017AMP2015Capital ExpenditureNon-network assetsNon-network assetsnominal</t>
  </si>
  <si>
    <t>2017AMP2013Capital ExpenditureNon-network assetsNon-network assetsnominal</t>
  </si>
  <si>
    <t>2017AMP2016Capital ExpenditureReliability, safety and environmentLegislative and regulatoryconstant</t>
  </si>
  <si>
    <t>2017AMP2013Capital ExpenditureReliability, safety and environmentLegislative and regulatoryconstant</t>
  </si>
  <si>
    <t>2017AMP2015Capital ExpenditureReliability, safety and environmentLegislative and regulatoryconstant</t>
  </si>
  <si>
    <t>2017AMP2014Capital ExpenditureReliability, safety and environmentLegislative and regulatoryconstant</t>
  </si>
  <si>
    <t>2017AMP2017Capital ExpenditureReliability, safety and environmentLegislative and regulatoryconstant</t>
  </si>
  <si>
    <t>2017AMP2013Capital ExpenditureReliability, safety and environmentLegislative and regulatorynominal</t>
  </si>
  <si>
    <t>2017AMP2017Capital ExpenditureReliability, safety and environmentLegislative and regulatorynominal</t>
  </si>
  <si>
    <t>2017AMP2016Capital ExpenditureReliability, safety and environmentLegislative and regulatorynominal</t>
  </si>
  <si>
    <t>2017AMP2015Capital ExpenditureReliability, safety and environmentLegislative and regulatorynominal</t>
  </si>
  <si>
    <t>2017AMP2014Capital ExpenditureReliability, safety and environmentLegislative and regulatorynominal</t>
  </si>
  <si>
    <t>2017AMP2016Capital ExpenditureReliability, safety and environmentOther reliability, safety and environmentconstant</t>
  </si>
  <si>
    <t>2017AMP2013Capital ExpenditureReliability, safety and environmentOther reliability, safety and environmentconstant</t>
  </si>
  <si>
    <t>2017AMP2017Capital ExpenditureReliability, safety and environmentOther reliability, safety and environmentconstant</t>
  </si>
  <si>
    <t>2017AMP2015Capital ExpenditureReliability, safety and environmentOther reliability, safety and environmentconstant</t>
  </si>
  <si>
    <t>2017AMP2014Capital ExpenditureReliability, safety and environmentOther reliability, safety and environmentconstant</t>
  </si>
  <si>
    <t>2017AMP2017Capital ExpenditureReliability, safety and environmentOther reliability, safety and environmentnominal</t>
  </si>
  <si>
    <t>2017AMP2013Capital ExpenditureReliability, safety and environmentOther reliability, safety and environmentnominal</t>
  </si>
  <si>
    <t>2017AMP2014Capital ExpenditureReliability, safety and environmentOther reliability, safety and environmentnominal</t>
  </si>
  <si>
    <t>2017AMP2016Capital ExpenditureReliability, safety and environmentOther reliability, safety and environmentnominal</t>
  </si>
  <si>
    <t>2017AMP2015Capital ExpenditureReliability, safety and environmentOther reliability, safety and environmentnominal</t>
  </si>
  <si>
    <t>2017AMP2015Capital ExpenditureReliability, safety and environmentQuality of supplyconstant</t>
  </si>
  <si>
    <t>2017AMP2013Capital ExpenditureReliability, safety and environmentQuality of supplyconstant</t>
  </si>
  <si>
    <t>2017AMP2017Capital ExpenditureReliability, safety and environmentQuality of supplyconstant</t>
  </si>
  <si>
    <t>2017AMP2014Capital ExpenditureReliability, safety and environmentQuality of supplyconstant</t>
  </si>
  <si>
    <t>2017AMP2016Capital ExpenditureReliability, safety and environmentQuality of supplyconstant</t>
  </si>
  <si>
    <t>2017AMP2017Capital ExpenditureReliability, safety and environmentQuality of supplynominal</t>
  </si>
  <si>
    <t>2017AMP2013Capital ExpenditureReliability, safety and environmentQuality of supplynominal</t>
  </si>
  <si>
    <t>2017AMP2014Capital ExpenditureReliability, safety and environmentQuality of supplynominal</t>
  </si>
  <si>
    <t>2017AMP2015Capital ExpenditureReliability, safety and environmentQuality of supplynominal</t>
  </si>
  <si>
    <t>2017AMP2016Capital ExpenditureReliability, safety and environmentQuality of supplynominal</t>
  </si>
  <si>
    <t>2017AMP2015Capital ExpenditureReliability, safety and environmentTotal reliability, safety and environmentconstant</t>
  </si>
  <si>
    <t>2017AMP2016Capital ExpenditureReliability, safety and environmentTotal reliability, safety and environmentconstant</t>
  </si>
  <si>
    <t>2017AMP2014Capital ExpenditureReliability, safety and environmentTotal reliability, safety and environmentconstant</t>
  </si>
  <si>
    <t>2017AMP2017Capital ExpenditureReliability, safety and environmentTotal reliability, safety and environmentconstant</t>
  </si>
  <si>
    <t>2017AMP2013Capital ExpenditureReliability, safety and environmentTotal reliability, safety and environmentconstant</t>
  </si>
  <si>
    <t>2017AMP2013Capital ExpenditureReliability, safety and environmentTotal reliability, safety and environmentnominal</t>
  </si>
  <si>
    <t>2017AMP2016Capital ExpenditureReliability, safety and environmentTotal reliability, safety and environmentnominal</t>
  </si>
  <si>
    <t>2017AMP2015Capital ExpenditureReliability, safety and environmentTotal reliability, safety and environmentnominal</t>
  </si>
  <si>
    <t>2017AMP2017Capital ExpenditureReliability, safety and environmentTotal reliability, safety and environmentnominal</t>
  </si>
  <si>
    <t>2017AMP2014Capital ExpenditureReliability, safety and environmentTotal reliability, safety and environmentnominal</t>
  </si>
  <si>
    <t>2017AMP2017Capital ExpenditureSystem growthSystem growthconstant</t>
  </si>
  <si>
    <t>2017AMP2016Capital ExpenditureSystem growthSystem growthconstant</t>
  </si>
  <si>
    <t>2017AMP2013Capital ExpenditureSystem growthSystem growthconstant</t>
  </si>
  <si>
    <t>2017AMP2015Capital ExpenditureSystem growthSystem growthconstant</t>
  </si>
  <si>
    <t>2017AMP2014Capital ExpenditureSystem growthSystem growthconstant</t>
  </si>
  <si>
    <t>2017AMP2014Capital ExpenditureSystem growthSystem growthnominal</t>
  </si>
  <si>
    <t>2017AMP2015Capital ExpenditureSystem growthSystem growthnominal</t>
  </si>
  <si>
    <t>2017AMP2016Capital ExpenditureSystem growthSystem growthnominal</t>
  </si>
  <si>
    <t>2017AMP2013Capital ExpenditureSystem growthSystem growthnominal</t>
  </si>
  <si>
    <t>2017AMP2017Capital ExpenditureSystem growthSystem growthnominal</t>
  </si>
  <si>
    <t>2017AMP2014Capital ExpenditureValue of capital contributionsValue of capital contributionsnominal</t>
  </si>
  <si>
    <t>2017AMP2015Capital ExpenditureValue of capital contributionsValue of capital contributionsnominal</t>
  </si>
  <si>
    <t>2017AMP2013Capital ExpenditureValue of capital contributionsValue of capital contributionsnominal</t>
  </si>
  <si>
    <t>2017AMP2017Capital ExpenditureValue of capital contributionsValue of capital contributionsnominal</t>
  </si>
  <si>
    <t>2017AMP2016Capital ExpenditureValue of capital contributionsValue of capital contributionsnominal</t>
  </si>
  <si>
    <t>2017AMP2013Capital ExpenditureValue of commissioned assetsValue of commissioned assetsnominal</t>
  </si>
  <si>
    <t>2017AMP2017Capital ExpenditureValue of commissioned assetsValue of commissioned assetsnominal</t>
  </si>
  <si>
    <t>2017AMP2014Capital ExpenditureValue of commissioned assetsValue of commissioned assetsnominal</t>
  </si>
  <si>
    <t>2017AMP2017Capital ExpenditureValue of vested assetsValue of vested assetsnominal</t>
  </si>
  <si>
    <t>2017AMP2016Capital ExpenditureValue of vested assetsValue of vested assetsnominal</t>
  </si>
  <si>
    <t>2017AMP2013Capital ExpenditureValue of vested assetsValue of vested assetsnominal</t>
  </si>
  <si>
    <t>2017AMP2015Capital ExpenditureValue of vested assetsValue of vested assetsnominal</t>
  </si>
  <si>
    <t>2017AMP2014Capital ExpenditureValue of vested assetsValue of vested assetsnominal</t>
  </si>
  <si>
    <t>2017AMP2014Capital ExpenditureAsset replacement and renewalAsset replacement and renewal expenditure - Asset replacement and renewal expenditureconstant</t>
  </si>
  <si>
    <t>2017AMP2017Capital ExpenditureAsset replacement and renewalAsset replacement and renewal expenditure - Asset replacement and renewal expenditureconstant</t>
  </si>
  <si>
    <t>2017AMP2013Capital ExpenditureAsset replacement and renewalAsset replacement and renewal expenditure - Asset replacement and renewal expenditureconstant</t>
  </si>
  <si>
    <t>2017AMP2016Capital ExpenditureAsset replacement and renewalAsset replacement and renewal expenditure - Asset replacement and renewal expenditureconstant</t>
  </si>
  <si>
    <t>2017AMP2015Capital ExpenditureAsset replacement and renewalAsset replacement and renewal expenditure - Asset replacement and renewal expenditureconstant</t>
  </si>
  <si>
    <t>2017AMP2017Capital ExpenditureAsset replacement and renewalAsset replacement and renewal expenditure - Capital contributions funding asset replacement and renewalconstant</t>
  </si>
  <si>
    <t>2017AMP2015Capital ExpenditureAsset replacement and renewalAsset replacement and renewal expenditure - Capital contributions funding asset replacement and renewalconstant</t>
  </si>
  <si>
    <t>2017AMP2013Capital ExpenditureAsset replacement and renewalAsset replacement and renewal expenditure - Capital contributions funding asset replacement and renewalconstant</t>
  </si>
  <si>
    <t>2017AMP2016Capital ExpenditureAsset replacement and renewalAsset replacement and renewal expenditure - Capital contributions funding asset replacement and renewalconstant</t>
  </si>
  <si>
    <t>2017AMP2014Capital ExpenditureAsset replacement and renewalAsset replacement and renewal expenditure - Capital contributions funding asset replacement and renewalconstant</t>
  </si>
  <si>
    <t>2017AMP2013Capital ExpenditureAsset replacement and renewalAsset replacement and renewal less capital contributions - Asset replacement and renewal less capital contributionsconstant</t>
  </si>
  <si>
    <t>2017AMP2017Capital ExpenditureAsset replacement and renewalAsset replacement and renewal less capital contributions - Asset replacement and renewal less capital contributionsconstant</t>
  </si>
  <si>
    <t>2017AMP2014Capital ExpenditureAsset replacement and renewalAsset replacement and renewal less capital contributions - Asset replacement and renewal less capital contributionsconstant</t>
  </si>
  <si>
    <t>2017AMP2015Capital ExpenditureAsset replacement and renewalAsset replacement and renewal less capital contributions - Asset replacement and renewal less capital contributionsconstant</t>
  </si>
  <si>
    <t>2017AMP2016Capital ExpenditureAsset replacement and renewalAsset replacement and renewal less capital contributions - Asset replacement and renewal less capital contributionsconstant</t>
  </si>
  <si>
    <t>2017AMP2013Capital ExpenditureAsset replacement and renewalIntermediate pressure - Intermediate Pressure totalconstant</t>
  </si>
  <si>
    <t>2017AMP2017Capital ExpenditureAsset replacement and renewalIntermediate pressure - Intermediate Pressure totalconstant</t>
  </si>
  <si>
    <t>2017AMP2016Capital ExpenditureAsset replacement and renewalIntermediate pressure - Intermediate Pressure totalconstant</t>
  </si>
  <si>
    <t>2017AMP2014Capital ExpenditureAsset replacement and renewalIntermediate pressure - Intermediate Pressure totalconstant</t>
  </si>
  <si>
    <t>2017AMP2015Capital ExpenditureAsset replacement and renewalIntermediate pressure - Intermediate Pressure totalconstant</t>
  </si>
  <si>
    <t>2017AMP2014Capital ExpenditureAsset replacement and renewalIntermediate pressure - Line valveconstant</t>
  </si>
  <si>
    <t>2017AMP2013Capital ExpenditureAsset replacement and renewalIntermediate pressure - Line valveconstant</t>
  </si>
  <si>
    <t>2017AMP2016Capital ExpenditureAsset replacement and renewalIntermediate pressure - Line valveconstant</t>
  </si>
  <si>
    <t>2017AMP2017Capital ExpenditureAsset replacement and renewalIntermediate pressure - Line valveconstant</t>
  </si>
  <si>
    <t>2017AMP2015Capital ExpenditureAsset replacement and renewalIntermediate pressure - Line valveconstant</t>
  </si>
  <si>
    <t>2017AMP2017Capital ExpenditureAsset replacement and renewalIntermediate pressure - Main pipeconstant</t>
  </si>
  <si>
    <t>2017AMP2013Capital ExpenditureAsset replacement and renewalIntermediate pressure - Main pipeconstant</t>
  </si>
  <si>
    <t>2017AMP2016Capital ExpenditureAsset replacement and renewalIntermediate pressure - Main pipeconstant</t>
  </si>
  <si>
    <t>2017AMP2014Capital ExpenditureAsset replacement and renewalIntermediate pressure - Main pipeconstant</t>
  </si>
  <si>
    <t>2017AMP2015Capital ExpenditureAsset replacement and renewalIntermediate pressure - Main pipeconstant</t>
  </si>
  <si>
    <t>2017AMP2016Capital ExpenditureAsset replacement and renewalIntermediate pressure - Service pipeconstant</t>
  </si>
  <si>
    <t>2017AMP2014Capital ExpenditureAsset replacement and renewalIntermediate pressure - Service pipeconstant</t>
  </si>
  <si>
    <t>2017AMP2015Capital ExpenditureAsset replacement and renewalIntermediate pressure - Service pipeconstant</t>
  </si>
  <si>
    <t>2017AMP2017Capital ExpenditureAsset replacement and renewalIntermediate pressure - Service pipeconstant</t>
  </si>
  <si>
    <t>2017AMP2013Capital ExpenditureAsset replacement and renewalIntermediate pressure - Service pipeconstant</t>
  </si>
  <si>
    <t>2017AMP2015Capital ExpenditureAsset replacement and renewalIntermediate pressure - Special crossingsconstant</t>
  </si>
  <si>
    <t>2017AMP2016Capital ExpenditureAsset replacement and renewalIntermediate pressure - Special crossingsconstant</t>
  </si>
  <si>
    <t>2017AMP2017Capital ExpenditureAsset replacement and renewalIntermediate pressure - Special crossingsconstant</t>
  </si>
  <si>
    <t>2017AMP2014Capital ExpenditureAsset replacement and renewalIntermediate pressure - Special crossingsconstant</t>
  </si>
  <si>
    <t>2017AMP2013Capital ExpenditureAsset replacement and renewalIntermediate pressure - Special crossingsconstant</t>
  </si>
  <si>
    <t>2017AMP2014Capital ExpenditureAsset replacement and renewalIntermediate pressure - Stationsconstant</t>
  </si>
  <si>
    <t>2017AMP2013Capital ExpenditureAsset replacement and renewalIntermediate pressure - Stationsconstant</t>
  </si>
  <si>
    <t>2017AMP2015Capital ExpenditureAsset replacement and renewalIntermediate pressure - Stationsconstant</t>
  </si>
  <si>
    <t>2017AMP2017Capital ExpenditureAsset replacement and renewalIntermediate pressure - Stationsconstant</t>
  </si>
  <si>
    <t>2017AMP2016Capital ExpenditureAsset replacement and renewalIntermediate pressure - Stationsconstant</t>
  </si>
  <si>
    <t>2017AMP2015Capital ExpenditureAsset replacement and renewalLow Pressure - Line valveconstant</t>
  </si>
  <si>
    <t>2017AMP2014Capital ExpenditureAsset replacement and renewalLow Pressure - Line valveconstant</t>
  </si>
  <si>
    <t>2017AMP2016Capital ExpenditureAsset replacement and renewalLow Pressure - Line valveconstant</t>
  </si>
  <si>
    <t>2017AMP2017Capital ExpenditureAsset replacement and renewalLow Pressure - Line valveconstant</t>
  </si>
  <si>
    <t>2017AMP2013Capital ExpenditureAsset replacement and renewalLow Pressure - Line valveconstant</t>
  </si>
  <si>
    <t>2017AMP2015Capital ExpenditureAsset replacement and renewalLow Pressure - Low Pressure totalconstant</t>
  </si>
  <si>
    <t>2017AMP2013Capital ExpenditureAsset replacement and renewalLow Pressure - Low Pressure totalconstant</t>
  </si>
  <si>
    <t>2017AMP2014Capital ExpenditureAsset replacement and renewalLow Pressure - Low Pressure totalconstant</t>
  </si>
  <si>
    <t>2017AMP2017Capital ExpenditureAsset replacement and renewalLow Pressure - Low Pressure totalconstant</t>
  </si>
  <si>
    <t>2017AMP2016Capital ExpenditureAsset replacement and renewalLow Pressure - Low Pressure totalconstant</t>
  </si>
  <si>
    <t>2017AMP2014Capital ExpenditureAsset replacement and renewalLow Pressure - Main pipeconstant</t>
  </si>
  <si>
    <t>2017AMP2015Capital ExpenditureAsset replacement and renewalLow Pressure - Main pipeconstant</t>
  </si>
  <si>
    <t>2017AMP2013Capital ExpenditureAsset replacement and renewalLow Pressure - Main pipeconstant</t>
  </si>
  <si>
    <t>2017AMP2016Capital ExpenditureAsset replacement and renewalLow Pressure - Main pipeconstant</t>
  </si>
  <si>
    <t>2017AMP2017Capital ExpenditureAsset replacement and renewalLow Pressure - Main pipeconstant</t>
  </si>
  <si>
    <t>2017AMP2014Capital ExpenditureAsset replacement and renewalLow Pressure - Service pipeconstant</t>
  </si>
  <si>
    <t>2017AMP2013Capital ExpenditureAsset replacement and renewalLow Pressure - Service pipeconstant</t>
  </si>
  <si>
    <t>2017AMP2015Capital ExpenditureAsset replacement and renewalLow Pressure - Service pipeconstant</t>
  </si>
  <si>
    <t>2017AMP2016Capital ExpenditureAsset replacement and renewalLow Pressure - Service pipeconstant</t>
  </si>
  <si>
    <t>2017AMP2017Capital ExpenditureAsset replacement and renewalLow Pressure - Service pipeconstant</t>
  </si>
  <si>
    <t>2017AMP2017Capital ExpenditureAsset replacement and renewalLow Pressure - Special crossingsconstant</t>
  </si>
  <si>
    <t>2017AMP2013Capital ExpenditureAsset replacement and renewalLow Pressure - Special crossingsconstant</t>
  </si>
  <si>
    <t>2017AMP2015Capital ExpenditureAsset replacement and renewalLow Pressure - Special crossingsconstant</t>
  </si>
  <si>
    <t>2017AMP2014Capital ExpenditureAsset replacement and renewalLow Pressure - Special crossingsconstant</t>
  </si>
  <si>
    <t>2017AMP2016Capital ExpenditureAsset replacement and renewalLow Pressure - Special crossingsconstant</t>
  </si>
  <si>
    <t>2017AMP2013Capital ExpenditureAsset replacement and renewalMedium pressure - Line valveconstant</t>
  </si>
  <si>
    <t>2017AMP2015Capital ExpenditureAsset replacement and renewalMedium pressure - Line valveconstant</t>
  </si>
  <si>
    <t>2017AMP2016Capital ExpenditureAsset replacement and renewalMedium pressure - Line valveconstant</t>
  </si>
  <si>
    <t>2017AMP2017Capital ExpenditureAsset replacement and renewalMedium pressure - Line valveconstant</t>
  </si>
  <si>
    <t>2017AMP2014Capital ExpenditureAsset replacement and renewalMedium pressure - Line valveconstant</t>
  </si>
  <si>
    <t>2017AMP2013Capital ExpenditureAsset replacement and renewalMedium pressure - Main pipeconstant</t>
  </si>
  <si>
    <t>2017AMP2015Capital ExpenditureAsset replacement and renewalMedium pressure - Main pipeconstant</t>
  </si>
  <si>
    <t>2017AMP2014Capital ExpenditureAsset replacement and renewalMedium pressure - Main pipeconstant</t>
  </si>
  <si>
    <t>2017AMP2016Capital ExpenditureAsset replacement and renewalMedium pressure - Main pipeconstant</t>
  </si>
  <si>
    <t>2017AMP2017Capital ExpenditureAsset replacement and renewalMedium pressure - Main pipeconstant</t>
  </si>
  <si>
    <t>2017AMP2017Capital ExpenditureAsset replacement and renewalMedium pressure - Medium Pressure totalconstant</t>
  </si>
  <si>
    <t>2017AMP2016Capital ExpenditureAsset replacement and renewalMedium pressure - Medium Pressure totalconstant</t>
  </si>
  <si>
    <t>2017AMP2014Capital ExpenditureAsset replacement and renewalMedium pressure - Medium Pressure totalconstant</t>
  </si>
  <si>
    <t>2017AMP2015Capital ExpenditureAsset replacement and renewalMedium pressure - Medium Pressure totalconstant</t>
  </si>
  <si>
    <t>2017AMP2013Capital ExpenditureAsset replacement and renewalMedium pressure - Medium Pressure totalconstant</t>
  </si>
  <si>
    <t>2017AMP2015Capital ExpenditureAsset replacement and renewalMedium pressure - Service pipeconstant</t>
  </si>
  <si>
    <t>2017AMP2017Capital ExpenditureAsset replacement and renewalMedium pressure - Service pipeconstant</t>
  </si>
  <si>
    <t>2017AMP2014Capital ExpenditureAsset replacement and renewalMedium pressure - Service pipeconstant</t>
  </si>
  <si>
    <t>2017AMP2016Capital ExpenditureAsset replacement and renewalMedium pressure - Service pipeconstant</t>
  </si>
  <si>
    <t>2017AMP2013Capital ExpenditureAsset replacement and renewalMedium pressure - Service pipeconstant</t>
  </si>
  <si>
    <t>2017AMP2016Capital ExpenditureAsset replacement and renewalMedium pressure - Special crossingsconstant</t>
  </si>
  <si>
    <t>2017AMP2014Capital ExpenditureAsset replacement and renewalMedium pressure - Special crossingsconstant</t>
  </si>
  <si>
    <t>2017AMP2017Capital ExpenditureAsset replacement and renewalMedium pressure - Special crossingsconstant</t>
  </si>
  <si>
    <t>2017AMP2013Capital ExpenditureAsset replacement and renewalMedium pressure - Special crossingsconstant</t>
  </si>
  <si>
    <t>2017AMP2015Capital ExpenditureAsset replacement and renewalMedium pressure - Special crossingsconstant</t>
  </si>
  <si>
    <t>2017AMP2015Capital ExpenditureAsset replacement and renewalMedium pressure - Stationconstant</t>
  </si>
  <si>
    <t>2017AMP2014Capital ExpenditureAsset replacement and renewalMedium pressure - Stationconstant</t>
  </si>
  <si>
    <t>2017AMP2013Capital ExpenditureAsset replacement and renewalMedium pressure - Stationconstant</t>
  </si>
  <si>
    <t>2017AMP2016Capital ExpenditureAsset replacement and renewalMedium pressure - Stationconstant</t>
  </si>
  <si>
    <t>2017AMP2017Capital ExpenditureAsset replacement and renewalMedium pressure - Stationconstant</t>
  </si>
  <si>
    <t>2017AMP2017Capital ExpenditureAsset replacement and renewalOther assets - Cathodic protection systemsconstant</t>
  </si>
  <si>
    <t>2017AMP2013Capital ExpenditureAsset replacement and renewalOther assets - Cathodic protection systemsconstant</t>
  </si>
  <si>
    <t>2017AMP2014Capital ExpenditureAsset replacement and renewalOther assets - Cathodic protection systemsconstant</t>
  </si>
  <si>
    <t>2017AMP2017Capital ExpenditureAsset replacement and renewalOther assets - Monitoring and control systemsconstant</t>
  </si>
  <si>
    <t>2017AMP2013Capital ExpenditureAsset replacement and renewalOther assets - Monitoring and control systemsconstant</t>
  </si>
  <si>
    <t>2017AMP2014Capital ExpenditureAsset replacement and renewalOther assets - Monitoring and control systemsconstant</t>
  </si>
  <si>
    <t>2017AMP2017Capital ExpenditureAsset replacement and renewalOther assets - Other assets (other than above)constant</t>
  </si>
  <si>
    <t>2017AMP2014Capital ExpenditureAsset replacement and renewalOther assets - Other assets (other than above)constant</t>
  </si>
  <si>
    <t>2017AMP2013Capital ExpenditureAsset replacement and renewalOther assets - Other assets (other than above)constant</t>
  </si>
  <si>
    <t>2017AMP2017Capital ExpenditureAsset replacement and renewalOther assets - Other totalconstant</t>
  </si>
  <si>
    <t>2017AMP2014Capital ExpenditureAsset replacement and renewalOther assets - Other totalconstant</t>
  </si>
  <si>
    <t>2017AMP2013Capital ExpenditureAsset replacement and renewalOther assets - Other totalconstant</t>
  </si>
  <si>
    <t>2017AMP2015Capital ExpenditureAsset replacement and renewalOther network assets - Cathodic protection systemsconstant</t>
  </si>
  <si>
    <t>2017AMP2016Capital ExpenditureAsset replacement and renewalOther network assets - Cathodic protection systemsconstant</t>
  </si>
  <si>
    <t>2017AMP2017Capital ExpenditureAsset replacement and renewalOther network assets - Cathodic protection systemsconstant</t>
  </si>
  <si>
    <t>2017AMP2015Capital ExpenditureAsset replacement and renewalOther network assets - Monitoring and control systemsconstant</t>
  </si>
  <si>
    <t>2017AMP2016Capital ExpenditureAsset replacement and renewalOther network assets - Monitoring and control systemsconstant</t>
  </si>
  <si>
    <t>2017AMP2017Capital ExpenditureAsset replacement and renewalOther network assets - Monitoring and control systemsconstant</t>
  </si>
  <si>
    <t>2017AMP2016Capital ExpenditureAsset replacement and renewalOther network assets - Other assets (other than above)constant</t>
  </si>
  <si>
    <t>2017AMP2015Capital ExpenditureAsset replacement and renewalOther network assets - Other assets (other than above)constant</t>
  </si>
  <si>
    <t>2017AMP2017Capital ExpenditureAsset replacement and renewalOther network assets - Other assets (other than above)constant</t>
  </si>
  <si>
    <t>2017AMP2015Capital ExpenditureAsset replacement and renewalOther network assets - Other network assets totalconstant</t>
  </si>
  <si>
    <t>2017AMP2016Capital ExpenditureAsset replacement and renewalOther network assets - Other network assets totalconstant</t>
  </si>
  <si>
    <t>2017AMP2017Capital ExpenditureAsset replacement and renewalOther network assets - Other network assets totalconstant</t>
  </si>
  <si>
    <t>2017IDCapital ExpenditureAll assetsExpenditure on assetsconstant</t>
  </si>
  <si>
    <t>2017IDCapital ExpenditureAll assetsExpenditure on assetsnominal</t>
  </si>
  <si>
    <t>2017IDCapital ExpenditureAsset relocationsAsset relocationsconstant</t>
  </si>
  <si>
    <t>2017IDCapital ExpenditureAsset relocationsAsset relocationsnominal</t>
  </si>
  <si>
    <t>2017IDCapital ExpenditureAsset replacement and renewalAsset replacement and renewalconstant</t>
  </si>
  <si>
    <t>2017IDCapital ExpenditureAsset replacement and renewalAsset replacement and renewalnominal</t>
  </si>
  <si>
    <t>2017IDCapital ExpenditureCapital expenditureCapital expenditureconstant</t>
  </si>
  <si>
    <t>2017IDCapital ExpenditureCapital expenditureCapital expenditurenominal</t>
  </si>
  <si>
    <t>2017IDCapital ExpenditureConsumer connectionConsumer connectionconstant</t>
  </si>
  <si>
    <t>2017IDCapital ExpenditureConsumer connectionConsumer connectionnominal</t>
  </si>
  <si>
    <t>2017IDCapital ExpenditureCost of financingCost of financingconstant</t>
  </si>
  <si>
    <t>2017IDCapital ExpenditureCost of financingCost of financingnominal</t>
  </si>
  <si>
    <t>2017IDCapital ExpenditureNetwork assetsExpenditure on network assetsconstant</t>
  </si>
  <si>
    <t>2017IDCapital ExpenditureNetwork assetsExpenditure on network assetsnominal</t>
  </si>
  <si>
    <t>2017IDCapital ExpenditureNon-network assetsNon-network assetsconstant</t>
  </si>
  <si>
    <t>2017IDCapital ExpenditureNon-network assetsNon-network assetsnominal</t>
  </si>
  <si>
    <t>2017IDCapital ExpenditureReliability, safety and environmentLegislative and regulatoryconstant</t>
  </si>
  <si>
    <t>2017IDCapital ExpenditureReliability, safety and environmentLegislative and regulatorynominal</t>
  </si>
  <si>
    <t>2017IDCapital ExpenditureReliability, safety and environmentOther reliability, safety and environmentconstant</t>
  </si>
  <si>
    <t>2017IDCapital ExpenditureReliability, safety and environmentOther reliability, safety and environmentnominal</t>
  </si>
  <si>
    <t>2017IDCapital ExpenditureReliability, safety and environmentQuality of supplyconstant</t>
  </si>
  <si>
    <t>2017IDCapital ExpenditureReliability, safety and environmentQuality of supplynominal</t>
  </si>
  <si>
    <t>2017IDCapital ExpenditureReliability, safety and environmentTotal reliability, safety and environmentconstant</t>
  </si>
  <si>
    <t>2017IDCapital ExpenditureReliability, safety and environmentTotal reliability, safety and environmentnominal</t>
  </si>
  <si>
    <t>2017IDCapital ExpenditureSystem growthSystem growthconstant</t>
  </si>
  <si>
    <t>2017IDCapital ExpenditureSystem growthSystem growthnominal</t>
  </si>
  <si>
    <t>2017IDCapital ExpenditureValue of capital contributionsValue of capital contributionsconstant</t>
  </si>
  <si>
    <t>2017IDCapital ExpenditureValue of capital contributionsValue of capital contributionsnominal</t>
  </si>
  <si>
    <t>2017IDCapital ExpenditureValue of vested assetsValue of vested assetsconstant</t>
  </si>
  <si>
    <t>2017IDCapital ExpenditureValue of vested assetsValue of vested assetsnominal</t>
  </si>
  <si>
    <t>2017IDCapital ExpenditureAsset Replacement and RenewalAsset replacement and renewal expenditureconstant</t>
  </si>
  <si>
    <t>2017IDCapital ExpenditureAsset Replacement and RenewalAsset replacement and renewal expenditurenominal</t>
  </si>
  <si>
    <t>2017IDCapital ExpenditureAsset Replacement and RenewalAsset replacement and renewal less capital contributionsconstant</t>
  </si>
  <si>
    <t>2017IDCapital ExpenditureAsset Replacement and RenewalAsset replacement and renewal less capital contributionsnominal</t>
  </si>
  <si>
    <t>2017IDCapital ExpenditureAsset Replacement and RenewalCapital contributions funding asset replacement and renewalconstant</t>
  </si>
  <si>
    <t>2017IDCapital ExpenditureAsset Replacement and RenewalCapital contributions funding asset replacement and renewalnominal</t>
  </si>
  <si>
    <t>2017IDCapital ExpenditureAsset Replacement and RenewalIntermediate pressure - Line valveconstant</t>
  </si>
  <si>
    <t>2017IDCapital ExpenditureAsset Replacement and RenewalIntermediate pressure - Line valvenominal</t>
  </si>
  <si>
    <t>2017IDCapital ExpenditureAsset Replacement and RenewalIntermediate pressure - Main pipeconstant</t>
  </si>
  <si>
    <t>2017IDCapital ExpenditureAsset Replacement and RenewalIntermediate pressure - Main pipenominal</t>
  </si>
  <si>
    <t>2017IDCapital ExpenditureAsset Replacement and RenewalIntermediate pressure - Service pipeconstant</t>
  </si>
  <si>
    <t>2017IDCapital ExpenditureAsset Replacement and RenewalIntermediate pressure - Service pipenominal</t>
  </si>
  <si>
    <t>2017IDCapital ExpenditureAsset Replacement and RenewalIntermediate pressure - Special crossingsconstant</t>
  </si>
  <si>
    <t>2017IDCapital ExpenditureAsset Replacement and RenewalIntermediate pressure - Special crossingsnominal</t>
  </si>
  <si>
    <t>2017IDCapital ExpenditureAsset Replacement and RenewalIntermediate pressure - Stationsconstant</t>
  </si>
  <si>
    <t>2017IDCapital ExpenditureAsset Replacement and RenewalIntermediate pressure - Stationsnominal</t>
  </si>
  <si>
    <t>2017IDCapital ExpenditureAsset Replacement and RenewalIntermediate pressure -totalconstant</t>
  </si>
  <si>
    <t>2017IDCapital ExpenditureAsset Replacement and RenewalIntermediate pressure -totalnominal</t>
  </si>
  <si>
    <t>2017IDCapital ExpenditureAsset Replacement and RenewalLow pressure - Line valveconstant</t>
  </si>
  <si>
    <t>2017IDCapital ExpenditureAsset Replacement and RenewalLow pressure - Line valvenominal</t>
  </si>
  <si>
    <t>2017IDCapital ExpenditureAsset Replacement and RenewalLow pressure - Main pipeconstant</t>
  </si>
  <si>
    <t>2017IDCapital ExpenditureAsset Replacement and RenewalLow pressure - Main pipenominal</t>
  </si>
  <si>
    <t>2017IDCapital ExpenditureAsset Replacement and RenewalLow pressure - Service pipeconstant</t>
  </si>
  <si>
    <t>2017IDCapital ExpenditureAsset Replacement and RenewalLow pressure - Service pipenominal</t>
  </si>
  <si>
    <t>2017IDCapital ExpenditureAsset Replacement and RenewalLow pressure - Special crossingsconstant</t>
  </si>
  <si>
    <t>2017IDCapital ExpenditureAsset Replacement and RenewalLow pressure - Special crossingsnominal</t>
  </si>
  <si>
    <t>2017IDCapital ExpenditureAsset Replacement and RenewalLow pressure - totalconstant</t>
  </si>
  <si>
    <t>2017IDCapital ExpenditureAsset Replacement and RenewalLow pressure - totalnominal</t>
  </si>
  <si>
    <t>2017IDCapital ExpenditureAsset Replacement and RenewalMedium pressure - Line valveconstant</t>
  </si>
  <si>
    <t>2017IDCapital ExpenditureAsset Replacement and RenewalMedium pressure - Line valvenominal</t>
  </si>
  <si>
    <t>2017IDCapital ExpenditureAsset Replacement and RenewalMedium pressure - Main pipeconstant</t>
  </si>
  <si>
    <t>2017IDCapital ExpenditureAsset Replacement and RenewalMedium pressure - Main pipenominal</t>
  </si>
  <si>
    <t>2017IDCapital ExpenditureAsset Replacement and RenewalMedium pressure - Service pipeconstant</t>
  </si>
  <si>
    <t>2017IDCapital ExpenditureAsset Replacement and RenewalMedium pressure - Service pipenominal</t>
  </si>
  <si>
    <t>2017IDCapital ExpenditureAsset Replacement and RenewalMedium pressure - Special crossingsconstant</t>
  </si>
  <si>
    <t>2017IDCapital ExpenditureAsset Replacement and RenewalMedium pressure - Special crossingsnominal</t>
  </si>
  <si>
    <t>2017IDCapital ExpenditureAsset Replacement and RenewalMedium pressure - Stationsconstant</t>
  </si>
  <si>
    <t>2017IDCapital ExpenditureAsset Replacement and RenewalMedium pressure - Stationsnominal</t>
  </si>
  <si>
    <t>2017IDCapital ExpenditureAsset Replacement and RenewalMedium pressure - totalconstant</t>
  </si>
  <si>
    <t>2017IDCapital ExpenditureAsset Replacement and RenewalMedium pressure - totalnominal</t>
  </si>
  <si>
    <t>2017IDCapital ExpenditureAsset Replacement and RenewalOther network assets - Cathodic protection systemsconstant</t>
  </si>
  <si>
    <t>2017IDCapital ExpenditureAsset Replacement and RenewalOther network assets - Cathodic protection systemsnominal</t>
  </si>
  <si>
    <t>2017IDCapital ExpenditureAsset Replacement and RenewalOther network assets - Monitoring and control systemsconstant</t>
  </si>
  <si>
    <t>2017IDCapital ExpenditureAsset Replacement and RenewalOther network assets - Monitoring and control systemsnominal</t>
  </si>
  <si>
    <t>2017IDCapital ExpenditureAsset Replacement and RenewalOther network assets - Other assets (other than above)constant</t>
  </si>
  <si>
    <t>2017IDCapital ExpenditureAsset Replacement and RenewalOther network assets - Other assets (other than above)nominal</t>
  </si>
  <si>
    <t>2017IDCapital ExpenditureAsset Replacement and RenewalOther network assets - totalconstant</t>
  </si>
  <si>
    <t>2017IDCapital ExpenditureAsset Replacement and RenewalOther network assets - totalnominal</t>
  </si>
  <si>
    <t>2017IDCapital ExpenditureSystem GrowthCapital contributions funding system growthconstant</t>
  </si>
  <si>
    <t>2017IDCapital ExpenditureSystem GrowthCapital contributions funding system growthnominal</t>
  </si>
  <si>
    <t>2017IDCapital ExpenditureSystem GrowthIntermediate pressure - Line valveconstant</t>
  </si>
  <si>
    <t>2017IDCapital ExpenditureSystem GrowthIntermediate pressure - Line valvenominal</t>
  </si>
  <si>
    <t>2017IDCapital ExpenditureSystem GrowthIntermediate pressure - Main pipeconstant</t>
  </si>
  <si>
    <t>2017IDCapital ExpenditureSystem GrowthIntermediate pressure - Main pipenominal</t>
  </si>
  <si>
    <t>2017IDCapital ExpenditureSystem GrowthIntermediate pressure - Service pipeconstant</t>
  </si>
  <si>
    <t>2017IDCapital ExpenditureSystem GrowthIntermediate pressure - Service pipenominal</t>
  </si>
  <si>
    <t>2017IDCapital ExpenditureSystem GrowthIntermediate pressure - Special crossingsconstant</t>
  </si>
  <si>
    <t>2017IDCapital ExpenditureSystem GrowthIntermediate pressure - Special crossingsnominal</t>
  </si>
  <si>
    <t>2017IDCapital ExpenditureSystem GrowthIntermediate pressure - Stationsconstant</t>
  </si>
  <si>
    <t>2017IDCapital ExpenditureSystem GrowthIntermediate pressure - Stationsnominal</t>
  </si>
  <si>
    <t>2017IDCapital ExpenditureSystem GrowthIntermediate pressure -totalconstant</t>
  </si>
  <si>
    <t>2017IDCapital ExpenditureSystem GrowthIntermediate pressure -totalnominal</t>
  </si>
  <si>
    <t>2017IDCapital ExpenditureSystem GrowthLow pressure - Line valveconstant</t>
  </si>
  <si>
    <t>2017IDCapital ExpenditureSystem GrowthLow pressure - Line valvenominal</t>
  </si>
  <si>
    <t>2017IDCapital ExpenditureSystem GrowthLow pressure - Main pipeconstant</t>
  </si>
  <si>
    <t>2017IDCapital ExpenditureSystem GrowthLow pressure - Main pipenominal</t>
  </si>
  <si>
    <t>2017IDCapital ExpenditureSystem GrowthLow pressure - Service pipeconstant</t>
  </si>
  <si>
    <t>2017IDCapital ExpenditureSystem GrowthLow pressure - Service pipenominal</t>
  </si>
  <si>
    <t>2017IDCapital ExpenditureSystem GrowthLow pressure - Special crossingsconstant</t>
  </si>
  <si>
    <t>2017IDCapital ExpenditureSystem GrowthLow pressure - Special crossingsnominal</t>
  </si>
  <si>
    <t>2017IDCapital ExpenditureSystem GrowthLow pressure - totalconstant</t>
  </si>
  <si>
    <t>2017IDCapital ExpenditureSystem GrowthLow pressure - totalnominal</t>
  </si>
  <si>
    <t>2017IDCapital ExpenditureSystem GrowthMedium pressure - Line valveconstant</t>
  </si>
  <si>
    <t>2017IDCapital ExpenditureSystem GrowthMedium pressure - Line valvenominal</t>
  </si>
  <si>
    <t>2017IDCapital ExpenditureSystem GrowthMedium pressure - Main pipeconstant</t>
  </si>
  <si>
    <t>2017IDCapital ExpenditureSystem GrowthMedium pressure - Main pipenominal</t>
  </si>
  <si>
    <t>2017IDCapital ExpenditureSystem GrowthMedium pressure - Service pipeconstant</t>
  </si>
  <si>
    <t>2017IDCapital ExpenditureSystem GrowthMedium pressure - Service pipenominal</t>
  </si>
  <si>
    <t>2017IDCapital ExpenditureSystem GrowthMedium pressure - Special crossingsconstant</t>
  </si>
  <si>
    <t>2017IDCapital ExpenditureSystem GrowthMedium pressure - Special crossingsnominal</t>
  </si>
  <si>
    <t>2017IDCapital ExpenditureSystem GrowthMedium pressure - Stationsconstant</t>
  </si>
  <si>
    <t>2017IDCapital ExpenditureSystem GrowthMedium pressure - Stationsnominal</t>
  </si>
  <si>
    <t>2017IDCapital ExpenditureSystem GrowthMedium pressure - totalconstant</t>
  </si>
  <si>
    <t>2017IDCapital ExpenditureSystem GrowthMedium pressure - totalnominal</t>
  </si>
  <si>
    <t>2017IDCapital ExpenditureSystem GrowthOther network assets - Cathodic protection systemsconstant</t>
  </si>
  <si>
    <t>2017IDCapital ExpenditureSystem GrowthOther network assets - Cathodic protection systemsnominal</t>
  </si>
  <si>
    <t>2017IDCapital ExpenditureSystem GrowthOther network assets - Monitoring and control systemsconstant</t>
  </si>
  <si>
    <t>2017IDCapital ExpenditureSystem GrowthOther network assets - Monitoring and control systemsnominal</t>
  </si>
  <si>
    <t>2017IDCapital ExpenditureSystem GrowthOther network assets - Other assets (other than above)constant</t>
  </si>
  <si>
    <t>2017IDCapital ExpenditureSystem GrowthOther network assets - Other assets (other than above)nominal</t>
  </si>
  <si>
    <t>2017IDCapital ExpenditureSystem GrowthOther network assets - totalconstant</t>
  </si>
  <si>
    <t>2017IDCapital ExpenditureSystem GrowthOther network assets - totalnominal</t>
  </si>
  <si>
    <t>2017IDCapital ExpenditureSystem GrowthSystem growth expenditureconstant</t>
  </si>
  <si>
    <t>2017IDCapital ExpenditureSystem GrowthSystem growth expenditurenominal</t>
  </si>
  <si>
    <t>2017IDCapital ExpenditureSystem GrowthSystem growth less capital contributionsconstant</t>
  </si>
  <si>
    <t>2017IDCapital ExpenditureSystem GrowthSystem growth less capital contributionsnominal</t>
  </si>
  <si>
    <t>2017IDNetwork and DemandSystem lengthSystem lengthNA</t>
  </si>
  <si>
    <t>2017IDNetwork and DemandCustomer numbersNumber of ICPs at year endNA</t>
  </si>
  <si>
    <t>2017IDNetwork and DemandGas deliveredAverage daily deliveryNA</t>
  </si>
  <si>
    <t>2017IDNetwork and DemandGas deliveredLoad factorNA</t>
  </si>
  <si>
    <t>2017IDNetwork and DemandGas deliveredMaximum daily loadNA</t>
  </si>
  <si>
    <t>2017IDNetwork and DemandGas deliveredMaximum monthly loadNA</t>
  </si>
  <si>
    <t>2017IDNetwork and DemandGas deliveredNumber of directly billed ICPsNA</t>
  </si>
  <si>
    <t>2017IDNetwork and DemandGas deliveredTotal gas conveyedNA</t>
  </si>
  <si>
    <t>2017AMP2015Operating ExpenditureAsset replacement and renewalAsset replacement and renewalconstant</t>
  </si>
  <si>
    <t>2017AMP2014Operating ExpenditureAsset replacement and renewalAsset replacement and renewalconstant</t>
  </si>
  <si>
    <t>2017AMP2016Operating ExpenditureAsset replacement and renewalAsset replacement and renewalconstant</t>
  </si>
  <si>
    <t>2017AMP2017Operating ExpenditureAsset replacement and renewalAsset replacement and renewalconstant</t>
  </si>
  <si>
    <t>2017AMP2013Operating ExpenditureAsset replacement and renewalAsset replacement and renewalconstant</t>
  </si>
  <si>
    <t>2017AMP2013Operating ExpenditureAsset replacement and renewalAsset replacement and renewalnominal</t>
  </si>
  <si>
    <t>2017AMP2015Operating ExpenditureAsset replacement and renewalAsset replacement and renewalnominal</t>
  </si>
  <si>
    <t>2017AMP2014Operating ExpenditureAsset replacement and renewalAsset replacement and renewalnominal</t>
  </si>
  <si>
    <t>2017AMP2016Operating ExpenditureAsset replacement and renewalAsset replacement and renewalnominal</t>
  </si>
  <si>
    <t>2017AMP2017Operating ExpenditureAsset replacement and renewalAsset replacement and renewalnominal</t>
  </si>
  <si>
    <t>2017AMP2016Operating ExpenditureBusiness supportBusiness supportconstant</t>
  </si>
  <si>
    <t>2017AMP2014Operating ExpenditureBusiness supportBusiness supportconstant</t>
  </si>
  <si>
    <t>2017AMP2017Operating ExpenditureBusiness supportBusiness supportconstant</t>
  </si>
  <si>
    <t>2017AMP2013Operating ExpenditureBusiness supportBusiness supportconstant</t>
  </si>
  <si>
    <t>2017AMP2015Operating ExpenditureBusiness supportBusiness supportconstant</t>
  </si>
  <si>
    <t>2017AMP2016Operating ExpenditureBusiness supportBusiness supportnominal</t>
  </si>
  <si>
    <t>2017AMP2015Operating ExpenditureBusiness supportBusiness supportnominal</t>
  </si>
  <si>
    <t>2017AMP2014Operating ExpenditureBusiness supportBusiness supportnominal</t>
  </si>
  <si>
    <t>2017AMP2017Operating ExpenditureBusiness supportBusiness supportnominal</t>
  </si>
  <si>
    <t>2017AMP2013Operating ExpenditureBusiness supportBusiness supportnominal</t>
  </si>
  <si>
    <t>2017AMP2015Operating ExpenditureExpenditure on subcomponentsInsuranceconstant</t>
  </si>
  <si>
    <t>2017AMP2016Operating ExpenditureExpenditure on subcomponentsInsuranceconstant</t>
  </si>
  <si>
    <t>2017AMP2014Operating ExpenditureExpenditure on subcomponentsInsuranceconstant</t>
  </si>
  <si>
    <t>2017AMP2017Operating ExpenditureExpenditure on subcomponentsInsuranceconstant</t>
  </si>
  <si>
    <t>2017AMP2013Operating ExpenditureExpenditure on subcomponentsInsuranceconstant</t>
  </si>
  <si>
    <t>2017AMP2014Operating ExpenditureExpenditure on subcomponentsResearch and developmentconstant</t>
  </si>
  <si>
    <t>2017AMP2015Operating ExpenditureExpenditure on subcomponentsResearch and developmentconstant</t>
  </si>
  <si>
    <t>2017AMP2016Operating ExpenditureExpenditure on subcomponentsResearch and developmentconstant</t>
  </si>
  <si>
    <t>2017AMP2017Operating ExpenditureExpenditure on subcomponentsResearch and developmentconstant</t>
  </si>
  <si>
    <t>2017AMP2013Operating ExpenditureExpenditure on subcomponentsResearch and developmentconstant</t>
  </si>
  <si>
    <t>2017AMP2015Operating ExpenditureNetwork opexNetwork opexconstant</t>
  </si>
  <si>
    <t>2017AMP2013Operating ExpenditureNetwork opexNetwork opexconstant</t>
  </si>
  <si>
    <t>2017AMP2016Operating ExpenditureNetwork opexNetwork opexconstant</t>
  </si>
  <si>
    <t>2017AMP2017Operating ExpenditureNetwork opexNetwork opexconstant</t>
  </si>
  <si>
    <t>2017AMP2014Operating ExpenditureNetwork opexNetwork opexconstant</t>
  </si>
  <si>
    <t>2017AMP2014Operating ExpenditureNetwork opexNetwork opexnominal</t>
  </si>
  <si>
    <t>2017AMP2016Operating ExpenditureNetwork opexNetwork opexnominal</t>
  </si>
  <si>
    <t>2017AMP2015Operating ExpenditureNetwork opexNetwork opexnominal</t>
  </si>
  <si>
    <t>2017AMP2013Operating ExpenditureNetwork opexNetwork opexnominal</t>
  </si>
  <si>
    <t>2017AMP2017Operating ExpenditureNetwork opexNetwork opexnominal</t>
  </si>
  <si>
    <t>2017AMP2017Operating ExpenditureNon-network opexNon-network opexconstant</t>
  </si>
  <si>
    <t>2017AMP2016Operating ExpenditureNon-network opexNon-network opexconstant</t>
  </si>
  <si>
    <t>2017AMP2013Operating ExpenditureNon-network opexNon-network opexconstant</t>
  </si>
  <si>
    <t>2017AMP2014Operating ExpenditureNon-network opexNon-network opexconstant</t>
  </si>
  <si>
    <t>2017AMP2015Operating ExpenditureNon-network opexNon-network opexconstant</t>
  </si>
  <si>
    <t>2017AMP2014Operating ExpenditureNon-network opexNon-network opexnominal</t>
  </si>
  <si>
    <t>2017AMP2016Operating ExpenditureNon-network opexNon-network opexnominal</t>
  </si>
  <si>
    <t>2017AMP2017Operating ExpenditureNon-network opexNon-network opexnominal</t>
  </si>
  <si>
    <t>2017AMP2015Operating ExpenditureNon-network opexNon-network opexnominal</t>
  </si>
  <si>
    <t>2017AMP2013Operating ExpenditureNon-network opexNon-network opexnominal</t>
  </si>
  <si>
    <t>2017AMP2013Operating ExpenditureResearch and developmentResearch and developmentconstant</t>
  </si>
  <si>
    <t>2017AMP2016Operating ExpenditureResearch and developmentResearch and developmentconstant</t>
  </si>
  <si>
    <t>2017AMP2015Operating ExpenditureResearch and developmentResearch and developmentconstant</t>
  </si>
  <si>
    <t>2017AMP2014Operating ExpenditureResearch and developmentResearch and developmentconstant</t>
  </si>
  <si>
    <t>2017AMP2017Operating ExpenditureResearch and developmentResearch and developmentconstant</t>
  </si>
  <si>
    <t>2017AMP2017Operating ExpenditureRoutine and corrective maintenance and inspectionRoutine and corrective maintenance and inspectionconstant</t>
  </si>
  <si>
    <t>2017AMP2015Operating ExpenditureRoutine and corrective maintenance and inspectionRoutine and corrective maintenance and inspectionconstant</t>
  </si>
  <si>
    <t>2017AMP2014Operating ExpenditureRoutine and corrective maintenance and inspectionRoutine and corrective maintenance and inspectionconstant</t>
  </si>
  <si>
    <t>2017AMP2016Operating ExpenditureRoutine and corrective maintenance and inspectionRoutine and corrective maintenance and inspectionconstant</t>
  </si>
  <si>
    <t>2017AMP2013Operating ExpenditureRoutine and corrective maintenance and inspectionRoutine and corrective maintenance and inspectionconstant</t>
  </si>
  <si>
    <t>2017AMP2013Operating ExpenditureRoutine and corrective maintenance and inspectionRoutine and corrective maintenance and inspectionnominal</t>
  </si>
  <si>
    <t>2017AMP2014Operating ExpenditureRoutine and corrective maintenance and inspectionRoutine and corrective maintenance and inspectionnominal</t>
  </si>
  <si>
    <t>2017AMP2017Operating ExpenditureRoutine and corrective maintenance and inspectionRoutine and corrective maintenance and inspectionnominal</t>
  </si>
  <si>
    <t>2017AMP2016Operating ExpenditureRoutine and corrective maintenance and inspectionRoutine and corrective maintenance and inspectionnominal</t>
  </si>
  <si>
    <t>2017AMP2015Operating ExpenditureRoutine and corrective maintenance and inspectionRoutine and corrective maintenance and inspectionnominal</t>
  </si>
  <si>
    <t>2017AMP2016Operating ExpenditureService interruptions, incidents and emergenciesService interruptions, incidents and emergenciesconstant</t>
  </si>
  <si>
    <t>2017AMP2017Operating ExpenditureService interruptions, incidents and emergenciesService interruptions, incidents and emergenciesconstant</t>
  </si>
  <si>
    <t>2017AMP2014Operating ExpenditureService interruptions, incidents and emergenciesService interruptions, incidents and emergenciesconstant</t>
  </si>
  <si>
    <t>2017AMP2015Operating ExpenditureService interruptions, incidents and emergenciesService interruptions, incidents and emergenciesconstant</t>
  </si>
  <si>
    <t>2017AMP2013Operating ExpenditureService interruptions, incidents and emergenciesService interruptions, incidents and emergenciesconstant</t>
  </si>
  <si>
    <t>2017AMP2016Operating ExpenditureService interruptions, incidents and emergenciesService interruptions, incidents and emergenciesnominal</t>
  </si>
  <si>
    <t>2017AMP2013Operating ExpenditureService interruptions, incidents and emergenciesService interruptions, incidents and emergenciesnominal</t>
  </si>
  <si>
    <t>2017AMP2015Operating ExpenditureService interruptions, incidents and emergenciesService interruptions, incidents and emergenciesnominal</t>
  </si>
  <si>
    <t>2017AMP2017Operating ExpenditureService interruptions, incidents and emergenciesService interruptions, incidents and emergenciesnominal</t>
  </si>
  <si>
    <t>2017AMP2014Operating ExpenditureService interruptions, incidents and emergenciesService interruptions, incidents and emergenciesnominal</t>
  </si>
  <si>
    <t>2017AMP2013Operating ExpenditureSystem operations and network supportSystem operations and network supportconstant</t>
  </si>
  <si>
    <t>2017AMP2014Operating ExpenditureSystem operations and network supportSystem operations and network supportconstant</t>
  </si>
  <si>
    <t>2017AMP2016Operating ExpenditureSystem operations and network supportSystem operations and network supportconstant</t>
  </si>
  <si>
    <t>2017AMP2015Operating ExpenditureSystem operations and network supportSystem operations and network supportconstant</t>
  </si>
  <si>
    <t>2017AMP2017Operating ExpenditureSystem operations and network supportSystem operations and network supportconstant</t>
  </si>
  <si>
    <t>2017AMP2013Operating ExpenditureSystem operations and network supportSystem operations and network supportnominal</t>
  </si>
  <si>
    <t>2017AMP2017Operating ExpenditureSystem operations and network supportSystem operations and network supportnominal</t>
  </si>
  <si>
    <t>2017AMP2015Operating ExpenditureSystem operations and network supportSystem operations and network supportnominal</t>
  </si>
  <si>
    <t>2017AMP2014Operating ExpenditureSystem operations and network supportSystem operations and network supportnominal</t>
  </si>
  <si>
    <t>2017AMP2016Operating ExpenditureSystem operations and network supportSystem operations and network supportnominal</t>
  </si>
  <si>
    <t>2017AMP2015Operating ExpenditureTotal opexOperational expenditureconstant</t>
  </si>
  <si>
    <t>2017AMP2014Operating ExpenditureTotal opexOperational expenditureconstant</t>
  </si>
  <si>
    <t>2017AMP2017Operating ExpenditureTotal opexOperational expenditureconstant</t>
  </si>
  <si>
    <t>2017AMP2013Operating ExpenditureTotal opexOperational expenditureconstant</t>
  </si>
  <si>
    <t>2017AMP2016Operating ExpenditureTotal opexOperational expenditureconstant</t>
  </si>
  <si>
    <t>2017AMP2015Operating ExpenditureTotal opexOperational expenditurenominal</t>
  </si>
  <si>
    <t>2017AMP2016Operating ExpenditureTotal opexOperational expenditurenominal</t>
  </si>
  <si>
    <t>2017AMP2014Operating ExpenditureTotal opexOperational expenditurenominal</t>
  </si>
  <si>
    <t>2017AMP2017Operating ExpenditureTotal opexOperational expenditurenominal</t>
  </si>
  <si>
    <t>2017AMP2013Operating ExpenditureTotal opexOperational expenditurenominal</t>
  </si>
  <si>
    <t>2017IDOperating ExpenditureAsset replacement and renewalAsset replacement and renewalconstant</t>
  </si>
  <si>
    <t>2017IDOperating ExpenditureAsset replacement and renewalAsset replacement and renewalnominal</t>
  </si>
  <si>
    <t>2017IDOperating ExpenditureBusiness supportBusiness supportconstant</t>
  </si>
  <si>
    <t>2017IDOperating ExpenditureBusiness supportBusiness supportnominal</t>
  </si>
  <si>
    <t>2017IDOperating ExpenditureNetwork opexNetwork opexconstant</t>
  </si>
  <si>
    <t>2017IDOperating ExpenditureNetwork opexNetwork opexnominal</t>
  </si>
  <si>
    <t>2017IDOperating ExpenditureNon-network opexNon-network opexconstant</t>
  </si>
  <si>
    <t>2017IDOperating ExpenditureNon-network opexNon-network opexnominal</t>
  </si>
  <si>
    <t>2017IDOperating ExpenditureRoutine and corrective maintenance and inspectionRoutine and corrective maintenance and inspectionconstant</t>
  </si>
  <si>
    <t>2017IDOperating ExpenditureRoutine and corrective maintenance and inspectionRoutine and corrective maintenance and inspectionnominal</t>
  </si>
  <si>
    <t>2017IDOperating ExpenditureService interruptions, incidents and emergenciesService interruptions, incidents and emergenciesconstant</t>
  </si>
  <si>
    <t>2017IDOperating ExpenditureService interruptions, incidents and emergenciesService interruptions, incidents and emergenciesnominal</t>
  </si>
  <si>
    <t>2017IDOperating ExpenditureSystem operations and network supportSystem operations and network supportconstant</t>
  </si>
  <si>
    <t>2017IDOperating ExpenditureSystem operations and network supportSystem operations and network supportnominal</t>
  </si>
  <si>
    <t>2017IDOperating ExpenditureTotal opexOperational expenditureconstant</t>
  </si>
  <si>
    <t>2017IDOperating ExpenditureTotal opexOperational expenditurenominal</t>
  </si>
  <si>
    <t>2017IDOther dataRelated party transactionsCapital expenditureconstant</t>
  </si>
  <si>
    <t>2017IDOther dataRelated party transactionsCapital expenditurenominal</t>
  </si>
  <si>
    <t>2017IDOther dataRelated party transactionsMarket value of asset disposalsconstant</t>
  </si>
  <si>
    <t>2017IDOther dataRelated party transactionsMarket value of asset disposalsnominal</t>
  </si>
  <si>
    <t>2017IDOther dataRelated party transactionsOperational expenditureconstant</t>
  </si>
  <si>
    <t>2017IDOther dataRelated party transactionsOperational expenditurenominal</t>
  </si>
  <si>
    <t>2017IDOther dataRelated party transactionsOther related party transactionsconstant</t>
  </si>
  <si>
    <t>2017IDOther dataRelated party transactionsOther related party transactionsnominal</t>
  </si>
  <si>
    <t>2017IDOther dataRelated party transactionsTotal regulatory incomeconstant</t>
  </si>
  <si>
    <t>2017IDOther dataRelated party transactionsTotal regulatory incomenominal</t>
  </si>
  <si>
    <t>2017IDRAB valueTotal closing RAB valueIntermediate pressure main pipelinesconstant</t>
  </si>
  <si>
    <t>2017IDRAB valueTotal closing RAB valueLine valveconstant</t>
  </si>
  <si>
    <t>2017IDRAB valueTotal closing RAB valueLow pressure main pipelinesconstant</t>
  </si>
  <si>
    <t>2017IDRAB valueTotal closing RAB valueMedium pressure main pipelinesconstant</t>
  </si>
  <si>
    <t>2017IDRAB valueTotal closing RAB valueOther network assetsconstant</t>
  </si>
  <si>
    <t>2017IDRAB valueTotal closing RAB valueService pipeconstant</t>
  </si>
  <si>
    <t>2017IDRAB valueTotal closing RAB valueSpecial crossingsconstant</t>
  </si>
  <si>
    <t>2017IDRAB valueTotal closing RAB valueStationsconstant</t>
  </si>
  <si>
    <t>2017IDRAB valueTotal closing RAB valueTotalconstant</t>
  </si>
  <si>
    <t>2017IDReliabilityInterruption rateInterruptions per 100 circuit kmNA</t>
  </si>
  <si>
    <t>2017IDReliabilityInterruptionsClass BNA</t>
  </si>
  <si>
    <t>2017IDReliabilityInterruptionsClass CNA</t>
  </si>
  <si>
    <t>2017IDReliabilityCAIDIAll interruptionsNA</t>
  </si>
  <si>
    <t>2017IDReliabilityCAIDIClass INA</t>
  </si>
  <si>
    <t>2017IDReliabilitySAIDIAll interruptionsNA</t>
  </si>
  <si>
    <t>2017IDReliabilitySAIDIClass INA</t>
  </si>
  <si>
    <t>2017IDReliabilitySAIFIAll interruptionsNA</t>
  </si>
  <si>
    <t>2017IDReliabilitySAIFIClass INA</t>
  </si>
  <si>
    <t>2017IDRevenue and ProfitabilityReturn on investmentReturn on Investment (post tax)NA</t>
  </si>
  <si>
    <t>2017IDRevenue and ProfitabilityReturn on investmentReturn on Investment (vanilla)NA</t>
  </si>
  <si>
    <t>2017IDRevenue and ProfitabilityExpensesOperational expenditureconstant</t>
  </si>
  <si>
    <t>2017IDRevenue and ProfitabilityExpensesOperational expenditurenominal</t>
  </si>
  <si>
    <t>2017IDRevenue and ProfitabilityExpensesPass-through and recoverable costsconstant</t>
  </si>
  <si>
    <t>2017IDRevenue and ProfitabilityExpensesPass-through and recoverable costsnominal</t>
  </si>
  <si>
    <t>2017IDRevenue and ProfitabilityOperating surplus / (deficit)Operating surplus / (deficit)constant</t>
  </si>
  <si>
    <t>2017IDRevenue and ProfitabilityOperating surplus / (deficit)Operating surplus / (deficit)nominal</t>
  </si>
  <si>
    <t>2017IDRevenue and ProfitabilityRegulatory profit / (loss)Regulatory profit / (loss)constant</t>
  </si>
  <si>
    <t>2017IDRevenue and ProfitabilityRegulatory profit / (loss)Regulatory profit / (loss)nominal</t>
  </si>
  <si>
    <t>2017IDRevenue and ProfitabilityRegulatory profit / (loss) before taxRegulatory profit / (loss) before taxconstant</t>
  </si>
  <si>
    <t>2017IDRevenue and ProfitabilityRegulatory profit / (loss) before taxRegulatory profit / (loss) before taxnominal</t>
  </si>
  <si>
    <t>2017IDRevenue and ProfitabilityTaxRegulatory tax allowanceconstant</t>
  </si>
  <si>
    <t>2017IDRevenue and ProfitabilityTaxRegulatory tax allowancenominal</t>
  </si>
  <si>
    <t>2017IDRevenue and ProfitabilityTerm credit spread differentialTerm credit spread differential allowanceconstant</t>
  </si>
  <si>
    <t>2017IDRevenue and ProfitabilityTerm credit spread differentialTerm credit spread differential allowancenominal</t>
  </si>
  <si>
    <t>2017IDRevenue and ProfitabilityTotal regulatory incomeGains / (losses) on asset disposalsconstant</t>
  </si>
  <si>
    <t>2017IDRevenue and ProfitabilityTotal regulatory incomeGains / (losses) on asset disposalsnominal</t>
  </si>
  <si>
    <t>2017IDRevenue and ProfitabilityTotal regulatory incomeLine charge revenueconstant</t>
  </si>
  <si>
    <t>2017IDRevenue and ProfitabilityTotal regulatory incomeLine charge revenuenominal</t>
  </si>
  <si>
    <t>2017IDRevenue and ProfitabilityTotal regulatory incomeOther regulatory incomeconstant</t>
  </si>
  <si>
    <t>2017IDRevenue and ProfitabilityTotal regulatory incomeOther regulatory incomenominal</t>
  </si>
  <si>
    <t>2017IDRevenue and ProfitabilityTotal regulatory incomeTotal regulatory incomeconstant</t>
  </si>
  <si>
    <t>2017IDRevenue and ProfitabilityTotal regulatory incomeTotal regulatory incomenominal</t>
  </si>
  <si>
    <t>2018AMP2014Capital ExpenditureAll assetsExpenditure on assetsconstant</t>
  </si>
  <si>
    <t>2018AMP2013Capital ExpenditureAll assetsExpenditure on assetsconstant</t>
  </si>
  <si>
    <t>2018AMP2017Capital ExpenditureAll assetsExpenditure on assetsconstant</t>
  </si>
  <si>
    <t>2018AMP2018Capital ExpenditureAll assetsExpenditure on assetsconstant</t>
  </si>
  <si>
    <t>2018AMP2016Capital ExpenditureAll assetsExpenditure on assetsconstant</t>
  </si>
  <si>
    <t>2018AMP2015Capital ExpenditureAll assetsExpenditure on assetsconstant</t>
  </si>
  <si>
    <t>2018AMP2014Capital ExpenditureAll assetsExpenditure on assetsnominal</t>
  </si>
  <si>
    <t>2018AMP2015Capital ExpenditureAll assetsExpenditure on assetsnominal</t>
  </si>
  <si>
    <t>2018AMP2013Capital ExpenditureAll assetsExpenditure on assetsnominal</t>
  </si>
  <si>
    <t>2018AMP2016Capital ExpenditureAll assetsExpenditure on assetsnominal</t>
  </si>
  <si>
    <t>2018AMP2017Capital ExpenditureAll assetsExpenditure on assetsnominal</t>
  </si>
  <si>
    <t>2018AMP2018Capital ExpenditureAll assetsExpenditure on assetsnominal</t>
  </si>
  <si>
    <t>2018AMP2015Capital ExpenditureAsset relocationsAsset relocationsconstant</t>
  </si>
  <si>
    <t>2018AMP2018Capital ExpenditureAsset relocationsAsset relocationsconstant</t>
  </si>
  <si>
    <t>2018AMP2016Capital ExpenditureAsset relocationsAsset relocationsconstant</t>
  </si>
  <si>
    <t>2018AMP2017Capital ExpenditureAsset relocationsAsset relocationsconstant</t>
  </si>
  <si>
    <t>2018AMP2014Capital ExpenditureAsset relocationsAsset relocationsconstant</t>
  </si>
  <si>
    <t>2018AMP2013Capital ExpenditureAsset relocationsAsset relocationsconstant</t>
  </si>
  <si>
    <t>2018AMP2013Capital ExpenditureAsset relocationsAsset relocationsnominal</t>
  </si>
  <si>
    <t>2018AMP2016Capital ExpenditureAsset relocationsAsset relocationsnominal</t>
  </si>
  <si>
    <t>2018AMP2017Capital ExpenditureAsset relocationsAsset relocationsnominal</t>
  </si>
  <si>
    <t>2018AMP2014Capital ExpenditureAsset relocationsAsset relocationsnominal</t>
  </si>
  <si>
    <t>2018AMP2015Capital ExpenditureAsset relocationsAsset relocationsnominal</t>
  </si>
  <si>
    <t>2018AMP2018Capital ExpenditureAsset relocationsAsset relocationsnominal</t>
  </si>
  <si>
    <t>2018AMP2016Capital ExpenditureAsset replacement and renewalAsset replacement and renewalconstant</t>
  </si>
  <si>
    <t>2018AMP2013Capital ExpenditureAsset replacement and renewalAsset replacement and renewalconstant</t>
  </si>
  <si>
    <t>2018AMP2014Capital ExpenditureAsset replacement and renewalAsset replacement and renewalconstant</t>
  </si>
  <si>
    <t>2018AMP2018Capital ExpenditureAsset replacement and renewalAsset replacement and renewalconstant</t>
  </si>
  <si>
    <t>2018AMP2015Capital ExpenditureAsset replacement and renewalAsset replacement and renewalconstant</t>
  </si>
  <si>
    <t>2018AMP2017Capital ExpenditureAsset replacement and renewalAsset replacement and renewalconstant</t>
  </si>
  <si>
    <t>2018AMP2018Capital ExpenditureAsset replacement and renewalAsset replacement and renewalnominal</t>
  </si>
  <si>
    <t>2018AMP2015Capital ExpenditureAsset replacement and renewalAsset replacement and renewalnominal</t>
  </si>
  <si>
    <t>2018AMP2013Capital ExpenditureAsset replacement and renewalAsset replacement and renewalnominal</t>
  </si>
  <si>
    <t>2018AMP2016Capital ExpenditureAsset replacement and renewalAsset replacement and renewalnominal</t>
  </si>
  <si>
    <t>2018AMP2017Capital ExpenditureAsset replacement and renewalAsset replacement and renewalnominal</t>
  </si>
  <si>
    <t>2018AMP2014Capital ExpenditureAsset replacement and renewalAsset replacement and renewalnominal</t>
  </si>
  <si>
    <t>2018AMP2015Capital ExpenditureAssets commissionedAssets commissionednominal</t>
  </si>
  <si>
    <t>2018AMP2018Capital ExpenditureAssets commissionedAssets commissionednominal</t>
  </si>
  <si>
    <t>2018AMP2017Capital ExpenditureAssets commissionedAssets commissionednominal</t>
  </si>
  <si>
    <t>2018AMP2016Capital ExpenditureAssets commissionedAssets commissionednominal</t>
  </si>
  <si>
    <t>2018AMP2018Capital ExpenditureCapital expenditure forecastCapital expenditure forecastnominal</t>
  </si>
  <si>
    <t>2018AMP2015Capital ExpenditureCapital expenditure forecastCapital expenditure forecastnominal</t>
  </si>
  <si>
    <t>2018AMP2017Capital ExpenditureCapital expenditure forecastCapital expenditure forecastnominal</t>
  </si>
  <si>
    <t>2018AMP2014Capital ExpenditureCapital expenditure forecastCapital expenditure forecastnominal</t>
  </si>
  <si>
    <t>2018AMP2013Capital ExpenditureCapital expenditure forecastCapital expenditure forecastnominal</t>
  </si>
  <si>
    <t>2018AMP2016Capital ExpenditureCapital expenditure forecastCapital expenditure forecastnominal</t>
  </si>
  <si>
    <t>2018AMP2014Capital ExpenditureConsumer connectionConsumer connectionconstant</t>
  </si>
  <si>
    <t>2018AMP2015Capital ExpenditureConsumer connectionConsumer connectionconstant</t>
  </si>
  <si>
    <t>2018AMP2016Capital ExpenditureConsumer connectionConsumer connectionconstant</t>
  </si>
  <si>
    <t>2018AMP2013Capital ExpenditureConsumer connectionConsumer connectionconstant</t>
  </si>
  <si>
    <t>2018AMP2017Capital ExpenditureConsumer connectionConsumer connectionconstant</t>
  </si>
  <si>
    <t>2018AMP2018Capital ExpenditureConsumer connectionConsumer connectionconstant</t>
  </si>
  <si>
    <t>2018AMP2014Capital ExpenditureConsumer connectionConsumer connectionnominal</t>
  </si>
  <si>
    <t>2018AMP2015Capital ExpenditureConsumer connectionConsumer connectionnominal</t>
  </si>
  <si>
    <t>2018AMP2013Capital ExpenditureConsumer connectionConsumer connectionnominal</t>
  </si>
  <si>
    <t>2018AMP2016Capital ExpenditureConsumer connectionConsumer connectionnominal</t>
  </si>
  <si>
    <t>2018AMP2018Capital ExpenditureConsumer connectionConsumer connectionnominal</t>
  </si>
  <si>
    <t>2018AMP2017Capital ExpenditureConsumer connectionConsumer connectionnominal</t>
  </si>
  <si>
    <t>2018AMP2017Capital ExpenditureCost of financingCost of financingnominal</t>
  </si>
  <si>
    <t>2018AMP2016Capital ExpenditureCost of financingCost of financingnominal</t>
  </si>
  <si>
    <t>2018AMP2015Capital ExpenditureCost of financingCost of financingnominal</t>
  </si>
  <si>
    <t>2018AMP2018Capital ExpenditureCost of financingCost of financingnominal</t>
  </si>
  <si>
    <t>2018AMP2013Capital ExpenditureCost of financingCost of financingnominal</t>
  </si>
  <si>
    <t>2018AMP2014Capital ExpenditureCost of financingCost of financingnominal</t>
  </si>
  <si>
    <t>2018AMP2016Capital ExpenditureExpenditure on subcomponentsResearch and developmentconstant</t>
  </si>
  <si>
    <t>2018AMP2013Capital ExpenditureExpenditure on subcomponentsResearch and developmentconstant</t>
  </si>
  <si>
    <t>2018AMP2014Capital ExpenditureExpenditure on subcomponentsResearch and developmentconstant</t>
  </si>
  <si>
    <t>2018AMP2015Capital ExpenditureExpenditure on subcomponentsResearch and developmentconstant</t>
  </si>
  <si>
    <t>2018AMP2017Capital ExpenditureExpenditure on subcomponentsResearch and developmentconstant</t>
  </si>
  <si>
    <t>2018AMP2018Capital ExpenditureExpenditure on subcomponentsResearch and developmentconstant</t>
  </si>
  <si>
    <t>2018AMP2014Capital ExpenditureNetwork assetsExpenditure on network assetsconstant</t>
  </si>
  <si>
    <t>2018AMP2015Capital ExpenditureNetwork assetsExpenditure on network assetsconstant</t>
  </si>
  <si>
    <t>2018AMP2018Capital ExpenditureNetwork assetsExpenditure on network assetsconstant</t>
  </si>
  <si>
    <t>2018AMP2016Capital ExpenditureNetwork assetsExpenditure on network assetsconstant</t>
  </si>
  <si>
    <t>2018AMP2017Capital ExpenditureNetwork assetsExpenditure on network assetsconstant</t>
  </si>
  <si>
    <t>2018AMP2013Capital ExpenditureNetwork assetsExpenditure on network assetsconstant</t>
  </si>
  <si>
    <t>2018AMP2016Capital ExpenditureNetwork assetsExpenditure on network assetsnominal</t>
  </si>
  <si>
    <t>2018AMP2014Capital ExpenditureNetwork assetsExpenditure on network assetsnominal</t>
  </si>
  <si>
    <t>2018AMP2017Capital ExpenditureNetwork assetsExpenditure on network assetsnominal</t>
  </si>
  <si>
    <t>2018AMP2015Capital ExpenditureNetwork assetsExpenditure on network assetsnominal</t>
  </si>
  <si>
    <t>2018AMP2013Capital ExpenditureNetwork assetsExpenditure on network assetsnominal</t>
  </si>
  <si>
    <t>2018AMP2018Capital ExpenditureNetwork assetsExpenditure on network assetsnominal</t>
  </si>
  <si>
    <t>2018AMP2015Capital ExpenditureNon-network assetsNon-network assetsconstant</t>
  </si>
  <si>
    <t>2018AMP2016Capital ExpenditureNon-network assetsNon-network assetsconstant</t>
  </si>
  <si>
    <t>2018AMP2017Capital ExpenditureNon-network assetsNon-network assetsconstant</t>
  </si>
  <si>
    <t>2018AMP2013Capital ExpenditureNon-network assetsNon-network assetsconstant</t>
  </si>
  <si>
    <t>2018AMP2018Capital ExpenditureNon-network assetsNon-network assetsconstant</t>
  </si>
  <si>
    <t>2018AMP2014Capital ExpenditureNon-network assetsNon-network assetsconstant</t>
  </si>
  <si>
    <t>2018AMP2014Capital ExpenditureNon-network assetsNon-network assetsnominal</t>
  </si>
  <si>
    <t>2018AMP2016Capital ExpenditureNon-network assetsNon-network assetsnominal</t>
  </si>
  <si>
    <t>2018AMP2017Capital ExpenditureNon-network assetsNon-network assetsnominal</t>
  </si>
  <si>
    <t>2018AMP2013Capital ExpenditureNon-network assetsNon-network assetsnominal</t>
  </si>
  <si>
    <t>2018AMP2015Capital ExpenditureNon-network assetsNon-network assetsnominal</t>
  </si>
  <si>
    <t>2018AMP2018Capital ExpenditureNon-network assetsNon-network assetsnominal</t>
  </si>
  <si>
    <t>2018AMP2017Capital ExpenditureReliability, safety and environmentLegislative and regulatoryconstant</t>
  </si>
  <si>
    <t>2018AMP2013Capital ExpenditureReliability, safety and environmentLegislative and regulatoryconstant</t>
  </si>
  <si>
    <t>2018AMP2016Capital ExpenditureReliability, safety and environmentLegislative and regulatoryconstant</t>
  </si>
  <si>
    <t>2018AMP2018Capital ExpenditureReliability, safety and environmentLegislative and regulatoryconstant</t>
  </si>
  <si>
    <t>2018AMP2015Capital ExpenditureReliability, safety and environmentLegislative and regulatoryconstant</t>
  </si>
  <si>
    <t>2018AMP2014Capital ExpenditureReliability, safety and environmentLegislative and regulatoryconstant</t>
  </si>
  <si>
    <t>2018AMP2013Capital ExpenditureReliability, safety and environmentLegislative and regulatorynominal</t>
  </si>
  <si>
    <t>2018AMP2015Capital ExpenditureReliability, safety and environmentLegislative and regulatorynominal</t>
  </si>
  <si>
    <t>2018AMP2014Capital ExpenditureReliability, safety and environmentLegislative and regulatorynominal</t>
  </si>
  <si>
    <t>2018AMP2018Capital ExpenditureReliability, safety and environmentLegislative and regulatorynominal</t>
  </si>
  <si>
    <t>2018AMP2016Capital ExpenditureReliability, safety and environmentLegislative and regulatorynominal</t>
  </si>
  <si>
    <t>2018AMP2017Capital ExpenditureReliability, safety and environmentLegislative and regulatorynominal</t>
  </si>
  <si>
    <t>2018AMP2014Capital ExpenditureReliability, safety and environmentOther reliability, safety and environmentconstant</t>
  </si>
  <si>
    <t>2018AMP2015Capital ExpenditureReliability, safety and environmentOther reliability, safety and environmentconstant</t>
  </si>
  <si>
    <t>2018AMP2017Capital ExpenditureReliability, safety and environmentOther reliability, safety and environmentconstant</t>
  </si>
  <si>
    <t>2018AMP2018Capital ExpenditureReliability, safety and environmentOther reliability, safety and environmentconstant</t>
  </si>
  <si>
    <t>2018AMP2013Capital ExpenditureReliability, safety and environmentOther reliability, safety and environmentconstant</t>
  </si>
  <si>
    <t>2018AMP2016Capital ExpenditureReliability, safety and environmentOther reliability, safety and environmentconstant</t>
  </si>
  <si>
    <t>2018AMP2013Capital ExpenditureReliability, safety and environmentOther reliability, safety and environmentnominal</t>
  </si>
  <si>
    <t>2018AMP2015Capital ExpenditureReliability, safety and environmentOther reliability, safety and environmentnominal</t>
  </si>
  <si>
    <t>2018AMP2017Capital ExpenditureReliability, safety and environmentOther reliability, safety and environmentnominal</t>
  </si>
  <si>
    <t>2018AMP2018Capital ExpenditureReliability, safety and environmentOther reliability, safety and environmentnominal</t>
  </si>
  <si>
    <t>2018AMP2016Capital ExpenditureReliability, safety and environmentOther reliability, safety and environmentnominal</t>
  </si>
  <si>
    <t>2018AMP2014Capital ExpenditureReliability, safety and environmentOther reliability, safety and environmentnominal</t>
  </si>
  <si>
    <t>2018AMP2016Capital ExpenditureReliability, safety and environmentQuality of supplyconstant</t>
  </si>
  <si>
    <t>2018AMP2017Capital ExpenditureReliability, safety and environmentQuality of supplyconstant</t>
  </si>
  <si>
    <t>2018AMP2013Capital ExpenditureReliability, safety and environmentQuality of supplyconstant</t>
  </si>
  <si>
    <t>2018AMP2015Capital ExpenditureReliability, safety and environmentQuality of supplyconstant</t>
  </si>
  <si>
    <t>2018AMP2014Capital ExpenditureReliability, safety and environmentQuality of supplyconstant</t>
  </si>
  <si>
    <t>2018AMP2018Capital ExpenditureReliability, safety and environmentQuality of supplyconstant</t>
  </si>
  <si>
    <t>2018AMP2014Capital ExpenditureReliability, safety and environmentQuality of supplynominal</t>
  </si>
  <si>
    <t>2018AMP2013Capital ExpenditureReliability, safety and environmentQuality of supplynominal</t>
  </si>
  <si>
    <t>2018AMP2018Capital ExpenditureReliability, safety and environmentQuality of supplynominal</t>
  </si>
  <si>
    <t>2018AMP2015Capital ExpenditureReliability, safety and environmentQuality of supplynominal</t>
  </si>
  <si>
    <t>2018AMP2016Capital ExpenditureReliability, safety and environmentQuality of supplynominal</t>
  </si>
  <si>
    <t>2018AMP2017Capital ExpenditureReliability, safety and environmentQuality of supplynominal</t>
  </si>
  <si>
    <t>2018AMP2018Capital ExpenditureReliability, safety and environmentTotal reliability, safety and environmentconstant</t>
  </si>
  <si>
    <t>2018AMP2015Capital ExpenditureReliability, safety and environmentTotal reliability, safety and environmentconstant</t>
  </si>
  <si>
    <t>2018AMP2016Capital ExpenditureReliability, safety and environmentTotal reliability, safety and environmentconstant</t>
  </si>
  <si>
    <t>2018AMP2013Capital ExpenditureReliability, safety and environmentTotal reliability, safety and environmentconstant</t>
  </si>
  <si>
    <t>2018AMP2014Capital ExpenditureReliability, safety and environmentTotal reliability, safety and environmentconstant</t>
  </si>
  <si>
    <t>2018AMP2017Capital ExpenditureReliability, safety and environmentTotal reliability, safety and environmentconstant</t>
  </si>
  <si>
    <t>2018AMP2015Capital ExpenditureReliability, safety and environmentTotal reliability, safety and environmentnominal</t>
  </si>
  <si>
    <t>2018AMP2016Capital ExpenditureReliability, safety and environmentTotal reliability, safety and environmentnominal</t>
  </si>
  <si>
    <t>2018AMP2018Capital ExpenditureReliability, safety and environmentTotal reliability, safety and environmentnominal</t>
  </si>
  <si>
    <t>2018AMP2017Capital ExpenditureReliability, safety and environmentTotal reliability, safety and environmentnominal</t>
  </si>
  <si>
    <t>2018AMP2013Capital ExpenditureReliability, safety and environmentTotal reliability, safety and environmentnominal</t>
  </si>
  <si>
    <t>2018AMP2014Capital ExpenditureReliability, safety and environmentTotal reliability, safety and environmentnominal</t>
  </si>
  <si>
    <t>2018AMP2018Capital ExpenditureSystem growthSystem growthconstant</t>
  </si>
  <si>
    <t>2018AMP2014Capital ExpenditureSystem growthSystem growthconstant</t>
  </si>
  <si>
    <t>2018AMP2017Capital ExpenditureSystem growthSystem growthconstant</t>
  </si>
  <si>
    <t>2018AMP2013Capital ExpenditureSystem growthSystem growthconstant</t>
  </si>
  <si>
    <t>2018AMP2016Capital ExpenditureSystem growthSystem growthconstant</t>
  </si>
  <si>
    <t>2018AMP2015Capital ExpenditureSystem growthSystem growthconstant</t>
  </si>
  <si>
    <t>2018AMP2018Capital ExpenditureSystem growthSystem growthnominal</t>
  </si>
  <si>
    <t>2018AMP2015Capital ExpenditureSystem growthSystem growthnominal</t>
  </si>
  <si>
    <t>2018AMP2017Capital ExpenditureSystem growthSystem growthnominal</t>
  </si>
  <si>
    <t>2018AMP2013Capital ExpenditureSystem growthSystem growthnominal</t>
  </si>
  <si>
    <t>2018AMP2016Capital ExpenditureSystem growthSystem growthnominal</t>
  </si>
  <si>
    <t>2018AMP2014Capital ExpenditureSystem growthSystem growthnominal</t>
  </si>
  <si>
    <t>2018AMP2018Capital ExpenditureValue of capital contributionsValue of capital contributionsnominal</t>
  </si>
  <si>
    <t>2018AMP2017Capital ExpenditureValue of capital contributionsValue of capital contributionsnominal</t>
  </si>
  <si>
    <t>2018AMP2015Capital ExpenditureValue of capital contributionsValue of capital contributionsnominal</t>
  </si>
  <si>
    <t>2018AMP2014Capital ExpenditureValue of capital contributionsValue of capital contributionsnominal</t>
  </si>
  <si>
    <t>2018AMP2016Capital ExpenditureValue of capital contributionsValue of capital contributionsnominal</t>
  </si>
  <si>
    <t>2018AMP2013Capital ExpenditureValue of capital contributionsValue of capital contributionsnominal</t>
  </si>
  <si>
    <t>2018AMP2017Capital ExpenditureValue of commissioned assetsValue of commissioned assetsnominal</t>
  </si>
  <si>
    <t>2018AMP2014Capital ExpenditureValue of commissioned assetsValue of commissioned assetsnominal</t>
  </si>
  <si>
    <t>2018AMP2013Capital ExpenditureValue of commissioned assetsValue of commissioned assetsnominal</t>
  </si>
  <si>
    <t>2018AMP2016Capital ExpenditureValue of vested assetsValue of vested assetsnominal</t>
  </si>
  <si>
    <t>2018AMP2017Capital ExpenditureValue of vested assetsValue of vested assetsnominal</t>
  </si>
  <si>
    <t>2018AMP2013Capital ExpenditureValue of vested assetsValue of vested assetsnominal</t>
  </si>
  <si>
    <t>2018AMP2014Capital ExpenditureValue of vested assetsValue of vested assetsnominal</t>
  </si>
  <si>
    <t>2018AMP2018Capital ExpenditureValue of vested assetsValue of vested assetsnominal</t>
  </si>
  <si>
    <t>2018AMP2015Capital ExpenditureValue of vested assetsValue of vested assetsnominal</t>
  </si>
  <si>
    <t>2018AMP2013Capital ExpenditureAsset replacement and renewalAsset replacement and renewal expenditure - Asset replacement and renewal expenditureconstant</t>
  </si>
  <si>
    <t>2018AMP2014Capital ExpenditureAsset replacement and renewalAsset replacement and renewal expenditure - Asset replacement and renewal expenditureconstant</t>
  </si>
  <si>
    <t>2018AMP2018Capital ExpenditureAsset replacement and renewalAsset replacement and renewal expenditure - Asset replacement and renewal expenditureconstant</t>
  </si>
  <si>
    <t>2018AMP2016Capital ExpenditureAsset replacement and renewalAsset replacement and renewal expenditure - Asset replacement and renewal expenditureconstant</t>
  </si>
  <si>
    <t>2018AMP2015Capital ExpenditureAsset replacement and renewalAsset replacement and renewal expenditure - Asset replacement and renewal expenditureconstant</t>
  </si>
  <si>
    <t>2018AMP2017Capital ExpenditureAsset replacement and renewalAsset replacement and renewal expenditure - Asset replacement and renewal expenditureconstant</t>
  </si>
  <si>
    <t>2018AMP2018Capital ExpenditureAsset replacement and renewalAsset replacement and renewal expenditure - Capital contributions funding asset replacement and renewalconstant</t>
  </si>
  <si>
    <t>2018AMP2017Capital ExpenditureAsset replacement and renewalAsset replacement and renewal expenditure - Capital contributions funding asset replacement and renewalconstant</t>
  </si>
  <si>
    <t>2018AMP2014Capital ExpenditureAsset replacement and renewalAsset replacement and renewal expenditure - Capital contributions funding asset replacement and renewalconstant</t>
  </si>
  <si>
    <t>2018AMP2015Capital ExpenditureAsset replacement and renewalAsset replacement and renewal expenditure - Capital contributions funding asset replacement and renewalconstant</t>
  </si>
  <si>
    <t>2018AMP2013Capital ExpenditureAsset replacement and renewalAsset replacement and renewal expenditure - Capital contributions funding asset replacement and renewalconstant</t>
  </si>
  <si>
    <t>2018AMP2016Capital ExpenditureAsset replacement and renewalAsset replacement and renewal expenditure - Capital contributions funding asset replacement and renewalconstant</t>
  </si>
  <si>
    <t>2018AMP2015Capital ExpenditureAsset replacement and renewalAsset replacement and renewal less capital contributions - Asset replacement and renewal less capital contributionsconstant</t>
  </si>
  <si>
    <t>2018AMP2014Capital ExpenditureAsset replacement and renewalAsset replacement and renewal less capital contributions - Asset replacement and renewal less capital contributionsconstant</t>
  </si>
  <si>
    <t>2018AMP2018Capital ExpenditureAsset replacement and renewalAsset replacement and renewal less capital contributions - Asset replacement and renewal less capital contributionsconstant</t>
  </si>
  <si>
    <t>2018AMP2013Capital ExpenditureAsset replacement and renewalAsset replacement and renewal less capital contributions - Asset replacement and renewal less capital contributionsconstant</t>
  </si>
  <si>
    <t>2018AMP2016Capital ExpenditureAsset replacement and renewalAsset replacement and renewal less capital contributions - Asset replacement and renewal less capital contributionsconstant</t>
  </si>
  <si>
    <t>2018AMP2017Capital ExpenditureAsset replacement and renewalAsset replacement and renewal less capital contributions - Asset replacement and renewal less capital contributionsconstant</t>
  </si>
  <si>
    <t>2018AMP2014Capital ExpenditureAsset replacement and renewalIntermediate pressure - Intermediate Pressure totalconstant</t>
  </si>
  <si>
    <t>2018AMP2017Capital ExpenditureAsset replacement and renewalIntermediate pressure - Intermediate Pressure totalconstant</t>
  </si>
  <si>
    <t>2018AMP2016Capital ExpenditureAsset replacement and renewalIntermediate pressure - Intermediate Pressure totalconstant</t>
  </si>
  <si>
    <t>2018AMP2018Capital ExpenditureAsset replacement and renewalIntermediate pressure - Intermediate Pressure totalconstant</t>
  </si>
  <si>
    <t>2018AMP2015Capital ExpenditureAsset replacement and renewalIntermediate pressure - Intermediate Pressure totalconstant</t>
  </si>
  <si>
    <t>2018AMP2013Capital ExpenditureAsset replacement and renewalIntermediate pressure - Intermediate Pressure totalconstant</t>
  </si>
  <si>
    <t>2018AMP2017Capital ExpenditureAsset replacement and renewalIntermediate pressure - Line valveconstant</t>
  </si>
  <si>
    <t>2018AMP2014Capital ExpenditureAsset replacement and renewalIntermediate pressure - Line valveconstant</t>
  </si>
  <si>
    <t>2018AMP2013Capital ExpenditureAsset replacement and renewalIntermediate pressure - Line valveconstant</t>
  </si>
  <si>
    <t>2018AMP2016Capital ExpenditureAsset replacement and renewalIntermediate pressure - Line valveconstant</t>
  </si>
  <si>
    <t>2018AMP2018Capital ExpenditureAsset replacement and renewalIntermediate pressure - Line valveconstant</t>
  </si>
  <si>
    <t>2018AMP2015Capital ExpenditureAsset replacement and renewalIntermediate pressure - Line valveconstant</t>
  </si>
  <si>
    <t>2018AMP2017Capital ExpenditureAsset replacement and renewalIntermediate pressure - Main pipeconstant</t>
  </si>
  <si>
    <t>2018AMP2015Capital ExpenditureAsset replacement and renewalIntermediate pressure - Main pipeconstant</t>
  </si>
  <si>
    <t>2018AMP2013Capital ExpenditureAsset replacement and renewalIntermediate pressure - Main pipeconstant</t>
  </si>
  <si>
    <t>2018AMP2018Capital ExpenditureAsset replacement and renewalIntermediate pressure - Main pipeconstant</t>
  </si>
  <si>
    <t>2018AMP2014Capital ExpenditureAsset replacement and renewalIntermediate pressure - Main pipeconstant</t>
  </si>
  <si>
    <t>2018AMP2016Capital ExpenditureAsset replacement and renewalIntermediate pressure - Main pipeconstant</t>
  </si>
  <si>
    <t>2018AMP2017Capital ExpenditureAsset replacement and renewalIntermediate pressure - Service pipeconstant</t>
  </si>
  <si>
    <t>2018AMP2016Capital ExpenditureAsset replacement and renewalIntermediate pressure - Service pipeconstant</t>
  </si>
  <si>
    <t>2018AMP2015Capital ExpenditureAsset replacement and renewalIntermediate pressure - Service pipeconstant</t>
  </si>
  <si>
    <t>2018AMP2014Capital ExpenditureAsset replacement and renewalIntermediate pressure - Service pipeconstant</t>
  </si>
  <si>
    <t>2018AMP2013Capital ExpenditureAsset replacement and renewalIntermediate pressure - Service pipeconstant</t>
  </si>
  <si>
    <t>2018AMP2018Capital ExpenditureAsset replacement and renewalIntermediate pressure - Service pipeconstant</t>
  </si>
  <si>
    <t>2018AMP2018Capital ExpenditureAsset replacement and renewalIntermediate pressure - Special crossingsconstant</t>
  </si>
  <si>
    <t>2018AMP2013Capital ExpenditureAsset replacement and renewalIntermediate pressure - Special crossingsconstant</t>
  </si>
  <si>
    <t>2018AMP2017Capital ExpenditureAsset replacement and renewalIntermediate pressure - Special crossingsconstant</t>
  </si>
  <si>
    <t>2018AMP2016Capital ExpenditureAsset replacement and renewalIntermediate pressure - Special crossingsconstant</t>
  </si>
  <si>
    <t>2018AMP2015Capital ExpenditureAsset replacement and renewalIntermediate pressure - Special crossingsconstant</t>
  </si>
  <si>
    <t>2018AMP2014Capital ExpenditureAsset replacement and renewalIntermediate pressure - Special crossingsconstant</t>
  </si>
  <si>
    <t>2018AMP2017Capital ExpenditureAsset replacement and renewalIntermediate pressure - Stationsconstant</t>
  </si>
  <si>
    <t>2018AMP2015Capital ExpenditureAsset replacement and renewalIntermediate pressure - Stationsconstant</t>
  </si>
  <si>
    <t>2018AMP2018Capital ExpenditureAsset replacement and renewalIntermediate pressure - Stationsconstant</t>
  </si>
  <si>
    <t>2018AMP2016Capital ExpenditureAsset replacement and renewalIntermediate pressure - Stationsconstant</t>
  </si>
  <si>
    <t>2018AMP2013Capital ExpenditureAsset replacement and renewalIntermediate pressure - Stationsconstant</t>
  </si>
  <si>
    <t>2018AMP2014Capital ExpenditureAsset replacement and renewalIntermediate pressure - Stationsconstant</t>
  </si>
  <si>
    <t>2018AMP2016Capital ExpenditureAsset replacement and renewalLow Pressure - Line valveconstant</t>
  </si>
  <si>
    <t>2018AMP2015Capital ExpenditureAsset replacement and renewalLow Pressure - Line valveconstant</t>
  </si>
  <si>
    <t>2018AMP2017Capital ExpenditureAsset replacement and renewalLow Pressure - Line valveconstant</t>
  </si>
  <si>
    <t>2018AMP2014Capital ExpenditureAsset replacement and renewalLow Pressure - Line valveconstant</t>
  </si>
  <si>
    <t>2018AMP2013Capital ExpenditureAsset replacement and renewalLow Pressure - Line valveconstant</t>
  </si>
  <si>
    <t>2018AMP2018Capital ExpenditureAsset replacement and renewalLow Pressure - Line valveconstant</t>
  </si>
  <si>
    <t>2018AMP2014Capital ExpenditureAsset replacement and renewalLow Pressure - Low Pressure totalconstant</t>
  </si>
  <si>
    <t>2018AMP2017Capital ExpenditureAsset replacement and renewalLow Pressure - Low Pressure totalconstant</t>
  </si>
  <si>
    <t>2018AMP2015Capital ExpenditureAsset replacement and renewalLow Pressure - Low Pressure totalconstant</t>
  </si>
  <si>
    <t>2018AMP2018Capital ExpenditureAsset replacement and renewalLow Pressure - Low Pressure totalconstant</t>
  </si>
  <si>
    <t>2018AMP2016Capital ExpenditureAsset replacement and renewalLow Pressure - Low Pressure totalconstant</t>
  </si>
  <si>
    <t>2018AMP2013Capital ExpenditureAsset replacement and renewalLow Pressure - Low Pressure totalconstant</t>
  </si>
  <si>
    <t>2018AMP2017Capital ExpenditureAsset replacement and renewalLow Pressure - Main pipeconstant</t>
  </si>
  <si>
    <t>2018AMP2013Capital ExpenditureAsset replacement and renewalLow Pressure - Main pipeconstant</t>
  </si>
  <si>
    <t>2018AMP2014Capital ExpenditureAsset replacement and renewalLow Pressure - Main pipeconstant</t>
  </si>
  <si>
    <t>2018AMP2016Capital ExpenditureAsset replacement and renewalLow Pressure - Main pipeconstant</t>
  </si>
  <si>
    <t>2018AMP2015Capital ExpenditureAsset replacement and renewalLow Pressure - Main pipeconstant</t>
  </si>
  <si>
    <t>2018AMP2018Capital ExpenditureAsset replacement and renewalLow Pressure - Main pipeconstant</t>
  </si>
  <si>
    <t>2018AMP2013Capital ExpenditureAsset replacement and renewalLow Pressure - Service pipeconstant</t>
  </si>
  <si>
    <t>2018AMP2016Capital ExpenditureAsset replacement and renewalLow Pressure - Service pipeconstant</t>
  </si>
  <si>
    <t>2018AMP2017Capital ExpenditureAsset replacement and renewalLow Pressure - Service pipeconstant</t>
  </si>
  <si>
    <t>2018AMP2018Capital ExpenditureAsset replacement and renewalLow Pressure - Service pipeconstant</t>
  </si>
  <si>
    <t>2018AMP2015Capital ExpenditureAsset replacement and renewalLow Pressure - Service pipeconstant</t>
  </si>
  <si>
    <t>2018AMP2014Capital ExpenditureAsset replacement and renewalLow Pressure - Service pipeconstant</t>
  </si>
  <si>
    <t>2018AMP2014Capital ExpenditureAsset replacement and renewalLow Pressure - Special crossingsconstant</t>
  </si>
  <si>
    <t>2018AMP2016Capital ExpenditureAsset replacement and renewalLow Pressure - Special crossingsconstant</t>
  </si>
  <si>
    <t>2018AMP2018Capital ExpenditureAsset replacement and renewalLow Pressure - Special crossingsconstant</t>
  </si>
  <si>
    <t>2018AMP2017Capital ExpenditureAsset replacement and renewalLow Pressure - Special crossingsconstant</t>
  </si>
  <si>
    <t>2018AMP2015Capital ExpenditureAsset replacement and renewalLow Pressure - Special crossingsconstant</t>
  </si>
  <si>
    <t>2018AMP2013Capital ExpenditureAsset replacement and renewalLow Pressure - Special crossingsconstant</t>
  </si>
  <si>
    <t>2018AMP2016Capital ExpenditureAsset replacement and renewalMedium pressure - Line valveconstant</t>
  </si>
  <si>
    <t>2018AMP2015Capital ExpenditureAsset replacement and renewalMedium pressure - Line valveconstant</t>
  </si>
  <si>
    <t>2018AMP2014Capital ExpenditureAsset replacement and renewalMedium pressure - Line valveconstant</t>
  </si>
  <si>
    <t>2018AMP2013Capital ExpenditureAsset replacement and renewalMedium pressure - Line valveconstant</t>
  </si>
  <si>
    <t>2018AMP2018Capital ExpenditureAsset replacement and renewalMedium pressure - Line valveconstant</t>
  </si>
  <si>
    <t>2018AMP2017Capital ExpenditureAsset replacement and renewalMedium pressure - Line valveconstant</t>
  </si>
  <si>
    <t>2018AMP2016Capital ExpenditureAsset replacement and renewalMedium pressure - Main pipeconstant</t>
  </si>
  <si>
    <t>2018AMP2014Capital ExpenditureAsset replacement and renewalMedium pressure - Main pipeconstant</t>
  </si>
  <si>
    <t>2018AMP2015Capital ExpenditureAsset replacement and renewalMedium pressure - Main pipeconstant</t>
  </si>
  <si>
    <t>2018AMP2018Capital ExpenditureAsset replacement and renewalMedium pressure - Main pipeconstant</t>
  </si>
  <si>
    <t>2018AMP2017Capital ExpenditureAsset replacement and renewalMedium pressure - Main pipeconstant</t>
  </si>
  <si>
    <t>2018AMP2013Capital ExpenditureAsset replacement and renewalMedium pressure - Main pipeconstant</t>
  </si>
  <si>
    <t>2018AMP2016Capital ExpenditureAsset replacement and renewalMedium pressure - Medium Pressure totalconstant</t>
  </si>
  <si>
    <t>2018AMP2014Capital ExpenditureAsset replacement and renewalMedium pressure - Medium Pressure totalconstant</t>
  </si>
  <si>
    <t>2018AMP2018Capital ExpenditureAsset replacement and renewalMedium pressure - Medium Pressure totalconstant</t>
  </si>
  <si>
    <t>2018AMP2015Capital ExpenditureAsset replacement and renewalMedium pressure - Medium Pressure totalconstant</t>
  </si>
  <si>
    <t>2018AMP2017Capital ExpenditureAsset replacement and renewalMedium pressure - Medium Pressure totalconstant</t>
  </si>
  <si>
    <t>2018AMP2013Capital ExpenditureAsset replacement and renewalMedium pressure - Medium Pressure totalconstant</t>
  </si>
  <si>
    <t>2018AMP2014Capital ExpenditureAsset replacement and renewalMedium pressure - Service pipeconstant</t>
  </si>
  <si>
    <t>2018AMP2017Capital ExpenditureAsset replacement and renewalMedium pressure - Service pipeconstant</t>
  </si>
  <si>
    <t>2018AMP2015Capital ExpenditureAsset replacement and renewalMedium pressure - Service pipeconstant</t>
  </si>
  <si>
    <t>2018AMP2016Capital ExpenditureAsset replacement and renewalMedium pressure - Service pipeconstant</t>
  </si>
  <si>
    <t>2018AMP2018Capital ExpenditureAsset replacement and renewalMedium pressure - Service pipeconstant</t>
  </si>
  <si>
    <t>2018AMP2013Capital ExpenditureAsset replacement and renewalMedium pressure - Service pipeconstant</t>
  </si>
  <si>
    <t>2018AMP2013Capital ExpenditureAsset replacement and renewalMedium pressure - Special crossingsconstant</t>
  </si>
  <si>
    <t>2018AMP2016Capital ExpenditureAsset replacement and renewalMedium pressure - Special crossingsconstant</t>
  </si>
  <si>
    <t>2018AMP2018Capital ExpenditureAsset replacement and renewalMedium pressure - Special crossingsconstant</t>
  </si>
  <si>
    <t>2018AMP2015Capital ExpenditureAsset replacement and renewalMedium pressure - Special crossingsconstant</t>
  </si>
  <si>
    <t>2018AMP2014Capital ExpenditureAsset replacement and renewalMedium pressure - Special crossingsconstant</t>
  </si>
  <si>
    <t>2018AMP2017Capital ExpenditureAsset replacement and renewalMedium pressure - Special crossingsconstant</t>
  </si>
  <si>
    <t>2018AMP2018Capital ExpenditureAsset replacement and renewalMedium pressure - Stationconstant</t>
  </si>
  <si>
    <t>2018AMP2013Capital ExpenditureAsset replacement and renewalMedium pressure - Stationconstant</t>
  </si>
  <si>
    <t>2018AMP2016Capital ExpenditureAsset replacement and renewalMedium pressure - Stationconstant</t>
  </si>
  <si>
    <t>2018AMP2017Capital ExpenditureAsset replacement and renewalMedium pressure - Stationconstant</t>
  </si>
  <si>
    <t>2018AMP2014Capital ExpenditureAsset replacement and renewalMedium pressure - Stationconstant</t>
  </si>
  <si>
    <t>2018AMP2015Capital ExpenditureAsset replacement and renewalMedium pressure - Stationconstant</t>
  </si>
  <si>
    <t>2018AMP2013Capital ExpenditureAsset replacement and renewalOther assets - Cathodic protection systemsconstant</t>
  </si>
  <si>
    <t>2018AMP2017Capital ExpenditureAsset replacement and renewalOther assets - Cathodic protection systemsconstant</t>
  </si>
  <si>
    <t>2018AMP2014Capital ExpenditureAsset replacement and renewalOther assets - Cathodic protection systemsconstant</t>
  </si>
  <si>
    <t>2018AMP2013Capital ExpenditureAsset replacement and renewalOther assets - Monitoring and control systemsconstant</t>
  </si>
  <si>
    <t>2018AMP2017Capital ExpenditureAsset replacement and renewalOther assets - Monitoring and control systemsconstant</t>
  </si>
  <si>
    <t>2018AMP2014Capital ExpenditureAsset replacement and renewalOther assets - Monitoring and control systemsconstant</t>
  </si>
  <si>
    <t>2018AMP2013Capital ExpenditureAsset replacement and renewalOther assets - Other assets (other than above)constant</t>
  </si>
  <si>
    <t>2018AMP2017Capital ExpenditureAsset replacement and renewalOther assets - Other assets (other than above)constant</t>
  </si>
  <si>
    <t>2018AMP2014Capital ExpenditureAsset replacement and renewalOther assets - Other assets (other than above)constant</t>
  </si>
  <si>
    <t>2018AMP2017Capital ExpenditureAsset replacement and renewalOther assets - Other totalconstant</t>
  </si>
  <si>
    <t>2018AMP2013Capital ExpenditureAsset replacement and renewalOther assets - Other totalconstant</t>
  </si>
  <si>
    <t>2018AMP2014Capital ExpenditureAsset replacement and renewalOther assets - Other totalconstant</t>
  </si>
  <si>
    <t>2018AMP2015Capital ExpenditureAsset replacement and renewalOther network assets - Cathodic protection systemsconstant</t>
  </si>
  <si>
    <t>2018AMP2016Capital ExpenditureAsset replacement and renewalOther network assets - Cathodic protection systemsconstant</t>
  </si>
  <si>
    <t>2018AMP2017Capital ExpenditureAsset replacement and renewalOther network assets - Cathodic protection systemsconstant</t>
  </si>
  <si>
    <t>2018AMP2018Capital ExpenditureAsset replacement and renewalOther network assets - Cathodic protection systemsconstant</t>
  </si>
  <si>
    <t>2018AMP2016Capital ExpenditureAsset replacement and renewalOther network assets - Monitoring and control systemsconstant</t>
  </si>
  <si>
    <t>2018AMP2018Capital ExpenditureAsset replacement and renewalOther network assets - Monitoring and control systemsconstant</t>
  </si>
  <si>
    <t>2018AMP2017Capital ExpenditureAsset replacement and renewalOther network assets - Monitoring and control systemsconstant</t>
  </si>
  <si>
    <t>2018AMP2015Capital ExpenditureAsset replacement and renewalOther network assets - Monitoring and control systemsconstant</t>
  </si>
  <si>
    <t>2018AMP2017Capital ExpenditureAsset replacement and renewalOther network assets - Other assets (other than above)constant</t>
  </si>
  <si>
    <t>2018AMP2018Capital ExpenditureAsset replacement and renewalOther network assets - Other assets (other than above)constant</t>
  </si>
  <si>
    <t>2018AMP2015Capital ExpenditureAsset replacement and renewalOther network assets - Other assets (other than above)constant</t>
  </si>
  <si>
    <t>2018AMP2016Capital ExpenditureAsset replacement and renewalOther network assets - Other assets (other than above)constant</t>
  </si>
  <si>
    <t>2018AMP2016Capital ExpenditureAsset replacement and renewalOther network assets - Other network assets totalconstant</t>
  </si>
  <si>
    <t>2018AMP2018Capital ExpenditureAsset replacement and renewalOther network assets - Other network assets totalconstant</t>
  </si>
  <si>
    <t>2018AMP2015Capital ExpenditureAsset replacement and renewalOther network assets - Other network assets totalconstant</t>
  </si>
  <si>
    <t>2018AMP2017Capital ExpenditureAsset replacement and renewalOther network assets - Other network assets totalconstant</t>
  </si>
  <si>
    <t>2018IDCapital ExpenditureAll assetsExpenditure on assetsconstant</t>
  </si>
  <si>
    <t>2018IDCapital ExpenditureAll assetsExpenditure on assetsnominal</t>
  </si>
  <si>
    <t>2018IDCapital ExpenditureAsset relocationsAsset relocationsconstant</t>
  </si>
  <si>
    <t>2018IDCapital ExpenditureAsset relocationsAsset relocationsnominal</t>
  </si>
  <si>
    <t>2018IDCapital ExpenditureAsset replacement and renewalAsset replacement and renewalconstant</t>
  </si>
  <si>
    <t>2018IDCapital ExpenditureAsset replacement and renewalAsset replacement and renewalnominal</t>
  </si>
  <si>
    <t>2018IDCapital ExpenditureCapital expenditureCapital expenditureconstant</t>
  </si>
  <si>
    <t>2018IDCapital ExpenditureCapital expenditureCapital expenditurenominal</t>
  </si>
  <si>
    <t>2018IDCapital ExpenditureConsumer connectionConsumer connectionconstant</t>
  </si>
  <si>
    <t>2018IDCapital ExpenditureConsumer connectionConsumer connectionnominal</t>
  </si>
  <si>
    <t>2018IDCapital ExpenditureCost of financingCost of financingconstant</t>
  </si>
  <si>
    <t>2018IDCapital ExpenditureCost of financingCost of financingnominal</t>
  </si>
  <si>
    <t>2018IDCapital ExpenditureNetwork assetsExpenditure on network assetsconstant</t>
  </si>
  <si>
    <t>2018IDCapital ExpenditureNetwork assetsExpenditure on network assetsnominal</t>
  </si>
  <si>
    <t>2018IDCapital ExpenditureNon-network assetsNon-network assetsconstant</t>
  </si>
  <si>
    <t>2018IDCapital ExpenditureNon-network assetsNon-network assetsnominal</t>
  </si>
  <si>
    <t>2018IDCapital ExpenditureReliability, safety and environmentLegislative and regulatoryconstant</t>
  </si>
  <si>
    <t>2018IDCapital ExpenditureReliability, safety and environmentLegislative and regulatorynominal</t>
  </si>
  <si>
    <t>2018IDCapital ExpenditureReliability, safety and environmentOther reliability, safety and environmentconstant</t>
  </si>
  <si>
    <t>2018IDCapital ExpenditureReliability, safety and environmentOther reliability, safety and environmentnominal</t>
  </si>
  <si>
    <t>2018IDCapital ExpenditureReliability, safety and environmentQuality of supplyconstant</t>
  </si>
  <si>
    <t>2018IDCapital ExpenditureReliability, safety and environmentQuality of supplynominal</t>
  </si>
  <si>
    <t>2018IDCapital ExpenditureReliability, safety and environmentTotal reliability, safety and environmentconstant</t>
  </si>
  <si>
    <t>2018IDCapital ExpenditureReliability, safety and environmentTotal reliability, safety and environmentnominal</t>
  </si>
  <si>
    <t>2018IDCapital ExpenditureSystem growthSystem growthconstant</t>
  </si>
  <si>
    <t>2018IDCapital ExpenditureSystem growthSystem growthnominal</t>
  </si>
  <si>
    <t>2018IDCapital ExpenditureValue of capital contributionsValue of capital contributionsconstant</t>
  </si>
  <si>
    <t>2018IDCapital ExpenditureValue of capital contributionsValue of capital contributionsnominal</t>
  </si>
  <si>
    <t>2018IDCapital ExpenditureValue of vested assetsValue of vested assetsconstant</t>
  </si>
  <si>
    <t>2018IDCapital ExpenditureValue of vested assetsValue of vested assetsnominal</t>
  </si>
  <si>
    <t>2018IDCapital ExpenditureAsset Replacement and RenewalAsset replacement and renewal expenditureconstant</t>
  </si>
  <si>
    <t>2018IDCapital ExpenditureAsset Replacement and RenewalAsset replacement and renewal expenditurenominal</t>
  </si>
  <si>
    <t>2018IDCapital ExpenditureAsset Replacement and RenewalAsset replacement and renewal less capital contributionsconstant</t>
  </si>
  <si>
    <t>2018IDCapital ExpenditureAsset Replacement and RenewalAsset replacement and renewal less capital contributionsnominal</t>
  </si>
  <si>
    <t>2018IDCapital ExpenditureAsset Replacement and RenewalCapital contributions funding asset replacement and renewalconstant</t>
  </si>
  <si>
    <t>2018IDCapital ExpenditureAsset Replacement and RenewalCapital contributions funding asset replacement and renewalnominal</t>
  </si>
  <si>
    <t>2018IDCapital ExpenditureAsset Replacement and RenewalIntermediate pressure - Line valveconstant</t>
  </si>
  <si>
    <t>2018IDCapital ExpenditureAsset Replacement and RenewalIntermediate pressure - Line valvenominal</t>
  </si>
  <si>
    <t>2018IDCapital ExpenditureAsset Replacement and RenewalIntermediate pressure - Main pipeconstant</t>
  </si>
  <si>
    <t>2018IDCapital ExpenditureAsset Replacement and RenewalIntermediate pressure - Main pipenominal</t>
  </si>
  <si>
    <t>2018IDCapital ExpenditureAsset Replacement and RenewalIntermediate pressure - Service pipeconstant</t>
  </si>
  <si>
    <t>2018IDCapital ExpenditureAsset Replacement and RenewalIntermediate pressure - Service pipenominal</t>
  </si>
  <si>
    <t>2018IDCapital ExpenditureAsset Replacement and RenewalIntermediate pressure - Special crossingsconstant</t>
  </si>
  <si>
    <t>2018IDCapital ExpenditureAsset Replacement and RenewalIntermediate pressure - Special crossingsnominal</t>
  </si>
  <si>
    <t>2018IDCapital ExpenditureAsset Replacement and RenewalIntermediate pressure - Stationsconstant</t>
  </si>
  <si>
    <t>2018IDCapital ExpenditureAsset Replacement and RenewalIntermediate pressure - Stationsnominal</t>
  </si>
  <si>
    <t>2018IDCapital ExpenditureAsset Replacement and RenewalIntermediate pressure -totalconstant</t>
  </si>
  <si>
    <t>2018IDCapital ExpenditureAsset Replacement and RenewalIntermediate pressure -totalnominal</t>
  </si>
  <si>
    <t>2018IDCapital ExpenditureAsset Replacement and RenewalLow pressure - Line valveconstant</t>
  </si>
  <si>
    <t>2018IDCapital ExpenditureAsset Replacement and RenewalLow pressure - Line valvenominal</t>
  </si>
  <si>
    <t>2018IDCapital ExpenditureAsset Replacement and RenewalLow pressure - Main pipeconstant</t>
  </si>
  <si>
    <t>2018IDCapital ExpenditureAsset Replacement and RenewalLow pressure - Main pipenominal</t>
  </si>
  <si>
    <t>2018IDCapital ExpenditureAsset Replacement and RenewalLow pressure - Service pipeconstant</t>
  </si>
  <si>
    <t>2018IDCapital ExpenditureAsset Replacement and RenewalLow pressure - Service pipenominal</t>
  </si>
  <si>
    <t>2018IDCapital ExpenditureAsset Replacement and RenewalLow pressure - Special crossingsconstant</t>
  </si>
  <si>
    <t>2018IDCapital ExpenditureAsset Replacement and RenewalLow pressure - Special crossingsnominal</t>
  </si>
  <si>
    <t>2018IDCapital ExpenditureAsset Replacement and RenewalLow pressure - totalconstant</t>
  </si>
  <si>
    <t>2018IDCapital ExpenditureAsset Replacement and RenewalLow pressure - totalnominal</t>
  </si>
  <si>
    <t>2018IDCapital ExpenditureAsset Replacement and RenewalMedium pressure - Line valveconstant</t>
  </si>
  <si>
    <t>2018IDCapital ExpenditureAsset Replacement and RenewalMedium pressure - Line valvenominal</t>
  </si>
  <si>
    <t>2018IDCapital ExpenditureAsset Replacement and RenewalMedium pressure - Main pipeconstant</t>
  </si>
  <si>
    <t>2018IDCapital ExpenditureAsset Replacement and RenewalMedium pressure - Main pipenominal</t>
  </si>
  <si>
    <t>2018IDCapital ExpenditureAsset Replacement and RenewalMedium pressure - Service pipeconstant</t>
  </si>
  <si>
    <t>2018IDCapital ExpenditureAsset Replacement and RenewalMedium pressure - Service pipenominal</t>
  </si>
  <si>
    <t>2018IDCapital ExpenditureAsset Replacement and RenewalMedium pressure - Special crossingsconstant</t>
  </si>
  <si>
    <t>2018IDCapital ExpenditureAsset Replacement and RenewalMedium pressure - Special crossingsnominal</t>
  </si>
  <si>
    <t>2018IDCapital ExpenditureAsset Replacement and RenewalMedium pressure - Stationsconstant</t>
  </si>
  <si>
    <t>2018IDCapital ExpenditureAsset Replacement and RenewalMedium pressure - Stationsnominal</t>
  </si>
  <si>
    <t>2018IDCapital ExpenditureAsset Replacement and RenewalMedium pressure - totalconstant</t>
  </si>
  <si>
    <t>2018IDCapital ExpenditureAsset Replacement and RenewalMedium pressure - totalnominal</t>
  </si>
  <si>
    <t>2018IDCapital ExpenditureAsset Replacement and RenewalOther network assets - Cathodic protection systemsconstant</t>
  </si>
  <si>
    <t>2018IDCapital ExpenditureAsset Replacement and RenewalOther network assets - Cathodic protection systemsnominal</t>
  </si>
  <si>
    <t>2018IDCapital ExpenditureAsset Replacement and RenewalOther network assets - Monitoring and control systemsconstant</t>
  </si>
  <si>
    <t>2018IDCapital ExpenditureAsset Replacement and RenewalOther network assets - Monitoring and control systemsnominal</t>
  </si>
  <si>
    <t>2018IDCapital ExpenditureAsset Replacement and RenewalOther network assets - Other assets (other than above)constant</t>
  </si>
  <si>
    <t>2018IDCapital ExpenditureAsset Replacement and RenewalOther network assets - Other assets (other than above)nominal</t>
  </si>
  <si>
    <t>2018IDCapital ExpenditureAsset Replacement and RenewalOther network assets - totalconstant</t>
  </si>
  <si>
    <t>2018IDCapital ExpenditureAsset Replacement and RenewalOther network assets - totalnominal</t>
  </si>
  <si>
    <t>2018IDCapital ExpenditureSystem GrowthCapital contributions funding system growthconstant</t>
  </si>
  <si>
    <t>2018IDCapital ExpenditureSystem GrowthCapital contributions funding system growthnominal</t>
  </si>
  <si>
    <t>2018IDCapital ExpenditureSystem GrowthIntermediate pressure - Line valveconstant</t>
  </si>
  <si>
    <t>2018IDCapital ExpenditureSystem GrowthIntermediate pressure - Line valvenominal</t>
  </si>
  <si>
    <t>2018IDCapital ExpenditureSystem GrowthIntermediate pressure - Main pipeconstant</t>
  </si>
  <si>
    <t>2018IDCapital ExpenditureSystem GrowthIntermediate pressure - Main pipenominal</t>
  </si>
  <si>
    <t>2018IDCapital ExpenditureSystem GrowthIntermediate pressure - Service pipeconstant</t>
  </si>
  <si>
    <t>2018IDCapital ExpenditureSystem GrowthIntermediate pressure - Service pipenominal</t>
  </si>
  <si>
    <t>2018IDCapital ExpenditureSystem GrowthIntermediate pressure - Special crossingsconstant</t>
  </si>
  <si>
    <t>2018IDCapital ExpenditureSystem GrowthIntermediate pressure - Special crossingsnominal</t>
  </si>
  <si>
    <t>2018IDCapital ExpenditureSystem GrowthIntermediate pressure - Stationsconstant</t>
  </si>
  <si>
    <t>2018IDCapital ExpenditureSystem GrowthIntermediate pressure - Stationsnominal</t>
  </si>
  <si>
    <t>2018IDCapital ExpenditureSystem GrowthIntermediate pressure -totalconstant</t>
  </si>
  <si>
    <t>2018IDCapital ExpenditureSystem GrowthIntermediate pressure -totalnominal</t>
  </si>
  <si>
    <t>2018IDCapital ExpenditureSystem GrowthLow pressure - Line valveconstant</t>
  </si>
  <si>
    <t>2018IDCapital ExpenditureSystem GrowthLow pressure - Line valvenominal</t>
  </si>
  <si>
    <t>2018IDCapital ExpenditureSystem GrowthLow pressure - Main pipeconstant</t>
  </si>
  <si>
    <t>2018IDCapital ExpenditureSystem GrowthLow pressure - Main pipenominal</t>
  </si>
  <si>
    <t>2018IDCapital ExpenditureSystem GrowthLow pressure - Service pipeconstant</t>
  </si>
  <si>
    <t>2018IDCapital ExpenditureSystem GrowthLow pressure - Service pipenominal</t>
  </si>
  <si>
    <t>2018IDCapital ExpenditureSystem GrowthLow pressure - Special crossingsconstant</t>
  </si>
  <si>
    <t>2018IDCapital ExpenditureSystem GrowthLow pressure - Special crossingsnominal</t>
  </si>
  <si>
    <t>2018IDCapital ExpenditureSystem GrowthLow pressure - totalconstant</t>
  </si>
  <si>
    <t>2018IDCapital ExpenditureSystem GrowthLow pressure - totalnominal</t>
  </si>
  <si>
    <t>2018IDCapital ExpenditureSystem GrowthMedium pressure - Line valveconstant</t>
  </si>
  <si>
    <t>2018IDCapital ExpenditureSystem GrowthMedium pressure - Line valvenominal</t>
  </si>
  <si>
    <t>2018IDCapital ExpenditureSystem GrowthMedium pressure - Main pipeconstant</t>
  </si>
  <si>
    <t>2018IDCapital ExpenditureSystem GrowthMedium pressure - Main pipenominal</t>
  </si>
  <si>
    <t>2018IDCapital ExpenditureSystem GrowthMedium pressure - Service pipeconstant</t>
  </si>
  <si>
    <t>2018IDCapital ExpenditureSystem GrowthMedium pressure - Service pipenominal</t>
  </si>
  <si>
    <t>2018IDCapital ExpenditureSystem GrowthMedium pressure - Special crossingsconstant</t>
  </si>
  <si>
    <t>2018IDCapital ExpenditureSystem GrowthMedium pressure - Special crossingsnominal</t>
  </si>
  <si>
    <t>2018IDCapital ExpenditureSystem GrowthMedium pressure - Stationsconstant</t>
  </si>
  <si>
    <t>2018IDCapital ExpenditureSystem GrowthMedium pressure - Stationsnominal</t>
  </si>
  <si>
    <t>2018IDCapital ExpenditureSystem GrowthMedium pressure - totalconstant</t>
  </si>
  <si>
    <t>2018IDCapital ExpenditureSystem GrowthMedium pressure - totalnominal</t>
  </si>
  <si>
    <t>2018IDCapital ExpenditureSystem GrowthOther network assets - Cathodic protection systemsconstant</t>
  </si>
  <si>
    <t>2018IDCapital ExpenditureSystem GrowthOther network assets - Cathodic protection systemsnominal</t>
  </si>
  <si>
    <t>2018IDCapital ExpenditureSystem GrowthOther network assets - Monitoring and control systemsconstant</t>
  </si>
  <si>
    <t>2018IDCapital ExpenditureSystem GrowthOther network assets - Monitoring and control systemsnominal</t>
  </si>
  <si>
    <t>2018IDCapital ExpenditureSystem GrowthOther network assets - Other assets (other than above)constant</t>
  </si>
  <si>
    <t>2018IDCapital ExpenditureSystem GrowthOther network assets - Other assets (other than above)nominal</t>
  </si>
  <si>
    <t>2018IDCapital ExpenditureSystem GrowthOther network assets - totalconstant</t>
  </si>
  <si>
    <t>2018IDCapital ExpenditureSystem GrowthOther network assets - totalnominal</t>
  </si>
  <si>
    <t>2018IDCapital ExpenditureSystem GrowthSystem growth expenditureconstant</t>
  </si>
  <si>
    <t>2018IDCapital ExpenditureSystem GrowthSystem growth expenditurenominal</t>
  </si>
  <si>
    <t>2018IDCapital ExpenditureSystem GrowthSystem growth less capital contributionsconstant</t>
  </si>
  <si>
    <t>2018IDCapital ExpenditureSystem GrowthSystem growth less capital contributionsnominal</t>
  </si>
  <si>
    <t>2018IDNetwork and DemandSystem lengthSystem lengthNA</t>
  </si>
  <si>
    <t>2018IDNetwork and DemandCustomer numbersNumber of ICPs at year endNA</t>
  </si>
  <si>
    <t>2018IDNetwork and DemandGas deliveredAverage daily deliveryNA</t>
  </si>
  <si>
    <t>2018IDNetwork and DemandGas deliveredLoad factorNA</t>
  </si>
  <si>
    <t>2018IDNetwork and DemandGas deliveredMaximum daily loadNA</t>
  </si>
  <si>
    <t>2018IDNetwork and DemandGas deliveredMaximum monthly loadNA</t>
  </si>
  <si>
    <t>2018IDNetwork and DemandGas deliveredNumber of directly billed ICPsNA</t>
  </si>
  <si>
    <t>2018IDNetwork and DemandGas deliveredTotal gas conveyedNA</t>
  </si>
  <si>
    <t>2018AMP2018Operating ExpenditureAsset replacement and renewalAsset replacement and renewalconstant</t>
  </si>
  <si>
    <t>2018AMP2017Operating ExpenditureAsset replacement and renewalAsset replacement and renewalconstant</t>
  </si>
  <si>
    <t>2018AMP2015Operating ExpenditureAsset replacement and renewalAsset replacement and renewalconstant</t>
  </si>
  <si>
    <t>2018AMP2013Operating ExpenditureAsset replacement and renewalAsset replacement and renewalconstant</t>
  </si>
  <si>
    <t>2018AMP2016Operating ExpenditureAsset replacement and renewalAsset replacement and renewalconstant</t>
  </si>
  <si>
    <t>2018AMP2014Operating ExpenditureAsset replacement and renewalAsset replacement and renewalconstant</t>
  </si>
  <si>
    <t>2018AMP2013Operating ExpenditureAsset replacement and renewalAsset replacement and renewalnominal</t>
  </si>
  <si>
    <t>2018AMP2015Operating ExpenditureAsset replacement and renewalAsset replacement and renewalnominal</t>
  </si>
  <si>
    <t>2018AMP2018Operating ExpenditureAsset replacement and renewalAsset replacement and renewalnominal</t>
  </si>
  <si>
    <t>2018AMP2014Operating ExpenditureAsset replacement and renewalAsset replacement and renewalnominal</t>
  </si>
  <si>
    <t>2018AMP2017Operating ExpenditureAsset replacement and renewalAsset replacement and renewalnominal</t>
  </si>
  <si>
    <t>2018AMP2016Operating ExpenditureAsset replacement and renewalAsset replacement and renewalnominal</t>
  </si>
  <si>
    <t>2018AMP2013Operating ExpenditureBusiness supportBusiness supportconstant</t>
  </si>
  <si>
    <t>2018AMP2018Operating ExpenditureBusiness supportBusiness supportconstant</t>
  </si>
  <si>
    <t>2018AMP2016Operating ExpenditureBusiness supportBusiness supportconstant</t>
  </si>
  <si>
    <t>2018AMP2017Operating ExpenditureBusiness supportBusiness supportconstant</t>
  </si>
  <si>
    <t>2018AMP2014Operating ExpenditureBusiness supportBusiness supportconstant</t>
  </si>
  <si>
    <t>2018AMP2015Operating ExpenditureBusiness supportBusiness supportconstant</t>
  </si>
  <si>
    <t>2018AMP2013Operating ExpenditureBusiness supportBusiness supportnominal</t>
  </si>
  <si>
    <t>2018AMP2014Operating ExpenditureBusiness supportBusiness supportnominal</t>
  </si>
  <si>
    <t>2018AMP2018Operating ExpenditureBusiness supportBusiness supportnominal</t>
  </si>
  <si>
    <t>2018AMP2016Operating ExpenditureBusiness supportBusiness supportnominal</t>
  </si>
  <si>
    <t>2018AMP2015Operating ExpenditureBusiness supportBusiness supportnominal</t>
  </si>
  <si>
    <t>2018AMP2017Operating ExpenditureBusiness supportBusiness supportnominal</t>
  </si>
  <si>
    <t>2018AMP2016Operating ExpenditureExpenditure on subcomponentsInsuranceconstant</t>
  </si>
  <si>
    <t>2018AMP2014Operating ExpenditureExpenditure on subcomponentsInsuranceconstant</t>
  </si>
  <si>
    <t>2018AMP2015Operating ExpenditureExpenditure on subcomponentsInsuranceconstant</t>
  </si>
  <si>
    <t>2018AMP2017Operating ExpenditureExpenditure on subcomponentsInsuranceconstant</t>
  </si>
  <si>
    <t>2018AMP2018Operating ExpenditureExpenditure on subcomponentsInsuranceconstant</t>
  </si>
  <si>
    <t>2018AMP2013Operating ExpenditureExpenditure on subcomponentsInsuranceconstant</t>
  </si>
  <si>
    <t>2018AMP2015Operating ExpenditureExpenditure on subcomponentsResearch and developmentconstant</t>
  </si>
  <si>
    <t>2018AMP2014Operating ExpenditureExpenditure on subcomponentsResearch and developmentconstant</t>
  </si>
  <si>
    <t>2018AMP2017Operating ExpenditureExpenditure on subcomponentsResearch and developmentconstant</t>
  </si>
  <si>
    <t>2018AMP2013Operating ExpenditureExpenditure on subcomponentsResearch and developmentconstant</t>
  </si>
  <si>
    <t>2018AMP2018Operating ExpenditureExpenditure on subcomponentsResearch and developmentconstant</t>
  </si>
  <si>
    <t>2018AMP2016Operating ExpenditureExpenditure on subcomponentsResearch and developmentconstant</t>
  </si>
  <si>
    <t>2018AMP2016Operating ExpenditureNetwork opexNetwork opexconstant</t>
  </si>
  <si>
    <t>2018AMP2015Operating ExpenditureNetwork opexNetwork opexconstant</t>
  </si>
  <si>
    <t>2018AMP2014Operating ExpenditureNetwork opexNetwork opexconstant</t>
  </si>
  <si>
    <t>2018AMP2013Operating ExpenditureNetwork opexNetwork opexconstant</t>
  </si>
  <si>
    <t>2018AMP2017Operating ExpenditureNetwork opexNetwork opexconstant</t>
  </si>
  <si>
    <t>2018AMP2018Operating ExpenditureNetwork opexNetwork opexconstant</t>
  </si>
  <si>
    <t>2018AMP2013Operating ExpenditureNetwork opexNetwork opexnominal</t>
  </si>
  <si>
    <t>2018AMP2018Operating ExpenditureNetwork opexNetwork opexnominal</t>
  </si>
  <si>
    <t>2018AMP2014Operating ExpenditureNetwork opexNetwork opexnominal</t>
  </si>
  <si>
    <t>2018AMP2017Operating ExpenditureNetwork opexNetwork opexnominal</t>
  </si>
  <si>
    <t>2018AMP2016Operating ExpenditureNetwork opexNetwork opexnominal</t>
  </si>
  <si>
    <t>2018AMP2015Operating ExpenditureNetwork opexNetwork opexnominal</t>
  </si>
  <si>
    <t>2018AMP2018Operating ExpenditureNon-network opexNon-network opexconstant</t>
  </si>
  <si>
    <t>2018AMP2014Operating ExpenditureNon-network opexNon-network opexconstant</t>
  </si>
  <si>
    <t>2018AMP2015Operating ExpenditureNon-network opexNon-network opexconstant</t>
  </si>
  <si>
    <t>2018AMP2017Operating ExpenditureNon-network opexNon-network opexconstant</t>
  </si>
  <si>
    <t>2018AMP2013Operating ExpenditureNon-network opexNon-network opexconstant</t>
  </si>
  <si>
    <t>2018AMP2016Operating ExpenditureNon-network opexNon-network opexconstant</t>
  </si>
  <si>
    <t>2018AMP2014Operating ExpenditureNon-network opexNon-network opexnominal</t>
  </si>
  <si>
    <t>2018AMP2013Operating ExpenditureNon-network opexNon-network opexnominal</t>
  </si>
  <si>
    <t>2018AMP2017Operating ExpenditureNon-network opexNon-network opexnominal</t>
  </si>
  <si>
    <t>2018AMP2015Operating ExpenditureNon-network opexNon-network opexnominal</t>
  </si>
  <si>
    <t>2018AMP2018Operating ExpenditureNon-network opexNon-network opexnominal</t>
  </si>
  <si>
    <t>2018AMP2016Operating ExpenditureNon-network opexNon-network opexnominal</t>
  </si>
  <si>
    <t>2018AMP2015Operating ExpenditureResearch and developmentResearch and developmentconstant</t>
  </si>
  <si>
    <t>2018AMP2013Operating ExpenditureResearch and developmentResearch and developmentconstant</t>
  </si>
  <si>
    <t>2018AMP2016Operating ExpenditureResearch and developmentResearch and developmentconstant</t>
  </si>
  <si>
    <t>2018AMP2017Operating ExpenditureResearch and developmentResearch and developmentconstant</t>
  </si>
  <si>
    <t>2018AMP2014Operating ExpenditureResearch and developmentResearch and developmentconstant</t>
  </si>
  <si>
    <t>2018AMP2018Operating ExpenditureResearch and developmentResearch and developmentconstant</t>
  </si>
  <si>
    <t>2018AMP2015Operating ExpenditureRoutine and corrective maintenance and inspectionRoutine and corrective maintenance and inspectionconstant</t>
  </si>
  <si>
    <t>2018AMP2017Operating ExpenditureRoutine and corrective maintenance and inspectionRoutine and corrective maintenance and inspectionconstant</t>
  </si>
  <si>
    <t>2018AMP2014Operating ExpenditureRoutine and corrective maintenance and inspectionRoutine and corrective maintenance and inspectionconstant</t>
  </si>
  <si>
    <t>2018AMP2018Operating ExpenditureRoutine and corrective maintenance and inspectionRoutine and corrective maintenance and inspectionconstant</t>
  </si>
  <si>
    <t>2018AMP2013Operating ExpenditureRoutine and corrective maintenance and inspectionRoutine and corrective maintenance and inspectionconstant</t>
  </si>
  <si>
    <t>2018AMP2016Operating ExpenditureRoutine and corrective maintenance and inspectionRoutine and corrective maintenance and inspectionconstant</t>
  </si>
  <si>
    <t>2018AMP2015Operating ExpenditureRoutine and corrective maintenance and inspectionRoutine and corrective maintenance and inspectionnominal</t>
  </si>
  <si>
    <t>2018AMP2018Operating ExpenditureRoutine and corrective maintenance and inspectionRoutine and corrective maintenance and inspectionnominal</t>
  </si>
  <si>
    <t>2018AMP2014Operating ExpenditureRoutine and corrective maintenance and inspectionRoutine and corrective maintenance and inspectionnominal</t>
  </si>
  <si>
    <t>2018AMP2016Operating ExpenditureRoutine and corrective maintenance and inspectionRoutine and corrective maintenance and inspectionnominal</t>
  </si>
  <si>
    <t>2018AMP2017Operating ExpenditureRoutine and corrective maintenance and inspectionRoutine and corrective maintenance and inspectionnominal</t>
  </si>
  <si>
    <t>2018AMP2013Operating ExpenditureRoutine and corrective maintenance and inspectionRoutine and corrective maintenance and inspectionnominal</t>
  </si>
  <si>
    <t>2018AMP2013Operating ExpenditureService interruptions, incidents and emergenciesService interruptions, incidents and emergenciesconstant</t>
  </si>
  <si>
    <t>2018AMP2014Operating ExpenditureService interruptions, incidents and emergenciesService interruptions, incidents and emergenciesconstant</t>
  </si>
  <si>
    <t>2018AMP2015Operating ExpenditureService interruptions, incidents and emergenciesService interruptions, incidents and emergenciesconstant</t>
  </si>
  <si>
    <t>2018AMP2018Operating ExpenditureService interruptions, incidents and emergenciesService interruptions, incidents and emergenciesconstant</t>
  </si>
  <si>
    <t>2018AMP2017Operating ExpenditureService interruptions, incidents and emergenciesService interruptions, incidents and emergenciesconstant</t>
  </si>
  <si>
    <t>2018AMP2016Operating ExpenditureService interruptions, incidents and emergenciesService interruptions, incidents and emergenciesconstant</t>
  </si>
  <si>
    <t>2018AMP2018Operating ExpenditureService interruptions, incidents and emergenciesService interruptions, incidents and emergenciesnominal</t>
  </si>
  <si>
    <t>2018AMP2014Operating ExpenditureService interruptions, incidents and emergenciesService interruptions, incidents and emergenciesnominal</t>
  </si>
  <si>
    <t>2018AMP2015Operating ExpenditureService interruptions, incidents and emergenciesService interruptions, incidents and emergenciesnominal</t>
  </si>
  <si>
    <t>2018AMP2013Operating ExpenditureService interruptions, incidents and emergenciesService interruptions, incidents and emergenciesnominal</t>
  </si>
  <si>
    <t>2018AMP2017Operating ExpenditureService interruptions, incidents and emergenciesService interruptions, incidents and emergenciesnominal</t>
  </si>
  <si>
    <t>2018AMP2016Operating ExpenditureService interruptions, incidents and emergenciesService interruptions, incidents and emergenciesnominal</t>
  </si>
  <si>
    <t>2018AMP2015Operating ExpenditureSystem operations and network supportSystem operations and network supportconstant</t>
  </si>
  <si>
    <t>2018AMP2017Operating ExpenditureSystem operations and network supportSystem operations and network supportconstant</t>
  </si>
  <si>
    <t>2018AMP2016Operating ExpenditureSystem operations and network supportSystem operations and network supportconstant</t>
  </si>
  <si>
    <t>2018AMP2018Operating ExpenditureSystem operations and network supportSystem operations and network supportconstant</t>
  </si>
  <si>
    <t>2018AMP2014Operating ExpenditureSystem operations and network supportSystem operations and network supportconstant</t>
  </si>
  <si>
    <t>2018AMP2013Operating ExpenditureSystem operations and network supportSystem operations and network supportconstant</t>
  </si>
  <si>
    <t>2018AMP2013Operating ExpenditureSystem operations and network supportSystem operations and network supportnominal</t>
  </si>
  <si>
    <t>2018AMP2016Operating ExpenditureSystem operations and network supportSystem operations and network supportnominal</t>
  </si>
  <si>
    <t>2018AMP2015Operating ExpenditureSystem operations and network supportSystem operations and network supportnominal</t>
  </si>
  <si>
    <t>2018AMP2014Operating ExpenditureSystem operations and network supportSystem operations and network supportnominal</t>
  </si>
  <si>
    <t>2018AMP2017Operating ExpenditureSystem operations and network supportSystem operations and network supportnominal</t>
  </si>
  <si>
    <t>2018AMP2018Operating ExpenditureSystem operations and network supportSystem operations and network supportnominal</t>
  </si>
  <si>
    <t>2018AMP2018Operating ExpenditureTotal opexOperational expenditureconstant</t>
  </si>
  <si>
    <t>2018AMP2013Operating ExpenditureTotal opexOperational expenditureconstant</t>
  </si>
  <si>
    <t>2018AMP2014Operating ExpenditureTotal opexOperational expenditureconstant</t>
  </si>
  <si>
    <t>2018AMP2017Operating ExpenditureTotal opexOperational expenditureconstant</t>
  </si>
  <si>
    <t>2018AMP2016Operating ExpenditureTotal opexOperational expenditureconstant</t>
  </si>
  <si>
    <t>2018AMP2015Operating ExpenditureTotal opexOperational expenditureconstant</t>
  </si>
  <si>
    <t>2018AMP2016Operating ExpenditureTotal opexOperational expenditurenominal</t>
  </si>
  <si>
    <t>2018AMP2015Operating ExpenditureTotal opexOperational expenditurenominal</t>
  </si>
  <si>
    <t>2018AMP2017Operating ExpenditureTotal opexOperational expenditurenominal</t>
  </si>
  <si>
    <t>2018AMP2018Operating ExpenditureTotal opexOperational expenditurenominal</t>
  </si>
  <si>
    <t>2018AMP2014Operating ExpenditureTotal opexOperational expenditurenominal</t>
  </si>
  <si>
    <t>2018AMP2013Operating ExpenditureTotal opexOperational expenditurenominal</t>
  </si>
  <si>
    <t>2018IDOperating ExpenditureAsset replacement and renewalAsset replacement and renewalconstant</t>
  </si>
  <si>
    <t>2018IDOperating ExpenditureAsset replacement and renewalAsset replacement and renewalnominal</t>
  </si>
  <si>
    <t>2018IDOperating ExpenditureBusiness supportBusiness supportconstant</t>
  </si>
  <si>
    <t>2018IDOperating ExpenditureBusiness supportBusiness supportnominal</t>
  </si>
  <si>
    <t>2018IDOperating ExpenditureNetwork opexNetwork opexconstant</t>
  </si>
  <si>
    <t>2018IDOperating ExpenditureNetwork opexNetwork opexnominal</t>
  </si>
  <si>
    <t>2018IDOperating ExpenditureNon-network opexNon-network opexconstant</t>
  </si>
  <si>
    <t>2018IDOperating ExpenditureNon-network opexNon-network opexnominal</t>
  </si>
  <si>
    <t>2018IDOperating ExpenditureRoutine and corrective maintenance and inspectionRoutine and corrective maintenance and inspectionconstant</t>
  </si>
  <si>
    <t>2018IDOperating ExpenditureRoutine and corrective maintenance and inspectionRoutine and corrective maintenance and inspectionnominal</t>
  </si>
  <si>
    <t>2018IDOperating ExpenditureService interruptions, incidents and emergenciesService interruptions, incidents and emergenciesconstant</t>
  </si>
  <si>
    <t>2018IDOperating ExpenditureService interruptions, incidents and emergenciesService interruptions, incidents and emergenciesnominal</t>
  </si>
  <si>
    <t>2018IDOperating ExpenditureSystem operations and network supportSystem operations and network supportconstant</t>
  </si>
  <si>
    <t>2018IDOperating ExpenditureSystem operations and network supportSystem operations and network supportnominal</t>
  </si>
  <si>
    <t>2018IDOperating ExpenditureTotal opexOperational expenditureconstant</t>
  </si>
  <si>
    <t>2018IDOperating ExpenditureTotal opexOperational expenditurenominal</t>
  </si>
  <si>
    <t>2018IDOther dataRelated party transactionsCapital expenditureconstant</t>
  </si>
  <si>
    <t>2018IDOther dataRelated party transactionsCapital expenditurenominal</t>
  </si>
  <si>
    <t>2018IDOther dataRelated party transactionsMarket value of asset disposalsconstant</t>
  </si>
  <si>
    <t>2018IDOther dataRelated party transactionsMarket value of asset disposalsnominal</t>
  </si>
  <si>
    <t>2018IDOther dataRelated party transactionsOperational expenditureconstant</t>
  </si>
  <si>
    <t>2018IDOther dataRelated party transactionsOperational expenditurenominal</t>
  </si>
  <si>
    <t>2018IDOther dataRelated party transactionsOther related party transactionsconstant</t>
  </si>
  <si>
    <t>2018IDOther dataRelated party transactionsOther related party transactionsnominal</t>
  </si>
  <si>
    <t>2018IDOther dataRelated party transactionsTotal regulatory incomeconstant</t>
  </si>
  <si>
    <t>2018IDOther dataRelated party transactionsTotal regulatory incomenominal</t>
  </si>
  <si>
    <t>2018IDRAB valueTotal closing RAB valueIntermediate pressure main pipelinesconstant</t>
  </si>
  <si>
    <t>2018IDRAB valueTotal closing RAB valueLine valveconstant</t>
  </si>
  <si>
    <t>2018IDRAB valueTotal closing RAB valueLow pressure main pipelinesconstant</t>
  </si>
  <si>
    <t>2018IDRAB valueTotal closing RAB valueMedium pressure main pipelinesconstant</t>
  </si>
  <si>
    <t>2018IDRAB valueTotal closing RAB valueOther network assetsconstant</t>
  </si>
  <si>
    <t>2018IDRAB valueTotal closing RAB valueService pipeconstant</t>
  </si>
  <si>
    <t>2018IDRAB valueTotal closing RAB valueSpecial crossingsconstant</t>
  </si>
  <si>
    <t>2018IDRAB valueTotal closing RAB valueStationsconstant</t>
  </si>
  <si>
    <t>2018IDRAB valueTotal closing RAB valueTotalconstant</t>
  </si>
  <si>
    <t>2018IDReliabilityInterruption rateInterruptions per 100 circuit kmNA</t>
  </si>
  <si>
    <t>2018IDReliabilityInterruptionsClass BNA</t>
  </si>
  <si>
    <t>2018IDReliabilityInterruptionsClass CNA</t>
  </si>
  <si>
    <t>2018IDReliabilityCAIDIAll interruptionsNA</t>
  </si>
  <si>
    <t>2018IDReliabilityCAIDIClass INA</t>
  </si>
  <si>
    <t>2018IDReliabilitySAIDIAll interruptionsNA</t>
  </si>
  <si>
    <t>2018IDReliabilitySAIDIClass INA</t>
  </si>
  <si>
    <t>2018IDReliabilitySAIFIAll interruptionsNA</t>
  </si>
  <si>
    <t>2018IDReliabilitySAIFIClass INA</t>
  </si>
  <si>
    <t>2018IDRevenue and ProfitabilityReturn on investmentReturn on Investment (post tax)NA</t>
  </si>
  <si>
    <t>2018IDRevenue and ProfitabilityReturn on investmentReturn on Investment (vanilla)NA</t>
  </si>
  <si>
    <t>2018IDRevenue and ProfitabilityExpensesOperational expenditureconstant</t>
  </si>
  <si>
    <t>2018IDRevenue and ProfitabilityExpensesOperational expenditurenominal</t>
  </si>
  <si>
    <t>2018IDRevenue and ProfitabilityExpensesPass-through and recoverable costsconstant</t>
  </si>
  <si>
    <t>2018IDRevenue and ProfitabilityExpensesPass-through and recoverable costsnominal</t>
  </si>
  <si>
    <t>2018IDRevenue and ProfitabilityOperating surplus / (deficit)Operating surplus / (deficit)constant</t>
  </si>
  <si>
    <t>2018IDRevenue and ProfitabilityOperating surplus / (deficit)Operating surplus / (deficit)nominal</t>
  </si>
  <si>
    <t>2018IDRevenue and ProfitabilityRegulatory profit / (loss)Regulatory profit / (loss)constant</t>
  </si>
  <si>
    <t>2018IDRevenue and ProfitabilityRegulatory profit / (loss)Regulatory profit / (loss)nominal</t>
  </si>
  <si>
    <t>2018IDRevenue and ProfitabilityRegulatory profit / (loss) before taxRegulatory profit / (loss) before taxconstant</t>
  </si>
  <si>
    <t>2018IDRevenue and ProfitabilityRegulatory profit / (loss) before taxRegulatory profit / (loss) before taxnominal</t>
  </si>
  <si>
    <t>2018IDRevenue and ProfitabilityTaxRegulatory tax allowanceconstant</t>
  </si>
  <si>
    <t>2018IDRevenue and ProfitabilityTaxRegulatory tax allowancenominal</t>
  </si>
  <si>
    <t>2018IDRevenue and ProfitabilityTerm credit spread differentialTerm credit spread differential allowanceconstant</t>
  </si>
  <si>
    <t>2018IDRevenue and ProfitabilityTerm credit spread differentialTerm credit spread differential allowancenominal</t>
  </si>
  <si>
    <t>2018IDRevenue and ProfitabilityTotal regulatory incomeGains / (losses) on asset disposalsconstant</t>
  </si>
  <si>
    <t>2018IDRevenue and ProfitabilityTotal regulatory incomeGains / (losses) on asset disposalsnominal</t>
  </si>
  <si>
    <t>2018IDRevenue and ProfitabilityTotal regulatory incomeLine charge revenueconstant</t>
  </si>
  <si>
    <t>2018IDRevenue and ProfitabilityTotal regulatory incomeLine charge revenuenominal</t>
  </si>
  <si>
    <t>2018IDRevenue and ProfitabilityTotal regulatory incomeOther regulatory incomeconstant</t>
  </si>
  <si>
    <t>2018IDRevenue and ProfitabilityTotal regulatory incomeOther regulatory incomenominal</t>
  </si>
  <si>
    <t>2018IDRevenue and ProfitabilityTotal regulatory incomeTotal regulatory incomeconstant</t>
  </si>
  <si>
    <t>2018IDRevenue and ProfitabilityTotal regulatory incomeTotal regulatory incomenominal</t>
  </si>
  <si>
    <t>2018IDRevenue and ProfitabilityAdjustment resulting from asset allocationAdjustment resulting from asset allocationconstant</t>
  </si>
  <si>
    <t>2018IDRevenue and ProfitabilityAdjustment resulting from asset allocationAdjustment resulting from asset allocationnominal</t>
  </si>
  <si>
    <t>2018IDRevenue and ProfitabilityAsset disposalsAsset disposalsconstant</t>
  </si>
  <si>
    <t>2018IDRevenue and ProfitabilityAsset disposalsAsset disposalsnominal</t>
  </si>
  <si>
    <t>2018IDRevenue and ProfitabilityAsset valueTotal depreciationconstant</t>
  </si>
  <si>
    <t>2018IDRevenue and ProfitabilityAsset valueTotal depreciationnominal</t>
  </si>
  <si>
    <t>2018IDRevenue and ProfitabilityAsset valueTotal revaluationsconstant</t>
  </si>
  <si>
    <t>2018IDRevenue and ProfitabilityAsset valueTotal revaluationsnominal</t>
  </si>
  <si>
    <t>2018IDRevenue and ProfitabilityAssets commissionedAssets commissionedconstant</t>
  </si>
  <si>
    <t>2018IDRevenue and ProfitabilityAssets commissionedAssets commissionednominal</t>
  </si>
  <si>
    <t>2018IDRevenue and ProfitabilityLost and found assets adjustmentLost and found assets adjustmentconstant</t>
  </si>
  <si>
    <t>2018IDRevenue and ProfitabilityLost and found assets adjustmentLost and found assets adjustmentnominal</t>
  </si>
  <si>
    <t>2018IDRevenue and ProfitabilityTotal closing RAB valueTotal closing RAB valueconstant</t>
  </si>
  <si>
    <t>2018IDRevenue and ProfitabilityTotal closing RAB valueTotal closing RAB valuenominal</t>
  </si>
  <si>
    <t>2018IDRevenue and ProfitabilityTotal opening RAB valueTotal opening RAB valueconstant</t>
  </si>
  <si>
    <t>2018IDRevenue and ProfitabilityTotal opening RAB valueTotal opening RAB valuenominal</t>
  </si>
  <si>
    <t>2019AMP2017Capital ExpenditureAll assetsExpenditure on assetsconstant</t>
  </si>
  <si>
    <t>2019AMP2013Capital ExpenditureAll assetsExpenditure on assetsconstant</t>
  </si>
  <si>
    <t>2019AMP2019Capital ExpenditureAll assetsExpenditure on assetsconstant</t>
  </si>
  <si>
    <t>2019AMP2015Capital ExpenditureAll assetsExpenditure on assetsconstant</t>
  </si>
  <si>
    <t>2019AMP2014Capital ExpenditureAll assetsExpenditure on assetsconstant</t>
  </si>
  <si>
    <t>2019AMP2018Capital ExpenditureAll assetsExpenditure on assetsconstant</t>
  </si>
  <si>
    <t>2019AMP2016Capital ExpenditureAll assetsExpenditure on assetsconstant</t>
  </si>
  <si>
    <t>2019AMP2016Capital ExpenditureAll assetsExpenditure on assetsnominal</t>
  </si>
  <si>
    <t>2019AMP2015Capital ExpenditureAll assetsExpenditure on assetsnominal</t>
  </si>
  <si>
    <t>2019AMP2014Capital ExpenditureAll assetsExpenditure on assetsnominal</t>
  </si>
  <si>
    <t>2019AMP2017Capital ExpenditureAll assetsExpenditure on assetsnominal</t>
  </si>
  <si>
    <t>2019AMP2019Capital ExpenditureAll assetsExpenditure on assetsnominal</t>
  </si>
  <si>
    <t>2019AMP2018Capital ExpenditureAll assetsExpenditure on assetsnominal</t>
  </si>
  <si>
    <t>2019AMP2013Capital ExpenditureAll assetsExpenditure on assetsnominal</t>
  </si>
  <si>
    <t>2019AMP2017Capital ExpenditureAsset relocationsAsset relocationsconstant</t>
  </si>
  <si>
    <t>2019AMP2018Capital ExpenditureAsset relocationsAsset relocationsconstant</t>
  </si>
  <si>
    <t>2019AMP2014Capital ExpenditureAsset relocationsAsset relocationsconstant</t>
  </si>
  <si>
    <t>2019AMP2015Capital ExpenditureAsset relocationsAsset relocationsconstant</t>
  </si>
  <si>
    <t>2019AMP2019Capital ExpenditureAsset relocationsAsset relocationsconstant</t>
  </si>
  <si>
    <t>2019AMP2016Capital ExpenditureAsset relocationsAsset relocationsconstant</t>
  </si>
  <si>
    <t>2019AMP2013Capital ExpenditureAsset relocationsAsset relocationsconstant</t>
  </si>
  <si>
    <t>2019AMP2013Capital ExpenditureAsset relocationsAsset relocationsnominal</t>
  </si>
  <si>
    <t>2019AMP2014Capital ExpenditureAsset relocationsAsset relocationsnominal</t>
  </si>
  <si>
    <t>2019AMP2019Capital ExpenditureAsset relocationsAsset relocationsnominal</t>
  </si>
  <si>
    <t>2019AMP2015Capital ExpenditureAsset relocationsAsset relocationsnominal</t>
  </si>
  <si>
    <t>2019AMP2018Capital ExpenditureAsset relocationsAsset relocationsnominal</t>
  </si>
  <si>
    <t>2019AMP2016Capital ExpenditureAsset relocationsAsset relocationsnominal</t>
  </si>
  <si>
    <t>2019AMP2017Capital ExpenditureAsset relocationsAsset relocationsnominal</t>
  </si>
  <si>
    <t>2019AMP2019Capital ExpenditureAsset replacement and renewalAsset replacement and renewalconstant</t>
  </si>
  <si>
    <t>2019AMP2017Capital ExpenditureAsset replacement and renewalAsset replacement and renewalconstant</t>
  </si>
  <si>
    <t>2019AMP2015Capital ExpenditureAsset replacement and renewalAsset replacement and renewalconstant</t>
  </si>
  <si>
    <t>2019AMP2013Capital ExpenditureAsset replacement and renewalAsset replacement and renewalconstant</t>
  </si>
  <si>
    <t>2019AMP2016Capital ExpenditureAsset replacement and renewalAsset replacement and renewalconstant</t>
  </si>
  <si>
    <t>2019AMP2018Capital ExpenditureAsset replacement and renewalAsset replacement and renewalconstant</t>
  </si>
  <si>
    <t>2019AMP2014Capital ExpenditureAsset replacement and renewalAsset replacement and renewalconstant</t>
  </si>
  <si>
    <t>2019AMP2015Capital ExpenditureAsset replacement and renewalAsset replacement and renewalnominal</t>
  </si>
  <si>
    <t>2019AMP2017Capital ExpenditureAsset replacement and renewalAsset replacement and renewalnominal</t>
  </si>
  <si>
    <t>2019AMP2018Capital ExpenditureAsset replacement and renewalAsset replacement and renewalnominal</t>
  </si>
  <si>
    <t>2019AMP2019Capital ExpenditureAsset replacement and renewalAsset replacement and renewalnominal</t>
  </si>
  <si>
    <t>2019AMP2013Capital ExpenditureAsset replacement and renewalAsset replacement and renewalnominal</t>
  </si>
  <si>
    <t>2019AMP2016Capital ExpenditureAsset replacement and renewalAsset replacement and renewalnominal</t>
  </si>
  <si>
    <t>2019AMP2014Capital ExpenditureAsset replacement and renewalAsset replacement and renewalnominal</t>
  </si>
  <si>
    <t>2019AMP2017Capital ExpenditureAssets commissionedAssets commissionednominal</t>
  </si>
  <si>
    <t>2019AMP2016Capital ExpenditureAssets commissionedAssets commissionednominal</t>
  </si>
  <si>
    <t>2019AMP2019Capital ExpenditureAssets commissionedAssets commissionednominal</t>
  </si>
  <si>
    <t>2019AMP2015Capital ExpenditureAssets commissionedAssets commissionednominal</t>
  </si>
  <si>
    <t>2019AMP2018Capital ExpenditureAssets commissionedAssets commissionednominal</t>
  </si>
  <si>
    <t>2019AMP2018Capital ExpenditureCapital expenditure forecastCapital expenditure forecastnominal</t>
  </si>
  <si>
    <t>2019AMP2019Capital ExpenditureCapital expenditure forecastCapital expenditure forecastnominal</t>
  </si>
  <si>
    <t>2019AMP2016Capital ExpenditureCapital expenditure forecastCapital expenditure forecastnominal</t>
  </si>
  <si>
    <t>2019AMP2015Capital ExpenditureCapital expenditure forecastCapital expenditure forecastnominal</t>
  </si>
  <si>
    <t>2019AMP2014Capital ExpenditureCapital expenditure forecastCapital expenditure forecastnominal</t>
  </si>
  <si>
    <t>2019AMP2013Capital ExpenditureCapital expenditure forecastCapital expenditure forecastnominal</t>
  </si>
  <si>
    <t>2019AMP2017Capital ExpenditureCapital expenditure forecastCapital expenditure forecastnominal</t>
  </si>
  <si>
    <t>2019AMP2014Capital ExpenditureConsumer connectionConsumer connectionconstant</t>
  </si>
  <si>
    <t>2019AMP2018Capital ExpenditureConsumer connectionConsumer connectionconstant</t>
  </si>
  <si>
    <t>2019AMP2016Capital ExpenditureConsumer connectionConsumer connectionconstant</t>
  </si>
  <si>
    <t>2019AMP2015Capital ExpenditureConsumer connectionConsumer connectionconstant</t>
  </si>
  <si>
    <t>2019AMP2019Capital ExpenditureConsumer connectionConsumer connectionconstant</t>
  </si>
  <si>
    <t>2019AMP2017Capital ExpenditureConsumer connectionConsumer connectionconstant</t>
  </si>
  <si>
    <t>2019AMP2013Capital ExpenditureConsumer connectionConsumer connectionconstant</t>
  </si>
  <si>
    <t>2019AMP2019Capital ExpenditureConsumer connectionConsumer connectionnominal</t>
  </si>
  <si>
    <t>2019AMP2017Capital ExpenditureConsumer connectionConsumer connectionnominal</t>
  </si>
  <si>
    <t>2019AMP2015Capital ExpenditureConsumer connectionConsumer connectionnominal</t>
  </si>
  <si>
    <t>2019AMP2013Capital ExpenditureConsumer connectionConsumer connectionnominal</t>
  </si>
  <si>
    <t>2019AMP2014Capital ExpenditureConsumer connectionConsumer connectionnominal</t>
  </si>
  <si>
    <t>2019AMP2018Capital ExpenditureConsumer connectionConsumer connectionnominal</t>
  </si>
  <si>
    <t>2019AMP2016Capital ExpenditureConsumer connectionConsumer connectionnominal</t>
  </si>
  <si>
    <t>2019AMP2017Capital ExpenditureCost of financingCost of financingnominal</t>
  </si>
  <si>
    <t>2019AMP2018Capital ExpenditureCost of financingCost of financingnominal</t>
  </si>
  <si>
    <t>2019AMP2016Capital ExpenditureCost of financingCost of financingnominal</t>
  </si>
  <si>
    <t>2019AMP2015Capital ExpenditureCost of financingCost of financingnominal</t>
  </si>
  <si>
    <t>2019AMP2019Capital ExpenditureCost of financingCost of financingnominal</t>
  </si>
  <si>
    <t>2019AMP2014Capital ExpenditureCost of financingCost of financingnominal</t>
  </si>
  <si>
    <t>2019AMP2013Capital ExpenditureCost of financingCost of financingnominal</t>
  </si>
  <si>
    <t>2019AMP2013Capital ExpenditureExpenditure on subcomponentsResearch and developmentconstant</t>
  </si>
  <si>
    <t>2019AMP2019Capital ExpenditureExpenditure on subcomponentsResearch and developmentconstant</t>
  </si>
  <si>
    <t>2019AMP2016Capital ExpenditureExpenditure on subcomponentsResearch and developmentconstant</t>
  </si>
  <si>
    <t>2019AMP2017Capital ExpenditureExpenditure on subcomponentsResearch and developmentconstant</t>
  </si>
  <si>
    <t>2019AMP2015Capital ExpenditureExpenditure on subcomponentsResearch and developmentconstant</t>
  </si>
  <si>
    <t>2019AMP2018Capital ExpenditureExpenditure on subcomponentsResearch and developmentconstant</t>
  </si>
  <si>
    <t>2019AMP2014Capital ExpenditureExpenditure on subcomponentsResearch and developmentconstant</t>
  </si>
  <si>
    <t>2019AMP2018Capital ExpenditureNetwork assetsExpenditure on network assetsconstant</t>
  </si>
  <si>
    <t>2019AMP2016Capital ExpenditureNetwork assetsExpenditure on network assetsconstant</t>
  </si>
  <si>
    <t>2019AMP2014Capital ExpenditureNetwork assetsExpenditure on network assetsconstant</t>
  </si>
  <si>
    <t>2019AMP2019Capital ExpenditureNetwork assetsExpenditure on network assetsconstant</t>
  </si>
  <si>
    <t>2019AMP2015Capital ExpenditureNetwork assetsExpenditure on network assetsconstant</t>
  </si>
  <si>
    <t>2019AMP2013Capital ExpenditureNetwork assetsExpenditure on network assetsconstant</t>
  </si>
  <si>
    <t>2019AMP2017Capital ExpenditureNetwork assetsExpenditure on network assetsconstant</t>
  </si>
  <si>
    <t>2019AMP2015Capital ExpenditureNetwork assetsExpenditure on network assetsnominal</t>
  </si>
  <si>
    <t>2019AMP2017Capital ExpenditureNetwork assetsExpenditure on network assetsnominal</t>
  </si>
  <si>
    <t>2019AMP2016Capital ExpenditureNetwork assetsExpenditure on network assetsnominal</t>
  </si>
  <si>
    <t>2019AMP2014Capital ExpenditureNetwork assetsExpenditure on network assetsnominal</t>
  </si>
  <si>
    <t>2019AMP2019Capital ExpenditureNetwork assetsExpenditure on network assetsnominal</t>
  </si>
  <si>
    <t>2019AMP2013Capital ExpenditureNetwork assetsExpenditure on network assetsnominal</t>
  </si>
  <si>
    <t>2019AMP2018Capital ExpenditureNetwork assetsExpenditure on network assetsnominal</t>
  </si>
  <si>
    <t>2019AMP2017Capital ExpenditureNon-network assetsNon-network assetsconstant</t>
  </si>
  <si>
    <t>2019AMP2014Capital ExpenditureNon-network assetsNon-network assetsconstant</t>
  </si>
  <si>
    <t>2019AMP2018Capital ExpenditureNon-network assetsNon-network assetsconstant</t>
  </si>
  <si>
    <t>2019AMP2019Capital ExpenditureNon-network assetsNon-network assetsconstant</t>
  </si>
  <si>
    <t>2019AMP2016Capital ExpenditureNon-network assetsNon-network assetsconstant</t>
  </si>
  <si>
    <t>2019AMP2015Capital ExpenditureNon-network assetsNon-network assetsconstant</t>
  </si>
  <si>
    <t>2019AMP2013Capital ExpenditureNon-network assetsNon-network assetsconstant</t>
  </si>
  <si>
    <t>2019AMP2018Capital ExpenditureNon-network assetsNon-network assetsnominal</t>
  </si>
  <si>
    <t>2019AMP2019Capital ExpenditureNon-network assetsNon-network assetsnominal</t>
  </si>
  <si>
    <t>2019AMP2015Capital ExpenditureNon-network assetsNon-network assetsnominal</t>
  </si>
  <si>
    <t>2019AMP2016Capital ExpenditureNon-network assetsNon-network assetsnominal</t>
  </si>
  <si>
    <t>2019AMP2014Capital ExpenditureNon-network assetsNon-network assetsnominal</t>
  </si>
  <si>
    <t>2019AMP2013Capital ExpenditureNon-network assetsNon-network assetsnominal</t>
  </si>
  <si>
    <t>2019AMP2017Capital ExpenditureNon-network assetsNon-network assetsnominal</t>
  </si>
  <si>
    <t>2019AMP2013Capital ExpenditureReliability, safety and environmentLegislative and regulatoryconstant</t>
  </si>
  <si>
    <t>2019AMP2018Capital ExpenditureReliability, safety and environmentLegislative and regulatoryconstant</t>
  </si>
  <si>
    <t>2019AMP2015Capital ExpenditureReliability, safety and environmentLegislative and regulatoryconstant</t>
  </si>
  <si>
    <t>2019AMP2014Capital ExpenditureReliability, safety and environmentLegislative and regulatoryconstant</t>
  </si>
  <si>
    <t>2019AMP2017Capital ExpenditureReliability, safety and environmentLegislative and regulatoryconstant</t>
  </si>
  <si>
    <t>2019AMP2019Capital ExpenditureReliability, safety and environmentLegislative and regulatoryconstant</t>
  </si>
  <si>
    <t>2019AMP2016Capital ExpenditureReliability, safety and environmentLegislative and regulatoryconstant</t>
  </si>
  <si>
    <t>2019AMP2017Capital ExpenditureReliability, safety and environmentLegislative and regulatorynominal</t>
  </si>
  <si>
    <t>2019AMP2016Capital ExpenditureReliability, safety and environmentLegislative and regulatorynominal</t>
  </si>
  <si>
    <t>2019AMP2014Capital ExpenditureReliability, safety and environmentLegislative and regulatorynominal</t>
  </si>
  <si>
    <t>2019AMP2015Capital ExpenditureReliability, safety and environmentLegislative and regulatorynominal</t>
  </si>
  <si>
    <t>2019AMP2013Capital ExpenditureReliability, safety and environmentLegislative and regulatorynominal</t>
  </si>
  <si>
    <t>2019AMP2019Capital ExpenditureReliability, safety and environmentLegislative and regulatorynominal</t>
  </si>
  <si>
    <t>2019AMP2018Capital ExpenditureReliability, safety and environmentLegislative and regulatorynominal</t>
  </si>
  <si>
    <t>2019AMP2019Capital ExpenditureReliability, safety and environmentOther reliability, safety and environmentconstant</t>
  </si>
  <si>
    <t>2019AMP2014Capital ExpenditureReliability, safety and environmentOther reliability, safety and environmentconstant</t>
  </si>
  <si>
    <t>2019AMP2016Capital ExpenditureReliability, safety and environmentOther reliability, safety and environmentconstant</t>
  </si>
  <si>
    <t>2019AMP2015Capital ExpenditureReliability, safety and environmentOther reliability, safety and environmentconstant</t>
  </si>
  <si>
    <t>2019AMP2018Capital ExpenditureReliability, safety and environmentOther reliability, safety and environmentconstant</t>
  </si>
  <si>
    <t>2019AMP2013Capital ExpenditureReliability, safety and environmentOther reliability, safety and environmentconstant</t>
  </si>
  <si>
    <t>2019AMP2017Capital ExpenditureReliability, safety and environmentOther reliability, safety and environmentconstant</t>
  </si>
  <si>
    <t>2019AMP2016Capital ExpenditureReliability, safety and environmentOther reliability, safety and environmentnominal</t>
  </si>
  <si>
    <t>2019AMP2018Capital ExpenditureReliability, safety and environmentOther reliability, safety and environmentnominal</t>
  </si>
  <si>
    <t>2019AMP2017Capital ExpenditureReliability, safety and environmentOther reliability, safety and environmentnominal</t>
  </si>
  <si>
    <t>2019AMP2019Capital ExpenditureReliability, safety and environmentOther reliability, safety and environmentnominal</t>
  </si>
  <si>
    <t>2019AMP2013Capital ExpenditureReliability, safety and environmentOther reliability, safety and environmentnominal</t>
  </si>
  <si>
    <t>2019AMP2015Capital ExpenditureReliability, safety and environmentOther reliability, safety and environmentnominal</t>
  </si>
  <si>
    <t>2019AMP2014Capital ExpenditureReliability, safety and environmentOther reliability, safety and environmentnominal</t>
  </si>
  <si>
    <t>2019AMP2014Capital ExpenditureReliability, safety and environmentQuality of supplyconstant</t>
  </si>
  <si>
    <t>2019AMP2016Capital ExpenditureReliability, safety and environmentQuality of supplyconstant</t>
  </si>
  <si>
    <t>2019AMP2013Capital ExpenditureReliability, safety and environmentQuality of supplyconstant</t>
  </si>
  <si>
    <t>2019AMP2017Capital ExpenditureReliability, safety and environmentQuality of supplyconstant</t>
  </si>
  <si>
    <t>2019AMP2018Capital ExpenditureReliability, safety and environmentQuality of supplyconstant</t>
  </si>
  <si>
    <t>2019AMP2015Capital ExpenditureReliability, safety and environmentQuality of supplyconstant</t>
  </si>
  <si>
    <t>2019AMP2019Capital ExpenditureReliability, safety and environmentQuality of supplyconstant</t>
  </si>
  <si>
    <t>2019AMP2019Capital ExpenditureReliability, safety and environmentQuality of supplynominal</t>
  </si>
  <si>
    <t>2019AMP2013Capital ExpenditureReliability, safety and environmentQuality of supplynominal</t>
  </si>
  <si>
    <t>2019AMP2016Capital ExpenditureReliability, safety and environmentQuality of supplynominal</t>
  </si>
  <si>
    <t>2019AMP2014Capital ExpenditureReliability, safety and environmentQuality of supplynominal</t>
  </si>
  <si>
    <t>2019AMP2017Capital ExpenditureReliability, safety and environmentQuality of supplynominal</t>
  </si>
  <si>
    <t>2019AMP2018Capital ExpenditureReliability, safety and environmentQuality of supplynominal</t>
  </si>
  <si>
    <t>2019AMP2015Capital ExpenditureReliability, safety and environmentQuality of supplynominal</t>
  </si>
  <si>
    <t>2019AMP2019Capital ExpenditureReliability, safety and environmentTotal reliability, safety and environmentconstant</t>
  </si>
  <si>
    <t>2019AMP2018Capital ExpenditureReliability, safety and environmentTotal reliability, safety and environmentconstant</t>
  </si>
  <si>
    <t>2019AMP2013Capital ExpenditureReliability, safety and environmentTotal reliability, safety and environmentconstant</t>
  </si>
  <si>
    <t>2019AMP2016Capital ExpenditureReliability, safety and environmentTotal reliability, safety and environmentconstant</t>
  </si>
  <si>
    <t>2019AMP2017Capital ExpenditureReliability, safety and environmentTotal reliability, safety and environmentconstant</t>
  </si>
  <si>
    <t>2019AMP2014Capital ExpenditureReliability, safety and environmentTotal reliability, safety and environmentconstant</t>
  </si>
  <si>
    <t>2019AMP2015Capital ExpenditureReliability, safety and environmentTotal reliability, safety and environmentconstant</t>
  </si>
  <si>
    <t>2019AMP2015Capital ExpenditureReliability, safety and environmentTotal reliability, safety and environmentnominal</t>
  </si>
  <si>
    <t>2019AMP2016Capital ExpenditureReliability, safety and environmentTotal reliability, safety and environmentnominal</t>
  </si>
  <si>
    <t>2019AMP2013Capital ExpenditureReliability, safety and environmentTotal reliability, safety and environmentnominal</t>
  </si>
  <si>
    <t>2019AMP2019Capital ExpenditureReliability, safety and environmentTotal reliability, safety and environmentnominal</t>
  </si>
  <si>
    <t>2019AMP2014Capital ExpenditureReliability, safety and environmentTotal reliability, safety and environmentnominal</t>
  </si>
  <si>
    <t>2019AMP2017Capital ExpenditureReliability, safety and environmentTotal reliability, safety and environmentnominal</t>
  </si>
  <si>
    <t>2019AMP2018Capital ExpenditureReliability, safety and environmentTotal reliability, safety and environmentnominal</t>
  </si>
  <si>
    <t>2019AMP2015Capital ExpenditureSystem growthSystem growthconstant</t>
  </si>
  <si>
    <t>2019AMP2016Capital ExpenditureSystem growthSystem growthconstant</t>
  </si>
  <si>
    <t>2019AMP2017Capital ExpenditureSystem growthSystem growthconstant</t>
  </si>
  <si>
    <t>2019AMP2014Capital ExpenditureSystem growthSystem growthconstant</t>
  </si>
  <si>
    <t>2019AMP2013Capital ExpenditureSystem growthSystem growthconstant</t>
  </si>
  <si>
    <t>2019AMP2019Capital ExpenditureSystem growthSystem growthconstant</t>
  </si>
  <si>
    <t>2019AMP2018Capital ExpenditureSystem growthSystem growthconstant</t>
  </si>
  <si>
    <t>2019AMP2013Capital ExpenditureSystem growthSystem growthnominal</t>
  </si>
  <si>
    <t>2019AMP2015Capital ExpenditureSystem growthSystem growthnominal</t>
  </si>
  <si>
    <t>2019AMP2016Capital ExpenditureSystem growthSystem growthnominal</t>
  </si>
  <si>
    <t>2019AMP2019Capital ExpenditureSystem growthSystem growthnominal</t>
  </si>
  <si>
    <t>2019AMP2017Capital ExpenditureSystem growthSystem growthnominal</t>
  </si>
  <si>
    <t>2019AMP2018Capital ExpenditureSystem growthSystem growthnominal</t>
  </si>
  <si>
    <t>2019AMP2014Capital ExpenditureSystem growthSystem growthnominal</t>
  </si>
  <si>
    <t>2019AMP2019Capital ExpenditureValue of capital contributionsValue of capital contributionsnominal</t>
  </si>
  <si>
    <t>2019AMP2017Capital ExpenditureValue of capital contributionsValue of capital contributionsnominal</t>
  </si>
  <si>
    <t>2019AMP2016Capital ExpenditureValue of capital contributionsValue of capital contributionsnominal</t>
  </si>
  <si>
    <t>2019AMP2018Capital ExpenditureValue of capital contributionsValue of capital contributionsnominal</t>
  </si>
  <si>
    <t>2019AMP2013Capital ExpenditureValue of capital contributionsValue of capital contributionsnominal</t>
  </si>
  <si>
    <t>2019AMP2015Capital ExpenditureValue of capital contributionsValue of capital contributionsnominal</t>
  </si>
  <si>
    <t>2019AMP2014Capital ExpenditureValue of capital contributionsValue of capital contributionsnominal</t>
  </si>
  <si>
    <t>2019AMP2013Capital ExpenditureValue of commissioned assetsValue of commissioned assetsnominal</t>
  </si>
  <si>
    <t>2019AMP2014Capital ExpenditureValue of commissioned assetsValue of commissioned assetsnominal</t>
  </si>
  <si>
    <t>2019AMP2017Capital ExpenditureValue of commissioned assetsValue of commissioned assetsnominal</t>
  </si>
  <si>
    <t>2019AMP2014Capital ExpenditureValue of vested assetsValue of vested assetsnominal</t>
  </si>
  <si>
    <t>2019AMP2019Capital ExpenditureValue of vested assetsValue of vested assetsnominal</t>
  </si>
  <si>
    <t>2019AMP2016Capital ExpenditureValue of vested assetsValue of vested assetsnominal</t>
  </si>
  <si>
    <t>2019AMP2015Capital ExpenditureValue of vested assetsValue of vested assetsnominal</t>
  </si>
  <si>
    <t>2019AMP2013Capital ExpenditureValue of vested assetsValue of vested assetsnominal</t>
  </si>
  <si>
    <t>2019AMP2018Capital ExpenditureValue of vested assetsValue of vested assetsnominal</t>
  </si>
  <si>
    <t>2019AMP2017Capital ExpenditureValue of vested assetsValue of vested assetsnominal</t>
  </si>
  <si>
    <t>2019AMP2018Capital ExpenditureAsset replacement and renewalAsset replacement and renewal expenditure - Asset replacement and renewal expenditureconstant</t>
  </si>
  <si>
    <t>2019AMP2015Capital ExpenditureAsset replacement and renewalAsset replacement and renewal expenditure - Asset replacement and renewal expenditureconstant</t>
  </si>
  <si>
    <t>2019AMP2014Capital ExpenditureAsset replacement and renewalAsset replacement and renewal expenditure - Asset replacement and renewal expenditureconstant</t>
  </si>
  <si>
    <t>2019AMP2019Capital ExpenditureAsset replacement and renewalAsset replacement and renewal expenditure - Asset replacement and renewal expenditureconstant</t>
  </si>
  <si>
    <t>2019AMP2017Capital ExpenditureAsset replacement and renewalAsset replacement and renewal expenditure - Asset replacement and renewal expenditureconstant</t>
  </si>
  <si>
    <t>2019AMP2016Capital ExpenditureAsset replacement and renewalAsset replacement and renewal expenditure - Asset replacement and renewal expenditureconstant</t>
  </si>
  <si>
    <t>2019AMP2019Capital ExpenditureAsset replacement and renewalAsset replacement and renewal expenditure - Capital contributions funding asset replacement and renewalconstant</t>
  </si>
  <si>
    <t>2019AMP2015Capital ExpenditureAsset replacement and renewalAsset replacement and renewal expenditure - Capital contributions funding asset replacement and renewalconstant</t>
  </si>
  <si>
    <t>2019AMP2018Capital ExpenditureAsset replacement and renewalAsset replacement and renewal expenditure - Capital contributions funding asset replacement and renewalconstant</t>
  </si>
  <si>
    <t>2019AMP2017Capital ExpenditureAsset replacement and renewalAsset replacement and renewal expenditure - Capital contributions funding asset replacement and renewalconstant</t>
  </si>
  <si>
    <t>2019AMP2016Capital ExpenditureAsset replacement and renewalAsset replacement and renewal expenditure - Capital contributions funding asset replacement and renewalconstant</t>
  </si>
  <si>
    <t>2019AMP2014Capital ExpenditureAsset replacement and renewalAsset replacement and renewal expenditure - Capital contributions funding asset replacement and renewalconstant</t>
  </si>
  <si>
    <t>2019AMP2015Capital ExpenditureAsset replacement and renewalAsset replacement and renewal less capital contributions - Asset replacement and renewal less capital contributionsconstant</t>
  </si>
  <si>
    <t>2019AMP2016Capital ExpenditureAsset replacement and renewalAsset replacement and renewal less capital contributions - Asset replacement and renewal less capital contributionsconstant</t>
  </si>
  <si>
    <t>2019AMP2014Capital ExpenditureAsset replacement and renewalAsset replacement and renewal less capital contributions - Asset replacement and renewal less capital contributionsconstant</t>
  </si>
  <si>
    <t>2019AMP2017Capital ExpenditureAsset replacement and renewalAsset replacement and renewal less capital contributions - Asset replacement and renewal less capital contributionsconstant</t>
  </si>
  <si>
    <t>2019AMP2019Capital ExpenditureAsset replacement and renewalAsset replacement and renewal less capital contributions - Asset replacement and renewal less capital contributionsconstant</t>
  </si>
  <si>
    <t>2019AMP2018Capital ExpenditureAsset replacement and renewalAsset replacement and renewal less capital contributions - Asset replacement and renewal less capital contributionsconstant</t>
  </si>
  <si>
    <t>2019AMP2018Capital ExpenditureAsset replacement and renewalIntermediate pressure - Intermediate Pressure totalconstant</t>
  </si>
  <si>
    <t>2019AMP2017Capital ExpenditureAsset replacement and renewalIntermediate pressure - Intermediate Pressure totalconstant</t>
  </si>
  <si>
    <t>2019AMP2016Capital ExpenditureAsset replacement and renewalIntermediate pressure - Intermediate Pressure totalconstant</t>
  </si>
  <si>
    <t>2019AMP2014Capital ExpenditureAsset replacement and renewalIntermediate pressure - Intermediate Pressure totalconstant</t>
  </si>
  <si>
    <t>2019AMP2019Capital ExpenditureAsset replacement and renewalIntermediate pressure - Intermediate Pressure totalconstant</t>
  </si>
  <si>
    <t>2019AMP2015Capital ExpenditureAsset replacement and renewalIntermediate pressure - Intermediate Pressure totalconstant</t>
  </si>
  <si>
    <t>2019AMP2014Capital ExpenditureAsset replacement and renewalIntermediate pressure - Line valveconstant</t>
  </si>
  <si>
    <t>2019AMP2018Capital ExpenditureAsset replacement and renewalIntermediate pressure - Line valveconstant</t>
  </si>
  <si>
    <t>2019AMP2015Capital ExpenditureAsset replacement and renewalIntermediate pressure - Line valveconstant</t>
  </si>
  <si>
    <t>2019AMP2019Capital ExpenditureAsset replacement and renewalIntermediate pressure - Line valveconstant</t>
  </si>
  <si>
    <t>2019AMP2016Capital ExpenditureAsset replacement and renewalIntermediate pressure - Line valveconstant</t>
  </si>
  <si>
    <t>2019AMP2017Capital ExpenditureAsset replacement and renewalIntermediate pressure - Line valveconstant</t>
  </si>
  <si>
    <t>2019AMP2018Capital ExpenditureAsset replacement and renewalIntermediate pressure - Main pipeconstant</t>
  </si>
  <si>
    <t>2019AMP2014Capital ExpenditureAsset replacement and renewalIntermediate pressure - Main pipeconstant</t>
  </si>
  <si>
    <t>2019AMP2016Capital ExpenditureAsset replacement and renewalIntermediate pressure - Main pipeconstant</t>
  </si>
  <si>
    <t>2019AMP2019Capital ExpenditureAsset replacement and renewalIntermediate pressure - Main pipeconstant</t>
  </si>
  <si>
    <t>2019AMP2015Capital ExpenditureAsset replacement and renewalIntermediate pressure - Main pipeconstant</t>
  </si>
  <si>
    <t>2019AMP2017Capital ExpenditureAsset replacement and renewalIntermediate pressure - Main pipeconstant</t>
  </si>
  <si>
    <t>2019AMP2018Capital ExpenditureAsset replacement and renewalIntermediate pressure - Service pipeconstant</t>
  </si>
  <si>
    <t>2019AMP2019Capital ExpenditureAsset replacement and renewalIntermediate pressure - Service pipeconstant</t>
  </si>
  <si>
    <t>2019AMP2014Capital ExpenditureAsset replacement and renewalIntermediate pressure - Service pipeconstant</t>
  </si>
  <si>
    <t>2019AMP2015Capital ExpenditureAsset replacement and renewalIntermediate pressure - Service pipeconstant</t>
  </si>
  <si>
    <t>2019AMP2017Capital ExpenditureAsset replacement and renewalIntermediate pressure - Service pipeconstant</t>
  </si>
  <si>
    <t>2019AMP2016Capital ExpenditureAsset replacement and renewalIntermediate pressure - Service pipeconstant</t>
  </si>
  <si>
    <t>2019AMP2015Capital ExpenditureAsset replacement and renewalIntermediate pressure - Special crossingsconstant</t>
  </si>
  <si>
    <t>2019AMP2016Capital ExpenditureAsset replacement and renewalIntermediate pressure - Special crossingsconstant</t>
  </si>
  <si>
    <t>2019AMP2014Capital ExpenditureAsset replacement and renewalIntermediate pressure - Special crossingsconstant</t>
  </si>
  <si>
    <t>2019AMP2017Capital ExpenditureAsset replacement and renewalIntermediate pressure - Special crossingsconstant</t>
  </si>
  <si>
    <t>2019AMP2018Capital ExpenditureAsset replacement and renewalIntermediate pressure - Special crossingsconstant</t>
  </si>
  <si>
    <t>2019AMP2019Capital ExpenditureAsset replacement and renewalIntermediate pressure - Special crossingsconstant</t>
  </si>
  <si>
    <t>2019AMP2018Capital ExpenditureAsset replacement and renewalIntermediate pressure - Stationsconstant</t>
  </si>
  <si>
    <t>2019AMP2014Capital ExpenditureAsset replacement and renewalIntermediate pressure - Stationsconstant</t>
  </si>
  <si>
    <t>2019AMP2019Capital ExpenditureAsset replacement and renewalIntermediate pressure - Stationsconstant</t>
  </si>
  <si>
    <t>2019AMP2015Capital ExpenditureAsset replacement and renewalIntermediate pressure - Stationsconstant</t>
  </si>
  <si>
    <t>2019AMP2016Capital ExpenditureAsset replacement and renewalIntermediate pressure - Stationsconstant</t>
  </si>
  <si>
    <t>2019AMP2017Capital ExpenditureAsset replacement and renewalIntermediate pressure - Stationsconstant</t>
  </si>
  <si>
    <t>2019AMP2014Capital ExpenditureAsset replacement and renewalLow Pressure - Line valveconstant</t>
  </si>
  <si>
    <t>2019AMP2016Capital ExpenditureAsset replacement and renewalLow Pressure - Line valveconstant</t>
  </si>
  <si>
    <t>2019AMP2019Capital ExpenditureAsset replacement and renewalLow Pressure - Line valveconstant</t>
  </si>
  <si>
    <t>2019AMP2015Capital ExpenditureAsset replacement and renewalLow Pressure - Line valveconstant</t>
  </si>
  <si>
    <t>2019AMP2017Capital ExpenditureAsset replacement and renewalLow Pressure - Line valveconstant</t>
  </si>
  <si>
    <t>2019AMP2018Capital ExpenditureAsset replacement and renewalLow Pressure - Line valveconstant</t>
  </si>
  <si>
    <t>2019AMP2016Capital ExpenditureAsset replacement and renewalLow Pressure - Low Pressure totalconstant</t>
  </si>
  <si>
    <t>2019AMP2017Capital ExpenditureAsset replacement and renewalLow Pressure - Low Pressure totalconstant</t>
  </si>
  <si>
    <t>2019AMP2015Capital ExpenditureAsset replacement and renewalLow Pressure - Low Pressure totalconstant</t>
  </si>
  <si>
    <t>2019AMP2019Capital ExpenditureAsset replacement and renewalLow Pressure - Low Pressure totalconstant</t>
  </si>
  <si>
    <t>2019AMP2014Capital ExpenditureAsset replacement and renewalLow Pressure - Low Pressure totalconstant</t>
  </si>
  <si>
    <t>2019AMP2018Capital ExpenditureAsset replacement and renewalLow Pressure - Low Pressure totalconstant</t>
  </si>
  <si>
    <t>2019AMP2014Capital ExpenditureAsset replacement and renewalLow Pressure - Main pipeconstant</t>
  </si>
  <si>
    <t>2019AMP2016Capital ExpenditureAsset replacement and renewalLow Pressure - Main pipeconstant</t>
  </si>
  <si>
    <t>2019AMP2018Capital ExpenditureAsset replacement and renewalLow Pressure - Main pipeconstant</t>
  </si>
  <si>
    <t>2019AMP2019Capital ExpenditureAsset replacement and renewalLow Pressure - Main pipeconstant</t>
  </si>
  <si>
    <t>2019AMP2015Capital ExpenditureAsset replacement and renewalLow Pressure - Main pipeconstant</t>
  </si>
  <si>
    <t>2019AMP2017Capital ExpenditureAsset replacement and renewalLow Pressure - Main pipeconstant</t>
  </si>
  <si>
    <t>2019AMP2015Capital ExpenditureAsset replacement and renewalLow Pressure - Service pipeconstant</t>
  </si>
  <si>
    <t>2019AMP2014Capital ExpenditureAsset replacement and renewalLow Pressure - Service pipeconstant</t>
  </si>
  <si>
    <t>2019AMP2018Capital ExpenditureAsset replacement and renewalLow Pressure - Service pipeconstant</t>
  </si>
  <si>
    <t>2019AMP2016Capital ExpenditureAsset replacement and renewalLow Pressure - Service pipeconstant</t>
  </si>
  <si>
    <t>2019AMP2019Capital ExpenditureAsset replacement and renewalLow Pressure - Service pipeconstant</t>
  </si>
  <si>
    <t>2019AMP2017Capital ExpenditureAsset replacement and renewalLow Pressure - Service pipeconstant</t>
  </si>
  <si>
    <t>2019AMP2015Capital ExpenditureAsset replacement and renewalLow Pressure - Special crossingsconstant</t>
  </si>
  <si>
    <t>2019AMP2017Capital ExpenditureAsset replacement and renewalLow Pressure - Special crossingsconstant</t>
  </si>
  <si>
    <t>2019AMP2016Capital ExpenditureAsset replacement and renewalLow Pressure - Special crossingsconstant</t>
  </si>
  <si>
    <t>2019AMP2018Capital ExpenditureAsset replacement and renewalLow Pressure - Special crossingsconstant</t>
  </si>
  <si>
    <t>2019AMP2019Capital ExpenditureAsset replacement and renewalLow Pressure - Special crossingsconstant</t>
  </si>
  <si>
    <t>2019AMP2014Capital ExpenditureAsset replacement and renewalLow Pressure - Special crossingsconstant</t>
  </si>
  <si>
    <t>2019AMP2018Capital ExpenditureAsset replacement and renewalMedium pressure - Line valveconstant</t>
  </si>
  <si>
    <t>2019AMP2016Capital ExpenditureAsset replacement and renewalMedium pressure - Line valveconstant</t>
  </si>
  <si>
    <t>2019AMP2015Capital ExpenditureAsset replacement and renewalMedium pressure - Line valveconstant</t>
  </si>
  <si>
    <t>2019AMP2014Capital ExpenditureAsset replacement and renewalMedium pressure - Line valveconstant</t>
  </si>
  <si>
    <t>2019AMP2017Capital ExpenditureAsset replacement and renewalMedium pressure - Line valveconstant</t>
  </si>
  <si>
    <t>2019AMP2019Capital ExpenditureAsset replacement and renewalMedium pressure - Line valveconstant</t>
  </si>
  <si>
    <t>2019AMP2017Capital ExpenditureAsset replacement and renewalMedium pressure - Main pipeconstant</t>
  </si>
  <si>
    <t>2019AMP2018Capital ExpenditureAsset replacement and renewalMedium pressure - Main pipeconstant</t>
  </si>
  <si>
    <t>2019AMP2019Capital ExpenditureAsset replacement and renewalMedium pressure - Main pipeconstant</t>
  </si>
  <si>
    <t>2019AMP2014Capital ExpenditureAsset replacement and renewalMedium pressure - Main pipeconstant</t>
  </si>
  <si>
    <t>2019AMP2015Capital ExpenditureAsset replacement and renewalMedium pressure - Main pipeconstant</t>
  </si>
  <si>
    <t>2019AMP2016Capital ExpenditureAsset replacement and renewalMedium pressure - Main pipeconstant</t>
  </si>
  <si>
    <t>2019AMP2014Capital ExpenditureAsset replacement and renewalMedium pressure - Medium Pressure totalconstant</t>
  </si>
  <si>
    <t>2019AMP2016Capital ExpenditureAsset replacement and renewalMedium pressure - Medium Pressure totalconstant</t>
  </si>
  <si>
    <t>2019AMP2017Capital ExpenditureAsset replacement and renewalMedium pressure - Medium Pressure totalconstant</t>
  </si>
  <si>
    <t>2019AMP2018Capital ExpenditureAsset replacement and renewalMedium pressure - Medium Pressure totalconstant</t>
  </si>
  <si>
    <t>2019AMP2015Capital ExpenditureAsset replacement and renewalMedium pressure - Medium Pressure totalconstant</t>
  </si>
  <si>
    <t>2019AMP2019Capital ExpenditureAsset replacement and renewalMedium pressure - Medium Pressure totalconstant</t>
  </si>
  <si>
    <t>2019AMP2014Capital ExpenditureAsset replacement and renewalMedium pressure - Service pipeconstant</t>
  </si>
  <si>
    <t>2019AMP2017Capital ExpenditureAsset replacement and renewalMedium pressure - Service pipeconstant</t>
  </si>
  <si>
    <t>2019AMP2019Capital ExpenditureAsset replacement and renewalMedium pressure - Service pipeconstant</t>
  </si>
  <si>
    <t>2019AMP2018Capital ExpenditureAsset replacement and renewalMedium pressure - Service pipeconstant</t>
  </si>
  <si>
    <t>2019AMP2016Capital ExpenditureAsset replacement and renewalMedium pressure - Service pipeconstant</t>
  </si>
  <si>
    <t>2019AMP2015Capital ExpenditureAsset replacement and renewalMedium pressure - Service pipeconstant</t>
  </si>
  <si>
    <t>2019AMP2016Capital ExpenditureAsset replacement and renewalMedium pressure - Special crossingsconstant</t>
  </si>
  <si>
    <t>2019AMP2019Capital ExpenditureAsset replacement and renewalMedium pressure - Special crossingsconstant</t>
  </si>
  <si>
    <t>2019AMP2017Capital ExpenditureAsset replacement and renewalMedium pressure - Special crossingsconstant</t>
  </si>
  <si>
    <t>2019AMP2015Capital ExpenditureAsset replacement and renewalMedium pressure - Special crossingsconstant</t>
  </si>
  <si>
    <t>2019AMP2014Capital ExpenditureAsset replacement and renewalMedium pressure - Special crossingsconstant</t>
  </si>
  <si>
    <t>2019AMP2018Capital ExpenditureAsset replacement and renewalMedium pressure - Special crossingsconstant</t>
  </si>
  <si>
    <t>2019AMP2015Capital ExpenditureAsset replacement and renewalMedium pressure - Stationconstant</t>
  </si>
  <si>
    <t>2019AMP2014Capital ExpenditureAsset replacement and renewalMedium pressure - Stationconstant</t>
  </si>
  <si>
    <t>2019AMP2017Capital ExpenditureAsset replacement and renewalMedium pressure - Stationconstant</t>
  </si>
  <si>
    <t>2019AMP2016Capital ExpenditureAsset replacement and renewalMedium pressure - Stationconstant</t>
  </si>
  <si>
    <t>2019AMP2018Capital ExpenditureAsset replacement and renewalMedium pressure - Stationconstant</t>
  </si>
  <si>
    <t>2019AMP2019Capital ExpenditureAsset replacement and renewalMedium pressure - Stationconstant</t>
  </si>
  <si>
    <t>2019AMP2014Capital ExpenditureAsset replacement and renewalOther assets - Cathodic protection systemsconstant</t>
  </si>
  <si>
    <t>2019AMP2017Capital ExpenditureAsset replacement and renewalOther assets - Cathodic protection systemsconstant</t>
  </si>
  <si>
    <t>2019AMP2014Capital ExpenditureAsset replacement and renewalOther assets - Monitoring and control systemsconstant</t>
  </si>
  <si>
    <t>2019AMP2017Capital ExpenditureAsset replacement and renewalOther assets - Monitoring and control systemsconstant</t>
  </si>
  <si>
    <t>2019AMP2017Capital ExpenditureAsset replacement and renewalOther assets - Other assets (other than above)constant</t>
  </si>
  <si>
    <t>2019AMP2014Capital ExpenditureAsset replacement and renewalOther assets - Other assets (other than above)constant</t>
  </si>
  <si>
    <t>2019AMP2014Capital ExpenditureAsset replacement and renewalOther assets - Other totalconstant</t>
  </si>
  <si>
    <t>2019AMP2017Capital ExpenditureAsset replacement and renewalOther assets - Other totalconstant</t>
  </si>
  <si>
    <t>2019AMP2015Capital ExpenditureAsset replacement and renewalOther network assets - Cathodic protection systemsconstant</t>
  </si>
  <si>
    <t>2019AMP2018Capital ExpenditureAsset replacement and renewalOther network assets - Cathodic protection systemsconstant</t>
  </si>
  <si>
    <t>2019AMP2017Capital ExpenditureAsset replacement and renewalOther network assets - Cathodic protection systemsconstant</t>
  </si>
  <si>
    <t>2019AMP2016Capital ExpenditureAsset replacement and renewalOther network assets - Cathodic protection systemsconstant</t>
  </si>
  <si>
    <t>2019AMP2019Capital ExpenditureAsset replacement and renewalOther network assets - Cathodic protection systemsconstant</t>
  </si>
  <si>
    <t>2019AMP2019Capital ExpenditureAsset replacement and renewalOther network assets - Monitoring and control systemsconstant</t>
  </si>
  <si>
    <t>2019AMP2016Capital ExpenditureAsset replacement and renewalOther network assets - Monitoring and control systemsconstant</t>
  </si>
  <si>
    <t>2019AMP2018Capital ExpenditureAsset replacement and renewalOther network assets - Monitoring and control systemsconstant</t>
  </si>
  <si>
    <t>2019AMP2017Capital ExpenditureAsset replacement and renewalOther network assets - Monitoring and control systemsconstant</t>
  </si>
  <si>
    <t>2019AMP2015Capital ExpenditureAsset replacement and renewalOther network assets - Monitoring and control systemsconstant</t>
  </si>
  <si>
    <t>2019AMP2016Capital ExpenditureAsset replacement and renewalOther network assets - Other assets (other than above)constant</t>
  </si>
  <si>
    <t>2019AMP2015Capital ExpenditureAsset replacement and renewalOther network assets - Other assets (other than above)constant</t>
  </si>
  <si>
    <t>2019AMP2019Capital ExpenditureAsset replacement and renewalOther network assets - Other assets (other than above)constant</t>
  </si>
  <si>
    <t>2019AMP2017Capital ExpenditureAsset replacement and renewalOther network assets - Other assets (other than above)constant</t>
  </si>
  <si>
    <t>2019AMP2018Capital ExpenditureAsset replacement and renewalOther network assets - Other assets (other than above)constant</t>
  </si>
  <si>
    <t>2019AMP2017Capital ExpenditureAsset replacement and renewalOther network assets - Other network assets totalconstant</t>
  </si>
  <si>
    <t>2019AMP2018Capital ExpenditureAsset replacement and renewalOther network assets - Other network assets totalconstant</t>
  </si>
  <si>
    <t>2019AMP2016Capital ExpenditureAsset replacement and renewalOther network assets - Other network assets totalconstant</t>
  </si>
  <si>
    <t>2019AMP2015Capital ExpenditureAsset replacement and renewalOther network assets - Other network assets totalconstant</t>
  </si>
  <si>
    <t>2019AMP2019Capital ExpenditureAsset replacement and renewalOther network assets - Other network assets totalconstant</t>
  </si>
  <si>
    <t>2019IDCapital ExpenditureAll assetsExpenditure on assetsconstant</t>
  </si>
  <si>
    <t>2019IDCapital ExpenditureAll assetsExpenditure on assetsnominal</t>
  </si>
  <si>
    <t>2019IDCapital ExpenditureAsset relocationsAsset relocationsconstant</t>
  </si>
  <si>
    <t>2019IDCapital ExpenditureAsset relocationsAsset relocationsnominal</t>
  </si>
  <si>
    <t>2019IDCapital ExpenditureAsset replacement and renewalAsset replacement and renewalconstant</t>
  </si>
  <si>
    <t>2019IDCapital ExpenditureAsset replacement and renewalAsset replacement and renewalnominal</t>
  </si>
  <si>
    <t>2019IDCapital ExpenditureCapital expenditureCapital expenditureconstant</t>
  </si>
  <si>
    <t>2019IDCapital ExpenditureCapital expenditureCapital expenditurenominal</t>
  </si>
  <si>
    <t>2019IDCapital ExpenditureConsumer connectionConsumer connectionconstant</t>
  </si>
  <si>
    <t>2019IDCapital ExpenditureConsumer connectionConsumer connectionnominal</t>
  </si>
  <si>
    <t>2019IDCapital ExpenditureCost of financingCost of financingconstant</t>
  </si>
  <si>
    <t>2019IDCapital ExpenditureCost of financingCost of financingnominal</t>
  </si>
  <si>
    <t>2019IDCapital ExpenditureNetwork assetsExpenditure on network assetsconstant</t>
  </si>
  <si>
    <t>2019IDCapital ExpenditureNetwork assetsExpenditure on network assetsnominal</t>
  </si>
  <si>
    <t>2019IDCapital ExpenditureNon-network assetsNon-network assetsconstant</t>
  </si>
  <si>
    <t>2019IDCapital ExpenditureNon-network assetsNon-network assetsnominal</t>
  </si>
  <si>
    <t>2019IDCapital ExpenditureReliability, safety and environmentLegislative and regulatoryconstant</t>
  </si>
  <si>
    <t>2019IDCapital ExpenditureReliability, safety and environmentLegislative and regulatorynominal</t>
  </si>
  <si>
    <t>2019IDCapital ExpenditureReliability, safety and environmentOther reliability, safety and environmentconstant</t>
  </si>
  <si>
    <t>2019IDCapital ExpenditureReliability, safety and environmentOther reliability, safety and environmentnominal</t>
  </si>
  <si>
    <t>2019IDCapital ExpenditureReliability, safety and environmentQuality of supplyconstant</t>
  </si>
  <si>
    <t>2019IDCapital ExpenditureReliability, safety and environmentQuality of supplynominal</t>
  </si>
  <si>
    <t>2019IDCapital ExpenditureReliability, safety and environmentTotal reliability, safety and environmentconstant</t>
  </si>
  <si>
    <t>2019IDCapital ExpenditureReliability, safety and environmentTotal reliability, safety and environmentnominal</t>
  </si>
  <si>
    <t>2019IDCapital ExpenditureSystem growthSystem growthconstant</t>
  </si>
  <si>
    <t>2019IDCapital ExpenditureSystem growthSystem growthnominal</t>
  </si>
  <si>
    <t>2019IDCapital ExpenditureValue of capital contributionsValue of capital contributionsconstant</t>
  </si>
  <si>
    <t>2019IDCapital ExpenditureValue of capital contributionsValue of capital contributionsnominal</t>
  </si>
  <si>
    <t>2019IDCapital ExpenditureValue of vested assetsValue of vested assetsconstant</t>
  </si>
  <si>
    <t>2019IDCapital ExpenditureValue of vested assetsValue of vested assetsnominal</t>
  </si>
  <si>
    <t>2019IDCapital ExpenditureAsset Replacement and RenewalAsset replacement and renewal expenditureconstant</t>
  </si>
  <si>
    <t>2019IDCapital ExpenditureAsset Replacement and RenewalAsset replacement and renewal expenditurenominal</t>
  </si>
  <si>
    <t>2019IDCapital ExpenditureAsset Replacement and RenewalAsset replacement and renewal less capital contributionsconstant</t>
  </si>
  <si>
    <t>2019IDCapital ExpenditureAsset Replacement and RenewalAsset replacement and renewal less capital contributionsnominal</t>
  </si>
  <si>
    <t>2019IDCapital ExpenditureAsset Replacement and RenewalCapital contributions funding asset replacement and renewalconstant</t>
  </si>
  <si>
    <t>2019IDCapital ExpenditureAsset Replacement and RenewalCapital contributions funding asset replacement and renewalnominal</t>
  </si>
  <si>
    <t>2019IDCapital ExpenditureAsset Replacement and RenewalIntermediate pressure - Line valveconstant</t>
  </si>
  <si>
    <t>2019IDCapital ExpenditureAsset Replacement and RenewalIntermediate pressure - Line valvenominal</t>
  </si>
  <si>
    <t>2019IDCapital ExpenditureAsset Replacement and RenewalIntermediate pressure - Main pipeconstant</t>
  </si>
  <si>
    <t>2019IDCapital ExpenditureAsset Replacement and RenewalIntermediate pressure - Main pipenominal</t>
  </si>
  <si>
    <t>2019IDCapital ExpenditureAsset Replacement and RenewalIntermediate pressure - Service pipeconstant</t>
  </si>
  <si>
    <t>2019IDCapital ExpenditureAsset Replacement and RenewalIntermediate pressure - Service pipenominal</t>
  </si>
  <si>
    <t>2019IDCapital ExpenditureAsset Replacement and RenewalIntermediate pressure - Special crossingsconstant</t>
  </si>
  <si>
    <t>2019IDCapital ExpenditureAsset Replacement and RenewalIntermediate pressure - Special crossingsnominal</t>
  </si>
  <si>
    <t>2019IDCapital ExpenditureAsset Replacement and RenewalIntermediate pressure - Stationsconstant</t>
  </si>
  <si>
    <t>2019IDCapital ExpenditureAsset Replacement and RenewalIntermediate pressure - Stationsnominal</t>
  </si>
  <si>
    <t>2019IDCapital ExpenditureAsset Replacement and RenewalIntermediate pressure -totalconstant</t>
  </si>
  <si>
    <t>2019IDCapital ExpenditureAsset Replacement and RenewalIntermediate pressure -totalnominal</t>
  </si>
  <si>
    <t>2019IDCapital ExpenditureAsset Replacement and RenewalLow pressure - Line valveconstant</t>
  </si>
  <si>
    <t>2019IDCapital ExpenditureAsset Replacement and RenewalLow pressure - Line valvenominal</t>
  </si>
  <si>
    <t>2019IDCapital ExpenditureAsset Replacement and RenewalLow pressure - Main pipeconstant</t>
  </si>
  <si>
    <t>2019IDCapital ExpenditureAsset Replacement and RenewalLow pressure - Main pipenominal</t>
  </si>
  <si>
    <t>2019IDCapital ExpenditureAsset Replacement and RenewalLow pressure - Service pipeconstant</t>
  </si>
  <si>
    <t>2019IDCapital ExpenditureAsset Replacement and RenewalLow pressure - Service pipenominal</t>
  </si>
  <si>
    <t>2019IDCapital ExpenditureAsset Replacement and RenewalLow pressure - Special crossingsconstant</t>
  </si>
  <si>
    <t>2019IDCapital ExpenditureAsset Replacement and RenewalLow pressure - Special crossingsnominal</t>
  </si>
  <si>
    <t>2019IDCapital ExpenditureAsset Replacement and RenewalLow pressure - totalconstant</t>
  </si>
  <si>
    <t>2019IDCapital ExpenditureAsset Replacement and RenewalLow pressure - totalnominal</t>
  </si>
  <si>
    <t>2019IDCapital ExpenditureAsset Replacement and RenewalMedium pressure - Line valveconstant</t>
  </si>
  <si>
    <t>2019IDCapital ExpenditureAsset Replacement and RenewalMedium pressure - Line valvenominal</t>
  </si>
  <si>
    <t>2019IDCapital ExpenditureAsset Replacement and RenewalMedium pressure - Main pipeconstant</t>
  </si>
  <si>
    <t>2019IDCapital ExpenditureAsset Replacement and RenewalMedium pressure - Main pipenominal</t>
  </si>
  <si>
    <t>2019IDCapital ExpenditureAsset Replacement and RenewalMedium pressure - Service pipeconstant</t>
  </si>
  <si>
    <t>2019IDCapital ExpenditureAsset Replacement and RenewalMedium pressure - Service pipenominal</t>
  </si>
  <si>
    <t>2019IDCapital ExpenditureAsset Replacement and RenewalMedium pressure - Special crossingsconstant</t>
  </si>
  <si>
    <t>2019IDCapital ExpenditureAsset Replacement and RenewalMedium pressure - Special crossingsnominal</t>
  </si>
  <si>
    <t>2019IDCapital ExpenditureAsset Replacement and RenewalMedium pressure - Stationsconstant</t>
  </si>
  <si>
    <t>2019IDCapital ExpenditureAsset Replacement and RenewalMedium pressure - Stationsnominal</t>
  </si>
  <si>
    <t>2019IDCapital ExpenditureAsset Replacement and RenewalMedium pressure - totalconstant</t>
  </si>
  <si>
    <t>2019IDCapital ExpenditureAsset Replacement and RenewalMedium pressure - totalnominal</t>
  </si>
  <si>
    <t>2019IDCapital ExpenditureAsset Replacement and RenewalOther network assets - Cathodic protection systemsconstant</t>
  </si>
  <si>
    <t>2019IDCapital ExpenditureAsset Replacement and RenewalOther network assets - Cathodic protection systemsnominal</t>
  </si>
  <si>
    <t>2019IDCapital ExpenditureAsset Replacement and RenewalOther network assets - Monitoring and control systemsconstant</t>
  </si>
  <si>
    <t>2019IDCapital ExpenditureAsset Replacement and RenewalOther network assets - Monitoring and control systemsnominal</t>
  </si>
  <si>
    <t>2019IDCapital ExpenditureAsset Replacement and RenewalOther network assets - Other assets (other than above)constant</t>
  </si>
  <si>
    <t>2019IDCapital ExpenditureAsset Replacement and RenewalOther network assets - Other assets (other than above)nominal</t>
  </si>
  <si>
    <t>2019IDCapital ExpenditureAsset Replacement and RenewalOther network assets - totalconstant</t>
  </si>
  <si>
    <t>2019IDCapital ExpenditureAsset Replacement and RenewalOther network assets - totalnominal</t>
  </si>
  <si>
    <t>2019IDCapital ExpenditureSystem GrowthCapital contributions funding system growthconstant</t>
  </si>
  <si>
    <t>2019IDCapital ExpenditureSystem GrowthCapital contributions funding system growthnominal</t>
  </si>
  <si>
    <t>2019IDCapital ExpenditureSystem GrowthIntermediate pressure - Line valveconstant</t>
  </si>
  <si>
    <t>2019IDCapital ExpenditureSystem GrowthIntermediate pressure - Line valvenominal</t>
  </si>
  <si>
    <t>2019IDCapital ExpenditureSystem GrowthIntermediate pressure - Main pipeconstant</t>
  </si>
  <si>
    <t>2019IDCapital ExpenditureSystem GrowthIntermediate pressure - Main pipenominal</t>
  </si>
  <si>
    <t>2019IDCapital ExpenditureSystem GrowthIntermediate pressure - Service pipeconstant</t>
  </si>
  <si>
    <t>2019IDCapital ExpenditureSystem GrowthIntermediate pressure - Service pipenominal</t>
  </si>
  <si>
    <t>2019IDCapital ExpenditureSystem GrowthIntermediate pressure - Special crossingsconstant</t>
  </si>
  <si>
    <t>2019IDCapital ExpenditureSystem GrowthIntermediate pressure - Special crossingsnominal</t>
  </si>
  <si>
    <t>2019IDCapital ExpenditureSystem GrowthIntermediate pressure - Stationsconstant</t>
  </si>
  <si>
    <t>2019IDCapital ExpenditureSystem GrowthIntermediate pressure - Stationsnominal</t>
  </si>
  <si>
    <t>2019IDCapital ExpenditureSystem GrowthIntermediate pressure -totalconstant</t>
  </si>
  <si>
    <t>2019IDCapital ExpenditureSystem GrowthIntermediate pressure -totalnominal</t>
  </si>
  <si>
    <t>2019IDCapital ExpenditureSystem GrowthLow pressure - Line valveconstant</t>
  </si>
  <si>
    <t>2019IDCapital ExpenditureSystem GrowthLow pressure - Line valvenominal</t>
  </si>
  <si>
    <t>2019IDCapital ExpenditureSystem GrowthLow pressure - Main pipeconstant</t>
  </si>
  <si>
    <t>2019IDCapital ExpenditureSystem GrowthLow pressure - Main pipenominal</t>
  </si>
  <si>
    <t>2019IDCapital ExpenditureSystem GrowthLow pressure - Service pipeconstant</t>
  </si>
  <si>
    <t>2019IDCapital ExpenditureSystem GrowthLow pressure - Service pipenominal</t>
  </si>
  <si>
    <t>2019IDCapital ExpenditureSystem GrowthLow pressure - Special crossingsconstant</t>
  </si>
  <si>
    <t>2019IDCapital ExpenditureSystem GrowthLow pressure - Special crossingsnominal</t>
  </si>
  <si>
    <t>2019IDCapital ExpenditureSystem GrowthLow pressure - totalconstant</t>
  </si>
  <si>
    <t>2019IDCapital ExpenditureSystem GrowthLow pressure - totalnominal</t>
  </si>
  <si>
    <t>2019IDCapital ExpenditureSystem GrowthMedium pressure - Line valveconstant</t>
  </si>
  <si>
    <t>2019IDCapital ExpenditureSystem GrowthMedium pressure - Line valvenominal</t>
  </si>
  <si>
    <t>2019IDCapital ExpenditureSystem GrowthMedium pressure - Main pipeconstant</t>
  </si>
  <si>
    <t>2019IDCapital ExpenditureSystem GrowthMedium pressure - Main pipenominal</t>
  </si>
  <si>
    <t>2019IDCapital ExpenditureSystem GrowthMedium pressure - Service pipeconstant</t>
  </si>
  <si>
    <t>2019IDCapital ExpenditureSystem GrowthMedium pressure - Service pipenominal</t>
  </si>
  <si>
    <t>2019IDCapital ExpenditureSystem GrowthMedium pressure - Special crossingsconstant</t>
  </si>
  <si>
    <t>2019IDCapital ExpenditureSystem GrowthMedium pressure - Special crossingsnominal</t>
  </si>
  <si>
    <t>2019IDCapital ExpenditureSystem GrowthMedium pressure - Stationsconstant</t>
  </si>
  <si>
    <t>2019IDCapital ExpenditureSystem GrowthMedium pressure - Stationsnominal</t>
  </si>
  <si>
    <t>2019IDCapital ExpenditureSystem GrowthMedium pressure - totalconstant</t>
  </si>
  <si>
    <t>2019IDCapital ExpenditureSystem GrowthMedium pressure - totalnominal</t>
  </si>
  <si>
    <t>2019IDCapital ExpenditureSystem GrowthOther network assets - Cathodic protection systemsconstant</t>
  </si>
  <si>
    <t>2019IDCapital ExpenditureSystem GrowthOther network assets - Cathodic protection systemsnominal</t>
  </si>
  <si>
    <t>2019IDCapital ExpenditureSystem GrowthOther network assets - Monitoring and control systemsconstant</t>
  </si>
  <si>
    <t>2019IDCapital ExpenditureSystem GrowthOther network assets - Monitoring and control systemsnominal</t>
  </si>
  <si>
    <t>2019IDCapital ExpenditureSystem GrowthOther network assets - Other assets (other than above)constant</t>
  </si>
  <si>
    <t>2019IDCapital ExpenditureSystem GrowthOther network assets - Other assets (other than above)nominal</t>
  </si>
  <si>
    <t>2019IDCapital ExpenditureSystem GrowthOther network assets - totalconstant</t>
  </si>
  <si>
    <t>2019IDCapital ExpenditureSystem GrowthOther network assets - totalnominal</t>
  </si>
  <si>
    <t>2019IDCapital ExpenditureSystem GrowthSystem growth expenditureconstant</t>
  </si>
  <si>
    <t>2019IDCapital ExpenditureSystem GrowthSystem growth expenditurenominal</t>
  </si>
  <si>
    <t>2019IDCapital ExpenditureSystem GrowthSystem growth less capital contributionsconstant</t>
  </si>
  <si>
    <t>2019IDCapital ExpenditureSystem GrowthSystem growth less capital contributionsnominal</t>
  </si>
  <si>
    <t>2019IDNetwork and DemandSystem lengthSystem lengthNA</t>
  </si>
  <si>
    <t>2019IDNetwork and DemandCustomer numbersNumber of ICPs at year endNA</t>
  </si>
  <si>
    <t>2019IDNetwork and DemandGas deliveredAverage daily deliveryNA</t>
  </si>
  <si>
    <t>2019IDNetwork and DemandGas deliveredLoad factorNA</t>
  </si>
  <si>
    <t>2019IDNetwork and DemandGas deliveredMaximum daily loadNA</t>
  </si>
  <si>
    <t>2019IDNetwork and DemandGas deliveredMaximum monthly loadNA</t>
  </si>
  <si>
    <t>2019IDNetwork and DemandGas deliveredNumber of directly billed ICPsNA</t>
  </si>
  <si>
    <t>2019IDNetwork and DemandGas deliveredTotal gas conveyedNA</t>
  </si>
  <si>
    <t>2019AMP2017Operating ExpenditureAsset replacement and renewalAsset replacement and renewalconstant</t>
  </si>
  <si>
    <t>2019AMP2014Operating ExpenditureAsset replacement and renewalAsset replacement and renewalconstant</t>
  </si>
  <si>
    <t>2019AMP2016Operating ExpenditureAsset replacement and renewalAsset replacement and renewalconstant</t>
  </si>
  <si>
    <t>2019AMP2018Operating ExpenditureAsset replacement and renewalAsset replacement and renewalconstant</t>
  </si>
  <si>
    <t>2019AMP2015Operating ExpenditureAsset replacement and renewalAsset replacement and renewalconstant</t>
  </si>
  <si>
    <t>2019AMP2013Operating ExpenditureAsset replacement and renewalAsset replacement and renewalconstant</t>
  </si>
  <si>
    <t>2019AMP2019Operating ExpenditureAsset replacement and renewalAsset replacement and renewalconstant</t>
  </si>
  <si>
    <t>2019AMP2016Operating ExpenditureAsset replacement and renewalAsset replacement and renewalnominal</t>
  </si>
  <si>
    <t>2019AMP2018Operating ExpenditureAsset replacement and renewalAsset replacement and renewalnominal</t>
  </si>
  <si>
    <t>2019AMP2017Operating ExpenditureAsset replacement and renewalAsset replacement and renewalnominal</t>
  </si>
  <si>
    <t>2019AMP2013Operating ExpenditureAsset replacement and renewalAsset replacement and renewalnominal</t>
  </si>
  <si>
    <t>2019AMP2014Operating ExpenditureAsset replacement and renewalAsset replacement and renewalnominal</t>
  </si>
  <si>
    <t>2019AMP2015Operating ExpenditureAsset replacement and renewalAsset replacement and renewalnominal</t>
  </si>
  <si>
    <t>2019AMP2019Operating ExpenditureAsset replacement and renewalAsset replacement and renewalnominal</t>
  </si>
  <si>
    <t>2019AMP2018Operating ExpenditureBusiness supportBusiness supportconstant</t>
  </si>
  <si>
    <t>2019AMP2017Operating ExpenditureBusiness supportBusiness supportconstant</t>
  </si>
  <si>
    <t>2019AMP2015Operating ExpenditureBusiness supportBusiness supportconstant</t>
  </si>
  <si>
    <t>2019AMP2016Operating ExpenditureBusiness supportBusiness supportconstant</t>
  </si>
  <si>
    <t>2019AMP2019Operating ExpenditureBusiness supportBusiness supportconstant</t>
  </si>
  <si>
    <t>2019AMP2014Operating ExpenditureBusiness supportBusiness supportconstant</t>
  </si>
  <si>
    <t>2019AMP2013Operating ExpenditureBusiness supportBusiness supportconstant</t>
  </si>
  <si>
    <t>2019AMP2015Operating ExpenditureBusiness supportBusiness supportnominal</t>
  </si>
  <si>
    <t>2019AMP2017Operating ExpenditureBusiness supportBusiness supportnominal</t>
  </si>
  <si>
    <t>2019AMP2016Operating ExpenditureBusiness supportBusiness supportnominal</t>
  </si>
  <si>
    <t>2019AMP2013Operating ExpenditureBusiness supportBusiness supportnominal</t>
  </si>
  <si>
    <t>2019AMP2018Operating ExpenditureBusiness supportBusiness supportnominal</t>
  </si>
  <si>
    <t>2019AMP2014Operating ExpenditureBusiness supportBusiness supportnominal</t>
  </si>
  <si>
    <t>2019AMP2019Operating ExpenditureBusiness supportBusiness supportnominal</t>
  </si>
  <si>
    <t>2019AMP2013Operating ExpenditureExpenditure on subcomponentsInsuranceconstant</t>
  </si>
  <si>
    <t>2019AMP2014Operating ExpenditureExpenditure on subcomponentsInsuranceconstant</t>
  </si>
  <si>
    <t>2019AMP2018Operating ExpenditureExpenditure on subcomponentsInsuranceconstant</t>
  </si>
  <si>
    <t>2019AMP2015Operating ExpenditureExpenditure on subcomponentsInsuranceconstant</t>
  </si>
  <si>
    <t>2019AMP2019Operating ExpenditureExpenditure on subcomponentsInsuranceconstant</t>
  </si>
  <si>
    <t>2019AMP2016Operating ExpenditureExpenditure on subcomponentsInsuranceconstant</t>
  </si>
  <si>
    <t>2019AMP2017Operating ExpenditureExpenditure on subcomponentsInsuranceconstant</t>
  </si>
  <si>
    <t>2019AMP2016Operating ExpenditureExpenditure on subcomponentsResearch and developmentconstant</t>
  </si>
  <si>
    <t>2019AMP2014Operating ExpenditureExpenditure on subcomponentsResearch and developmentconstant</t>
  </si>
  <si>
    <t>2019AMP2017Operating ExpenditureExpenditure on subcomponentsResearch and developmentconstant</t>
  </si>
  <si>
    <t>2019AMP2015Operating ExpenditureExpenditure on subcomponentsResearch and developmentconstant</t>
  </si>
  <si>
    <t>2019AMP2018Operating ExpenditureExpenditure on subcomponentsResearch and developmentconstant</t>
  </si>
  <si>
    <t>2019AMP2019Operating ExpenditureExpenditure on subcomponentsResearch and developmentconstant</t>
  </si>
  <si>
    <t>2019AMP2013Operating ExpenditureExpenditure on subcomponentsResearch and developmentconstant</t>
  </si>
  <si>
    <t>2019AMP2016Operating ExpenditureNetwork opexNetwork opexconstant</t>
  </si>
  <si>
    <t>2019AMP2018Operating ExpenditureNetwork opexNetwork opexconstant</t>
  </si>
  <si>
    <t>2019AMP2013Operating ExpenditureNetwork opexNetwork opexconstant</t>
  </si>
  <si>
    <t>2019AMP2019Operating ExpenditureNetwork opexNetwork opexconstant</t>
  </si>
  <si>
    <t>2019AMP2015Operating ExpenditureNetwork opexNetwork opexconstant</t>
  </si>
  <si>
    <t>2019AMP2014Operating ExpenditureNetwork opexNetwork opexconstant</t>
  </si>
  <si>
    <t>2019AMP2017Operating ExpenditureNetwork opexNetwork opexconstant</t>
  </si>
  <si>
    <t>2019AMP2015Operating ExpenditureNetwork opexNetwork opexnominal</t>
  </si>
  <si>
    <t>2019AMP2014Operating ExpenditureNetwork opexNetwork opexnominal</t>
  </si>
  <si>
    <t>2019AMP2018Operating ExpenditureNetwork opexNetwork opexnominal</t>
  </si>
  <si>
    <t>2019AMP2017Operating ExpenditureNetwork opexNetwork opexnominal</t>
  </si>
  <si>
    <t>2019AMP2019Operating ExpenditureNetwork opexNetwork opexnominal</t>
  </si>
  <si>
    <t>2019AMP2016Operating ExpenditureNetwork opexNetwork opexnominal</t>
  </si>
  <si>
    <t>2019AMP2013Operating ExpenditureNetwork opexNetwork opexnominal</t>
  </si>
  <si>
    <t>2019AMP2014Operating ExpenditureNon-network opexNon-network opexconstant</t>
  </si>
  <si>
    <t>2019AMP2019Operating ExpenditureNon-network opexNon-network opexconstant</t>
  </si>
  <si>
    <t>2019AMP2017Operating ExpenditureNon-network opexNon-network opexconstant</t>
  </si>
  <si>
    <t>2019AMP2016Operating ExpenditureNon-network opexNon-network opexconstant</t>
  </si>
  <si>
    <t>2019AMP2015Operating ExpenditureNon-network opexNon-network opexconstant</t>
  </si>
  <si>
    <t>2019AMP2013Operating ExpenditureNon-network opexNon-network opexconstant</t>
  </si>
  <si>
    <t>2019AMP2018Operating ExpenditureNon-network opexNon-network opexconstant</t>
  </si>
  <si>
    <t>2019AMP2014Operating ExpenditureNon-network opexNon-network opexnominal</t>
  </si>
  <si>
    <t>2019AMP2015Operating ExpenditureNon-network opexNon-network opexnominal</t>
  </si>
  <si>
    <t>2019AMP2018Operating ExpenditureNon-network opexNon-network opexnominal</t>
  </si>
  <si>
    <t>2019AMP2019Operating ExpenditureNon-network opexNon-network opexnominal</t>
  </si>
  <si>
    <t>2019AMP2016Operating ExpenditureNon-network opexNon-network opexnominal</t>
  </si>
  <si>
    <t>2019AMP2017Operating ExpenditureNon-network opexNon-network opexnominal</t>
  </si>
  <si>
    <t>2019AMP2013Operating ExpenditureNon-network opexNon-network opexnominal</t>
  </si>
  <si>
    <t>2019AMP2014Operating ExpenditureResearch and developmentResearch and developmentconstant</t>
  </si>
  <si>
    <t>2019AMP2019Operating ExpenditureResearch and developmentResearch and developmentconstant</t>
  </si>
  <si>
    <t>2019AMP2017Operating ExpenditureResearch and developmentResearch and developmentconstant</t>
  </si>
  <si>
    <t>2019AMP2016Operating ExpenditureResearch and developmentResearch and developmentconstant</t>
  </si>
  <si>
    <t>2019AMP2013Operating ExpenditureResearch and developmentResearch and developmentconstant</t>
  </si>
  <si>
    <t>2019AMP2015Operating ExpenditureResearch and developmentResearch and developmentconstant</t>
  </si>
  <si>
    <t>2019AMP2018Operating ExpenditureResearch and developmentResearch and developmentconstant</t>
  </si>
  <si>
    <t>2019AMP2016Operating ExpenditureRoutine and corrective maintenance and inspectionRoutine and corrective maintenance and inspectionconstant</t>
  </si>
  <si>
    <t>2019AMP2013Operating ExpenditureRoutine and corrective maintenance and inspectionRoutine and corrective maintenance and inspectionconstant</t>
  </si>
  <si>
    <t>2019AMP2018Operating ExpenditureRoutine and corrective maintenance and inspectionRoutine and corrective maintenance and inspectionconstant</t>
  </si>
  <si>
    <t>2019AMP2014Operating ExpenditureRoutine and corrective maintenance and inspectionRoutine and corrective maintenance and inspectionconstant</t>
  </si>
  <si>
    <t>2019AMP2017Operating ExpenditureRoutine and corrective maintenance and inspectionRoutine and corrective maintenance and inspectionconstant</t>
  </si>
  <si>
    <t>2019AMP2015Operating ExpenditureRoutine and corrective maintenance and inspectionRoutine and corrective maintenance and inspectionconstant</t>
  </si>
  <si>
    <t>2019AMP2019Operating ExpenditureRoutine and corrective maintenance and inspectionRoutine and corrective maintenance and inspectionconstant</t>
  </si>
  <si>
    <t>2019AMP2017Operating ExpenditureRoutine and corrective maintenance and inspectionRoutine and corrective maintenance and inspectionnominal</t>
  </si>
  <si>
    <t>2019AMP2014Operating ExpenditureRoutine and corrective maintenance and inspectionRoutine and corrective maintenance and inspectionnominal</t>
  </si>
  <si>
    <t>2019AMP2013Operating ExpenditureRoutine and corrective maintenance and inspectionRoutine and corrective maintenance and inspectionnominal</t>
  </si>
  <si>
    <t>2019AMP2019Operating ExpenditureRoutine and corrective maintenance and inspectionRoutine and corrective maintenance and inspectionnominal</t>
  </si>
  <si>
    <t>2019AMP2016Operating ExpenditureRoutine and corrective maintenance and inspectionRoutine and corrective maintenance and inspectionnominal</t>
  </si>
  <si>
    <t>2019AMP2018Operating ExpenditureRoutine and corrective maintenance and inspectionRoutine and corrective maintenance and inspectionnominal</t>
  </si>
  <si>
    <t>2019AMP2015Operating ExpenditureRoutine and corrective maintenance and inspectionRoutine and corrective maintenance and inspectionnominal</t>
  </si>
  <si>
    <t>2019AMP2013Operating ExpenditureService interruptions, incidents and emergenciesService interruptions, incidents and emergenciesconstant</t>
  </si>
  <si>
    <t>2019AMP2018Operating ExpenditureService interruptions, incidents and emergenciesService interruptions, incidents and emergenciesconstant</t>
  </si>
  <si>
    <t>2019AMP2017Operating ExpenditureService interruptions, incidents and emergenciesService interruptions, incidents and emergenciesconstant</t>
  </si>
  <si>
    <t>2019AMP2019Operating ExpenditureService interruptions, incidents and emergenciesService interruptions, incidents and emergenciesconstant</t>
  </si>
  <si>
    <t>2019AMP2015Operating ExpenditureService interruptions, incidents and emergenciesService interruptions, incidents and emergenciesconstant</t>
  </si>
  <si>
    <t>2019AMP2014Operating ExpenditureService interruptions, incidents and emergenciesService interruptions, incidents and emergenciesconstant</t>
  </si>
  <si>
    <t>2019AMP2016Operating ExpenditureService interruptions, incidents and emergenciesService interruptions, incidents and emergenciesconstant</t>
  </si>
  <si>
    <t>2019AMP2017Operating ExpenditureService interruptions, incidents and emergenciesService interruptions, incidents and emergenciesnominal</t>
  </si>
  <si>
    <t>2019AMP2018Operating ExpenditureService interruptions, incidents and emergenciesService interruptions, incidents and emergenciesnominal</t>
  </si>
  <si>
    <t>2019AMP2013Operating ExpenditureService interruptions, incidents and emergenciesService interruptions, incidents and emergenciesnominal</t>
  </si>
  <si>
    <t>2019AMP2014Operating ExpenditureService interruptions, incidents and emergenciesService interruptions, incidents and emergenciesnominal</t>
  </si>
  <si>
    <t>2019AMP2019Operating ExpenditureService interruptions, incidents and emergenciesService interruptions, incidents and emergenciesnominal</t>
  </si>
  <si>
    <t>2019AMP2016Operating ExpenditureService interruptions, incidents and emergenciesService interruptions, incidents and emergenciesnominal</t>
  </si>
  <si>
    <t>2019AMP2015Operating ExpenditureService interruptions, incidents and emergenciesService interruptions, incidents and emergenciesnominal</t>
  </si>
  <si>
    <t>2019AMP2016Operating ExpenditureSystem operations and network supportSystem operations and network supportconstant</t>
  </si>
  <si>
    <t>2019AMP2019Operating ExpenditureSystem operations and network supportSystem operations and network supportconstant</t>
  </si>
  <si>
    <t>2019AMP2013Operating ExpenditureSystem operations and network supportSystem operations and network supportconstant</t>
  </si>
  <si>
    <t>2019AMP2014Operating ExpenditureSystem operations and network supportSystem operations and network supportconstant</t>
  </si>
  <si>
    <t>2019AMP2017Operating ExpenditureSystem operations and network supportSystem operations and network supportconstant</t>
  </si>
  <si>
    <t>2019AMP2015Operating ExpenditureSystem operations and network supportSystem operations and network supportconstant</t>
  </si>
  <si>
    <t>2019AMP2018Operating ExpenditureSystem operations and network supportSystem operations and network supportconstant</t>
  </si>
  <si>
    <t>2019AMP2018Operating ExpenditureSystem operations and network supportSystem operations and network supportnominal</t>
  </si>
  <si>
    <t>2019AMP2019Operating ExpenditureSystem operations and network supportSystem operations and network supportnominal</t>
  </si>
  <si>
    <t>2019AMP2016Operating ExpenditureSystem operations and network supportSystem operations and network supportnominal</t>
  </si>
  <si>
    <t>2019AMP2014Operating ExpenditureSystem operations and network supportSystem operations and network supportnominal</t>
  </si>
  <si>
    <t>2019AMP2013Operating ExpenditureSystem operations and network supportSystem operations and network supportnominal</t>
  </si>
  <si>
    <t>2019AMP2015Operating ExpenditureSystem operations and network supportSystem operations and network supportnominal</t>
  </si>
  <si>
    <t>2019AMP2017Operating ExpenditureSystem operations and network supportSystem operations and network supportnominal</t>
  </si>
  <si>
    <t>2019AMP2016Operating ExpenditureTotal opexOperational expenditureconstant</t>
  </si>
  <si>
    <t>2019AMP2015Operating ExpenditureTotal opexOperational expenditureconstant</t>
  </si>
  <si>
    <t>2019AMP2014Operating ExpenditureTotal opexOperational expenditureconstant</t>
  </si>
  <si>
    <t>2019AMP2019Operating ExpenditureTotal opexOperational expenditureconstant</t>
  </si>
  <si>
    <t>2019AMP2013Operating ExpenditureTotal opexOperational expenditureconstant</t>
  </si>
  <si>
    <t>2019AMP2018Operating ExpenditureTotal opexOperational expenditureconstant</t>
  </si>
  <si>
    <t>2019AMP2017Operating ExpenditureTotal opexOperational expenditureconstant</t>
  </si>
  <si>
    <t>2019AMP2016Operating ExpenditureTotal opexOperational expenditurenominal</t>
  </si>
  <si>
    <t>2019AMP2018Operating ExpenditureTotal opexOperational expenditurenominal</t>
  </si>
  <si>
    <t>2019AMP2014Operating ExpenditureTotal opexOperational expenditurenominal</t>
  </si>
  <si>
    <t>2019AMP2015Operating ExpenditureTotal opexOperational expenditurenominal</t>
  </si>
  <si>
    <t>2019AMP2013Operating ExpenditureTotal opexOperational expenditurenominal</t>
  </si>
  <si>
    <t>2019AMP2017Operating ExpenditureTotal opexOperational expenditurenominal</t>
  </si>
  <si>
    <t>2019AMP2019Operating ExpenditureTotal opexOperational expenditurenominal</t>
  </si>
  <si>
    <t>2019IDOperating ExpenditureAsset replacement and renewalAsset replacement and renewalconstant</t>
  </si>
  <si>
    <t>2019IDOperating ExpenditureAsset replacement and renewalAsset replacement and renewalnominal</t>
  </si>
  <si>
    <t>2019IDOperating ExpenditureBusiness supportBusiness supportconstant</t>
  </si>
  <si>
    <t>2019IDOperating ExpenditureBusiness supportBusiness supportnominal</t>
  </si>
  <si>
    <t>2019IDOperating ExpenditureNetwork opexNetwork opexconstant</t>
  </si>
  <si>
    <t>2019IDOperating ExpenditureNetwork opexNetwork opexnominal</t>
  </si>
  <si>
    <t>2019IDOperating ExpenditureNon-network opexNon-network opexconstant</t>
  </si>
  <si>
    <t>2019IDOperating ExpenditureNon-network opexNon-network opexnominal</t>
  </si>
  <si>
    <t>2019IDOperating ExpenditureRoutine and corrective maintenance and inspectionRoutine and corrective maintenance and inspectionconstant</t>
  </si>
  <si>
    <t>2019IDOperating ExpenditureRoutine and corrective maintenance and inspectionRoutine and corrective maintenance and inspectionnominal</t>
  </si>
  <si>
    <t>2019IDOperating ExpenditureService interruptions, incidents and emergenciesService interruptions, incidents and emergenciesconstant</t>
  </si>
  <si>
    <t>2019IDOperating ExpenditureService interruptions, incidents and emergenciesService interruptions, incidents and emergenciesnominal</t>
  </si>
  <si>
    <t>2019IDOperating ExpenditureSystem operations and network supportSystem operations and network supportconstant</t>
  </si>
  <si>
    <t>2019IDOperating ExpenditureSystem operations and network supportSystem operations and network supportnominal</t>
  </si>
  <si>
    <t>2019IDOperating ExpenditureTotal opexOperational expenditureconstant</t>
  </si>
  <si>
    <t>2019IDOperating ExpenditureTotal opexOperational expenditurenominal</t>
  </si>
  <si>
    <t>2019IDOther dataRelated party transactionsAsset relocationsconstant</t>
  </si>
  <si>
    <t>2019IDOther dataRelated party transactionsAsset relocationsnominal</t>
  </si>
  <si>
    <t>2019IDOther dataRelated party transactionsAsset replacement and renewal (capex)constant</t>
  </si>
  <si>
    <t>2019IDOther dataRelated party transactionsAsset replacement and renewal (capex)nominal</t>
  </si>
  <si>
    <t>2019IDOther dataRelated party transactionsAsset replacement and renewal (opex)constant</t>
  </si>
  <si>
    <t>2019IDOther dataRelated party transactionsAsset replacement and renewal (opex)nominal</t>
  </si>
  <si>
    <t>2019IDOther dataRelated party transactionsBusiness supportconstant</t>
  </si>
  <si>
    <t>2019IDOther dataRelated party transactionsBusiness supportnominal</t>
  </si>
  <si>
    <t>2019IDOther dataRelated party transactionsCapital expenditureconstant</t>
  </si>
  <si>
    <t>2019IDOther dataRelated party transactionsCapital expenditurenominal</t>
  </si>
  <si>
    <t>2019IDOther dataRelated party transactionsConsumer connectionconstant</t>
  </si>
  <si>
    <t>2019IDOther dataRelated party transactionsConsumer connectionnominal</t>
  </si>
  <si>
    <t>2019IDOther dataRelated party transactionsCost of financingconstant</t>
  </si>
  <si>
    <t>2019IDOther dataRelated party transactionsCost of financingnominal</t>
  </si>
  <si>
    <t>2019IDOther dataRelated party transactionsExpenditure on assetsconstant</t>
  </si>
  <si>
    <t>2019IDOther dataRelated party transactionsExpenditure on assetsnominal</t>
  </si>
  <si>
    <t>2019IDOther dataRelated party transactionsLegislative and regulatoryconstant</t>
  </si>
  <si>
    <t>2019IDOther dataRelated party transactionsLegislative and regulatorynominal</t>
  </si>
  <si>
    <t>2019IDOther dataRelated party transactionsMarket value of asset disposalsconstant</t>
  </si>
  <si>
    <t>2019IDOther dataRelated party transactionsMarket value of asset disposalsnominal</t>
  </si>
  <si>
    <t>2019IDOther dataRelated party transactionsNetwork opexconstant</t>
  </si>
  <si>
    <t>2019IDOther dataRelated party transactionsNetwork opexnominal</t>
  </si>
  <si>
    <t>2019IDOther dataRelated party transactionsNon-network assetsconstant</t>
  </si>
  <si>
    <t>2019IDOther dataRelated party transactionsNon-network assetsnominal</t>
  </si>
  <si>
    <t>2019IDOther dataRelated party transactionsOperational expenditureconstant</t>
  </si>
  <si>
    <t>2019IDOther dataRelated party transactionsOperational expenditurenominal</t>
  </si>
  <si>
    <t>2019IDOther dataRelated party transactionsOther related party transactionsconstant</t>
  </si>
  <si>
    <t>2019IDOther dataRelated party transactionsOther related party transactionsnominal</t>
  </si>
  <si>
    <t>2019IDOther dataRelated party transactionsOther reliability, safety and environmentconstant</t>
  </si>
  <si>
    <t>2019IDOther dataRelated party transactionsOther reliability, safety and environmentnominal</t>
  </si>
  <si>
    <t>2019IDOther dataRelated party transactionsQuality of supplyconstant</t>
  </si>
  <si>
    <t>2019IDOther dataRelated party transactionsQuality of supplynominal</t>
  </si>
  <si>
    <t>2019IDOther dataRelated party transactionsRoutine and corrective maintenance and inspectionconstant</t>
  </si>
  <si>
    <t>2019IDOther dataRelated party transactionsRoutine and corrective maintenance and inspectionnominal</t>
  </si>
  <si>
    <t>2019IDOther dataRelated party transactionsService interruptions, incidents and emergenciesconstant</t>
  </si>
  <si>
    <t>2019IDOther dataRelated party transactionsService interruptions, incidents and emergenciesnominal</t>
  </si>
  <si>
    <t>2019IDOther dataRelated party transactionsSystem growthconstant</t>
  </si>
  <si>
    <t>2019IDOther dataRelated party transactionsSystem growthnominal</t>
  </si>
  <si>
    <t>2019IDOther dataRelated party transactionsSystem operations and network supportconstant</t>
  </si>
  <si>
    <t>2019IDOther dataRelated party transactionsSystem operations and network supportnominal</t>
  </si>
  <si>
    <t>2019IDOther dataRelated party transactionsTotal expenditureconstant</t>
  </si>
  <si>
    <t>2019IDOther dataRelated party transactionsTotal expenditurenominal</t>
  </si>
  <si>
    <t>2019IDOther dataRelated party transactionsTotal regulatory incomeconstant</t>
  </si>
  <si>
    <t>2019IDOther dataRelated party transactionsTotal regulatory incomenominal</t>
  </si>
  <si>
    <t>2019IDOther dataRelated party transactionsValue of capital contributionsconstant</t>
  </si>
  <si>
    <t>2019IDOther dataRelated party transactionsValue of capital contributionsnominal</t>
  </si>
  <si>
    <t>2019IDOther dataRelated party transactionsValue of vested assetsconstant</t>
  </si>
  <si>
    <t>2019IDOther dataRelated party transactionsValue of vested assetsnominal</t>
  </si>
  <si>
    <t>2019IDRAB valueTotal closing RAB valueIntermediate pressure main pipelinesconstant</t>
  </si>
  <si>
    <t>2019IDRAB valueTotal closing RAB valueLine valveconstant</t>
  </si>
  <si>
    <t>2019IDRAB valueTotal closing RAB valueLow pressure main pipelinesconstant</t>
  </si>
  <si>
    <t>2019IDRAB valueTotal closing RAB valueMedium pressure main pipelinesconstant</t>
  </si>
  <si>
    <t>2019IDRAB valueTotal closing RAB valueOther network assetsconstant</t>
  </si>
  <si>
    <t>2019IDRAB valueTotal closing RAB valueService pipeconstant</t>
  </si>
  <si>
    <t>2019IDRAB valueTotal closing RAB valueSpecial crossingsconstant</t>
  </si>
  <si>
    <t>2019IDRAB valueTotal closing RAB valueStationsconstant</t>
  </si>
  <si>
    <t>2019IDRAB valueTotal closing RAB valueTotalconstant</t>
  </si>
  <si>
    <t>2019IDReliabilityInterruption rateInterruptions per 100 circuit kmNA</t>
  </si>
  <si>
    <t>2019IDReliabilityInterruptionsClass BNA</t>
  </si>
  <si>
    <t>2019IDReliabilityInterruptionsClass CNA</t>
  </si>
  <si>
    <t>2019IDReliabilityCAIDIAll interruptionsNA</t>
  </si>
  <si>
    <t>2019IDReliabilityCAIDIClass INA</t>
  </si>
  <si>
    <t>2019IDReliabilitySAIDIAll interruptionsNA</t>
  </si>
  <si>
    <t>2019IDReliabilitySAIDIClass INA</t>
  </si>
  <si>
    <t>2019IDReliabilitySAIFIAll interruptionsNA</t>
  </si>
  <si>
    <t>2019IDReliabilitySAIFIClass INA</t>
  </si>
  <si>
    <t>2019IDRevenue and ProfitabilityReturn on investmentReturn on Investment (post tax)NA</t>
  </si>
  <si>
    <t>2019IDRevenue and ProfitabilityReturn on investmentReturn on Investment (vanilla)NA</t>
  </si>
  <si>
    <t>2019IDRevenue and ProfitabilityExpensesOperational expenditureconstant</t>
  </si>
  <si>
    <t>2019IDRevenue and ProfitabilityExpensesOperational expenditurenominal</t>
  </si>
  <si>
    <t>2019IDRevenue and ProfitabilityExpensesPass-through and recoverable costsconstant</t>
  </si>
  <si>
    <t>2019IDRevenue and ProfitabilityExpensesPass-through and recoverable costsnominal</t>
  </si>
  <si>
    <t>2019IDRevenue and ProfitabilityOperating surplus / (deficit)Operating surplus / (deficit)constant</t>
  </si>
  <si>
    <t>2019IDRevenue and ProfitabilityOperating surplus / (deficit)Operating surplus / (deficit)nominal</t>
  </si>
  <si>
    <t>2019IDRevenue and ProfitabilityRegulatory profit / (loss)Regulatory profit / (loss)constant</t>
  </si>
  <si>
    <t>2019IDRevenue and ProfitabilityRegulatory profit / (loss)Regulatory profit / (loss)nominal</t>
  </si>
  <si>
    <t>2019IDRevenue and ProfitabilityRegulatory profit / (loss) before taxRegulatory profit / (loss) before taxconstant</t>
  </si>
  <si>
    <t>2019IDRevenue and ProfitabilityRegulatory profit / (loss) before taxRegulatory profit / (loss) before taxnominal</t>
  </si>
  <si>
    <t>2019IDRevenue and ProfitabilityTaxRegulatory tax allowanceconstant</t>
  </si>
  <si>
    <t>2019IDRevenue and ProfitabilityTaxRegulatory tax allowancenominal</t>
  </si>
  <si>
    <t>2019IDRevenue and ProfitabilityTerm credit spread differentialTerm credit spread differential allowanceconstant</t>
  </si>
  <si>
    <t>2019IDRevenue and ProfitabilityTerm credit spread differentialTerm credit spread differential allowancenominal</t>
  </si>
  <si>
    <t>2019IDRevenue and ProfitabilityTotal regulatory incomeGains / (losses) on asset disposalsconstant</t>
  </si>
  <si>
    <t>2019IDRevenue and ProfitabilityTotal regulatory incomeGains / (losses) on asset disposalsnominal</t>
  </si>
  <si>
    <t>2019IDRevenue and ProfitabilityTotal regulatory incomeLine charge revenueconstant</t>
  </si>
  <si>
    <t>2019IDRevenue and ProfitabilityTotal regulatory incomeLine charge revenuenominal</t>
  </si>
  <si>
    <t>2019IDRevenue and ProfitabilityTotal regulatory incomeOther regulatory incomeconstant</t>
  </si>
  <si>
    <t>2019IDRevenue and ProfitabilityTotal regulatory incomeOther regulatory incomenominal</t>
  </si>
  <si>
    <t>2019IDRevenue and ProfitabilityTotal regulatory incomeTotal regulatory incomeconstant</t>
  </si>
  <si>
    <t>2019IDRevenue and ProfitabilityTotal regulatory incomeTotal regulatory incomenominal</t>
  </si>
  <si>
    <t>2019IDRevenue and ProfitabilityAdjustment resulting from asset allocationAdjustment resulting from asset allocationconstant</t>
  </si>
  <si>
    <t>2019IDRevenue and ProfitabilityAdjustment resulting from asset allocationAdjustment resulting from asset allocationnominal</t>
  </si>
  <si>
    <t>2019IDRevenue and ProfitabilityAsset disposalsAsset disposalsconstant</t>
  </si>
  <si>
    <t>2019IDRevenue and ProfitabilityAsset disposalsAsset disposalsnominal</t>
  </si>
  <si>
    <t>2019IDRevenue and ProfitabilityAsset valueTotal depreciationconstant</t>
  </si>
  <si>
    <t>2019IDRevenue and ProfitabilityAsset valueTotal depreciationnominal</t>
  </si>
  <si>
    <t>2019IDRevenue and ProfitabilityAsset valueTotal revaluationsconstant</t>
  </si>
  <si>
    <t>2019IDRevenue and ProfitabilityAsset valueTotal revaluationsnominal</t>
  </si>
  <si>
    <t>2019IDRevenue and ProfitabilityAssets commissionedAssets commissionedconstant</t>
  </si>
  <si>
    <t>2019IDRevenue and ProfitabilityAssets commissionedAssets commissionednominal</t>
  </si>
  <si>
    <t>2019IDRevenue and ProfitabilityLost and found assets adjustmentLost and found assets adjustmentconstant</t>
  </si>
  <si>
    <t>2019IDRevenue and ProfitabilityLost and found assets adjustmentLost and found assets adjustmentnominal</t>
  </si>
  <si>
    <t>2019IDRevenue and ProfitabilityTotal closing RAB valueTotal closing RAB valueconstant</t>
  </si>
  <si>
    <t>2019IDRevenue and ProfitabilityTotal closing RAB valueTotal closing RAB valuenominal</t>
  </si>
  <si>
    <t>2019IDRevenue and ProfitabilityTotal opening RAB valueTotal opening RAB valueconstant</t>
  </si>
  <si>
    <t>2019IDRevenue and ProfitabilityTotal opening RAB valueTotal opening RAB valuenominal</t>
  </si>
  <si>
    <t>2020AMP2018Capital ExpenditureAll assetsExpenditure on assetsconstant</t>
  </si>
  <si>
    <t>2020AMP2020Capital ExpenditureAll assetsExpenditure on assetsconstant</t>
  </si>
  <si>
    <t>2020AMP2016Capital ExpenditureAll assetsExpenditure on assetsconstant</t>
  </si>
  <si>
    <t>2020AMP2019Capital ExpenditureAll assetsExpenditure on assetsconstant</t>
  </si>
  <si>
    <t>2020AMP2013Capital ExpenditureAll assetsExpenditure on assetsconstant</t>
  </si>
  <si>
    <t>2020AMP2017Capital ExpenditureAll assetsExpenditure on assetsconstant</t>
  </si>
  <si>
    <t>2020AMP2015Capital ExpenditureAll assetsExpenditure on assetsconstant</t>
  </si>
  <si>
    <t>2020AMP2014Capital ExpenditureAll assetsExpenditure on assetsconstant</t>
  </si>
  <si>
    <t>2020AMP2013Capital ExpenditureAll assetsExpenditure on assetsnominal</t>
  </si>
  <si>
    <t>2020AMP2015Capital ExpenditureAll assetsExpenditure on assetsnominal</t>
  </si>
  <si>
    <t>2020AMP2020Capital ExpenditureAll assetsExpenditure on assetsnominal</t>
  </si>
  <si>
    <t>2020AMP2019Capital ExpenditureAll assetsExpenditure on assetsnominal</t>
  </si>
  <si>
    <t>2020AMP2016Capital ExpenditureAll assetsExpenditure on assetsnominal</t>
  </si>
  <si>
    <t>2020AMP2017Capital ExpenditureAll assetsExpenditure on assetsnominal</t>
  </si>
  <si>
    <t>2020AMP2014Capital ExpenditureAll assetsExpenditure on assetsnominal</t>
  </si>
  <si>
    <t>2020AMP2018Capital ExpenditureAll assetsExpenditure on assetsnominal</t>
  </si>
  <si>
    <t>2020AMP2017Capital ExpenditureAsset relocationsAsset relocationsconstant</t>
  </si>
  <si>
    <t>2020AMP2016Capital ExpenditureAsset relocationsAsset relocationsconstant</t>
  </si>
  <si>
    <t>2020AMP2018Capital ExpenditureAsset relocationsAsset relocationsconstant</t>
  </si>
  <si>
    <t>2020AMP2019Capital ExpenditureAsset relocationsAsset relocationsconstant</t>
  </si>
  <si>
    <t>2020AMP2013Capital ExpenditureAsset relocationsAsset relocationsconstant</t>
  </si>
  <si>
    <t>2020AMP2015Capital ExpenditureAsset relocationsAsset relocationsconstant</t>
  </si>
  <si>
    <t>2020AMP2020Capital ExpenditureAsset relocationsAsset relocationsconstant</t>
  </si>
  <si>
    <t>2020AMP2014Capital ExpenditureAsset relocationsAsset relocationsconstant</t>
  </si>
  <si>
    <t>2020AMP2013Capital ExpenditureAsset relocationsAsset relocationsnominal</t>
  </si>
  <si>
    <t>2020AMP2015Capital ExpenditureAsset relocationsAsset relocationsnominal</t>
  </si>
  <si>
    <t>2020AMP2018Capital ExpenditureAsset relocationsAsset relocationsnominal</t>
  </si>
  <si>
    <t>2020AMP2016Capital ExpenditureAsset relocationsAsset relocationsnominal</t>
  </si>
  <si>
    <t>2020AMP2020Capital ExpenditureAsset relocationsAsset relocationsnominal</t>
  </si>
  <si>
    <t>2020AMP2019Capital ExpenditureAsset relocationsAsset relocationsnominal</t>
  </si>
  <si>
    <t>2020AMP2014Capital ExpenditureAsset relocationsAsset relocationsnominal</t>
  </si>
  <si>
    <t>2020AMP2017Capital ExpenditureAsset relocationsAsset relocationsnominal</t>
  </si>
  <si>
    <t>2020AMP2013Capital ExpenditureAsset replacement and renewalAsset replacement and renewalconstant</t>
  </si>
  <si>
    <t>2020AMP2018Capital ExpenditureAsset replacement and renewalAsset replacement and renewalconstant</t>
  </si>
  <si>
    <t>2020AMP2019Capital ExpenditureAsset replacement and renewalAsset replacement and renewalconstant</t>
  </si>
  <si>
    <t>2020AMP2014Capital ExpenditureAsset replacement and renewalAsset replacement and renewalconstant</t>
  </si>
  <si>
    <t>2020AMP2020Capital ExpenditureAsset replacement and renewalAsset replacement and renewalconstant</t>
  </si>
  <si>
    <t>2020AMP2015Capital ExpenditureAsset replacement and renewalAsset replacement and renewalconstant</t>
  </si>
  <si>
    <t>2020AMP2016Capital ExpenditureAsset replacement and renewalAsset replacement and renewalconstant</t>
  </si>
  <si>
    <t>2020AMP2017Capital ExpenditureAsset replacement and renewalAsset replacement and renewalconstant</t>
  </si>
  <si>
    <t>2020AMP2015Capital ExpenditureAsset replacement and renewalAsset replacement and renewalnominal</t>
  </si>
  <si>
    <t>2020AMP2017Capital ExpenditureAsset replacement and renewalAsset replacement and renewalnominal</t>
  </si>
  <si>
    <t>2020AMP2013Capital ExpenditureAsset replacement and renewalAsset replacement and renewalnominal</t>
  </si>
  <si>
    <t>2020AMP2016Capital ExpenditureAsset replacement and renewalAsset replacement and renewalnominal</t>
  </si>
  <si>
    <t>2020AMP2020Capital ExpenditureAsset replacement and renewalAsset replacement and renewalnominal</t>
  </si>
  <si>
    <t>2020AMP2019Capital ExpenditureAsset replacement and renewalAsset replacement and renewalnominal</t>
  </si>
  <si>
    <t>2020AMP2018Capital ExpenditureAsset replacement and renewalAsset replacement and renewalnominal</t>
  </si>
  <si>
    <t>2020AMP2014Capital ExpenditureAsset replacement and renewalAsset replacement and renewalnominal</t>
  </si>
  <si>
    <t>2020AMP2018Capital ExpenditureAssets commissionedAssets commissionednominal</t>
  </si>
  <si>
    <t>2020AMP2016Capital ExpenditureAssets commissionedAssets commissionednominal</t>
  </si>
  <si>
    <t>2020AMP2020Capital ExpenditureAssets commissionedAssets commissionednominal</t>
  </si>
  <si>
    <t>2020AMP2017Capital ExpenditureAssets commissionedAssets commissionednominal</t>
  </si>
  <si>
    <t>2020AMP2019Capital ExpenditureAssets commissionedAssets commissionednominal</t>
  </si>
  <si>
    <t>2020AMP2015Capital ExpenditureAssets commissionedAssets commissionednominal</t>
  </si>
  <si>
    <t>2020AMP2019Capital ExpenditureCapital expenditure forecastCapital expenditure forecastnominal</t>
  </si>
  <si>
    <t>2020AMP2018Capital ExpenditureCapital expenditure forecastCapital expenditure forecastnominal</t>
  </si>
  <si>
    <t>2020AMP2020Capital ExpenditureCapital expenditure forecastCapital expenditure forecastnominal</t>
  </si>
  <si>
    <t>2020AMP2015Capital ExpenditureCapital expenditure forecastCapital expenditure forecastnominal</t>
  </si>
  <si>
    <t>2020AMP2016Capital ExpenditureCapital expenditure forecastCapital expenditure forecastnominal</t>
  </si>
  <si>
    <t>2020AMP2013Capital ExpenditureCapital expenditure forecastCapital expenditure forecastnominal</t>
  </si>
  <si>
    <t>2020AMP2014Capital ExpenditureCapital expenditure forecastCapital expenditure forecastnominal</t>
  </si>
  <si>
    <t>2020AMP2017Capital ExpenditureCapital expenditure forecastCapital expenditure forecastnominal</t>
  </si>
  <si>
    <t>2020AMP2017Capital ExpenditureConsumer connectionConsumer connectionconstant</t>
  </si>
  <si>
    <t>2020AMP2016Capital ExpenditureConsumer connectionConsumer connectionconstant</t>
  </si>
  <si>
    <t>2020AMP2013Capital ExpenditureConsumer connectionConsumer connectionconstant</t>
  </si>
  <si>
    <t>2020AMP2015Capital ExpenditureConsumer connectionConsumer connectionconstant</t>
  </si>
  <si>
    <t>2020AMP2020Capital ExpenditureConsumer connectionConsumer connectionconstant</t>
  </si>
  <si>
    <t>2020AMP2019Capital ExpenditureConsumer connectionConsumer connectionconstant</t>
  </si>
  <si>
    <t>2020AMP2014Capital ExpenditureConsumer connectionConsumer connectionconstant</t>
  </si>
  <si>
    <t>2020AMP2018Capital ExpenditureConsumer connectionConsumer connectionconstant</t>
  </si>
  <si>
    <t>2020AMP2020Capital ExpenditureConsumer connectionConsumer connectionnominal</t>
  </si>
  <si>
    <t>2020AMP2015Capital ExpenditureConsumer connectionConsumer connectionnominal</t>
  </si>
  <si>
    <t>2020AMP2017Capital ExpenditureConsumer connectionConsumer connectionnominal</t>
  </si>
  <si>
    <t>2020AMP2013Capital ExpenditureConsumer connectionConsumer connectionnominal</t>
  </si>
  <si>
    <t>2020AMP2016Capital ExpenditureConsumer connectionConsumer connectionnominal</t>
  </si>
  <si>
    <t>2020AMP2014Capital ExpenditureConsumer connectionConsumer connectionnominal</t>
  </si>
  <si>
    <t>2020AMP2019Capital ExpenditureConsumer connectionConsumer connectionnominal</t>
  </si>
  <si>
    <t>2020AMP2018Capital ExpenditureConsumer connectionConsumer connectionnominal</t>
  </si>
  <si>
    <t>2020AMP2014Capital ExpenditureCost of financingCost of financingnominal</t>
  </si>
  <si>
    <t>2020AMP2015Capital ExpenditureCost of financingCost of financingnominal</t>
  </si>
  <si>
    <t>2020AMP2016Capital ExpenditureCost of financingCost of financingnominal</t>
  </si>
  <si>
    <t>2020AMP2020Capital ExpenditureCost of financingCost of financingnominal</t>
  </si>
  <si>
    <t>2020AMP2017Capital ExpenditureCost of financingCost of financingnominal</t>
  </si>
  <si>
    <t>2020AMP2013Capital ExpenditureCost of financingCost of financingnominal</t>
  </si>
  <si>
    <t>2020AMP2019Capital ExpenditureCost of financingCost of financingnominal</t>
  </si>
  <si>
    <t>2020AMP2018Capital ExpenditureCost of financingCost of financingnominal</t>
  </si>
  <si>
    <t>2020AMP2015Capital ExpenditureExpenditure on subcomponentsResearch and developmentconstant</t>
  </si>
  <si>
    <t>2020AMP2016Capital ExpenditureExpenditure on subcomponentsResearch and developmentconstant</t>
  </si>
  <si>
    <t>2020AMP2018Capital ExpenditureExpenditure on subcomponentsResearch and developmentconstant</t>
  </si>
  <si>
    <t>2020AMP2019Capital ExpenditureExpenditure on subcomponentsResearch and developmentconstant</t>
  </si>
  <si>
    <t>2020AMP2017Capital ExpenditureExpenditure on subcomponentsResearch and developmentconstant</t>
  </si>
  <si>
    <t>2020AMP2014Capital ExpenditureExpenditure on subcomponentsResearch and developmentconstant</t>
  </si>
  <si>
    <t>2020AMP2020Capital ExpenditureExpenditure on subcomponentsResearch and developmentconstant</t>
  </si>
  <si>
    <t>2020AMP2013Capital ExpenditureExpenditure on subcomponentsResearch and developmentconstant</t>
  </si>
  <si>
    <t>2020AMP2018Capital ExpenditureNetwork assetsExpenditure on network assetsconstant</t>
  </si>
  <si>
    <t>2020AMP2014Capital ExpenditureNetwork assetsExpenditure on network assetsconstant</t>
  </si>
  <si>
    <t>2020AMP2013Capital ExpenditureNetwork assetsExpenditure on network assetsconstant</t>
  </si>
  <si>
    <t>2020AMP2019Capital ExpenditureNetwork assetsExpenditure on network assetsconstant</t>
  </si>
  <si>
    <t>2020AMP2020Capital ExpenditureNetwork assetsExpenditure on network assetsconstant</t>
  </si>
  <si>
    <t>2020AMP2017Capital ExpenditureNetwork assetsExpenditure on network assetsconstant</t>
  </si>
  <si>
    <t>2020AMP2015Capital ExpenditureNetwork assetsExpenditure on network assetsconstant</t>
  </si>
  <si>
    <t>2020AMP2016Capital ExpenditureNetwork assetsExpenditure on network assetsconstant</t>
  </si>
  <si>
    <t>2020AMP2018Capital ExpenditureNetwork assetsExpenditure on network assetsnominal</t>
  </si>
  <si>
    <t>2020AMP2014Capital ExpenditureNetwork assetsExpenditure on network assetsnominal</t>
  </si>
  <si>
    <t>2020AMP2015Capital ExpenditureNetwork assetsExpenditure on network assetsnominal</t>
  </si>
  <si>
    <t>2020AMP2013Capital ExpenditureNetwork assetsExpenditure on network assetsnominal</t>
  </si>
  <si>
    <t>2020AMP2017Capital ExpenditureNetwork assetsExpenditure on network assetsnominal</t>
  </si>
  <si>
    <t>2020AMP2016Capital ExpenditureNetwork assetsExpenditure on network assetsnominal</t>
  </si>
  <si>
    <t>2020AMP2020Capital ExpenditureNetwork assetsExpenditure on network assetsnominal</t>
  </si>
  <si>
    <t>2020AMP2019Capital ExpenditureNetwork assetsExpenditure on network assetsnominal</t>
  </si>
  <si>
    <t>2020AMP2013Capital ExpenditureNon-network assetsNon-network assetsconstant</t>
  </si>
  <si>
    <t>2020AMP2019Capital ExpenditureNon-network assetsNon-network assetsconstant</t>
  </si>
  <si>
    <t>2020AMP2015Capital ExpenditureNon-network assetsNon-network assetsconstant</t>
  </si>
  <si>
    <t>2020AMP2020Capital ExpenditureNon-network assetsNon-network assetsconstant</t>
  </si>
  <si>
    <t>2020AMP2014Capital ExpenditureNon-network assetsNon-network assetsconstant</t>
  </si>
  <si>
    <t>2020AMP2018Capital ExpenditureNon-network assetsNon-network assetsconstant</t>
  </si>
  <si>
    <t>2020AMP2016Capital ExpenditureNon-network assetsNon-network assetsconstant</t>
  </si>
  <si>
    <t>2020AMP2017Capital ExpenditureNon-network assetsNon-network assetsconstant</t>
  </si>
  <si>
    <t>2020AMP2014Capital ExpenditureNon-network assetsNon-network assetsnominal</t>
  </si>
  <si>
    <t>2020AMP2017Capital ExpenditureNon-network assetsNon-network assetsnominal</t>
  </si>
  <si>
    <t>2020AMP2016Capital ExpenditureNon-network assetsNon-network assetsnominal</t>
  </si>
  <si>
    <t>2020AMP2020Capital ExpenditureNon-network assetsNon-network assetsnominal</t>
  </si>
  <si>
    <t>2020AMP2018Capital ExpenditureNon-network assetsNon-network assetsnominal</t>
  </si>
  <si>
    <t>2020AMP2015Capital ExpenditureNon-network assetsNon-network assetsnominal</t>
  </si>
  <si>
    <t>2020AMP2019Capital ExpenditureNon-network assetsNon-network assetsnominal</t>
  </si>
  <si>
    <t>2020AMP2013Capital ExpenditureNon-network assetsNon-network assetsnominal</t>
  </si>
  <si>
    <t>2020AMP2019Capital ExpenditureReliability, safety and environmentLegislative and regulatoryconstant</t>
  </si>
  <si>
    <t>2020AMP2016Capital ExpenditureReliability, safety and environmentLegislative and regulatoryconstant</t>
  </si>
  <si>
    <t>2020AMP2013Capital ExpenditureReliability, safety and environmentLegislative and regulatoryconstant</t>
  </si>
  <si>
    <t>2020AMP2015Capital ExpenditureReliability, safety and environmentLegislative and regulatoryconstant</t>
  </si>
  <si>
    <t>2020AMP2014Capital ExpenditureReliability, safety and environmentLegislative and regulatoryconstant</t>
  </si>
  <si>
    <t>2020AMP2017Capital ExpenditureReliability, safety and environmentLegislative and regulatoryconstant</t>
  </si>
  <si>
    <t>2020AMP2018Capital ExpenditureReliability, safety and environmentLegislative and regulatoryconstant</t>
  </si>
  <si>
    <t>2020AMP2020Capital ExpenditureReliability, safety and environmentLegislative and regulatoryconstant</t>
  </si>
  <si>
    <t>2020AMP2015Capital ExpenditureReliability, safety and environmentLegislative and regulatorynominal</t>
  </si>
  <si>
    <t>2020AMP2016Capital ExpenditureReliability, safety and environmentLegislative and regulatorynominal</t>
  </si>
  <si>
    <t>2020AMP2014Capital ExpenditureReliability, safety and environmentLegislative and regulatorynominal</t>
  </si>
  <si>
    <t>2020AMP2019Capital ExpenditureReliability, safety and environmentLegislative and regulatorynominal</t>
  </si>
  <si>
    <t>2020AMP2018Capital ExpenditureReliability, safety and environmentLegislative and regulatorynominal</t>
  </si>
  <si>
    <t>2020AMP2020Capital ExpenditureReliability, safety and environmentLegislative and regulatorynominal</t>
  </si>
  <si>
    <t>2020AMP2013Capital ExpenditureReliability, safety and environmentLegislative and regulatorynominal</t>
  </si>
  <si>
    <t>2020AMP2017Capital ExpenditureReliability, safety and environmentLegislative and regulatorynominal</t>
  </si>
  <si>
    <t>2020AMP2016Capital ExpenditureReliability, safety and environmentOther reliability, safety and environmentconstant</t>
  </si>
  <si>
    <t>2020AMP2015Capital ExpenditureReliability, safety and environmentOther reliability, safety and environmentconstant</t>
  </si>
  <si>
    <t>2020AMP2020Capital ExpenditureReliability, safety and environmentOther reliability, safety and environmentconstant</t>
  </si>
  <si>
    <t>2020AMP2013Capital ExpenditureReliability, safety and environmentOther reliability, safety and environmentconstant</t>
  </si>
  <si>
    <t>2020AMP2017Capital ExpenditureReliability, safety and environmentOther reliability, safety and environmentconstant</t>
  </si>
  <si>
    <t>2020AMP2014Capital ExpenditureReliability, safety and environmentOther reliability, safety and environmentconstant</t>
  </si>
  <si>
    <t>2020AMP2018Capital ExpenditureReliability, safety and environmentOther reliability, safety and environmentconstant</t>
  </si>
  <si>
    <t>2020AMP2019Capital ExpenditureReliability, safety and environmentOther reliability, safety and environmentconstant</t>
  </si>
  <si>
    <t>2020AMP2020Capital ExpenditureReliability, safety and environmentOther reliability, safety and environmentnominal</t>
  </si>
  <si>
    <t>2020AMP2016Capital ExpenditureReliability, safety and environmentOther reliability, safety and environmentnominal</t>
  </si>
  <si>
    <t>2020AMP2018Capital ExpenditureReliability, safety and environmentOther reliability, safety and environmentnominal</t>
  </si>
  <si>
    <t>2020AMP2014Capital ExpenditureReliability, safety and environmentOther reliability, safety and environmentnominal</t>
  </si>
  <si>
    <t>2020AMP2019Capital ExpenditureReliability, safety and environmentOther reliability, safety and environmentnominal</t>
  </si>
  <si>
    <t>2020AMP2017Capital ExpenditureReliability, safety and environmentOther reliability, safety and environmentnominal</t>
  </si>
  <si>
    <t>2020AMP2015Capital ExpenditureReliability, safety and environmentOther reliability, safety and environmentnominal</t>
  </si>
  <si>
    <t>2020AMP2013Capital ExpenditureReliability, safety and environmentOther reliability, safety and environmentnominal</t>
  </si>
  <si>
    <t>2020AMP2015Capital ExpenditureReliability, safety and environmentQuality of supplyconstant</t>
  </si>
  <si>
    <t>2020AMP2020Capital ExpenditureReliability, safety and environmentQuality of supplyconstant</t>
  </si>
  <si>
    <t>2020AMP2018Capital ExpenditureReliability, safety and environmentQuality of supplyconstant</t>
  </si>
  <si>
    <t>2020AMP2017Capital ExpenditureReliability, safety and environmentQuality of supplyconstant</t>
  </si>
  <si>
    <t>2020AMP2013Capital ExpenditureReliability, safety and environmentQuality of supplyconstant</t>
  </si>
  <si>
    <t>2020AMP2016Capital ExpenditureReliability, safety and environmentQuality of supplyconstant</t>
  </si>
  <si>
    <t>2020AMP2019Capital ExpenditureReliability, safety and environmentQuality of supplyconstant</t>
  </si>
  <si>
    <t>2020AMP2014Capital ExpenditureReliability, safety and environmentQuality of supplyconstant</t>
  </si>
  <si>
    <t>2020AMP2020Capital ExpenditureReliability, safety and environmentQuality of supplynominal</t>
  </si>
  <si>
    <t>2020AMP2015Capital ExpenditureReliability, safety and environmentQuality of supplynominal</t>
  </si>
  <si>
    <t>2020AMP2014Capital ExpenditureReliability, safety and environmentQuality of supplynominal</t>
  </si>
  <si>
    <t>2020AMP2017Capital ExpenditureReliability, safety and environmentQuality of supplynominal</t>
  </si>
  <si>
    <t>2020AMP2016Capital ExpenditureReliability, safety and environmentQuality of supplynominal</t>
  </si>
  <si>
    <t>2020AMP2018Capital ExpenditureReliability, safety and environmentQuality of supplynominal</t>
  </si>
  <si>
    <t>2020AMP2019Capital ExpenditureReliability, safety and environmentQuality of supplynominal</t>
  </si>
  <si>
    <t>2020AMP2013Capital ExpenditureReliability, safety and environmentQuality of supplynominal</t>
  </si>
  <si>
    <t>2020AMP2015Capital ExpenditureReliability, safety and environmentTotal reliability, safety and environmentconstant</t>
  </si>
  <si>
    <t>2020AMP2020Capital ExpenditureReliability, safety and environmentTotal reliability, safety and environmentconstant</t>
  </si>
  <si>
    <t>2020AMP2014Capital ExpenditureReliability, safety and environmentTotal reliability, safety and environmentconstant</t>
  </si>
  <si>
    <t>2020AMP2013Capital ExpenditureReliability, safety and environmentTotal reliability, safety and environmentconstant</t>
  </si>
  <si>
    <t>2020AMP2017Capital ExpenditureReliability, safety and environmentTotal reliability, safety and environmentconstant</t>
  </si>
  <si>
    <t>2020AMP2019Capital ExpenditureReliability, safety and environmentTotal reliability, safety and environmentconstant</t>
  </si>
  <si>
    <t>2020AMP2016Capital ExpenditureReliability, safety and environmentTotal reliability, safety and environmentconstant</t>
  </si>
  <si>
    <t>2020AMP2018Capital ExpenditureReliability, safety and environmentTotal reliability, safety and environmentconstant</t>
  </si>
  <si>
    <t>2020AMP2014Capital ExpenditureReliability, safety and environmentTotal reliability, safety and environmentnominal</t>
  </si>
  <si>
    <t>2020AMP2019Capital ExpenditureReliability, safety and environmentTotal reliability, safety and environmentnominal</t>
  </si>
  <si>
    <t>2020AMP2018Capital ExpenditureReliability, safety and environmentTotal reliability, safety and environmentnominal</t>
  </si>
  <si>
    <t>2020AMP2020Capital ExpenditureReliability, safety and environmentTotal reliability, safety and environmentnominal</t>
  </si>
  <si>
    <t>2020AMP2013Capital ExpenditureReliability, safety and environmentTotal reliability, safety and environmentnominal</t>
  </si>
  <si>
    <t>2020AMP2017Capital ExpenditureReliability, safety and environmentTotal reliability, safety and environmentnominal</t>
  </si>
  <si>
    <t>2020AMP2016Capital ExpenditureReliability, safety and environmentTotal reliability, safety and environmentnominal</t>
  </si>
  <si>
    <t>2020AMP2015Capital ExpenditureReliability, safety and environmentTotal reliability, safety and environmentnominal</t>
  </si>
  <si>
    <t>2020AMP2018Capital ExpenditureSystem growthSystem growthconstant</t>
  </si>
  <si>
    <t>2020AMP2013Capital ExpenditureSystem growthSystem growthconstant</t>
  </si>
  <si>
    <t>2020AMP2020Capital ExpenditureSystem growthSystem growthconstant</t>
  </si>
  <si>
    <t>2020AMP2017Capital ExpenditureSystem growthSystem growthconstant</t>
  </si>
  <si>
    <t>2020AMP2015Capital ExpenditureSystem growthSystem growthconstant</t>
  </si>
  <si>
    <t>2020AMP2019Capital ExpenditureSystem growthSystem growthconstant</t>
  </si>
  <si>
    <t>2020AMP2016Capital ExpenditureSystem growthSystem growthconstant</t>
  </si>
  <si>
    <t>2020AMP2014Capital ExpenditureSystem growthSystem growthconstant</t>
  </si>
  <si>
    <t>2020AMP2014Capital ExpenditureSystem growthSystem growthnominal</t>
  </si>
  <si>
    <t>2020AMP2015Capital ExpenditureSystem growthSystem growthnominal</t>
  </si>
  <si>
    <t>2020AMP2016Capital ExpenditureSystem growthSystem growthnominal</t>
  </si>
  <si>
    <t>2020AMP2020Capital ExpenditureSystem growthSystem growthnominal</t>
  </si>
  <si>
    <t>2020AMP2019Capital ExpenditureSystem growthSystem growthnominal</t>
  </si>
  <si>
    <t>2020AMP2017Capital ExpenditureSystem growthSystem growthnominal</t>
  </si>
  <si>
    <t>2020AMP2018Capital ExpenditureSystem growthSystem growthnominal</t>
  </si>
  <si>
    <t>2020AMP2013Capital ExpenditureSystem growthSystem growthnominal</t>
  </si>
  <si>
    <t>2020AMP2020Capital ExpenditureValue of capital contributionsValue of capital contributionsnominal</t>
  </si>
  <si>
    <t>2020AMP2016Capital ExpenditureValue of capital contributionsValue of capital contributionsnominal</t>
  </si>
  <si>
    <t>2020AMP2019Capital ExpenditureValue of capital contributionsValue of capital contributionsnominal</t>
  </si>
  <si>
    <t>2020AMP2014Capital ExpenditureValue of capital contributionsValue of capital contributionsnominal</t>
  </si>
  <si>
    <t>2020AMP2015Capital ExpenditureValue of capital contributionsValue of capital contributionsnominal</t>
  </si>
  <si>
    <t>2020AMP2017Capital ExpenditureValue of capital contributionsValue of capital contributionsnominal</t>
  </si>
  <si>
    <t>2020AMP2013Capital ExpenditureValue of capital contributionsValue of capital contributionsnominal</t>
  </si>
  <si>
    <t>2020AMP2018Capital ExpenditureValue of capital contributionsValue of capital contributionsnominal</t>
  </si>
  <si>
    <t>2020AMP2017Capital ExpenditureValue of commissioned assetsValue of commissioned assetsnominal</t>
  </si>
  <si>
    <t>2020AMP2014Capital ExpenditureValue of commissioned assetsValue of commissioned assetsnominal</t>
  </si>
  <si>
    <t>2020AMP2013Capital ExpenditureValue of commissioned assetsValue of commissioned assetsnominal</t>
  </si>
  <si>
    <t>2020AMP2020Capital ExpenditureValue of vested assetsValue of vested assetsnominal</t>
  </si>
  <si>
    <t>2020AMP2016Capital ExpenditureValue of vested assetsValue of vested assetsnominal</t>
  </si>
  <si>
    <t>2020AMP2014Capital ExpenditureValue of vested assetsValue of vested assetsnominal</t>
  </si>
  <si>
    <t>2020AMP2013Capital ExpenditureValue of vested assetsValue of vested assetsnominal</t>
  </si>
  <si>
    <t>2020AMP2015Capital ExpenditureValue of vested assetsValue of vested assetsnominal</t>
  </si>
  <si>
    <t>2020AMP2017Capital ExpenditureValue of vested assetsValue of vested assetsnominal</t>
  </si>
  <si>
    <t>2020AMP2019Capital ExpenditureValue of vested assetsValue of vested assetsnominal</t>
  </si>
  <si>
    <t>2020AMP2018Capital ExpenditureValue of vested assetsValue of vested assetsnominal</t>
  </si>
  <si>
    <t>2020AMP2018Capital ExpenditureAsset replacement and renewalAsset replacement and renewal expenditure - Asset replacement and renewal expenditureconstant</t>
  </si>
  <si>
    <t>2020AMP2016Capital ExpenditureAsset replacement and renewalAsset replacement and renewal expenditure - Asset replacement and renewal expenditureconstant</t>
  </si>
  <si>
    <t>2020AMP2015Capital ExpenditureAsset replacement and renewalAsset replacement and renewal expenditure - Asset replacement and renewal expenditureconstant</t>
  </si>
  <si>
    <t>2020AMP2019Capital ExpenditureAsset replacement and renewalAsset replacement and renewal expenditure - Asset replacement and renewal expenditureconstant</t>
  </si>
  <si>
    <t>2020AMP2017Capital ExpenditureAsset replacement and renewalAsset replacement and renewal expenditure - Asset replacement and renewal expenditureconstant</t>
  </si>
  <si>
    <t>2020AMP2020Capital ExpenditureAsset replacement and renewalAsset replacement and renewal expenditure - Asset replacement and renewal expenditureconstant</t>
  </si>
  <si>
    <t>2020AMP2018Capital ExpenditureAsset replacement and renewalAsset replacement and renewal expenditure - Capital contributions funding asset replacement and renewalconstant</t>
  </si>
  <si>
    <t>2020AMP2020Capital ExpenditureAsset replacement and renewalAsset replacement and renewal expenditure - Capital contributions funding asset replacement and renewalconstant</t>
  </si>
  <si>
    <t>2020AMP2019Capital ExpenditureAsset replacement and renewalAsset replacement and renewal expenditure - Capital contributions funding asset replacement and renewalconstant</t>
  </si>
  <si>
    <t>2020AMP2017Capital ExpenditureAsset replacement and renewalAsset replacement and renewal expenditure - Capital contributions funding asset replacement and renewalconstant</t>
  </si>
  <si>
    <t>2020AMP2016Capital ExpenditureAsset replacement and renewalAsset replacement and renewal expenditure - Capital contributions funding asset replacement and renewalconstant</t>
  </si>
  <si>
    <t>2020AMP2015Capital ExpenditureAsset replacement and renewalAsset replacement and renewal expenditure - Capital contributions funding asset replacement and renewalconstant</t>
  </si>
  <si>
    <t>2020AMP2018Capital ExpenditureAsset replacement and renewalAsset replacement and renewal less capital contributions - Asset replacement and renewal less capital contributionsconstant</t>
  </si>
  <si>
    <t>2020AMP2019Capital ExpenditureAsset replacement and renewalAsset replacement and renewal less capital contributions - Asset replacement and renewal less capital contributionsconstant</t>
  </si>
  <si>
    <t>2020AMP2020Capital ExpenditureAsset replacement and renewalAsset replacement and renewal less capital contributions - Asset replacement and renewal less capital contributionsconstant</t>
  </si>
  <si>
    <t>2020AMP2015Capital ExpenditureAsset replacement and renewalAsset replacement and renewal less capital contributions - Asset replacement and renewal less capital contributionsconstant</t>
  </si>
  <si>
    <t>2020AMP2016Capital ExpenditureAsset replacement and renewalAsset replacement and renewal less capital contributions - Asset replacement and renewal less capital contributionsconstant</t>
  </si>
  <si>
    <t>2020AMP2017Capital ExpenditureAsset replacement and renewalAsset replacement and renewal less capital contributions - Asset replacement and renewal less capital contributionsconstant</t>
  </si>
  <si>
    <t>2020AMP2017Capital ExpenditureAsset replacement and renewalIntermediate pressure - Intermediate Pressure totalconstant</t>
  </si>
  <si>
    <t>2020AMP2015Capital ExpenditureAsset replacement and renewalIntermediate pressure - Intermediate Pressure totalconstant</t>
  </si>
  <si>
    <t>2020AMP2020Capital ExpenditureAsset replacement and renewalIntermediate pressure - Intermediate Pressure totalconstant</t>
  </si>
  <si>
    <t>2020AMP2019Capital ExpenditureAsset replacement and renewalIntermediate pressure - Intermediate Pressure totalconstant</t>
  </si>
  <si>
    <t>2020AMP2016Capital ExpenditureAsset replacement and renewalIntermediate pressure - Intermediate Pressure totalconstant</t>
  </si>
  <si>
    <t>2020AMP2018Capital ExpenditureAsset replacement and renewalIntermediate pressure - Intermediate Pressure totalconstant</t>
  </si>
  <si>
    <t>2020AMP2017Capital ExpenditureAsset replacement and renewalIntermediate pressure - Line valveconstant</t>
  </si>
  <si>
    <t>2020AMP2015Capital ExpenditureAsset replacement and renewalIntermediate pressure - Line valveconstant</t>
  </si>
  <si>
    <t>2020AMP2018Capital ExpenditureAsset replacement and renewalIntermediate pressure - Line valveconstant</t>
  </si>
  <si>
    <t>2020AMP2020Capital ExpenditureAsset replacement and renewalIntermediate pressure - Line valveconstant</t>
  </si>
  <si>
    <t>2020AMP2016Capital ExpenditureAsset replacement and renewalIntermediate pressure - Line valveconstant</t>
  </si>
  <si>
    <t>2020AMP2019Capital ExpenditureAsset replacement and renewalIntermediate pressure - Line valveconstant</t>
  </si>
  <si>
    <t>2020AMP2019Capital ExpenditureAsset replacement and renewalIntermediate pressure - Main pipeconstant</t>
  </si>
  <si>
    <t>2020AMP2017Capital ExpenditureAsset replacement and renewalIntermediate pressure - Main pipeconstant</t>
  </si>
  <si>
    <t>2020AMP2020Capital ExpenditureAsset replacement and renewalIntermediate pressure - Main pipeconstant</t>
  </si>
  <si>
    <t>2020AMP2015Capital ExpenditureAsset replacement and renewalIntermediate pressure - Main pipeconstant</t>
  </si>
  <si>
    <t>2020AMP2018Capital ExpenditureAsset replacement and renewalIntermediate pressure - Main pipeconstant</t>
  </si>
  <si>
    <t>2020AMP2016Capital ExpenditureAsset replacement and renewalIntermediate pressure - Main pipeconstant</t>
  </si>
  <si>
    <t>2020AMP2017Capital ExpenditureAsset replacement and renewalIntermediate pressure - Service pipeconstant</t>
  </si>
  <si>
    <t>2020AMP2020Capital ExpenditureAsset replacement and renewalIntermediate pressure - Service pipeconstant</t>
  </si>
  <si>
    <t>2020AMP2015Capital ExpenditureAsset replacement and renewalIntermediate pressure - Service pipeconstant</t>
  </si>
  <si>
    <t>2020AMP2016Capital ExpenditureAsset replacement and renewalIntermediate pressure - Service pipeconstant</t>
  </si>
  <si>
    <t>2020AMP2018Capital ExpenditureAsset replacement and renewalIntermediate pressure - Service pipeconstant</t>
  </si>
  <si>
    <t>2020AMP2019Capital ExpenditureAsset replacement and renewalIntermediate pressure - Service pipeconstant</t>
  </si>
  <si>
    <t>2020AMP2015Capital ExpenditureAsset replacement and renewalIntermediate pressure - Special crossingsconstant</t>
  </si>
  <si>
    <t>2020AMP2016Capital ExpenditureAsset replacement and renewalIntermediate pressure - Special crossingsconstant</t>
  </si>
  <si>
    <t>2020AMP2018Capital ExpenditureAsset replacement and renewalIntermediate pressure - Special crossingsconstant</t>
  </si>
  <si>
    <t>2020AMP2017Capital ExpenditureAsset replacement and renewalIntermediate pressure - Special crossingsconstant</t>
  </si>
  <si>
    <t>2020AMP2020Capital ExpenditureAsset replacement and renewalIntermediate pressure - Special crossingsconstant</t>
  </si>
  <si>
    <t>2020AMP2019Capital ExpenditureAsset replacement and renewalIntermediate pressure - Special crossingsconstant</t>
  </si>
  <si>
    <t>2020AMP2017Capital ExpenditureAsset replacement and renewalIntermediate pressure - Stationsconstant</t>
  </si>
  <si>
    <t>2020AMP2018Capital ExpenditureAsset replacement and renewalIntermediate pressure - Stationsconstant</t>
  </si>
  <si>
    <t>2020AMP2019Capital ExpenditureAsset replacement and renewalIntermediate pressure - Stationsconstant</t>
  </si>
  <si>
    <t>2020AMP2016Capital ExpenditureAsset replacement and renewalIntermediate pressure - Stationsconstant</t>
  </si>
  <si>
    <t>2020AMP2015Capital ExpenditureAsset replacement and renewalIntermediate pressure - Stationsconstant</t>
  </si>
  <si>
    <t>2020AMP2020Capital ExpenditureAsset replacement and renewalIntermediate pressure - Stationsconstant</t>
  </si>
  <si>
    <t>2020AMP2018Capital ExpenditureAsset replacement and renewalLow Pressure - Line valveconstant</t>
  </si>
  <si>
    <t>2020AMP2017Capital ExpenditureAsset replacement and renewalLow Pressure - Line valveconstant</t>
  </si>
  <si>
    <t>2020AMP2016Capital ExpenditureAsset replacement and renewalLow Pressure - Line valveconstant</t>
  </si>
  <si>
    <t>2020AMP2020Capital ExpenditureAsset replacement and renewalLow Pressure - Line valveconstant</t>
  </si>
  <si>
    <t>2020AMP2015Capital ExpenditureAsset replacement and renewalLow Pressure - Line valveconstant</t>
  </si>
  <si>
    <t>2020AMP2019Capital ExpenditureAsset replacement and renewalLow Pressure - Line valveconstant</t>
  </si>
  <si>
    <t>2020AMP2016Capital ExpenditureAsset replacement and renewalLow Pressure - Low Pressure totalconstant</t>
  </si>
  <si>
    <t>2020AMP2018Capital ExpenditureAsset replacement and renewalLow Pressure - Low Pressure totalconstant</t>
  </si>
  <si>
    <t>2020AMP2019Capital ExpenditureAsset replacement and renewalLow Pressure - Low Pressure totalconstant</t>
  </si>
  <si>
    <t>2020AMP2020Capital ExpenditureAsset replacement and renewalLow Pressure - Low Pressure totalconstant</t>
  </si>
  <si>
    <t>2020AMP2017Capital ExpenditureAsset replacement and renewalLow Pressure - Low Pressure totalconstant</t>
  </si>
  <si>
    <t>2020AMP2015Capital ExpenditureAsset replacement and renewalLow Pressure - Low Pressure totalconstant</t>
  </si>
  <si>
    <t>2020AMP2016Capital ExpenditureAsset replacement and renewalLow Pressure - Main pipeconstant</t>
  </si>
  <si>
    <t>2020AMP2020Capital ExpenditureAsset replacement and renewalLow Pressure - Main pipeconstant</t>
  </si>
  <si>
    <t>2020AMP2015Capital ExpenditureAsset replacement and renewalLow Pressure - Main pipeconstant</t>
  </si>
  <si>
    <t>2020AMP2017Capital ExpenditureAsset replacement and renewalLow Pressure - Main pipeconstant</t>
  </si>
  <si>
    <t>2020AMP2019Capital ExpenditureAsset replacement and renewalLow Pressure - Main pipeconstant</t>
  </si>
  <si>
    <t>2020AMP2018Capital ExpenditureAsset replacement and renewalLow Pressure - Main pipeconstant</t>
  </si>
  <si>
    <t>2020AMP2020Capital ExpenditureAsset replacement and renewalLow Pressure - Service pipeconstant</t>
  </si>
  <si>
    <t>2020AMP2015Capital ExpenditureAsset replacement and renewalLow Pressure - Service pipeconstant</t>
  </si>
  <si>
    <t>2020AMP2016Capital ExpenditureAsset replacement and renewalLow Pressure - Service pipeconstant</t>
  </si>
  <si>
    <t>2020AMP2018Capital ExpenditureAsset replacement and renewalLow Pressure - Service pipeconstant</t>
  </si>
  <si>
    <t>2020AMP2017Capital ExpenditureAsset replacement and renewalLow Pressure - Service pipeconstant</t>
  </si>
  <si>
    <t>2020AMP2019Capital ExpenditureAsset replacement and renewalLow Pressure - Service pipeconstant</t>
  </si>
  <si>
    <t>2020AMP2016Capital ExpenditureAsset replacement and renewalLow Pressure - Special crossingsconstant</t>
  </si>
  <si>
    <t>2020AMP2017Capital ExpenditureAsset replacement and renewalLow Pressure - Special crossingsconstant</t>
  </si>
  <si>
    <t>2020AMP2018Capital ExpenditureAsset replacement and renewalLow Pressure - Special crossingsconstant</t>
  </si>
  <si>
    <t>2020AMP2019Capital ExpenditureAsset replacement and renewalLow Pressure - Special crossingsconstant</t>
  </si>
  <si>
    <t>2020AMP2020Capital ExpenditureAsset replacement and renewalLow Pressure - Special crossingsconstant</t>
  </si>
  <si>
    <t>2020AMP2015Capital ExpenditureAsset replacement and renewalLow Pressure - Special crossingsconstant</t>
  </si>
  <si>
    <t>2020AMP2017Capital ExpenditureAsset replacement and renewalMedium pressure - Line valveconstant</t>
  </si>
  <si>
    <t>2020AMP2018Capital ExpenditureAsset replacement and renewalMedium pressure - Line valveconstant</t>
  </si>
  <si>
    <t>2020AMP2015Capital ExpenditureAsset replacement and renewalMedium pressure - Line valveconstant</t>
  </si>
  <si>
    <t>2020AMP2019Capital ExpenditureAsset replacement and renewalMedium pressure - Line valveconstant</t>
  </si>
  <si>
    <t>2020AMP2020Capital ExpenditureAsset replacement and renewalMedium pressure - Line valveconstant</t>
  </si>
  <si>
    <t>2020AMP2016Capital ExpenditureAsset replacement and renewalMedium pressure - Line valveconstant</t>
  </si>
  <si>
    <t>2020AMP2015Capital ExpenditureAsset replacement and renewalMedium pressure - Main pipeconstant</t>
  </si>
  <si>
    <t>2020AMP2020Capital ExpenditureAsset replacement and renewalMedium pressure - Main pipeconstant</t>
  </si>
  <si>
    <t>2020AMP2016Capital ExpenditureAsset replacement and renewalMedium pressure - Main pipeconstant</t>
  </si>
  <si>
    <t>2020AMP2019Capital ExpenditureAsset replacement and renewalMedium pressure - Main pipeconstant</t>
  </si>
  <si>
    <t>2020AMP2017Capital ExpenditureAsset replacement and renewalMedium pressure - Main pipeconstant</t>
  </si>
  <si>
    <t>2020AMP2018Capital ExpenditureAsset replacement and renewalMedium pressure - Main pipeconstant</t>
  </si>
  <si>
    <t>2020AMP2015Capital ExpenditureAsset replacement and renewalMedium pressure - Medium Pressure totalconstant</t>
  </si>
  <si>
    <t>2020AMP2020Capital ExpenditureAsset replacement and renewalMedium pressure - Medium Pressure totalconstant</t>
  </si>
  <si>
    <t>2020AMP2018Capital ExpenditureAsset replacement and renewalMedium pressure - Medium Pressure totalconstant</t>
  </si>
  <si>
    <t>2020AMP2016Capital ExpenditureAsset replacement and renewalMedium pressure - Medium Pressure totalconstant</t>
  </si>
  <si>
    <t>2020AMP2017Capital ExpenditureAsset replacement and renewalMedium pressure - Medium Pressure totalconstant</t>
  </si>
  <si>
    <t>2020AMP2019Capital ExpenditureAsset replacement and renewalMedium pressure - Medium Pressure totalconstant</t>
  </si>
  <si>
    <t>2020AMP2019Capital ExpenditureAsset replacement and renewalMedium pressure - Service pipeconstant</t>
  </si>
  <si>
    <t>2020AMP2018Capital ExpenditureAsset replacement and renewalMedium pressure - Service pipeconstant</t>
  </si>
  <si>
    <t>2020AMP2017Capital ExpenditureAsset replacement and renewalMedium pressure - Service pipeconstant</t>
  </si>
  <si>
    <t>2020AMP2015Capital ExpenditureAsset replacement and renewalMedium pressure - Service pipeconstant</t>
  </si>
  <si>
    <t>2020AMP2016Capital ExpenditureAsset replacement and renewalMedium pressure - Service pipeconstant</t>
  </si>
  <si>
    <t>2020AMP2020Capital ExpenditureAsset replacement and renewalMedium pressure - Service pipeconstant</t>
  </si>
  <si>
    <t>2020AMP2016Capital ExpenditureAsset replacement and renewalMedium pressure - Special crossingsconstant</t>
  </si>
  <si>
    <t>2020AMP2020Capital ExpenditureAsset replacement and renewalMedium pressure - Special crossingsconstant</t>
  </si>
  <si>
    <t>2020AMP2019Capital ExpenditureAsset replacement and renewalMedium pressure - Special crossingsconstant</t>
  </si>
  <si>
    <t>2020AMP2015Capital ExpenditureAsset replacement and renewalMedium pressure - Special crossingsconstant</t>
  </si>
  <si>
    <t>2020AMP2018Capital ExpenditureAsset replacement and renewalMedium pressure - Special crossingsconstant</t>
  </si>
  <si>
    <t>2020AMP2017Capital ExpenditureAsset replacement and renewalMedium pressure - Special crossingsconstant</t>
  </si>
  <si>
    <t>2020AMP2018Capital ExpenditureAsset replacement and renewalMedium pressure - Stationconstant</t>
  </si>
  <si>
    <t>2020AMP2019Capital ExpenditureAsset replacement and renewalMedium pressure - Stationconstant</t>
  </si>
  <si>
    <t>2020AMP2020Capital ExpenditureAsset replacement and renewalMedium pressure - Stationconstant</t>
  </si>
  <si>
    <t>2020AMP2016Capital ExpenditureAsset replacement and renewalMedium pressure - Stationconstant</t>
  </si>
  <si>
    <t>2020AMP2015Capital ExpenditureAsset replacement and renewalMedium pressure - Stationconstant</t>
  </si>
  <si>
    <t>2020AMP2017Capital ExpenditureAsset replacement and renewalMedium pressure - Stationconstant</t>
  </si>
  <si>
    <t>2020AMP2017Capital ExpenditureAsset replacement and renewalOther assets - Cathodic protection systemsconstant</t>
  </si>
  <si>
    <t>2020AMP2017Capital ExpenditureAsset replacement and renewalOther assets - Monitoring and control systemsconstant</t>
  </si>
  <si>
    <t>2020AMP2017Capital ExpenditureAsset replacement and renewalOther assets - Other assets (other than above)constant</t>
  </si>
  <si>
    <t>2020AMP2017Capital ExpenditureAsset replacement and renewalOther assets - Other totalconstant</t>
  </si>
  <si>
    <t>2020AMP2019Capital ExpenditureAsset replacement and renewalOther network assets - Cathodic protection systemsconstant</t>
  </si>
  <si>
    <t>2020AMP2016Capital ExpenditureAsset replacement and renewalOther network assets - Cathodic protection systemsconstant</t>
  </si>
  <si>
    <t>2020AMP2017Capital ExpenditureAsset replacement and renewalOther network assets - Cathodic protection systemsconstant</t>
  </si>
  <si>
    <t>2020AMP2015Capital ExpenditureAsset replacement and renewalOther network assets - Cathodic protection systemsconstant</t>
  </si>
  <si>
    <t>2020AMP2018Capital ExpenditureAsset replacement and renewalOther network assets - Cathodic protection systemsconstant</t>
  </si>
  <si>
    <t>2020AMP2020Capital ExpenditureAsset replacement and renewalOther network assets - Cathodic protection systemsconstant</t>
  </si>
  <si>
    <t>2020AMP2019Capital ExpenditureAsset replacement and renewalOther network assets - Monitoring and control systemsconstant</t>
  </si>
  <si>
    <t>2020AMP2018Capital ExpenditureAsset replacement and renewalOther network assets - Monitoring and control systemsconstant</t>
  </si>
  <si>
    <t>2020AMP2020Capital ExpenditureAsset replacement and renewalOther network assets - Monitoring and control systemsconstant</t>
  </si>
  <si>
    <t>2020AMP2015Capital ExpenditureAsset replacement and renewalOther network assets - Monitoring and control systemsconstant</t>
  </si>
  <si>
    <t>2020AMP2017Capital ExpenditureAsset replacement and renewalOther network assets - Monitoring and control systemsconstant</t>
  </si>
  <si>
    <t>2020AMP2016Capital ExpenditureAsset replacement and renewalOther network assets - Monitoring and control systemsconstant</t>
  </si>
  <si>
    <t>2020AMP2015Capital ExpenditureAsset replacement and renewalOther network assets - Other assets (other than above)constant</t>
  </si>
  <si>
    <t>2020AMP2016Capital ExpenditureAsset replacement and renewalOther network assets - Other assets (other than above)constant</t>
  </si>
  <si>
    <t>2020AMP2020Capital ExpenditureAsset replacement and renewalOther network assets - Other assets (other than above)constant</t>
  </si>
  <si>
    <t>2020AMP2017Capital ExpenditureAsset replacement and renewalOther network assets - Other assets (other than above)constant</t>
  </si>
  <si>
    <t>2020AMP2018Capital ExpenditureAsset replacement and renewalOther network assets - Other assets (other than above)constant</t>
  </si>
  <si>
    <t>2020AMP2019Capital ExpenditureAsset replacement and renewalOther network assets - Other assets (other than above)constant</t>
  </si>
  <si>
    <t>2020AMP2020Capital ExpenditureAsset replacement and renewalOther network assets - Other network assets totalconstant</t>
  </si>
  <si>
    <t>2020AMP2016Capital ExpenditureAsset replacement and renewalOther network assets - Other network assets totalconstant</t>
  </si>
  <si>
    <t>2020AMP2017Capital ExpenditureAsset replacement and renewalOther network assets - Other network assets totalconstant</t>
  </si>
  <si>
    <t>2020AMP2019Capital ExpenditureAsset replacement and renewalOther network assets - Other network assets totalconstant</t>
  </si>
  <si>
    <t>2020AMP2018Capital ExpenditureAsset replacement and renewalOther network assets - Other network assets totalconstant</t>
  </si>
  <si>
    <t>2020AMP2015Capital ExpenditureAsset replacement and renewalOther network assets - Other network assets totalconstant</t>
  </si>
  <si>
    <t>2020IDCapital ExpenditureAll assetsExpenditure on assetsconstant</t>
  </si>
  <si>
    <t>2020IDCapital ExpenditureAll assetsExpenditure on assetsnominal</t>
  </si>
  <si>
    <t>2020IDCapital ExpenditureAsset relocationsAsset relocationsconstant</t>
  </si>
  <si>
    <t>2020IDCapital ExpenditureAsset relocationsAsset relocationsnominal</t>
  </si>
  <si>
    <t>2020IDCapital ExpenditureAsset replacement and renewalAsset replacement and renewalconstant</t>
  </si>
  <si>
    <t>2020IDCapital ExpenditureAsset replacement and renewalAsset replacement and renewalnominal</t>
  </si>
  <si>
    <t>2020IDCapital ExpenditureCapital expenditureCapital expenditureconstant</t>
  </si>
  <si>
    <t>2020IDCapital ExpenditureCapital expenditureCapital expenditurenominal</t>
  </si>
  <si>
    <t>2020IDCapital ExpenditureConsumer connectionConsumer connectionconstant</t>
  </si>
  <si>
    <t>2020IDCapital ExpenditureConsumer connectionConsumer connectionnominal</t>
  </si>
  <si>
    <t>2020IDCapital ExpenditureCost of financingCost of financingconstant</t>
  </si>
  <si>
    <t>2020IDCapital ExpenditureCost of financingCost of financingnominal</t>
  </si>
  <si>
    <t>2020IDCapital ExpenditureNetwork assetsExpenditure on network assetsconstant</t>
  </si>
  <si>
    <t>2020IDCapital ExpenditureNetwork assetsExpenditure on network assetsnominal</t>
  </si>
  <si>
    <t>2020IDCapital ExpenditureNon-network assetsNon-network assetsconstant</t>
  </si>
  <si>
    <t>2020IDCapital ExpenditureNon-network assetsNon-network assetsnominal</t>
  </si>
  <si>
    <t>2020IDCapital ExpenditureReliability, safety and environmentLegislative and regulatoryconstant</t>
  </si>
  <si>
    <t>2020IDCapital ExpenditureReliability, safety and environmentLegislative and regulatorynominal</t>
  </si>
  <si>
    <t>2020IDCapital ExpenditureReliability, safety and environmentOther reliability, safety and environmentconstant</t>
  </si>
  <si>
    <t>2020IDCapital ExpenditureReliability, safety and environmentOther reliability, safety and environmentnominal</t>
  </si>
  <si>
    <t>2020IDCapital ExpenditureReliability, safety and environmentQuality of supplyconstant</t>
  </si>
  <si>
    <t>2020IDCapital ExpenditureReliability, safety and environmentQuality of supplynominal</t>
  </si>
  <si>
    <t>2020IDCapital ExpenditureReliability, safety and environmentTotal reliability, safety and environmentconstant</t>
  </si>
  <si>
    <t>2020IDCapital ExpenditureReliability, safety and environmentTotal reliability, safety and environmentnominal</t>
  </si>
  <si>
    <t>2020IDCapital ExpenditureSystem growthSystem growthconstant</t>
  </si>
  <si>
    <t>2020IDCapital ExpenditureSystem growthSystem growthnominal</t>
  </si>
  <si>
    <t>2020IDCapital ExpenditureValue of capital contributionsValue of capital contributionsconstant</t>
  </si>
  <si>
    <t>2020IDCapital ExpenditureValue of capital contributionsValue of capital contributionsnominal</t>
  </si>
  <si>
    <t>2020IDCapital ExpenditureValue of vested assetsValue of vested assetsconstant</t>
  </si>
  <si>
    <t>2020IDCapital ExpenditureValue of vested assetsValue of vested assetsnominal</t>
  </si>
  <si>
    <t>2020IDCapital ExpenditureAsset Replacement and RenewalAsset replacement and renewal expenditureconstant</t>
  </si>
  <si>
    <t>2020IDCapital ExpenditureAsset Replacement and RenewalAsset replacement and renewal expenditurenominal</t>
  </si>
  <si>
    <t>2020IDCapital ExpenditureAsset Replacement and RenewalAsset replacement and renewal less capital contributionsconstant</t>
  </si>
  <si>
    <t>2020IDCapital ExpenditureAsset Replacement and RenewalAsset replacement and renewal less capital contributionsnominal</t>
  </si>
  <si>
    <t>2020IDCapital ExpenditureAsset Replacement and RenewalCapital contributions funding asset replacement and renewalconstant</t>
  </si>
  <si>
    <t>2020IDCapital ExpenditureAsset Replacement and RenewalCapital contributions funding asset replacement and renewalnominal</t>
  </si>
  <si>
    <t>2020IDCapital ExpenditureAsset Replacement and RenewalIntermediate pressure - Line valveconstant</t>
  </si>
  <si>
    <t>2020IDCapital ExpenditureAsset Replacement and RenewalIntermediate pressure - Line valvenominal</t>
  </si>
  <si>
    <t>2020IDCapital ExpenditureAsset Replacement and RenewalIntermediate pressure - Main pipeconstant</t>
  </si>
  <si>
    <t>2020IDCapital ExpenditureAsset Replacement and RenewalIntermediate pressure - Main pipenominal</t>
  </si>
  <si>
    <t>2020IDCapital ExpenditureAsset Replacement and RenewalIntermediate pressure - Service pipeconstant</t>
  </si>
  <si>
    <t>2020IDCapital ExpenditureAsset Replacement and RenewalIntermediate pressure - Service pipenominal</t>
  </si>
  <si>
    <t>2020IDCapital ExpenditureAsset Replacement and RenewalIntermediate pressure - Special crossingsconstant</t>
  </si>
  <si>
    <t>2020IDCapital ExpenditureAsset Replacement and RenewalIntermediate pressure - Special crossingsnominal</t>
  </si>
  <si>
    <t>2020IDCapital ExpenditureAsset Replacement and RenewalIntermediate pressure - Stationsconstant</t>
  </si>
  <si>
    <t>2020IDCapital ExpenditureAsset Replacement and RenewalIntermediate pressure - Stationsnominal</t>
  </si>
  <si>
    <t>2020IDCapital ExpenditureAsset Replacement and RenewalIntermediate pressure -totalconstant</t>
  </si>
  <si>
    <t>2020IDCapital ExpenditureAsset Replacement and RenewalIntermediate pressure -totalnominal</t>
  </si>
  <si>
    <t>2020IDCapital ExpenditureAsset Replacement and RenewalLow pressure - Line valveconstant</t>
  </si>
  <si>
    <t>2020IDCapital ExpenditureAsset Replacement and RenewalLow pressure - Line valvenominal</t>
  </si>
  <si>
    <t>2020IDCapital ExpenditureAsset Replacement and RenewalLow pressure - Main pipeconstant</t>
  </si>
  <si>
    <t>2020IDCapital ExpenditureAsset Replacement and RenewalLow pressure - Main pipenominal</t>
  </si>
  <si>
    <t>2020IDCapital ExpenditureAsset Replacement and RenewalLow pressure - Service pipeconstant</t>
  </si>
  <si>
    <t>2020IDCapital ExpenditureAsset Replacement and RenewalLow pressure - Service pipenominal</t>
  </si>
  <si>
    <t>2020IDCapital ExpenditureAsset Replacement and RenewalLow pressure - Special crossingsconstant</t>
  </si>
  <si>
    <t>2020IDCapital ExpenditureAsset Replacement and RenewalLow pressure - Special crossingsnominal</t>
  </si>
  <si>
    <t>2020IDCapital ExpenditureAsset Replacement and RenewalLow pressure - totalconstant</t>
  </si>
  <si>
    <t>2020IDCapital ExpenditureAsset Replacement and RenewalLow pressure - totalnominal</t>
  </si>
  <si>
    <t>2020IDCapital ExpenditureAsset Replacement and RenewalMedium pressure - Line valveconstant</t>
  </si>
  <si>
    <t>2020IDCapital ExpenditureAsset Replacement and RenewalMedium pressure - Line valvenominal</t>
  </si>
  <si>
    <t>2020IDCapital ExpenditureAsset Replacement and RenewalMedium pressure - Main pipeconstant</t>
  </si>
  <si>
    <t>2020IDCapital ExpenditureAsset Replacement and RenewalMedium pressure - Main pipenominal</t>
  </si>
  <si>
    <t>2020IDCapital ExpenditureAsset Replacement and RenewalMedium pressure - Service pipeconstant</t>
  </si>
  <si>
    <t>2020IDCapital ExpenditureAsset Replacement and RenewalMedium pressure - Service pipenominal</t>
  </si>
  <si>
    <t>2020IDCapital ExpenditureAsset Replacement and RenewalMedium pressure - Special crossingsconstant</t>
  </si>
  <si>
    <t>2020IDCapital ExpenditureAsset Replacement and RenewalMedium pressure - Special crossingsnominal</t>
  </si>
  <si>
    <t>2020IDCapital ExpenditureAsset Replacement and RenewalMedium pressure - Stationsconstant</t>
  </si>
  <si>
    <t>2020IDCapital ExpenditureAsset Replacement and RenewalMedium pressure - Stationsnominal</t>
  </si>
  <si>
    <t>2020IDCapital ExpenditureAsset Replacement and RenewalMedium pressure - totalconstant</t>
  </si>
  <si>
    <t>2020IDCapital ExpenditureAsset Replacement and RenewalMedium pressure - totalnominal</t>
  </si>
  <si>
    <t>2020IDCapital ExpenditureAsset Replacement and RenewalOther network assets - Cathodic protection systemsconstant</t>
  </si>
  <si>
    <t>2020IDCapital ExpenditureAsset Replacement and RenewalOther network assets - Cathodic protection systemsnominal</t>
  </si>
  <si>
    <t>2020IDCapital ExpenditureAsset Replacement and RenewalOther network assets - Monitoring and control systemsconstant</t>
  </si>
  <si>
    <t>2020IDCapital ExpenditureAsset Replacement and RenewalOther network assets - Monitoring and control systemsnominal</t>
  </si>
  <si>
    <t>2020IDCapital ExpenditureAsset Replacement and RenewalOther network assets - Other assets (other than above)constant</t>
  </si>
  <si>
    <t>2020IDCapital ExpenditureAsset Replacement and RenewalOther network assets - Other assets (other than above)nominal</t>
  </si>
  <si>
    <t>2020IDCapital ExpenditureAsset Replacement and RenewalOther network assets - totalconstant</t>
  </si>
  <si>
    <t>2020IDCapital ExpenditureAsset Replacement and RenewalOther network assets - totalnominal</t>
  </si>
  <si>
    <t>2020IDCapital ExpenditureSystem GrowthCapital contributions funding system growthconstant</t>
  </si>
  <si>
    <t>2020IDCapital ExpenditureSystem GrowthCapital contributions funding system growthnominal</t>
  </si>
  <si>
    <t>2020IDCapital ExpenditureSystem GrowthIntermediate pressure - Line valveconstant</t>
  </si>
  <si>
    <t>2020IDCapital ExpenditureSystem GrowthIntermediate pressure - Line valvenominal</t>
  </si>
  <si>
    <t>2020IDCapital ExpenditureSystem GrowthIntermediate pressure - Main pipeconstant</t>
  </si>
  <si>
    <t>2020IDCapital ExpenditureSystem GrowthIntermediate pressure - Main pipenominal</t>
  </si>
  <si>
    <t>2020IDCapital ExpenditureSystem GrowthIntermediate pressure - Service pipeconstant</t>
  </si>
  <si>
    <t>2020IDCapital ExpenditureSystem GrowthIntermediate pressure - Service pipenominal</t>
  </si>
  <si>
    <t>2020IDCapital ExpenditureSystem GrowthIntermediate pressure - Special crossingsconstant</t>
  </si>
  <si>
    <t>2020IDCapital ExpenditureSystem GrowthIntermediate pressure - Special crossingsnominal</t>
  </si>
  <si>
    <t>2020IDCapital ExpenditureSystem GrowthIntermediate pressure - Stationsconstant</t>
  </si>
  <si>
    <t>2020IDCapital ExpenditureSystem GrowthIntermediate pressure - Stationsnominal</t>
  </si>
  <si>
    <t>2020IDCapital ExpenditureSystem GrowthIntermediate pressure -totalconstant</t>
  </si>
  <si>
    <t>2020IDCapital ExpenditureSystem GrowthIntermediate pressure -totalnominal</t>
  </si>
  <si>
    <t>2020IDCapital ExpenditureSystem GrowthLow pressure - Line valveconstant</t>
  </si>
  <si>
    <t>2020IDCapital ExpenditureSystem GrowthLow pressure - Line valvenominal</t>
  </si>
  <si>
    <t>2020IDCapital ExpenditureSystem GrowthLow pressure - Main pipeconstant</t>
  </si>
  <si>
    <t>2020IDCapital ExpenditureSystem GrowthLow pressure - Main pipenominal</t>
  </si>
  <si>
    <t>2020IDCapital ExpenditureSystem GrowthLow pressure - Service pipeconstant</t>
  </si>
  <si>
    <t>2020IDCapital ExpenditureSystem GrowthLow pressure - Service pipenominal</t>
  </si>
  <si>
    <t>2020IDCapital ExpenditureSystem GrowthLow pressure - Special crossingsconstant</t>
  </si>
  <si>
    <t>2020IDCapital ExpenditureSystem GrowthLow pressure - Special crossingsnominal</t>
  </si>
  <si>
    <t>2020IDCapital ExpenditureSystem GrowthLow pressure - totalconstant</t>
  </si>
  <si>
    <t>2020IDCapital ExpenditureSystem GrowthLow pressure - totalnominal</t>
  </si>
  <si>
    <t>2020IDCapital ExpenditureSystem GrowthMedium pressure - Line valveconstant</t>
  </si>
  <si>
    <t>2020IDCapital ExpenditureSystem GrowthMedium pressure - Line valvenominal</t>
  </si>
  <si>
    <t>2020IDCapital ExpenditureSystem GrowthMedium pressure - Main pipeconstant</t>
  </si>
  <si>
    <t>2020IDCapital ExpenditureSystem GrowthMedium pressure - Main pipenominal</t>
  </si>
  <si>
    <t>2020IDCapital ExpenditureSystem GrowthMedium pressure - Service pipeconstant</t>
  </si>
  <si>
    <t>2020IDCapital ExpenditureSystem GrowthMedium pressure - Service pipenominal</t>
  </si>
  <si>
    <t>2020IDCapital ExpenditureSystem GrowthMedium pressure - Special crossingsconstant</t>
  </si>
  <si>
    <t>2020IDCapital ExpenditureSystem GrowthMedium pressure - Special crossingsnominal</t>
  </si>
  <si>
    <t>2020IDCapital ExpenditureSystem GrowthMedium pressure - Stationsconstant</t>
  </si>
  <si>
    <t>2020IDCapital ExpenditureSystem GrowthMedium pressure - Stationsnominal</t>
  </si>
  <si>
    <t>2020IDCapital ExpenditureSystem GrowthMedium pressure - totalconstant</t>
  </si>
  <si>
    <t>2020IDCapital ExpenditureSystem GrowthMedium pressure - totalnominal</t>
  </si>
  <si>
    <t>2020IDCapital ExpenditureSystem GrowthOther network assets - Cathodic protection systemsconstant</t>
  </si>
  <si>
    <t>2020IDCapital ExpenditureSystem GrowthOther network assets - Cathodic protection systemsnominal</t>
  </si>
  <si>
    <t>2020IDCapital ExpenditureSystem GrowthOther network assets - Monitoring and control systemsconstant</t>
  </si>
  <si>
    <t>2020IDCapital ExpenditureSystem GrowthOther network assets - Monitoring and control systemsnominal</t>
  </si>
  <si>
    <t>2020IDCapital ExpenditureSystem GrowthOther network assets - Other assets (other than above)constant</t>
  </si>
  <si>
    <t>2020IDCapital ExpenditureSystem GrowthOther network assets - Other assets (other than above)nominal</t>
  </si>
  <si>
    <t>2020IDCapital ExpenditureSystem GrowthOther network assets - totalconstant</t>
  </si>
  <si>
    <t>2020IDCapital ExpenditureSystem GrowthOther network assets - totalnominal</t>
  </si>
  <si>
    <t>2020IDCapital ExpenditureSystem GrowthSystem growth expenditureconstant</t>
  </si>
  <si>
    <t>2020IDCapital ExpenditureSystem GrowthSystem growth expenditurenominal</t>
  </si>
  <si>
    <t>2020IDCapital ExpenditureSystem GrowthSystem growth less capital contributionsconstant</t>
  </si>
  <si>
    <t>2020IDCapital ExpenditureSystem GrowthSystem growth less capital contributionsnominal</t>
  </si>
  <si>
    <t>2020IDNetwork and DemandSystem lengthSystem lengthNA</t>
  </si>
  <si>
    <t>2020IDNetwork and DemandCustomer numbersNumber of ICPs at year endNA</t>
  </si>
  <si>
    <t>2020IDNetwork and DemandGas deliveredAverage daily deliveryNA</t>
  </si>
  <si>
    <t>2020IDNetwork and DemandGas deliveredLoad factorNA</t>
  </si>
  <si>
    <t>2020IDNetwork and DemandGas deliveredMaximum daily loadNA</t>
  </si>
  <si>
    <t>2020IDNetwork and DemandGas deliveredMaximum monthly loadNA</t>
  </si>
  <si>
    <t>2020IDNetwork and DemandGas deliveredNumber of directly billed ICPsNA</t>
  </si>
  <si>
    <t>2020IDNetwork and DemandGas deliveredTotal gas conveyedNA</t>
  </si>
  <si>
    <t>2020AMP2018Operating ExpenditureAsset replacement and renewalAsset replacement and renewalconstant</t>
  </si>
  <si>
    <t>2020AMP2017Operating ExpenditureAsset replacement and renewalAsset replacement and renewalconstant</t>
  </si>
  <si>
    <t>2020AMP2015Operating ExpenditureAsset replacement and renewalAsset replacement and renewalconstant</t>
  </si>
  <si>
    <t>2020AMP2014Operating ExpenditureAsset replacement and renewalAsset replacement and renewalconstant</t>
  </si>
  <si>
    <t>2020AMP2016Operating ExpenditureAsset replacement and renewalAsset replacement and renewalconstant</t>
  </si>
  <si>
    <t>2020AMP2020Operating ExpenditureAsset replacement and renewalAsset replacement and renewalconstant</t>
  </si>
  <si>
    <t>2020AMP2013Operating ExpenditureAsset replacement and renewalAsset replacement and renewalconstant</t>
  </si>
  <si>
    <t>2020AMP2019Operating ExpenditureAsset replacement and renewalAsset replacement and renewalconstant</t>
  </si>
  <si>
    <t>2020AMP2018Operating ExpenditureAsset replacement and renewalAsset replacement and renewalnominal</t>
  </si>
  <si>
    <t>2020AMP2015Operating ExpenditureAsset replacement and renewalAsset replacement and renewalnominal</t>
  </si>
  <si>
    <t>2020AMP2016Operating ExpenditureAsset replacement and renewalAsset replacement and renewalnominal</t>
  </si>
  <si>
    <t>2020AMP2013Operating ExpenditureAsset replacement and renewalAsset replacement and renewalnominal</t>
  </si>
  <si>
    <t>2020AMP2020Operating ExpenditureAsset replacement and renewalAsset replacement and renewalnominal</t>
  </si>
  <si>
    <t>2020AMP2014Operating ExpenditureAsset replacement and renewalAsset replacement and renewalnominal</t>
  </si>
  <si>
    <t>2020AMP2017Operating ExpenditureAsset replacement and renewalAsset replacement and renewalnominal</t>
  </si>
  <si>
    <t>2020AMP2019Operating ExpenditureAsset replacement and renewalAsset replacement and renewalnominal</t>
  </si>
  <si>
    <t>2020AMP2017Operating ExpenditureBusiness supportBusiness supportconstant</t>
  </si>
  <si>
    <t>2020AMP2015Operating ExpenditureBusiness supportBusiness supportconstant</t>
  </si>
  <si>
    <t>2020AMP2014Operating ExpenditureBusiness supportBusiness supportconstant</t>
  </si>
  <si>
    <t>2020AMP2020Operating ExpenditureBusiness supportBusiness supportconstant</t>
  </si>
  <si>
    <t>2020AMP2013Operating ExpenditureBusiness supportBusiness supportconstant</t>
  </si>
  <si>
    <t>2020AMP2019Operating ExpenditureBusiness supportBusiness supportconstant</t>
  </si>
  <si>
    <t>2020AMP2016Operating ExpenditureBusiness supportBusiness supportconstant</t>
  </si>
  <si>
    <t>2020AMP2018Operating ExpenditureBusiness supportBusiness supportconstant</t>
  </si>
  <si>
    <t>2020AMP2014Operating ExpenditureBusiness supportBusiness supportnominal</t>
  </si>
  <si>
    <t>2020AMP2013Operating ExpenditureBusiness supportBusiness supportnominal</t>
  </si>
  <si>
    <t>2020AMP2015Operating ExpenditureBusiness supportBusiness supportnominal</t>
  </si>
  <si>
    <t>2020AMP2020Operating ExpenditureBusiness supportBusiness supportnominal</t>
  </si>
  <si>
    <t>2020AMP2016Operating ExpenditureBusiness supportBusiness supportnominal</t>
  </si>
  <si>
    <t>2020AMP2018Operating ExpenditureBusiness supportBusiness supportnominal</t>
  </si>
  <si>
    <t>2020AMP2017Operating ExpenditureBusiness supportBusiness supportnominal</t>
  </si>
  <si>
    <t>2020AMP2019Operating ExpenditureBusiness supportBusiness supportnominal</t>
  </si>
  <si>
    <t>2020AMP2018Operating ExpenditureExpenditure on subcomponentsInsuranceconstant</t>
  </si>
  <si>
    <t>2020AMP2013Operating ExpenditureExpenditure on subcomponentsInsuranceconstant</t>
  </si>
  <si>
    <t>2020AMP2017Operating ExpenditureExpenditure on subcomponentsInsuranceconstant</t>
  </si>
  <si>
    <t>2020AMP2016Operating ExpenditureExpenditure on subcomponentsInsuranceconstant</t>
  </si>
  <si>
    <t>2020AMP2020Operating ExpenditureExpenditure on subcomponentsInsuranceconstant</t>
  </si>
  <si>
    <t>2020AMP2014Operating ExpenditureExpenditure on subcomponentsInsuranceconstant</t>
  </si>
  <si>
    <t>2020AMP2015Operating ExpenditureExpenditure on subcomponentsInsuranceconstant</t>
  </si>
  <si>
    <t>2020AMP2019Operating ExpenditureExpenditure on subcomponentsInsuranceconstant</t>
  </si>
  <si>
    <t>2020AMP2014Operating ExpenditureExpenditure on subcomponentsResearch and developmentconstant</t>
  </si>
  <si>
    <t>2020AMP2018Operating ExpenditureExpenditure on subcomponentsResearch and developmentconstant</t>
  </si>
  <si>
    <t>2020AMP2016Operating ExpenditureExpenditure on subcomponentsResearch and developmentconstant</t>
  </si>
  <si>
    <t>2020AMP2017Operating ExpenditureExpenditure on subcomponentsResearch and developmentconstant</t>
  </si>
  <si>
    <t>2020AMP2020Operating ExpenditureExpenditure on subcomponentsResearch and developmentconstant</t>
  </si>
  <si>
    <t>2020AMP2019Operating ExpenditureExpenditure on subcomponentsResearch and developmentconstant</t>
  </si>
  <si>
    <t>2020AMP2013Operating ExpenditureExpenditure on subcomponentsResearch and developmentconstant</t>
  </si>
  <si>
    <t>2020AMP2015Operating ExpenditureExpenditure on subcomponentsResearch and developmentconstant</t>
  </si>
  <si>
    <t>2020AMP2016Operating ExpenditureNetwork opexNetwork opexconstant</t>
  </si>
  <si>
    <t>2020AMP2020Operating ExpenditureNetwork opexNetwork opexconstant</t>
  </si>
  <si>
    <t>2020AMP2018Operating ExpenditureNetwork opexNetwork opexconstant</t>
  </si>
  <si>
    <t>2020AMP2017Operating ExpenditureNetwork opexNetwork opexconstant</t>
  </si>
  <si>
    <t>2020AMP2013Operating ExpenditureNetwork opexNetwork opexconstant</t>
  </si>
  <si>
    <t>2020AMP2019Operating ExpenditureNetwork opexNetwork opexconstant</t>
  </si>
  <si>
    <t>2020AMP2014Operating ExpenditureNetwork opexNetwork opexconstant</t>
  </si>
  <si>
    <t>2020AMP2015Operating ExpenditureNetwork opexNetwork opexconstant</t>
  </si>
  <si>
    <t>2020AMP2020Operating ExpenditureNetwork opexNetwork opexnominal</t>
  </si>
  <si>
    <t>2020AMP2014Operating ExpenditureNetwork opexNetwork opexnominal</t>
  </si>
  <si>
    <t>2020AMP2013Operating ExpenditureNetwork opexNetwork opexnominal</t>
  </si>
  <si>
    <t>2020AMP2015Operating ExpenditureNetwork opexNetwork opexnominal</t>
  </si>
  <si>
    <t>2020AMP2019Operating ExpenditureNetwork opexNetwork opexnominal</t>
  </si>
  <si>
    <t>2020AMP2018Operating ExpenditureNetwork opexNetwork opexnominal</t>
  </si>
  <si>
    <t>2020AMP2016Operating ExpenditureNetwork opexNetwork opexnominal</t>
  </si>
  <si>
    <t>2020AMP2017Operating ExpenditureNetwork opexNetwork opexnominal</t>
  </si>
  <si>
    <t>2020AMP2015Operating ExpenditureNon-network opexNon-network opexconstant</t>
  </si>
  <si>
    <t>2020AMP2014Operating ExpenditureNon-network opexNon-network opexconstant</t>
  </si>
  <si>
    <t>2020AMP2020Operating ExpenditureNon-network opexNon-network opexconstant</t>
  </si>
  <si>
    <t>2020AMP2013Operating ExpenditureNon-network opexNon-network opexconstant</t>
  </si>
  <si>
    <t>2020AMP2017Operating ExpenditureNon-network opexNon-network opexconstant</t>
  </si>
  <si>
    <t>2020AMP2019Operating ExpenditureNon-network opexNon-network opexconstant</t>
  </si>
  <si>
    <t>2020AMP2016Operating ExpenditureNon-network opexNon-network opexconstant</t>
  </si>
  <si>
    <t>2020AMP2018Operating ExpenditureNon-network opexNon-network opexconstant</t>
  </si>
  <si>
    <t>2020AMP2013Operating ExpenditureNon-network opexNon-network opexnominal</t>
  </si>
  <si>
    <t>2020AMP2015Operating ExpenditureNon-network opexNon-network opexnominal</t>
  </si>
  <si>
    <t>2020AMP2014Operating ExpenditureNon-network opexNon-network opexnominal</t>
  </si>
  <si>
    <t>2020AMP2020Operating ExpenditureNon-network opexNon-network opexnominal</t>
  </si>
  <si>
    <t>2020AMP2018Operating ExpenditureNon-network opexNon-network opexnominal</t>
  </si>
  <si>
    <t>2020AMP2017Operating ExpenditureNon-network opexNon-network opexnominal</t>
  </si>
  <si>
    <t>2020AMP2019Operating ExpenditureNon-network opexNon-network opexnominal</t>
  </si>
  <si>
    <t>2020AMP2016Operating ExpenditureNon-network opexNon-network opexnominal</t>
  </si>
  <si>
    <t>2020AMP2014Operating ExpenditureResearch and developmentResearch and developmentconstant</t>
  </si>
  <si>
    <t>2020AMP2020Operating ExpenditureResearch and developmentResearch and developmentconstant</t>
  </si>
  <si>
    <t>2020AMP2019Operating ExpenditureResearch and developmentResearch and developmentconstant</t>
  </si>
  <si>
    <t>2020AMP2018Operating ExpenditureResearch and developmentResearch and developmentconstant</t>
  </si>
  <si>
    <t>2020AMP2016Operating ExpenditureResearch and developmentResearch and developmentconstant</t>
  </si>
  <si>
    <t>2020AMP2015Operating ExpenditureResearch and developmentResearch and developmentconstant</t>
  </si>
  <si>
    <t>2020AMP2013Operating ExpenditureResearch and developmentResearch and developmentconstant</t>
  </si>
  <si>
    <t>2020AMP2017Operating ExpenditureResearch and developmentResearch and developmentconstant</t>
  </si>
  <si>
    <t>2020AMP2016Operating ExpenditureRoutine and corrective maintenance and inspectionRoutine and corrective maintenance and inspectionconstant</t>
  </si>
  <si>
    <t>2020AMP2013Operating ExpenditureRoutine and corrective maintenance and inspectionRoutine and corrective maintenance and inspectionconstant</t>
  </si>
  <si>
    <t>2020AMP2018Operating ExpenditureRoutine and corrective maintenance and inspectionRoutine and corrective maintenance and inspectionconstant</t>
  </si>
  <si>
    <t>2020AMP2017Operating ExpenditureRoutine and corrective maintenance and inspectionRoutine and corrective maintenance and inspectionconstant</t>
  </si>
  <si>
    <t>2020AMP2014Operating ExpenditureRoutine and corrective maintenance and inspectionRoutine and corrective maintenance and inspectionconstant</t>
  </si>
  <si>
    <t>2020AMP2019Operating ExpenditureRoutine and corrective maintenance and inspectionRoutine and corrective maintenance and inspectionconstant</t>
  </si>
  <si>
    <t>2020AMP2015Operating ExpenditureRoutine and corrective maintenance and inspectionRoutine and corrective maintenance and inspectionconstant</t>
  </si>
  <si>
    <t>2020AMP2020Operating ExpenditureRoutine and corrective maintenance and inspectionRoutine and corrective maintenance and inspectionconstant</t>
  </si>
  <si>
    <t>2020AMP2020Operating ExpenditureRoutine and corrective maintenance and inspectionRoutine and corrective maintenance and inspectionnominal</t>
  </si>
  <si>
    <t>2020AMP2017Operating ExpenditureRoutine and corrective maintenance and inspectionRoutine and corrective maintenance and inspectionnominal</t>
  </si>
  <si>
    <t>2020AMP2018Operating ExpenditureRoutine and corrective maintenance and inspectionRoutine and corrective maintenance and inspectionnominal</t>
  </si>
  <si>
    <t>2020AMP2014Operating ExpenditureRoutine and corrective maintenance and inspectionRoutine and corrective maintenance and inspectionnominal</t>
  </si>
  <si>
    <t>2020AMP2019Operating ExpenditureRoutine and corrective maintenance and inspectionRoutine and corrective maintenance and inspectionnominal</t>
  </si>
  <si>
    <t>2020AMP2013Operating ExpenditureRoutine and corrective maintenance and inspectionRoutine and corrective maintenance and inspectionnominal</t>
  </si>
  <si>
    <t>2020AMP2015Operating ExpenditureRoutine and corrective maintenance and inspectionRoutine and corrective maintenance and inspectionnominal</t>
  </si>
  <si>
    <t>2020AMP2016Operating ExpenditureRoutine and corrective maintenance and inspectionRoutine and corrective maintenance and inspectionnominal</t>
  </si>
  <si>
    <t>2020AMP2015Operating ExpenditureService interruptions, incidents and emergenciesService interruptions, incidents and emergenciesconstant</t>
  </si>
  <si>
    <t>2020AMP2018Operating ExpenditureService interruptions, incidents and emergenciesService interruptions, incidents and emergenciesconstant</t>
  </si>
  <si>
    <t>2020AMP2017Operating ExpenditureService interruptions, incidents and emergenciesService interruptions, incidents and emergenciesconstant</t>
  </si>
  <si>
    <t>2020AMP2020Operating ExpenditureService interruptions, incidents and emergenciesService interruptions, incidents and emergenciesconstant</t>
  </si>
  <si>
    <t>2020AMP2016Operating ExpenditureService interruptions, incidents and emergenciesService interruptions, incidents and emergenciesconstant</t>
  </si>
  <si>
    <t>2020AMP2014Operating ExpenditureService interruptions, incidents and emergenciesService interruptions, incidents and emergenciesconstant</t>
  </si>
  <si>
    <t>2020AMP2013Operating ExpenditureService interruptions, incidents and emergenciesService interruptions, incidents and emergenciesconstant</t>
  </si>
  <si>
    <t>2020AMP2019Operating ExpenditureService interruptions, incidents and emergenciesService interruptions, incidents and emergenciesconstant</t>
  </si>
  <si>
    <t>2020AMP2014Operating ExpenditureService interruptions, incidents and emergenciesService interruptions, incidents and emergenciesnominal</t>
  </si>
  <si>
    <t>2020AMP2020Operating ExpenditureService interruptions, incidents and emergenciesService interruptions, incidents and emergenciesnominal</t>
  </si>
  <si>
    <t>2020AMP2013Operating ExpenditureService interruptions, incidents and emergenciesService interruptions, incidents and emergenciesnominal</t>
  </si>
  <si>
    <t>2020AMP2018Operating ExpenditureService interruptions, incidents and emergenciesService interruptions, incidents and emergenciesnominal</t>
  </si>
  <si>
    <t>2020AMP2015Operating ExpenditureService interruptions, incidents and emergenciesService interruptions, incidents and emergenciesnominal</t>
  </si>
  <si>
    <t>2020AMP2017Operating ExpenditureService interruptions, incidents and emergenciesService interruptions, incidents and emergenciesnominal</t>
  </si>
  <si>
    <t>2020AMP2016Operating ExpenditureService interruptions, incidents and emergenciesService interruptions, incidents and emergenciesnominal</t>
  </si>
  <si>
    <t>2020AMP2019Operating ExpenditureService interruptions, incidents and emergenciesService interruptions, incidents and emergenciesnominal</t>
  </si>
  <si>
    <t>2020AMP2018Operating ExpenditureSystem operations and network supportSystem operations and network supportconstant</t>
  </si>
  <si>
    <t>2020AMP2017Operating ExpenditureSystem operations and network supportSystem operations and network supportconstant</t>
  </si>
  <si>
    <t>2020AMP2015Operating ExpenditureSystem operations and network supportSystem operations and network supportconstant</t>
  </si>
  <si>
    <t>2020AMP2014Operating ExpenditureSystem operations and network supportSystem operations and network supportconstant</t>
  </si>
  <si>
    <t>2020AMP2019Operating ExpenditureSystem operations and network supportSystem operations and network supportconstant</t>
  </si>
  <si>
    <t>2020AMP2013Operating ExpenditureSystem operations and network supportSystem operations and network supportconstant</t>
  </si>
  <si>
    <t>2020AMP2020Operating ExpenditureSystem operations and network supportSystem operations and network supportconstant</t>
  </si>
  <si>
    <t>2020AMP2016Operating ExpenditureSystem operations and network supportSystem operations and network supportconstant</t>
  </si>
  <si>
    <t>2020AMP2014Operating ExpenditureSystem operations and network supportSystem operations and network supportnominal</t>
  </si>
  <si>
    <t>2020AMP2017Operating ExpenditureSystem operations and network supportSystem operations and network supportnominal</t>
  </si>
  <si>
    <t>2020AMP2019Operating ExpenditureSystem operations and network supportSystem operations and network supportnominal</t>
  </si>
  <si>
    <t>2020AMP2013Operating ExpenditureSystem operations and network supportSystem operations and network supportnominal</t>
  </si>
  <si>
    <t>2020AMP2016Operating ExpenditureSystem operations and network supportSystem operations and network supportnominal</t>
  </si>
  <si>
    <t>2020AMP2015Operating ExpenditureSystem operations and network supportSystem operations and network supportnominal</t>
  </si>
  <si>
    <t>2020AMP2020Operating ExpenditureSystem operations and network supportSystem operations and network supportnominal</t>
  </si>
  <si>
    <t>2020AMP2018Operating ExpenditureSystem operations and network supportSystem operations and network supportnominal</t>
  </si>
  <si>
    <t>2020AMP2013Operating ExpenditureTotal opexOperational expenditureconstant</t>
  </si>
  <si>
    <t>2020AMP2019Operating ExpenditureTotal opexOperational expenditureconstant</t>
  </si>
  <si>
    <t>2020AMP2016Operating ExpenditureTotal opexOperational expenditureconstant</t>
  </si>
  <si>
    <t>2020AMP2014Operating ExpenditureTotal opexOperational expenditureconstant</t>
  </si>
  <si>
    <t>2020AMP2015Operating ExpenditureTotal opexOperational expenditureconstant</t>
  </si>
  <si>
    <t>2020AMP2018Operating ExpenditureTotal opexOperational expenditureconstant</t>
  </si>
  <si>
    <t>2020AMP2017Operating ExpenditureTotal opexOperational expenditureconstant</t>
  </si>
  <si>
    <t>2020AMP2020Operating ExpenditureTotal opexOperational expenditureconstant</t>
  </si>
  <si>
    <t>2020AMP2016Operating ExpenditureTotal opexOperational expenditurenominal</t>
  </si>
  <si>
    <t>2020AMP2017Operating ExpenditureTotal opexOperational expenditurenominal</t>
  </si>
  <si>
    <t>2020AMP2019Operating ExpenditureTotal opexOperational expenditurenominal</t>
  </si>
  <si>
    <t>2020AMP2018Operating ExpenditureTotal opexOperational expenditurenominal</t>
  </si>
  <si>
    <t>2020AMP2014Operating ExpenditureTotal opexOperational expenditurenominal</t>
  </si>
  <si>
    <t>2020AMP2020Operating ExpenditureTotal opexOperational expenditurenominal</t>
  </si>
  <si>
    <t>2020AMP2013Operating ExpenditureTotal opexOperational expenditurenominal</t>
  </si>
  <si>
    <t>2020AMP2015Operating ExpenditureTotal opexOperational expenditurenominal</t>
  </si>
  <si>
    <t>2020IDOperating ExpenditureAsset replacement and renewalAsset replacement and renewalconstant</t>
  </si>
  <si>
    <t>2020IDOperating ExpenditureAsset replacement and renewalAsset replacement and renewalnominal</t>
  </si>
  <si>
    <t>2020IDOperating ExpenditureBusiness supportBusiness supportconstant</t>
  </si>
  <si>
    <t>2020IDOperating ExpenditureBusiness supportBusiness supportnominal</t>
  </si>
  <si>
    <t>2020IDOperating ExpenditureNetwork opexNetwork opexconstant</t>
  </si>
  <si>
    <t>2020IDOperating ExpenditureNetwork opexNetwork opexnominal</t>
  </si>
  <si>
    <t>2020IDOperating ExpenditureNon-network opexNon-network opexconstant</t>
  </si>
  <si>
    <t>2020IDOperating ExpenditureNon-network opexNon-network opexnominal</t>
  </si>
  <si>
    <t>2020IDOperating ExpenditureRoutine and corrective maintenance and inspectionRoutine and corrective maintenance and inspectionconstant</t>
  </si>
  <si>
    <t>2020IDOperating ExpenditureRoutine and corrective maintenance and inspectionRoutine and corrective maintenance and inspectionnominal</t>
  </si>
  <si>
    <t>2020IDOperating ExpenditureService interruptions, incidents and emergenciesService interruptions, incidents and emergenciesconstant</t>
  </si>
  <si>
    <t>2020IDOperating ExpenditureService interruptions, incidents and emergenciesService interruptions, incidents and emergenciesnominal</t>
  </si>
  <si>
    <t>2020IDOperating ExpenditureSystem operations and network supportSystem operations and network supportconstant</t>
  </si>
  <si>
    <t>2020IDOperating ExpenditureSystem operations and network supportSystem operations and network supportnominal</t>
  </si>
  <si>
    <t>2020IDOperating ExpenditureTotal opexOperational expenditureconstant</t>
  </si>
  <si>
    <t>2020IDOperating ExpenditureTotal opexOperational expenditurenominal</t>
  </si>
  <si>
    <t>2020IDOther dataRelated party transactionsAsset relocationsconstant</t>
  </si>
  <si>
    <t>2020IDOther dataRelated party transactionsAsset relocationsnominal</t>
  </si>
  <si>
    <t>2020IDOther dataRelated party transactionsAsset replacement and renewal (capex)constant</t>
  </si>
  <si>
    <t>2020IDOther dataRelated party transactionsAsset replacement and renewal (capex)nominal</t>
  </si>
  <si>
    <t>2020IDOther dataRelated party transactionsAsset replacement and renewal (opex)constant</t>
  </si>
  <si>
    <t>2020IDOther dataRelated party transactionsAsset replacement and renewal (opex)nominal</t>
  </si>
  <si>
    <t>2020IDOther dataRelated party transactionsBusiness supportconstant</t>
  </si>
  <si>
    <t>2020IDOther dataRelated party transactionsBusiness supportnominal</t>
  </si>
  <si>
    <t>2020IDOther dataRelated party transactionsCapital expenditureconstant</t>
  </si>
  <si>
    <t>2020IDOther dataRelated party transactionsCapital expenditurenominal</t>
  </si>
  <si>
    <t>2020IDOther dataRelated party transactionsConsumer connectionconstant</t>
  </si>
  <si>
    <t>2020IDOther dataRelated party transactionsConsumer connectionnominal</t>
  </si>
  <si>
    <t>2020IDOther dataRelated party transactionsCost of financingconstant</t>
  </si>
  <si>
    <t>2020IDOther dataRelated party transactionsCost of financingnominal</t>
  </si>
  <si>
    <t>2020IDOther dataRelated party transactionsExpenditure on assetsconstant</t>
  </si>
  <si>
    <t>2020IDOther dataRelated party transactionsExpenditure on assetsnominal</t>
  </si>
  <si>
    <t>2020IDOther dataRelated party transactionsLegislative and regulatoryconstant</t>
  </si>
  <si>
    <t>2020IDOther dataRelated party transactionsLegislative and regulatorynominal</t>
  </si>
  <si>
    <t>2020IDOther dataRelated party transactionsMarket value of asset disposalsconstant</t>
  </si>
  <si>
    <t>2020IDOther dataRelated party transactionsMarket value of asset disposalsnominal</t>
  </si>
  <si>
    <t>2020IDOther dataRelated party transactionsNetwork opexconstant</t>
  </si>
  <si>
    <t>2020IDOther dataRelated party transactionsNetwork opexnominal</t>
  </si>
  <si>
    <t>2020IDOther dataRelated party transactionsNon-network assetsconstant</t>
  </si>
  <si>
    <t>2020IDOther dataRelated party transactionsNon-network assetsnominal</t>
  </si>
  <si>
    <t>2020IDOther dataRelated party transactionsOperational expenditureconstant</t>
  </si>
  <si>
    <t>2020IDOther dataRelated party transactionsOperational expenditurenominal</t>
  </si>
  <si>
    <t>2020IDOther dataRelated party transactionsOther related party transactionsconstant</t>
  </si>
  <si>
    <t>2020IDOther dataRelated party transactionsOther related party transactionsnominal</t>
  </si>
  <si>
    <t>2020IDOther dataRelated party transactionsOther reliability, safety and environmentconstant</t>
  </si>
  <si>
    <t>2020IDOther dataRelated party transactionsOther reliability, safety and environmentnominal</t>
  </si>
  <si>
    <t>2020IDOther dataRelated party transactionsQuality of supplyconstant</t>
  </si>
  <si>
    <t>2020IDOther dataRelated party transactionsQuality of supplynominal</t>
  </si>
  <si>
    <t>2020IDOther dataRelated party transactionsRoutine and corrective maintenance and inspectionconstant</t>
  </si>
  <si>
    <t>2020IDOther dataRelated party transactionsRoutine and corrective maintenance and inspectionnominal</t>
  </si>
  <si>
    <t>2020IDOther dataRelated party transactionsService interruptions, incidents and emergenciesconstant</t>
  </si>
  <si>
    <t>2020IDOther dataRelated party transactionsService interruptions, incidents and emergenciesnominal</t>
  </si>
  <si>
    <t>2020IDOther dataRelated party transactionsSystem growthconstant</t>
  </si>
  <si>
    <t>2020IDOther dataRelated party transactionsSystem growthnominal</t>
  </si>
  <si>
    <t>2020IDOther dataRelated party transactionsSystem operations and network supportconstant</t>
  </si>
  <si>
    <t>2020IDOther dataRelated party transactionsSystem operations and network supportnominal</t>
  </si>
  <si>
    <t>2020IDOther dataRelated party transactionsTotal expenditureconstant</t>
  </si>
  <si>
    <t>2020IDOther dataRelated party transactionsTotal expenditurenominal</t>
  </si>
  <si>
    <t>2020IDOther dataRelated party transactionsTotal regulatory incomeconstant</t>
  </si>
  <si>
    <t>2020IDOther dataRelated party transactionsTotal regulatory incomenominal</t>
  </si>
  <si>
    <t>2020IDOther dataRelated party transactionsValue of capital contributionsconstant</t>
  </si>
  <si>
    <t>2020IDOther dataRelated party transactionsValue of capital contributionsnominal</t>
  </si>
  <si>
    <t>2020IDOther dataRelated party transactionsValue of vested assetsconstant</t>
  </si>
  <si>
    <t>2020IDOther dataRelated party transactionsValue of vested assetsnominal</t>
  </si>
  <si>
    <t>2020IDRAB valueTotal closing RAB valueIntermediate pressure main pipelinesconstant</t>
  </si>
  <si>
    <t>2020IDRAB valueTotal closing RAB valueLine valveconstant</t>
  </si>
  <si>
    <t>2020IDRAB valueTotal closing RAB valueLow pressure main pipelinesconstant</t>
  </si>
  <si>
    <t>2020IDRAB valueTotal closing RAB valueMedium pressure main pipelinesconstant</t>
  </si>
  <si>
    <t>2020IDRAB valueTotal closing RAB valueOther network assetsconstant</t>
  </si>
  <si>
    <t>2020IDRAB valueTotal closing RAB valueService pipeconstant</t>
  </si>
  <si>
    <t>2020IDRAB valueTotal closing RAB valueSpecial crossingsconstant</t>
  </si>
  <si>
    <t>2020IDRAB valueTotal closing RAB valueStationsconstant</t>
  </si>
  <si>
    <t>2020IDRAB valueTotal closing RAB valueTotalconstant</t>
  </si>
  <si>
    <t>2020IDReliabilityInterruption rateInterruptions per 100 circuit kmNA</t>
  </si>
  <si>
    <t>2020IDReliabilityInterruptionsClass BNA</t>
  </si>
  <si>
    <t>2020IDReliabilityInterruptionsClass CNA</t>
  </si>
  <si>
    <t>2020IDReliabilityCAIDIAll interruptionsNA</t>
  </si>
  <si>
    <t>2020IDReliabilityCAIDIClass INA</t>
  </si>
  <si>
    <t>2020IDReliabilitySAIDIAll interruptionsNA</t>
  </si>
  <si>
    <t>2020IDReliabilitySAIDIClass INA</t>
  </si>
  <si>
    <t>2020IDReliabilitySAIFIAll interruptionsNA</t>
  </si>
  <si>
    <t>2020IDReliabilitySAIFIClass INA</t>
  </si>
  <si>
    <t>2020IDRevenue and ProfitabilityReturn on investmentReturn on Investment (post tax)NA</t>
  </si>
  <si>
    <t>2020IDRevenue and ProfitabilityReturn on investmentReturn on Investment (vanilla)NA</t>
  </si>
  <si>
    <t>2020IDRevenue and ProfitabilityExpensesOperational expenditureconstant</t>
  </si>
  <si>
    <t>2020IDRevenue and ProfitabilityExpensesOperational expenditurenominal</t>
  </si>
  <si>
    <t>2020IDRevenue and ProfitabilityExpensesPass-through and recoverable costsconstant</t>
  </si>
  <si>
    <t>2020IDRevenue and ProfitabilityExpensesPass-through and recoverable costsnominal</t>
  </si>
  <si>
    <t>2020IDRevenue and ProfitabilityOperating surplus / (deficit)Operating surplus / (deficit)constant</t>
  </si>
  <si>
    <t>2020IDRevenue and ProfitabilityOperating surplus / (deficit)Operating surplus / (deficit)nominal</t>
  </si>
  <si>
    <t>2020IDRevenue and ProfitabilityRegulatory profit / (loss)Regulatory profit / (loss)constant</t>
  </si>
  <si>
    <t>2020IDRevenue and ProfitabilityRegulatory profit / (loss)Regulatory profit / (loss)nominal</t>
  </si>
  <si>
    <t>2020IDRevenue and ProfitabilityRegulatory profit / (loss) before taxRegulatory profit / (loss) before taxconstant</t>
  </si>
  <si>
    <t>2020IDRevenue and ProfitabilityRegulatory profit / (loss) before taxRegulatory profit / (loss) before taxnominal</t>
  </si>
  <si>
    <t>2020IDRevenue and ProfitabilityTaxRegulatory tax allowanceconstant</t>
  </si>
  <si>
    <t>2020IDRevenue and ProfitabilityTaxRegulatory tax allowancenominal</t>
  </si>
  <si>
    <t>2020IDRevenue and ProfitabilityTerm credit spread differentialTerm credit spread differential allowanceconstant</t>
  </si>
  <si>
    <t>2020IDRevenue and ProfitabilityTerm credit spread differentialTerm credit spread differential allowancenominal</t>
  </si>
  <si>
    <t>2020IDRevenue and ProfitabilityTotal regulatory incomeGains / (losses) on asset disposalsconstant</t>
  </si>
  <si>
    <t>2020IDRevenue and ProfitabilityTotal regulatory incomeGains / (losses) on asset disposalsnominal</t>
  </si>
  <si>
    <t>2020IDRevenue and ProfitabilityTotal regulatory incomeLine charge revenueconstant</t>
  </si>
  <si>
    <t>2020IDRevenue and ProfitabilityTotal regulatory incomeLine charge revenuenominal</t>
  </si>
  <si>
    <t>2020IDRevenue and ProfitabilityTotal regulatory incomeOther regulatory incomeconstant</t>
  </si>
  <si>
    <t>2020IDRevenue and ProfitabilityTotal regulatory incomeOther regulatory incomenominal</t>
  </si>
  <si>
    <t>2020IDRevenue and ProfitabilityTotal regulatory incomeTotal regulatory incomeconstant</t>
  </si>
  <si>
    <t>2020IDRevenue and ProfitabilityTotal regulatory incomeTotal regulatory incomenominal</t>
  </si>
  <si>
    <t>2020IDRevenue and ProfitabilityAdjustment resulting from asset allocationAdjustment resulting from asset allocationconstant</t>
  </si>
  <si>
    <t>2020IDRevenue and ProfitabilityAdjustment resulting from asset allocationAdjustment resulting from asset allocationnominal</t>
  </si>
  <si>
    <t>2020IDRevenue and ProfitabilityAsset disposalsAsset disposalsconstant</t>
  </si>
  <si>
    <t>2020IDRevenue and ProfitabilityAsset disposalsAsset disposalsnominal</t>
  </si>
  <si>
    <t>2020IDRevenue and ProfitabilityAsset valueTotal depreciationconstant</t>
  </si>
  <si>
    <t>2020IDRevenue and ProfitabilityAsset valueTotal depreciationnominal</t>
  </si>
  <si>
    <t>2020IDRevenue and ProfitabilityAsset valueTotal revaluationsconstant</t>
  </si>
  <si>
    <t>2020IDRevenue and ProfitabilityAsset valueTotal revaluationsnominal</t>
  </si>
  <si>
    <t>2020IDRevenue and ProfitabilityAssets commissionedAssets commissionedconstant</t>
  </si>
  <si>
    <t>2020IDRevenue and ProfitabilityAssets commissionedAssets commissionednominal</t>
  </si>
  <si>
    <t>2020IDRevenue and ProfitabilityLost and found assets adjustmentLost and found assets adjustmentconstant</t>
  </si>
  <si>
    <t>2020IDRevenue and ProfitabilityLost and found assets adjustmentLost and found assets adjustmentnominal</t>
  </si>
  <si>
    <t>2020IDRevenue and ProfitabilityTotal closing RAB valueTotal closing RAB valueconstant</t>
  </si>
  <si>
    <t>2020IDRevenue and ProfitabilityTotal closing RAB valueTotal closing RAB valuenominal</t>
  </si>
  <si>
    <t>2020IDRevenue and ProfitabilityTotal opening RAB valueTotal opening RAB valueconstant</t>
  </si>
  <si>
    <t>2020IDRevenue and ProfitabilityTotal opening RAB valueTotal opening RAB valuenominal</t>
  </si>
  <si>
    <t>2021AMP2015Capital ExpenditureAll assetsExpenditure on assetsconstant</t>
  </si>
  <si>
    <t>2021AMP2018Capital ExpenditureAll assetsExpenditure on assetsconstant</t>
  </si>
  <si>
    <t>2021AMP2014Capital ExpenditureAll assetsExpenditure on assetsconstant</t>
  </si>
  <si>
    <t>2021AMP2016Capital ExpenditureAll assetsExpenditure on assetsconstant</t>
  </si>
  <si>
    <t>2021AMP2019Capital ExpenditureAll assetsExpenditure on assetsconstant</t>
  </si>
  <si>
    <t>2021AMP2013Capital ExpenditureAll assetsExpenditure on assetsconstant</t>
  </si>
  <si>
    <t>2021AMP2017Capital ExpenditureAll assetsExpenditure on assetsconstant</t>
  </si>
  <si>
    <t>2021AMP2020Capital ExpenditureAll assetsExpenditure on assetsconstant</t>
  </si>
  <si>
    <t>2021AMP2021Capital ExpenditureAll assetsExpenditure on assetsconstant</t>
  </si>
  <si>
    <t>2021AMP2016Capital ExpenditureAll assetsExpenditure on assetsnominal</t>
  </si>
  <si>
    <t>2021AMP2021Capital ExpenditureAll assetsExpenditure on assetsnominal</t>
  </si>
  <si>
    <t>2021AMP2017Capital ExpenditureAll assetsExpenditure on assetsnominal</t>
  </si>
  <si>
    <t>2021AMP2015Capital ExpenditureAll assetsExpenditure on assetsnominal</t>
  </si>
  <si>
    <t>2021AMP2013Capital ExpenditureAll assetsExpenditure on assetsnominal</t>
  </si>
  <si>
    <t>2021AMP2020Capital ExpenditureAll assetsExpenditure on assetsnominal</t>
  </si>
  <si>
    <t>2021AMP2019Capital ExpenditureAll assetsExpenditure on assetsnominal</t>
  </si>
  <si>
    <t>2021AMP2014Capital ExpenditureAll assetsExpenditure on assetsnominal</t>
  </si>
  <si>
    <t>2021AMP2018Capital ExpenditureAll assetsExpenditure on assetsnominal</t>
  </si>
  <si>
    <t>2021AMP2014Capital ExpenditureAsset relocationsAsset relocationsconstant</t>
  </si>
  <si>
    <t>2021AMP2013Capital ExpenditureAsset relocationsAsset relocationsconstant</t>
  </si>
  <si>
    <t>2021AMP2017Capital ExpenditureAsset relocationsAsset relocationsconstant</t>
  </si>
  <si>
    <t>2021AMP2021Capital ExpenditureAsset relocationsAsset relocationsconstant</t>
  </si>
  <si>
    <t>2021AMP2018Capital ExpenditureAsset relocationsAsset relocationsconstant</t>
  </si>
  <si>
    <t>2021AMP2015Capital ExpenditureAsset relocationsAsset relocationsconstant</t>
  </si>
  <si>
    <t>2021AMP2020Capital ExpenditureAsset relocationsAsset relocationsconstant</t>
  </si>
  <si>
    <t>2021AMP2016Capital ExpenditureAsset relocationsAsset relocationsconstant</t>
  </si>
  <si>
    <t>2021AMP2019Capital ExpenditureAsset relocationsAsset relocationsconstant</t>
  </si>
  <si>
    <t>2021AMP2019Capital ExpenditureAsset relocationsAsset relocationsnominal</t>
  </si>
  <si>
    <t>2021AMP2013Capital ExpenditureAsset relocationsAsset relocationsnominal</t>
  </si>
  <si>
    <t>2021AMP2021Capital ExpenditureAsset relocationsAsset relocationsnominal</t>
  </si>
  <si>
    <t>2021AMP2018Capital ExpenditureAsset relocationsAsset relocationsnominal</t>
  </si>
  <si>
    <t>2021AMP2016Capital ExpenditureAsset relocationsAsset relocationsnominal</t>
  </si>
  <si>
    <t>2021AMP2014Capital ExpenditureAsset relocationsAsset relocationsnominal</t>
  </si>
  <si>
    <t>2021AMP2017Capital ExpenditureAsset relocationsAsset relocationsnominal</t>
  </si>
  <si>
    <t>2021AMP2020Capital ExpenditureAsset relocationsAsset relocationsnominal</t>
  </si>
  <si>
    <t>2021AMP2015Capital ExpenditureAsset relocationsAsset relocationsnominal</t>
  </si>
  <si>
    <t>2021AMP2014Capital ExpenditureAsset replacement and renewalAsset replacement and renewalconstant</t>
  </si>
  <si>
    <t>2021AMP2018Capital ExpenditureAsset replacement and renewalAsset replacement and renewalconstant</t>
  </si>
  <si>
    <t>2021AMP2017Capital ExpenditureAsset replacement and renewalAsset replacement and renewalconstant</t>
  </si>
  <si>
    <t>2021AMP2021Capital ExpenditureAsset replacement and renewalAsset replacement and renewalconstant</t>
  </si>
  <si>
    <t>2021AMP2013Capital ExpenditureAsset replacement and renewalAsset replacement and renewalconstant</t>
  </si>
  <si>
    <t>2021AMP2016Capital ExpenditureAsset replacement and renewalAsset replacement and renewalconstant</t>
  </si>
  <si>
    <t>2021AMP2015Capital ExpenditureAsset replacement and renewalAsset replacement and renewalconstant</t>
  </si>
  <si>
    <t>2021AMP2020Capital ExpenditureAsset replacement and renewalAsset replacement and renewalconstant</t>
  </si>
  <si>
    <t>2021AMP2019Capital ExpenditureAsset replacement and renewalAsset replacement and renewalconstant</t>
  </si>
  <si>
    <t>2021AMP2020Capital ExpenditureAsset replacement and renewalAsset replacement and renewalnominal</t>
  </si>
  <si>
    <t>2021AMP2014Capital ExpenditureAsset replacement and renewalAsset replacement and renewalnominal</t>
  </si>
  <si>
    <t>2021AMP2013Capital ExpenditureAsset replacement and renewalAsset replacement and renewalnominal</t>
  </si>
  <si>
    <t>2021AMP2019Capital ExpenditureAsset replacement and renewalAsset replacement and renewalnominal</t>
  </si>
  <si>
    <t>2021AMP2015Capital ExpenditureAsset replacement and renewalAsset replacement and renewalnominal</t>
  </si>
  <si>
    <t>2021AMP2017Capital ExpenditureAsset replacement and renewalAsset replacement and renewalnominal</t>
  </si>
  <si>
    <t>2021AMP2021Capital ExpenditureAsset replacement and renewalAsset replacement and renewalnominal</t>
  </si>
  <si>
    <t>2021AMP2018Capital ExpenditureAsset replacement and renewalAsset replacement and renewalnominal</t>
  </si>
  <si>
    <t>2021AMP2016Capital ExpenditureAsset replacement and renewalAsset replacement and renewalnominal</t>
  </si>
  <si>
    <t>2021AMP2021Capital ExpenditureAssets commissionedAssets commissionednominal</t>
  </si>
  <si>
    <t>2021AMP2018Capital ExpenditureAssets commissionedAssets commissionednominal</t>
  </si>
  <si>
    <t>2021AMP2016Capital ExpenditureAssets commissionedAssets commissionednominal</t>
  </si>
  <si>
    <t>2021AMP2019Capital ExpenditureAssets commissionedAssets commissionednominal</t>
  </si>
  <si>
    <t>2021AMP2017Capital ExpenditureAssets commissionedAssets commissionednominal</t>
  </si>
  <si>
    <t>2021AMP2015Capital ExpenditureAssets commissionedAssets commissionednominal</t>
  </si>
  <si>
    <t>2021AMP2020Capital ExpenditureAssets commissionedAssets commissionednominal</t>
  </si>
  <si>
    <t>2021AMP2020Capital ExpenditureCapital expenditure forecastCapital expenditure forecastnominal</t>
  </si>
  <si>
    <t>2021AMP2017Capital ExpenditureCapital expenditure forecastCapital expenditure forecastnominal</t>
  </si>
  <si>
    <t>2021AMP2015Capital ExpenditureCapital expenditure forecastCapital expenditure forecastnominal</t>
  </si>
  <si>
    <t>2021AMP2018Capital ExpenditureCapital expenditure forecastCapital expenditure forecastnominal</t>
  </si>
  <si>
    <t>2021AMP2016Capital ExpenditureCapital expenditure forecastCapital expenditure forecastnominal</t>
  </si>
  <si>
    <t>2021AMP2019Capital ExpenditureCapital expenditure forecastCapital expenditure forecastnominal</t>
  </si>
  <si>
    <t>2021AMP2021Capital ExpenditureCapital expenditure forecastCapital expenditure forecastnominal</t>
  </si>
  <si>
    <t>2021AMP2013Capital ExpenditureCapital expenditure forecastCapital expenditure forecastnominal</t>
  </si>
  <si>
    <t>2021AMP2014Capital ExpenditureCapital expenditure forecastCapital expenditure forecastnominal</t>
  </si>
  <si>
    <t>2021AMP2020Capital ExpenditureConsumer connectionConsumer connectionconstant</t>
  </si>
  <si>
    <t>2021AMP2016Capital ExpenditureConsumer connectionConsumer connectionconstant</t>
  </si>
  <si>
    <t>2021AMP2018Capital ExpenditureConsumer connectionConsumer connectionconstant</t>
  </si>
  <si>
    <t>2021AMP2013Capital ExpenditureConsumer connectionConsumer connectionconstant</t>
  </si>
  <si>
    <t>2021AMP2017Capital ExpenditureConsumer connectionConsumer connectionconstant</t>
  </si>
  <si>
    <t>2021AMP2021Capital ExpenditureConsumer connectionConsumer connectionconstant</t>
  </si>
  <si>
    <t>2021AMP2014Capital ExpenditureConsumer connectionConsumer connectionconstant</t>
  </si>
  <si>
    <t>2021AMP2015Capital ExpenditureConsumer connectionConsumer connectionconstant</t>
  </si>
  <si>
    <t>2021AMP2019Capital ExpenditureConsumer connectionConsumer connectionconstant</t>
  </si>
  <si>
    <t>2021AMP2015Capital ExpenditureConsumer connectionConsumer connectionnominal</t>
  </si>
  <si>
    <t>2021AMP2017Capital ExpenditureConsumer connectionConsumer connectionnominal</t>
  </si>
  <si>
    <t>2021AMP2020Capital ExpenditureConsumer connectionConsumer connectionnominal</t>
  </si>
  <si>
    <t>2021AMP2016Capital ExpenditureConsumer connectionConsumer connectionnominal</t>
  </si>
  <si>
    <t>2021AMP2021Capital ExpenditureConsumer connectionConsumer connectionnominal</t>
  </si>
  <si>
    <t>2021AMP2018Capital ExpenditureConsumer connectionConsumer connectionnominal</t>
  </si>
  <si>
    <t>2021AMP2013Capital ExpenditureConsumer connectionConsumer connectionnominal</t>
  </si>
  <si>
    <t>2021AMP2014Capital ExpenditureConsumer connectionConsumer connectionnominal</t>
  </si>
  <si>
    <t>2021AMP2019Capital ExpenditureConsumer connectionConsumer connectionnominal</t>
  </si>
  <si>
    <t>2021AMP2013Capital ExpenditureCost of financingCost of financingnominal</t>
  </si>
  <si>
    <t>2021AMP2014Capital ExpenditureCost of financingCost of financingnominal</t>
  </si>
  <si>
    <t>2021AMP2021Capital ExpenditureCost of financingCost of financingnominal</t>
  </si>
  <si>
    <t>2021AMP2020Capital ExpenditureCost of financingCost of financingnominal</t>
  </si>
  <si>
    <t>2021AMP2016Capital ExpenditureCost of financingCost of financingnominal</t>
  </si>
  <si>
    <t>2021AMP2018Capital ExpenditureCost of financingCost of financingnominal</t>
  </si>
  <si>
    <t>2021AMP2015Capital ExpenditureCost of financingCost of financingnominal</t>
  </si>
  <si>
    <t>2021AMP2019Capital ExpenditureCost of financingCost of financingnominal</t>
  </si>
  <si>
    <t>2021AMP2017Capital ExpenditureCost of financingCost of financingnominal</t>
  </si>
  <si>
    <t>2021AMP2019Capital ExpenditureExpenditure on subcomponentsResearch and developmentconstant</t>
  </si>
  <si>
    <t>2021AMP2013Capital ExpenditureExpenditure on subcomponentsResearch and developmentconstant</t>
  </si>
  <si>
    <t>2021AMP2016Capital ExpenditureExpenditure on subcomponentsResearch and developmentconstant</t>
  </si>
  <si>
    <t>2021AMP2020Capital ExpenditureExpenditure on subcomponentsResearch and developmentconstant</t>
  </si>
  <si>
    <t>2021AMP2015Capital ExpenditureExpenditure on subcomponentsResearch and developmentconstant</t>
  </si>
  <si>
    <t>2021AMP2018Capital ExpenditureExpenditure on subcomponentsResearch and developmentconstant</t>
  </si>
  <si>
    <t>2021AMP2017Capital ExpenditureExpenditure on subcomponentsResearch and developmentconstant</t>
  </si>
  <si>
    <t>2021AMP2021Capital ExpenditureExpenditure on subcomponentsResearch and developmentconstant</t>
  </si>
  <si>
    <t>2021AMP2014Capital ExpenditureExpenditure on subcomponentsResearch and developmentconstant</t>
  </si>
  <si>
    <t>2021AMP2015Capital ExpenditureNetwork assetsExpenditure on network assetsconstant</t>
  </si>
  <si>
    <t>2021AMP2019Capital ExpenditureNetwork assetsExpenditure on network assetsconstant</t>
  </si>
  <si>
    <t>2021AMP2013Capital ExpenditureNetwork assetsExpenditure on network assetsconstant</t>
  </si>
  <si>
    <t>2021AMP2017Capital ExpenditureNetwork assetsExpenditure on network assetsconstant</t>
  </si>
  <si>
    <t>2021AMP2020Capital ExpenditureNetwork assetsExpenditure on network assetsconstant</t>
  </si>
  <si>
    <t>2021AMP2018Capital ExpenditureNetwork assetsExpenditure on network assetsconstant</t>
  </si>
  <si>
    <t>2021AMP2014Capital ExpenditureNetwork assetsExpenditure on network assetsconstant</t>
  </si>
  <si>
    <t>2021AMP2021Capital ExpenditureNetwork assetsExpenditure on network assetsconstant</t>
  </si>
  <si>
    <t>2021AMP2016Capital ExpenditureNetwork assetsExpenditure on network assetsconstant</t>
  </si>
  <si>
    <t>2021AMP2014Capital ExpenditureNetwork assetsExpenditure on network assetsnominal</t>
  </si>
  <si>
    <t>2021AMP2015Capital ExpenditureNetwork assetsExpenditure on network assetsnominal</t>
  </si>
  <si>
    <t>2021AMP2021Capital ExpenditureNetwork assetsExpenditure on network assetsnominal</t>
  </si>
  <si>
    <t>2021AMP2013Capital ExpenditureNetwork assetsExpenditure on network assetsnominal</t>
  </si>
  <si>
    <t>2021AMP2019Capital ExpenditureNetwork assetsExpenditure on network assetsnominal</t>
  </si>
  <si>
    <t>2021AMP2017Capital ExpenditureNetwork assetsExpenditure on network assetsnominal</t>
  </si>
  <si>
    <t>2021AMP2016Capital ExpenditureNetwork assetsExpenditure on network assetsnominal</t>
  </si>
  <si>
    <t>2021AMP2020Capital ExpenditureNetwork assetsExpenditure on network assetsnominal</t>
  </si>
  <si>
    <t>2021AMP2018Capital ExpenditureNetwork assetsExpenditure on network assetsnominal</t>
  </si>
  <si>
    <t>2021AMP2021Capital ExpenditureNon-network assetsNon-network assetsconstant</t>
  </si>
  <si>
    <t>2021AMP2015Capital ExpenditureNon-network assetsNon-network assetsconstant</t>
  </si>
  <si>
    <t>2021AMP2020Capital ExpenditureNon-network assetsNon-network assetsconstant</t>
  </si>
  <si>
    <t>2021AMP2019Capital ExpenditureNon-network assetsNon-network assetsconstant</t>
  </si>
  <si>
    <t>2021AMP2014Capital ExpenditureNon-network assetsNon-network assetsconstant</t>
  </si>
  <si>
    <t>2021AMP2013Capital ExpenditureNon-network assetsNon-network assetsconstant</t>
  </si>
  <si>
    <t>2021AMP2018Capital ExpenditureNon-network assetsNon-network assetsconstant</t>
  </si>
  <si>
    <t>2021AMP2017Capital ExpenditureNon-network assetsNon-network assetsconstant</t>
  </si>
  <si>
    <t>2021AMP2016Capital ExpenditureNon-network assetsNon-network assetsconstant</t>
  </si>
  <si>
    <t>2021AMP2014Capital ExpenditureNon-network assetsNon-network assetsnominal</t>
  </si>
  <si>
    <t>2021AMP2017Capital ExpenditureNon-network assetsNon-network assetsnominal</t>
  </si>
  <si>
    <t>2021AMP2020Capital ExpenditureNon-network assetsNon-network assetsnominal</t>
  </si>
  <si>
    <t>2021AMP2019Capital ExpenditureNon-network assetsNon-network assetsnominal</t>
  </si>
  <si>
    <t>2021AMP2013Capital ExpenditureNon-network assetsNon-network assetsnominal</t>
  </si>
  <si>
    <t>2021AMP2018Capital ExpenditureNon-network assetsNon-network assetsnominal</t>
  </si>
  <si>
    <t>2021AMP2021Capital ExpenditureNon-network assetsNon-network assetsnominal</t>
  </si>
  <si>
    <t>2021AMP2015Capital ExpenditureNon-network assetsNon-network assetsnominal</t>
  </si>
  <si>
    <t>2021AMP2016Capital ExpenditureNon-network assetsNon-network assetsnominal</t>
  </si>
  <si>
    <t>2021AMP2020Capital ExpenditureReliability, safety and environmentLegislative and regulatoryconstant</t>
  </si>
  <si>
    <t>2021AMP2021Capital ExpenditureReliability, safety and environmentLegislative and regulatoryconstant</t>
  </si>
  <si>
    <t>2021AMP2015Capital ExpenditureReliability, safety and environmentLegislative and regulatoryconstant</t>
  </si>
  <si>
    <t>2021AMP2014Capital ExpenditureReliability, safety and environmentLegislative and regulatoryconstant</t>
  </si>
  <si>
    <t>2021AMP2017Capital ExpenditureReliability, safety and environmentLegislative and regulatoryconstant</t>
  </si>
  <si>
    <t>2021AMP2016Capital ExpenditureReliability, safety and environmentLegislative and regulatoryconstant</t>
  </si>
  <si>
    <t>2021AMP2018Capital ExpenditureReliability, safety and environmentLegislative and regulatoryconstant</t>
  </si>
  <si>
    <t>2021AMP2013Capital ExpenditureReliability, safety and environmentLegislative and regulatoryconstant</t>
  </si>
  <si>
    <t>2021AMP2019Capital ExpenditureReliability, safety and environmentLegislative and regulatoryconstant</t>
  </si>
  <si>
    <t>2021AMP2013Capital ExpenditureReliability, safety and environmentLegislative and regulatorynominal</t>
  </si>
  <si>
    <t>2021AMP2015Capital ExpenditureReliability, safety and environmentLegislative and regulatorynominal</t>
  </si>
  <si>
    <t>2021AMP2016Capital ExpenditureReliability, safety and environmentLegislative and regulatorynominal</t>
  </si>
  <si>
    <t>2021AMP2018Capital ExpenditureReliability, safety and environmentLegislative and regulatorynominal</t>
  </si>
  <si>
    <t>2021AMP2021Capital ExpenditureReliability, safety and environmentLegislative and regulatorynominal</t>
  </si>
  <si>
    <t>2021AMP2019Capital ExpenditureReliability, safety and environmentLegislative and regulatorynominal</t>
  </si>
  <si>
    <t>2021AMP2020Capital ExpenditureReliability, safety and environmentLegislative and regulatorynominal</t>
  </si>
  <si>
    <t>2021AMP2014Capital ExpenditureReliability, safety and environmentLegislative and regulatorynominal</t>
  </si>
  <si>
    <t>2021AMP2017Capital ExpenditureReliability, safety and environmentLegislative and regulatorynominal</t>
  </si>
  <si>
    <t>2021AMP2018Capital ExpenditureReliability, safety and environmentOther reliability, safety and environmentconstant</t>
  </si>
  <si>
    <t>2021AMP2019Capital ExpenditureReliability, safety and environmentOther reliability, safety and environmentconstant</t>
  </si>
  <si>
    <t>2021AMP2017Capital ExpenditureReliability, safety and environmentOther reliability, safety and environmentconstant</t>
  </si>
  <si>
    <t>2021AMP2014Capital ExpenditureReliability, safety and environmentOther reliability, safety and environmentconstant</t>
  </si>
  <si>
    <t>2021AMP2016Capital ExpenditureReliability, safety and environmentOther reliability, safety and environmentconstant</t>
  </si>
  <si>
    <t>2021AMP2013Capital ExpenditureReliability, safety and environmentOther reliability, safety and environmentconstant</t>
  </si>
  <si>
    <t>2021AMP2021Capital ExpenditureReliability, safety and environmentOther reliability, safety and environmentconstant</t>
  </si>
  <si>
    <t>2021AMP2020Capital ExpenditureReliability, safety and environmentOther reliability, safety and environmentconstant</t>
  </si>
  <si>
    <t>2021AMP2015Capital ExpenditureReliability, safety and environmentOther reliability, safety and environmentconstant</t>
  </si>
  <si>
    <t>2021AMP2020Capital ExpenditureReliability, safety and environmentOther reliability, safety and environmentnominal</t>
  </si>
  <si>
    <t>2021AMP2018Capital ExpenditureReliability, safety and environmentOther reliability, safety and environmentnominal</t>
  </si>
  <si>
    <t>2021AMP2016Capital ExpenditureReliability, safety and environmentOther reliability, safety and environmentnominal</t>
  </si>
  <si>
    <t>2021AMP2019Capital ExpenditureReliability, safety and environmentOther reliability, safety and environmentnominal</t>
  </si>
  <si>
    <t>2021AMP2015Capital ExpenditureReliability, safety and environmentOther reliability, safety and environmentnominal</t>
  </si>
  <si>
    <t>2021AMP2017Capital ExpenditureReliability, safety and environmentOther reliability, safety and environmentnominal</t>
  </si>
  <si>
    <t>2021AMP2014Capital ExpenditureReliability, safety and environmentOther reliability, safety and environmentnominal</t>
  </si>
  <si>
    <t>2021AMP2013Capital ExpenditureReliability, safety and environmentOther reliability, safety and environmentnominal</t>
  </si>
  <si>
    <t>2021AMP2021Capital ExpenditureReliability, safety and environmentOther reliability, safety and environmentnominal</t>
  </si>
  <si>
    <t>2021AMP2015Capital ExpenditureReliability, safety and environmentQuality of supplyconstant</t>
  </si>
  <si>
    <t>2021AMP2014Capital ExpenditureReliability, safety and environmentQuality of supplyconstant</t>
  </si>
  <si>
    <t>2021AMP2017Capital ExpenditureReliability, safety and environmentQuality of supplyconstant</t>
  </si>
  <si>
    <t>2021AMP2020Capital ExpenditureReliability, safety and environmentQuality of supplyconstant</t>
  </si>
  <si>
    <t>2021AMP2019Capital ExpenditureReliability, safety and environmentQuality of supplyconstant</t>
  </si>
  <si>
    <t>2021AMP2016Capital ExpenditureReliability, safety and environmentQuality of supplyconstant</t>
  </si>
  <si>
    <t>2021AMP2018Capital ExpenditureReliability, safety and environmentQuality of supplyconstant</t>
  </si>
  <si>
    <t>2021AMP2013Capital ExpenditureReliability, safety and environmentQuality of supplyconstant</t>
  </si>
  <si>
    <t>2021AMP2021Capital ExpenditureReliability, safety and environmentQuality of supplyconstant</t>
  </si>
  <si>
    <t>2021AMP2018Capital ExpenditureReliability, safety and environmentQuality of supplynominal</t>
  </si>
  <si>
    <t>2021AMP2016Capital ExpenditureReliability, safety and environmentQuality of supplynominal</t>
  </si>
  <si>
    <t>2021AMP2015Capital ExpenditureReliability, safety and environmentQuality of supplynominal</t>
  </si>
  <si>
    <t>2021AMP2020Capital ExpenditureReliability, safety and environmentQuality of supplynominal</t>
  </si>
  <si>
    <t>2021AMP2014Capital ExpenditureReliability, safety and environmentQuality of supplynominal</t>
  </si>
  <si>
    <t>2021AMP2021Capital ExpenditureReliability, safety and environmentQuality of supplynominal</t>
  </si>
  <si>
    <t>2021AMP2017Capital ExpenditureReliability, safety and environmentQuality of supplynominal</t>
  </si>
  <si>
    <t>2021AMP2019Capital ExpenditureReliability, safety and environmentQuality of supplynominal</t>
  </si>
  <si>
    <t>2021AMP2013Capital ExpenditureReliability, safety and environmentQuality of supplynominal</t>
  </si>
  <si>
    <t>2021AMP2021Capital ExpenditureReliability, safety and environmentTotal reliability, safety and environmentconstant</t>
  </si>
  <si>
    <t>2021AMP2013Capital ExpenditureReliability, safety and environmentTotal reliability, safety and environmentconstant</t>
  </si>
  <si>
    <t>2021AMP2019Capital ExpenditureReliability, safety and environmentTotal reliability, safety and environmentconstant</t>
  </si>
  <si>
    <t>2021AMP2014Capital ExpenditureReliability, safety and environmentTotal reliability, safety and environmentconstant</t>
  </si>
  <si>
    <t>2021AMP2016Capital ExpenditureReliability, safety and environmentTotal reliability, safety and environmentconstant</t>
  </si>
  <si>
    <t>2021AMP2015Capital ExpenditureReliability, safety and environmentTotal reliability, safety and environmentconstant</t>
  </si>
  <si>
    <t>2021AMP2020Capital ExpenditureReliability, safety and environmentTotal reliability, safety and environmentconstant</t>
  </si>
  <si>
    <t>2021AMP2018Capital ExpenditureReliability, safety and environmentTotal reliability, safety and environmentconstant</t>
  </si>
  <si>
    <t>2021AMP2017Capital ExpenditureReliability, safety and environmentTotal reliability, safety and environmentconstant</t>
  </si>
  <si>
    <t>2021AMP2018Capital ExpenditureReliability, safety and environmentTotal reliability, safety and environmentnominal</t>
  </si>
  <si>
    <t>2021AMP2020Capital ExpenditureReliability, safety and environmentTotal reliability, safety and environmentnominal</t>
  </si>
  <si>
    <t>2021AMP2015Capital ExpenditureReliability, safety and environmentTotal reliability, safety and environmentnominal</t>
  </si>
  <si>
    <t>2021AMP2013Capital ExpenditureReliability, safety and environmentTotal reliability, safety and environmentnominal</t>
  </si>
  <si>
    <t>2021AMP2014Capital ExpenditureReliability, safety and environmentTotal reliability, safety and environmentnominal</t>
  </si>
  <si>
    <t>2021AMP2017Capital ExpenditureReliability, safety and environmentTotal reliability, safety and environmentnominal</t>
  </si>
  <si>
    <t>2021AMP2016Capital ExpenditureReliability, safety and environmentTotal reliability, safety and environmentnominal</t>
  </si>
  <si>
    <t>2021AMP2019Capital ExpenditureReliability, safety and environmentTotal reliability, safety and environmentnominal</t>
  </si>
  <si>
    <t>2021AMP2021Capital ExpenditureReliability, safety and environmentTotal reliability, safety and environmentnominal</t>
  </si>
  <si>
    <t>2021AMP2016Capital ExpenditureSystem growthSystem growthconstant</t>
  </si>
  <si>
    <t>2021AMP2014Capital ExpenditureSystem growthSystem growthconstant</t>
  </si>
  <si>
    <t>2021AMP2015Capital ExpenditureSystem growthSystem growthconstant</t>
  </si>
  <si>
    <t>2021AMP2019Capital ExpenditureSystem growthSystem growthconstant</t>
  </si>
  <si>
    <t>2021AMP2020Capital ExpenditureSystem growthSystem growthconstant</t>
  </si>
  <si>
    <t>2021AMP2013Capital ExpenditureSystem growthSystem growthconstant</t>
  </si>
  <si>
    <t>2021AMP2021Capital ExpenditureSystem growthSystem growthconstant</t>
  </si>
  <si>
    <t>2021AMP2018Capital ExpenditureSystem growthSystem growthconstant</t>
  </si>
  <si>
    <t>2021AMP2017Capital ExpenditureSystem growthSystem growthconstant</t>
  </si>
  <si>
    <t>2021AMP2015Capital ExpenditureSystem growthSystem growthnominal</t>
  </si>
  <si>
    <t>2021AMP2016Capital ExpenditureSystem growthSystem growthnominal</t>
  </si>
  <si>
    <t>2021AMP2017Capital ExpenditureSystem growthSystem growthnominal</t>
  </si>
  <si>
    <t>2021AMP2020Capital ExpenditureSystem growthSystem growthnominal</t>
  </si>
  <si>
    <t>2021AMP2014Capital ExpenditureSystem growthSystem growthnominal</t>
  </si>
  <si>
    <t>2021AMP2019Capital ExpenditureSystem growthSystem growthnominal</t>
  </si>
  <si>
    <t>2021AMP2018Capital ExpenditureSystem growthSystem growthnominal</t>
  </si>
  <si>
    <t>2021AMP2013Capital ExpenditureSystem growthSystem growthnominal</t>
  </si>
  <si>
    <t>2021AMP2021Capital ExpenditureSystem growthSystem growthnominal</t>
  </si>
  <si>
    <t>2021AMP2016Capital ExpenditureValue of capital contributionsValue of capital contributionsnominal</t>
  </si>
  <si>
    <t>2021AMP2013Capital ExpenditureValue of capital contributionsValue of capital contributionsnominal</t>
  </si>
  <si>
    <t>2021AMP2019Capital ExpenditureValue of capital contributionsValue of capital contributionsnominal</t>
  </si>
  <si>
    <t>2021AMP2020Capital ExpenditureValue of capital contributionsValue of capital contributionsnominal</t>
  </si>
  <si>
    <t>2021AMP2014Capital ExpenditureValue of capital contributionsValue of capital contributionsnominal</t>
  </si>
  <si>
    <t>2021AMP2021Capital ExpenditureValue of capital contributionsValue of capital contributionsnominal</t>
  </si>
  <si>
    <t>2021AMP2017Capital ExpenditureValue of capital contributionsValue of capital contributionsnominal</t>
  </si>
  <si>
    <t>2021AMP2018Capital ExpenditureValue of capital contributionsValue of capital contributionsnominal</t>
  </si>
  <si>
    <t>2021AMP2015Capital ExpenditureValue of capital contributionsValue of capital contributionsnominal</t>
  </si>
  <si>
    <t>2021AMP2017Capital ExpenditureValue of commissioned assetsValue of commissioned assetsnominal</t>
  </si>
  <si>
    <t>2021AMP2014Capital ExpenditureValue of commissioned assetsValue of commissioned assetsnominal</t>
  </si>
  <si>
    <t>2021AMP2013Capital ExpenditureValue of commissioned assetsValue of commissioned assetsnominal</t>
  </si>
  <si>
    <t>2021AMP2018Capital ExpenditureValue of vested assetsValue of vested assetsnominal</t>
  </si>
  <si>
    <t>2021AMP2017Capital ExpenditureValue of vested assetsValue of vested assetsnominal</t>
  </si>
  <si>
    <t>2021AMP2015Capital ExpenditureValue of vested assetsValue of vested assetsnominal</t>
  </si>
  <si>
    <t>2021AMP2013Capital ExpenditureValue of vested assetsValue of vested assetsnominal</t>
  </si>
  <si>
    <t>2021AMP2021Capital ExpenditureValue of vested assetsValue of vested assetsnominal</t>
  </si>
  <si>
    <t>2021AMP2014Capital ExpenditureValue of vested assetsValue of vested assetsnominal</t>
  </si>
  <si>
    <t>2021AMP2019Capital ExpenditureValue of vested assetsValue of vested assetsnominal</t>
  </si>
  <si>
    <t>2021AMP2020Capital ExpenditureValue of vested assetsValue of vested assetsnominal</t>
  </si>
  <si>
    <t>2021AMP2016Capital ExpenditureValue of vested assetsValue of vested assetsnominal</t>
  </si>
  <si>
    <t>2021AMP2018Capital ExpenditureAsset replacement and renewalAsset replacement and renewal expenditure - Asset replacement and renewal expenditureconstant</t>
  </si>
  <si>
    <t>2021AMP2017Capital ExpenditureAsset replacement and renewalAsset replacement and renewal expenditure - Asset replacement and renewal expenditureconstant</t>
  </si>
  <si>
    <t>2021AMP2019Capital ExpenditureAsset replacement and renewalAsset replacement and renewal expenditure - Asset replacement and renewal expenditureconstant</t>
  </si>
  <si>
    <t>2021AMP2021Capital ExpenditureAsset replacement and renewalAsset replacement and renewal expenditure - Asset replacement and renewal expenditureconstant</t>
  </si>
  <si>
    <t>2021AMP2020Capital ExpenditureAsset replacement and renewalAsset replacement and renewal expenditure - Asset replacement and renewal expenditureconstant</t>
  </si>
  <si>
    <t>2021AMP2016Capital ExpenditureAsset replacement and renewalAsset replacement and renewal expenditure - Asset replacement and renewal expenditureconstant</t>
  </si>
  <si>
    <t>2021AMP2021Capital ExpenditureAsset replacement and renewalAsset replacement and renewal expenditure - Capital contributions funding asset replacement and renewalconstant</t>
  </si>
  <si>
    <t>2021AMP2018Capital ExpenditureAsset replacement and renewalAsset replacement and renewal expenditure - Capital contributions funding asset replacement and renewalconstant</t>
  </si>
  <si>
    <t>2021AMP2019Capital ExpenditureAsset replacement and renewalAsset replacement and renewal expenditure - Capital contributions funding asset replacement and renewalconstant</t>
  </si>
  <si>
    <t>2021AMP2017Capital ExpenditureAsset replacement and renewalAsset replacement and renewal expenditure - Capital contributions funding asset replacement and renewalconstant</t>
  </si>
  <si>
    <t>2021AMP2016Capital ExpenditureAsset replacement and renewalAsset replacement and renewal expenditure - Capital contributions funding asset replacement and renewalconstant</t>
  </si>
  <si>
    <t>2021AMP2020Capital ExpenditureAsset replacement and renewalAsset replacement and renewal expenditure - Capital contributions funding asset replacement and renewalconstant</t>
  </si>
  <si>
    <t>2021AMP2019Capital ExpenditureAsset replacement and renewalAsset replacement and renewal less capital contributions - Asset replacement and renewal less capital contributionsconstant</t>
  </si>
  <si>
    <t>2021AMP2018Capital ExpenditureAsset replacement and renewalAsset replacement and renewal less capital contributions - Asset replacement and renewal less capital contributionsconstant</t>
  </si>
  <si>
    <t>2021AMP2017Capital ExpenditureAsset replacement and renewalAsset replacement and renewal less capital contributions - Asset replacement and renewal less capital contributionsconstant</t>
  </si>
  <si>
    <t>2021AMP2016Capital ExpenditureAsset replacement and renewalAsset replacement and renewal less capital contributions - Asset replacement and renewal less capital contributionsconstant</t>
  </si>
  <si>
    <t>2021AMP2020Capital ExpenditureAsset replacement and renewalAsset replacement and renewal less capital contributions - Asset replacement and renewal less capital contributionsconstant</t>
  </si>
  <si>
    <t>2021AMP2021Capital ExpenditureAsset replacement and renewalAsset replacement and renewal less capital contributions - Asset replacement and renewal less capital contributionsconstant</t>
  </si>
  <si>
    <t>2021AMP2018Capital ExpenditureAsset replacement and renewalIntermediate pressure - Intermediate Pressure totalconstant</t>
  </si>
  <si>
    <t>2021AMP2016Capital ExpenditureAsset replacement and renewalIntermediate pressure - Intermediate Pressure totalconstant</t>
  </si>
  <si>
    <t>2021AMP2017Capital ExpenditureAsset replacement and renewalIntermediate pressure - Intermediate Pressure totalconstant</t>
  </si>
  <si>
    <t>2021AMP2019Capital ExpenditureAsset replacement and renewalIntermediate pressure - Intermediate Pressure totalconstant</t>
  </si>
  <si>
    <t>2021AMP2021Capital ExpenditureAsset replacement and renewalIntermediate pressure - Intermediate Pressure totalconstant</t>
  </si>
  <si>
    <t>2021AMP2020Capital ExpenditureAsset replacement and renewalIntermediate pressure - Intermediate Pressure totalconstant</t>
  </si>
  <si>
    <t>2021AMP2019Capital ExpenditureAsset replacement and renewalIntermediate pressure - Line valveconstant</t>
  </si>
  <si>
    <t>2021AMP2017Capital ExpenditureAsset replacement and renewalIntermediate pressure - Line valveconstant</t>
  </si>
  <si>
    <t>2021AMP2021Capital ExpenditureAsset replacement and renewalIntermediate pressure - Line valveconstant</t>
  </si>
  <si>
    <t>2021AMP2016Capital ExpenditureAsset replacement and renewalIntermediate pressure - Line valveconstant</t>
  </si>
  <si>
    <t>2021AMP2018Capital ExpenditureAsset replacement and renewalIntermediate pressure - Line valveconstant</t>
  </si>
  <si>
    <t>2021AMP2020Capital ExpenditureAsset replacement and renewalIntermediate pressure - Line valveconstant</t>
  </si>
  <si>
    <t>2021AMP2017Capital ExpenditureAsset replacement and renewalIntermediate pressure - Main pipeconstant</t>
  </si>
  <si>
    <t>2021AMP2020Capital ExpenditureAsset replacement and renewalIntermediate pressure - Main pipeconstant</t>
  </si>
  <si>
    <t>2021AMP2021Capital ExpenditureAsset replacement and renewalIntermediate pressure - Main pipeconstant</t>
  </si>
  <si>
    <t>2021AMP2018Capital ExpenditureAsset replacement and renewalIntermediate pressure - Main pipeconstant</t>
  </si>
  <si>
    <t>2021AMP2016Capital ExpenditureAsset replacement and renewalIntermediate pressure - Main pipeconstant</t>
  </si>
  <si>
    <t>2021AMP2019Capital ExpenditureAsset replacement and renewalIntermediate pressure - Main pipeconstant</t>
  </si>
  <si>
    <t>2021AMP2021Capital ExpenditureAsset replacement and renewalIntermediate pressure - Service pipeconstant</t>
  </si>
  <si>
    <t>2021AMP2017Capital ExpenditureAsset replacement and renewalIntermediate pressure - Service pipeconstant</t>
  </si>
  <si>
    <t>2021AMP2016Capital ExpenditureAsset replacement and renewalIntermediate pressure - Service pipeconstant</t>
  </si>
  <si>
    <t>2021AMP2018Capital ExpenditureAsset replacement and renewalIntermediate pressure - Service pipeconstant</t>
  </si>
  <si>
    <t>2021AMP2020Capital ExpenditureAsset replacement and renewalIntermediate pressure - Service pipeconstant</t>
  </si>
  <si>
    <t>2021AMP2019Capital ExpenditureAsset replacement and renewalIntermediate pressure - Service pipeconstant</t>
  </si>
  <si>
    <t>2021AMP2021Capital ExpenditureAsset replacement and renewalIntermediate pressure - Special crossingsconstant</t>
  </si>
  <si>
    <t>2021AMP2019Capital ExpenditureAsset replacement and renewalIntermediate pressure - Special crossingsconstant</t>
  </si>
  <si>
    <t>2021AMP2016Capital ExpenditureAsset replacement and renewalIntermediate pressure - Special crossingsconstant</t>
  </si>
  <si>
    <t>2021AMP2017Capital ExpenditureAsset replacement and renewalIntermediate pressure - Special crossingsconstant</t>
  </si>
  <si>
    <t>2021AMP2018Capital ExpenditureAsset replacement and renewalIntermediate pressure - Special crossingsconstant</t>
  </si>
  <si>
    <t>2021AMP2020Capital ExpenditureAsset replacement and renewalIntermediate pressure - Special crossingsconstant</t>
  </si>
  <si>
    <t>2021AMP2020Capital ExpenditureAsset replacement and renewalIntermediate pressure - Stationsconstant</t>
  </si>
  <si>
    <t>2021AMP2018Capital ExpenditureAsset replacement and renewalIntermediate pressure - Stationsconstant</t>
  </si>
  <si>
    <t>2021AMP2019Capital ExpenditureAsset replacement and renewalIntermediate pressure - Stationsconstant</t>
  </si>
  <si>
    <t>2021AMP2016Capital ExpenditureAsset replacement and renewalIntermediate pressure - Stationsconstant</t>
  </si>
  <si>
    <t>2021AMP2017Capital ExpenditureAsset replacement and renewalIntermediate pressure - Stationsconstant</t>
  </si>
  <si>
    <t>2021AMP2021Capital ExpenditureAsset replacement and renewalIntermediate pressure - Stationsconstant</t>
  </si>
  <si>
    <t>2021AMP2020Capital ExpenditureAsset replacement and renewalLow Pressure - Line valveconstant</t>
  </si>
  <si>
    <t>2021AMP2018Capital ExpenditureAsset replacement and renewalLow Pressure - Line valveconstant</t>
  </si>
  <si>
    <t>2021AMP2016Capital ExpenditureAsset replacement and renewalLow Pressure - Line valveconstant</t>
  </si>
  <si>
    <t>2021AMP2021Capital ExpenditureAsset replacement and renewalLow Pressure - Line valveconstant</t>
  </si>
  <si>
    <t>2021AMP2017Capital ExpenditureAsset replacement and renewalLow Pressure - Line valveconstant</t>
  </si>
  <si>
    <t>2021AMP2019Capital ExpenditureAsset replacement and renewalLow Pressure - Line valveconstant</t>
  </si>
  <si>
    <t>2021AMP2017Capital ExpenditureAsset replacement and renewalLow Pressure - Low Pressure totalconstant</t>
  </si>
  <si>
    <t>2021AMP2019Capital ExpenditureAsset replacement and renewalLow Pressure - Low Pressure totalconstant</t>
  </si>
  <si>
    <t>2021AMP2018Capital ExpenditureAsset replacement and renewalLow Pressure - Low Pressure totalconstant</t>
  </si>
  <si>
    <t>2021AMP2020Capital ExpenditureAsset replacement and renewalLow Pressure - Low Pressure totalconstant</t>
  </si>
  <si>
    <t>2021AMP2021Capital ExpenditureAsset replacement and renewalLow Pressure - Low Pressure totalconstant</t>
  </si>
  <si>
    <t>2021AMP2016Capital ExpenditureAsset replacement and renewalLow Pressure - Low Pressure totalconstant</t>
  </si>
  <si>
    <t>2021AMP2018Capital ExpenditureAsset replacement and renewalLow Pressure - Main pipeconstant</t>
  </si>
  <si>
    <t>2021AMP2020Capital ExpenditureAsset replacement and renewalLow Pressure - Main pipeconstant</t>
  </si>
  <si>
    <t>2021AMP2021Capital ExpenditureAsset replacement and renewalLow Pressure - Main pipeconstant</t>
  </si>
  <si>
    <t>2021AMP2017Capital ExpenditureAsset replacement and renewalLow Pressure - Main pipeconstant</t>
  </si>
  <si>
    <t>2021AMP2016Capital ExpenditureAsset replacement and renewalLow Pressure - Main pipeconstant</t>
  </si>
  <si>
    <t>2021AMP2019Capital ExpenditureAsset replacement and renewalLow Pressure - Main pipeconstant</t>
  </si>
  <si>
    <t>2021AMP2017Capital ExpenditureAsset replacement and renewalLow Pressure - Service pipeconstant</t>
  </si>
  <si>
    <t>2021AMP2019Capital ExpenditureAsset replacement and renewalLow Pressure - Service pipeconstant</t>
  </si>
  <si>
    <t>2021AMP2018Capital ExpenditureAsset replacement and renewalLow Pressure - Service pipeconstant</t>
  </si>
  <si>
    <t>2021AMP2016Capital ExpenditureAsset replacement and renewalLow Pressure - Service pipeconstant</t>
  </si>
  <si>
    <t>2021AMP2020Capital ExpenditureAsset replacement and renewalLow Pressure - Service pipeconstant</t>
  </si>
  <si>
    <t>2021AMP2021Capital ExpenditureAsset replacement and renewalLow Pressure - Service pipeconstant</t>
  </si>
  <si>
    <t>2021AMP2020Capital ExpenditureAsset replacement and renewalLow Pressure - Special crossingsconstant</t>
  </si>
  <si>
    <t>2021AMP2018Capital ExpenditureAsset replacement and renewalLow Pressure - Special crossingsconstant</t>
  </si>
  <si>
    <t>2021AMP2021Capital ExpenditureAsset replacement and renewalLow Pressure - Special crossingsconstant</t>
  </si>
  <si>
    <t>2021AMP2019Capital ExpenditureAsset replacement and renewalLow Pressure - Special crossingsconstant</t>
  </si>
  <si>
    <t>2021AMP2017Capital ExpenditureAsset replacement and renewalLow Pressure - Special crossingsconstant</t>
  </si>
  <si>
    <t>2021AMP2016Capital ExpenditureAsset replacement and renewalLow Pressure - Special crossingsconstant</t>
  </si>
  <si>
    <t>2021AMP2021Capital ExpenditureAsset replacement and renewalMedium pressure - Line valveconstant</t>
  </si>
  <si>
    <t>2021AMP2019Capital ExpenditureAsset replacement and renewalMedium pressure - Line valveconstant</t>
  </si>
  <si>
    <t>2021AMP2016Capital ExpenditureAsset replacement and renewalMedium pressure - Line valveconstant</t>
  </si>
  <si>
    <t>2021AMP2017Capital ExpenditureAsset replacement and renewalMedium pressure - Line valveconstant</t>
  </si>
  <si>
    <t>2021AMP2018Capital ExpenditureAsset replacement and renewalMedium pressure - Line valveconstant</t>
  </si>
  <si>
    <t>2021AMP2020Capital ExpenditureAsset replacement and renewalMedium pressure - Line valveconstant</t>
  </si>
  <si>
    <t>2021AMP2016Capital ExpenditureAsset replacement and renewalMedium pressure - Main pipeconstant</t>
  </si>
  <si>
    <t>2021AMP2017Capital ExpenditureAsset replacement and renewalMedium pressure - Main pipeconstant</t>
  </si>
  <si>
    <t>2021AMP2018Capital ExpenditureAsset replacement and renewalMedium pressure - Main pipeconstant</t>
  </si>
  <si>
    <t>2021AMP2021Capital ExpenditureAsset replacement and renewalMedium pressure - Main pipeconstant</t>
  </si>
  <si>
    <t>2021AMP2020Capital ExpenditureAsset replacement and renewalMedium pressure - Main pipeconstant</t>
  </si>
  <si>
    <t>2021AMP2019Capital ExpenditureAsset replacement and renewalMedium pressure - Main pipeconstant</t>
  </si>
  <si>
    <t>2021AMP2021Capital ExpenditureAsset replacement and renewalMedium pressure - Medium Pressure totalconstant</t>
  </si>
  <si>
    <t>2021AMP2017Capital ExpenditureAsset replacement and renewalMedium pressure - Medium Pressure totalconstant</t>
  </si>
  <si>
    <t>2021AMP2016Capital ExpenditureAsset replacement and renewalMedium pressure - Medium Pressure totalconstant</t>
  </si>
  <si>
    <t>2021AMP2019Capital ExpenditureAsset replacement and renewalMedium pressure - Medium Pressure totalconstant</t>
  </si>
  <si>
    <t>2021AMP2018Capital ExpenditureAsset replacement and renewalMedium pressure - Medium Pressure totalconstant</t>
  </si>
  <si>
    <t>2021AMP2020Capital ExpenditureAsset replacement and renewalMedium pressure - Medium Pressure totalconstant</t>
  </si>
  <si>
    <t>2021AMP2020Capital ExpenditureAsset replacement and renewalMedium pressure - Service pipeconstant</t>
  </si>
  <si>
    <t>2021AMP2021Capital ExpenditureAsset replacement and renewalMedium pressure - Service pipeconstant</t>
  </si>
  <si>
    <t>2021AMP2018Capital ExpenditureAsset replacement and renewalMedium pressure - Service pipeconstant</t>
  </si>
  <si>
    <t>2021AMP2017Capital ExpenditureAsset replacement and renewalMedium pressure - Service pipeconstant</t>
  </si>
  <si>
    <t>2021AMP2019Capital ExpenditureAsset replacement and renewalMedium pressure - Service pipeconstant</t>
  </si>
  <si>
    <t>2021AMP2016Capital ExpenditureAsset replacement and renewalMedium pressure - Service pipeconstant</t>
  </si>
  <si>
    <t>2021AMP2016Capital ExpenditureAsset replacement and renewalMedium pressure - Special crossingsconstant</t>
  </si>
  <si>
    <t>2021AMP2018Capital ExpenditureAsset replacement and renewalMedium pressure - Special crossingsconstant</t>
  </si>
  <si>
    <t>2021AMP2020Capital ExpenditureAsset replacement and renewalMedium pressure - Special crossingsconstant</t>
  </si>
  <si>
    <t>2021AMP2017Capital ExpenditureAsset replacement and renewalMedium pressure - Special crossingsconstant</t>
  </si>
  <si>
    <t>2021AMP2021Capital ExpenditureAsset replacement and renewalMedium pressure - Special crossingsconstant</t>
  </si>
  <si>
    <t>2021AMP2019Capital ExpenditureAsset replacement and renewalMedium pressure - Special crossingsconstant</t>
  </si>
  <si>
    <t>2021AMP2016Capital ExpenditureAsset replacement and renewalMedium pressure - Stationconstant</t>
  </si>
  <si>
    <t>2021AMP2018Capital ExpenditureAsset replacement and renewalMedium pressure - Stationconstant</t>
  </si>
  <si>
    <t>2021AMP2020Capital ExpenditureAsset replacement and renewalMedium pressure - Stationconstant</t>
  </si>
  <si>
    <t>2021AMP2019Capital ExpenditureAsset replacement and renewalMedium pressure - Stationconstant</t>
  </si>
  <si>
    <t>2021AMP2021Capital ExpenditureAsset replacement and renewalMedium pressure - Stationconstant</t>
  </si>
  <si>
    <t>2021AMP2017Capital ExpenditureAsset replacement and renewalMedium pressure - Stationconstant</t>
  </si>
  <si>
    <t>2021AMP2017Capital ExpenditureAsset replacement and renewalOther assets - Cathodic protection systemsconstant</t>
  </si>
  <si>
    <t>2021AMP2017Capital ExpenditureAsset replacement and renewalOther assets - Monitoring and control systemsconstant</t>
  </si>
  <si>
    <t>2021AMP2017Capital ExpenditureAsset replacement and renewalOther assets - Other assets (other than above)constant</t>
  </si>
  <si>
    <t>2021AMP2017Capital ExpenditureAsset replacement and renewalOther assets - Other totalconstant</t>
  </si>
  <si>
    <t>2021AMP2017Capital ExpenditureAsset replacement and renewalOther network assets - Cathodic protection systemsconstant</t>
  </si>
  <si>
    <t>2021AMP2020Capital ExpenditureAsset replacement and renewalOther network assets - Cathodic protection systemsconstant</t>
  </si>
  <si>
    <t>2021AMP2021Capital ExpenditureAsset replacement and renewalOther network assets - Cathodic protection systemsconstant</t>
  </si>
  <si>
    <t>2021AMP2019Capital ExpenditureAsset replacement and renewalOther network assets - Cathodic protection systemsconstant</t>
  </si>
  <si>
    <t>2021AMP2016Capital ExpenditureAsset replacement and renewalOther network assets - Cathodic protection systemsconstant</t>
  </si>
  <si>
    <t>2021AMP2018Capital ExpenditureAsset replacement and renewalOther network assets - Cathodic protection systemsconstant</t>
  </si>
  <si>
    <t>2021AMP2017Capital ExpenditureAsset replacement and renewalOther network assets - Monitoring and control systemsconstant</t>
  </si>
  <si>
    <t>2021AMP2020Capital ExpenditureAsset replacement and renewalOther network assets - Monitoring and control systemsconstant</t>
  </si>
  <si>
    <t>2021AMP2021Capital ExpenditureAsset replacement and renewalOther network assets - Monitoring and control systemsconstant</t>
  </si>
  <si>
    <t>2021AMP2019Capital ExpenditureAsset replacement and renewalOther network assets - Monitoring and control systemsconstant</t>
  </si>
  <si>
    <t>2021AMP2016Capital ExpenditureAsset replacement and renewalOther network assets - Monitoring and control systemsconstant</t>
  </si>
  <si>
    <t>2021AMP2018Capital ExpenditureAsset replacement and renewalOther network assets - Monitoring and control systemsconstant</t>
  </si>
  <si>
    <t>2021AMP2017Capital ExpenditureAsset replacement and renewalOther network assets - Other assets (other than above)constant</t>
  </si>
  <si>
    <t>2021AMP2021Capital ExpenditureAsset replacement and renewalOther network assets - Other assets (other than above)constant</t>
  </si>
  <si>
    <t>2021AMP2020Capital ExpenditureAsset replacement and renewalOther network assets - Other assets (other than above)constant</t>
  </si>
  <si>
    <t>2021AMP2019Capital ExpenditureAsset replacement and renewalOther network assets - Other assets (other than above)constant</t>
  </si>
  <si>
    <t>2021AMP2016Capital ExpenditureAsset replacement and renewalOther network assets - Other assets (other than above)constant</t>
  </si>
  <si>
    <t>2021AMP2018Capital ExpenditureAsset replacement and renewalOther network assets - Other assets (other than above)constant</t>
  </si>
  <si>
    <t>2021AMP2021Capital ExpenditureAsset replacement and renewalOther network assets - Other network assets totalconstant</t>
  </si>
  <si>
    <t>2021AMP2016Capital ExpenditureAsset replacement and renewalOther network assets - Other network assets totalconstant</t>
  </si>
  <si>
    <t>2021AMP2018Capital ExpenditureAsset replacement and renewalOther network assets - Other network assets totalconstant</t>
  </si>
  <si>
    <t>2021AMP2019Capital ExpenditureAsset replacement and renewalOther network assets - Other network assets totalconstant</t>
  </si>
  <si>
    <t>2021AMP2020Capital ExpenditureAsset replacement and renewalOther network assets - Other network assets totalconstant</t>
  </si>
  <si>
    <t>2021AMP2017Capital ExpenditureAsset replacement and renewalOther network assets - Other network assets totalconstant</t>
  </si>
  <si>
    <t>2021IDCapital ExpenditureAll assetsExpenditure on assetsconstant</t>
  </si>
  <si>
    <t>2021IDCapital ExpenditureAll assetsExpenditure on assetsnominal</t>
  </si>
  <si>
    <t>2021IDCapital ExpenditureAsset relocationsAsset relocationsconstant</t>
  </si>
  <si>
    <t>2021IDCapital ExpenditureAsset relocationsAsset relocationsnominal</t>
  </si>
  <si>
    <t>2021IDCapital ExpenditureAsset replacement and renewalAsset replacement and renewalconstant</t>
  </si>
  <si>
    <t>2021IDCapital ExpenditureAsset replacement and renewalAsset replacement and renewalnominal</t>
  </si>
  <si>
    <t>2021IDCapital ExpenditureCapital expenditureCapital expenditureconstant</t>
  </si>
  <si>
    <t>2021IDCapital ExpenditureCapital expenditureCapital expenditurenominal</t>
  </si>
  <si>
    <t>2021IDCapital ExpenditureConsumer connectionConsumer connectionconstant</t>
  </si>
  <si>
    <t>2021IDCapital ExpenditureConsumer connectionConsumer connectionnominal</t>
  </si>
  <si>
    <t>2021IDCapital ExpenditureCost of financingCost of financingconstant</t>
  </si>
  <si>
    <t>2021IDCapital ExpenditureCost of financingCost of financingnominal</t>
  </si>
  <si>
    <t>2021IDCapital ExpenditureNetwork assetsExpenditure on network assetsconstant</t>
  </si>
  <si>
    <t>2021IDCapital ExpenditureNetwork assetsExpenditure on network assetsnominal</t>
  </si>
  <si>
    <t>2021IDCapital ExpenditureNon-network assetsNon-network assetsconstant</t>
  </si>
  <si>
    <t>2021IDCapital ExpenditureNon-network assetsNon-network assetsnominal</t>
  </si>
  <si>
    <t>2021IDCapital ExpenditureReliability, safety and environmentLegislative and regulatoryconstant</t>
  </si>
  <si>
    <t>2021IDCapital ExpenditureReliability, safety and environmentLegislative and regulatorynominal</t>
  </si>
  <si>
    <t>2021IDCapital ExpenditureReliability, safety and environmentOther reliability, safety and environmentconstant</t>
  </si>
  <si>
    <t>2021IDCapital ExpenditureReliability, safety and environmentOther reliability, safety and environmentnominal</t>
  </si>
  <si>
    <t>2021IDCapital ExpenditureReliability, safety and environmentQuality of supplyconstant</t>
  </si>
  <si>
    <t>2021IDCapital ExpenditureReliability, safety and environmentQuality of supplynominal</t>
  </si>
  <si>
    <t>2021IDCapital ExpenditureReliability, safety and environmentTotal reliability, safety and environmentconstant</t>
  </si>
  <si>
    <t>2021IDCapital ExpenditureReliability, safety and environmentTotal reliability, safety and environmentnominal</t>
  </si>
  <si>
    <t>2021IDCapital ExpenditureSystem growthSystem growthconstant</t>
  </si>
  <si>
    <t>2021IDCapital ExpenditureSystem growthSystem growthnominal</t>
  </si>
  <si>
    <t>2021IDCapital ExpenditureValue of capital contributionsValue of capital contributionsconstant</t>
  </si>
  <si>
    <t>2021IDCapital ExpenditureValue of capital contributionsValue of capital contributionsnominal</t>
  </si>
  <si>
    <t>2021IDCapital ExpenditureValue of vested assetsValue of vested assetsconstant</t>
  </si>
  <si>
    <t>2021IDCapital ExpenditureValue of vested assetsValue of vested assetsnominal</t>
  </si>
  <si>
    <t>2021IDCapital ExpenditureAsset Replacement and RenewalAsset replacement and renewal expenditureconstant</t>
  </si>
  <si>
    <t>2021IDCapital ExpenditureAsset Replacement and RenewalAsset replacement and renewal expenditurenominal</t>
  </si>
  <si>
    <t>2021IDCapital ExpenditureAsset Replacement and RenewalAsset replacement and renewal less capital contributionsconstant</t>
  </si>
  <si>
    <t>2021IDCapital ExpenditureAsset Replacement and RenewalAsset replacement and renewal less capital contributionsnominal</t>
  </si>
  <si>
    <t>2021IDCapital ExpenditureAsset Replacement and RenewalCapital contributions funding asset replacement and renewalconstant</t>
  </si>
  <si>
    <t>2021IDCapital ExpenditureAsset Replacement and RenewalCapital contributions funding asset replacement and renewalnominal</t>
  </si>
  <si>
    <t>2021IDCapital ExpenditureAsset Replacement and RenewalIntermediate pressure - Line valveconstant</t>
  </si>
  <si>
    <t>2021IDCapital ExpenditureAsset Replacement and RenewalIntermediate pressure - Line valvenominal</t>
  </si>
  <si>
    <t>2021IDCapital ExpenditureAsset Replacement and RenewalIntermediate pressure - Main pipeconstant</t>
  </si>
  <si>
    <t>2021IDCapital ExpenditureAsset Replacement and RenewalIntermediate pressure - Main pipenominal</t>
  </si>
  <si>
    <t>2021IDCapital ExpenditureAsset Replacement and RenewalIntermediate pressure - Service pipeconstant</t>
  </si>
  <si>
    <t>2021IDCapital ExpenditureAsset Replacement and RenewalIntermediate pressure - Service pipenominal</t>
  </si>
  <si>
    <t>2021IDCapital ExpenditureAsset Replacement and RenewalIntermediate pressure - Special crossingsconstant</t>
  </si>
  <si>
    <t>2021IDCapital ExpenditureAsset Replacement and RenewalIntermediate pressure - Special crossingsnominal</t>
  </si>
  <si>
    <t>2021IDCapital ExpenditureAsset Replacement and RenewalIntermediate pressure - Stationsconstant</t>
  </si>
  <si>
    <t>2021IDCapital ExpenditureAsset Replacement and RenewalIntermediate pressure - Stationsnominal</t>
  </si>
  <si>
    <t>2021IDCapital ExpenditureAsset Replacement and RenewalIntermediate pressure -totalconstant</t>
  </si>
  <si>
    <t>2021IDCapital ExpenditureAsset Replacement and RenewalIntermediate pressure -totalnominal</t>
  </si>
  <si>
    <t>2021IDCapital ExpenditureAsset Replacement and RenewalLow pressure - Line valveconstant</t>
  </si>
  <si>
    <t>2021IDCapital ExpenditureAsset Replacement and RenewalLow pressure - Line valvenominal</t>
  </si>
  <si>
    <t>2021IDCapital ExpenditureAsset Replacement and RenewalLow pressure - Main pipeconstant</t>
  </si>
  <si>
    <t>2021IDCapital ExpenditureAsset Replacement and RenewalLow pressure - Main pipenominal</t>
  </si>
  <si>
    <t>2021IDCapital ExpenditureAsset Replacement and RenewalLow pressure - Service pipeconstant</t>
  </si>
  <si>
    <t>2021IDCapital ExpenditureAsset Replacement and RenewalLow pressure - Service pipenominal</t>
  </si>
  <si>
    <t>2021IDCapital ExpenditureAsset Replacement and RenewalLow pressure - Special crossingsconstant</t>
  </si>
  <si>
    <t>2021IDCapital ExpenditureAsset Replacement and RenewalLow pressure - Special crossingsnominal</t>
  </si>
  <si>
    <t>2021IDCapital ExpenditureAsset Replacement and RenewalLow pressure - totalconstant</t>
  </si>
  <si>
    <t>2021IDCapital ExpenditureAsset Replacement and RenewalLow pressure - totalnominal</t>
  </si>
  <si>
    <t>2021IDCapital ExpenditureAsset Replacement and RenewalMedium pressure - Line valveconstant</t>
  </si>
  <si>
    <t>2021IDCapital ExpenditureAsset Replacement and RenewalMedium pressure - Line valvenominal</t>
  </si>
  <si>
    <t>2021IDCapital ExpenditureAsset Replacement and RenewalMedium pressure - Main pipeconstant</t>
  </si>
  <si>
    <t>2021IDCapital ExpenditureAsset Replacement and RenewalMedium pressure - Main pipenominal</t>
  </si>
  <si>
    <t>2021IDCapital ExpenditureAsset Replacement and RenewalMedium pressure - Service pipeconstant</t>
  </si>
  <si>
    <t>2021IDCapital ExpenditureAsset Replacement and RenewalMedium pressure - Service pipenominal</t>
  </si>
  <si>
    <t>2021IDCapital ExpenditureAsset Replacement and RenewalMedium pressure - Special crossingsconstant</t>
  </si>
  <si>
    <t>2021IDCapital ExpenditureAsset Replacement and RenewalMedium pressure - Special crossingsnominal</t>
  </si>
  <si>
    <t>2021IDCapital ExpenditureAsset Replacement and RenewalMedium pressure - Stationsconstant</t>
  </si>
  <si>
    <t>2021IDCapital ExpenditureAsset Replacement and RenewalMedium pressure - Stationsnominal</t>
  </si>
  <si>
    <t>2021IDCapital ExpenditureAsset Replacement and RenewalMedium pressure - totalconstant</t>
  </si>
  <si>
    <t>2021IDCapital ExpenditureAsset Replacement and RenewalMedium pressure - totalnominal</t>
  </si>
  <si>
    <t>2021IDCapital ExpenditureAsset Replacement and RenewalOther network assets - Cathodic protection systemsconstant</t>
  </si>
  <si>
    <t>2021IDCapital ExpenditureAsset Replacement and RenewalOther network assets - Cathodic protection systemsnominal</t>
  </si>
  <si>
    <t>2021IDCapital ExpenditureAsset Replacement and RenewalOther network assets - Monitoring and control systemsconstant</t>
  </si>
  <si>
    <t>2021IDCapital ExpenditureAsset Replacement and RenewalOther network assets - Monitoring and control systemsnominal</t>
  </si>
  <si>
    <t>2021IDCapital ExpenditureAsset Replacement and RenewalOther network assets - Other assets (other than above)constant</t>
  </si>
  <si>
    <t>2021IDCapital ExpenditureAsset Replacement and RenewalOther network assets - Other assets (other than above)nominal</t>
  </si>
  <si>
    <t>2021IDCapital ExpenditureAsset Replacement and RenewalOther network assets - totalconstant</t>
  </si>
  <si>
    <t>2021IDCapital ExpenditureAsset Replacement and RenewalOther network assets - totalnominal</t>
  </si>
  <si>
    <t>2021IDCapital ExpenditureSystem GrowthCapital contributions funding system growthconstant</t>
  </si>
  <si>
    <t>2021IDCapital ExpenditureSystem GrowthCapital contributions funding system growthnominal</t>
  </si>
  <si>
    <t>2021IDCapital ExpenditureSystem GrowthIntermediate pressure - Line valveconstant</t>
  </si>
  <si>
    <t>2021IDCapital ExpenditureSystem GrowthIntermediate pressure - Line valvenominal</t>
  </si>
  <si>
    <t>2021IDCapital ExpenditureSystem GrowthIntermediate pressure - Main pipeconstant</t>
  </si>
  <si>
    <t>2021IDCapital ExpenditureSystem GrowthIntermediate pressure - Main pipenominal</t>
  </si>
  <si>
    <t>2021IDCapital ExpenditureSystem GrowthIntermediate pressure - Service pipeconstant</t>
  </si>
  <si>
    <t>2021IDCapital ExpenditureSystem GrowthIntermediate pressure - Service pipenominal</t>
  </si>
  <si>
    <t>2021IDCapital ExpenditureSystem GrowthIntermediate pressure - Special crossingsconstant</t>
  </si>
  <si>
    <t>2021IDCapital ExpenditureSystem GrowthIntermediate pressure - Special crossingsnominal</t>
  </si>
  <si>
    <t>2021IDCapital ExpenditureSystem GrowthIntermediate pressure - Stationsconstant</t>
  </si>
  <si>
    <t>2021IDCapital ExpenditureSystem GrowthIntermediate pressure - Stationsnominal</t>
  </si>
  <si>
    <t>2021IDCapital ExpenditureSystem GrowthIntermediate pressure -totalconstant</t>
  </si>
  <si>
    <t>2021IDCapital ExpenditureSystem GrowthIntermediate pressure -totalnominal</t>
  </si>
  <si>
    <t>2021IDCapital ExpenditureSystem GrowthLow pressure - Line valveconstant</t>
  </si>
  <si>
    <t>2021IDCapital ExpenditureSystem GrowthLow pressure - Line valvenominal</t>
  </si>
  <si>
    <t>2021IDCapital ExpenditureSystem GrowthLow pressure - Main pipeconstant</t>
  </si>
  <si>
    <t>2021IDCapital ExpenditureSystem GrowthLow pressure - Main pipenominal</t>
  </si>
  <si>
    <t>2021IDCapital ExpenditureSystem GrowthLow pressure - Service pipeconstant</t>
  </si>
  <si>
    <t>2021IDCapital ExpenditureSystem GrowthLow pressure - Service pipenominal</t>
  </si>
  <si>
    <t>2021IDCapital ExpenditureSystem GrowthLow pressure - Special crossingsconstant</t>
  </si>
  <si>
    <t>2021IDCapital ExpenditureSystem GrowthLow pressure - Special crossingsnominal</t>
  </si>
  <si>
    <t>2021IDCapital ExpenditureSystem GrowthLow pressure - totalconstant</t>
  </si>
  <si>
    <t>2021IDCapital ExpenditureSystem GrowthLow pressure - totalnominal</t>
  </si>
  <si>
    <t>2021IDCapital ExpenditureSystem GrowthMedium pressure - Line valveconstant</t>
  </si>
  <si>
    <t>2021IDCapital ExpenditureSystem GrowthMedium pressure - Line valvenominal</t>
  </si>
  <si>
    <t>2021IDCapital ExpenditureSystem GrowthMedium pressure - Main pipeconstant</t>
  </si>
  <si>
    <t>2021IDCapital ExpenditureSystem GrowthMedium pressure - Main pipenominal</t>
  </si>
  <si>
    <t>2021IDCapital ExpenditureSystem GrowthMedium pressure - Service pipeconstant</t>
  </si>
  <si>
    <t>2021IDCapital ExpenditureSystem GrowthMedium pressure - Service pipenominal</t>
  </si>
  <si>
    <t>2021IDCapital ExpenditureSystem GrowthMedium pressure - Special crossingsconstant</t>
  </si>
  <si>
    <t>2021IDCapital ExpenditureSystem GrowthMedium pressure - Special crossingsnominal</t>
  </si>
  <si>
    <t>2021IDCapital ExpenditureSystem GrowthMedium pressure - Stationsconstant</t>
  </si>
  <si>
    <t>2021IDCapital ExpenditureSystem GrowthMedium pressure - Stationsnominal</t>
  </si>
  <si>
    <t>2021IDCapital ExpenditureSystem GrowthMedium pressure - totalconstant</t>
  </si>
  <si>
    <t>2021IDCapital ExpenditureSystem GrowthMedium pressure - totalnominal</t>
  </si>
  <si>
    <t>2021IDCapital ExpenditureSystem GrowthOther network assets - Cathodic protection systemsconstant</t>
  </si>
  <si>
    <t>2021IDCapital ExpenditureSystem GrowthOther network assets - Cathodic protection systemsnominal</t>
  </si>
  <si>
    <t>2021IDCapital ExpenditureSystem GrowthOther network assets - Monitoring and control systemsconstant</t>
  </si>
  <si>
    <t>2021IDCapital ExpenditureSystem GrowthOther network assets - Monitoring and control systemsnominal</t>
  </si>
  <si>
    <t>2021IDCapital ExpenditureSystem GrowthOther network assets - Other assets (other than above)constant</t>
  </si>
  <si>
    <t>2021IDCapital ExpenditureSystem GrowthOther network assets - Other assets (other than above)nominal</t>
  </si>
  <si>
    <t>2021IDCapital ExpenditureSystem GrowthOther network assets - totalconstant</t>
  </si>
  <si>
    <t>2021IDCapital ExpenditureSystem GrowthOther network assets - totalnominal</t>
  </si>
  <si>
    <t>2021IDCapital ExpenditureSystem GrowthSystem growth expenditureconstant</t>
  </si>
  <si>
    <t>2021IDCapital ExpenditureSystem GrowthSystem growth expenditurenominal</t>
  </si>
  <si>
    <t>2021IDCapital ExpenditureSystem GrowthSystem growth less capital contributionsconstant</t>
  </si>
  <si>
    <t>2021IDCapital ExpenditureSystem GrowthSystem growth less capital contributionsnominal</t>
  </si>
  <si>
    <t>2021IDNetwork and DemandSystem lengthSystem lengthNA</t>
  </si>
  <si>
    <t>2021IDNetwork and DemandCustomer numbersNumber of ICPs at year endNA</t>
  </si>
  <si>
    <t>2021IDNetwork and DemandGas deliveredAverage daily deliveryNA</t>
  </si>
  <si>
    <t>2021IDNetwork and DemandGas deliveredLoad factorNA</t>
  </si>
  <si>
    <t>2021IDNetwork and DemandGas deliveredMaximum daily loadNA</t>
  </si>
  <si>
    <t>2021IDNetwork and DemandGas deliveredMaximum monthly loadNA</t>
  </si>
  <si>
    <t>2021IDNetwork and DemandGas deliveredNumber of directly billed ICPsNA</t>
  </si>
  <si>
    <t>2021IDNetwork and DemandGas deliveredTotal gas conveyedNA</t>
  </si>
  <si>
    <t>2021AMP2017Operating ExpenditureAsset replacement and renewalAsset replacement and renewalconstant</t>
  </si>
  <si>
    <t>2021AMP2021Operating ExpenditureAsset replacement and renewalAsset replacement and renewalconstant</t>
  </si>
  <si>
    <t>2021AMP2014Operating ExpenditureAsset replacement and renewalAsset replacement and renewalconstant</t>
  </si>
  <si>
    <t>2021AMP2019Operating ExpenditureAsset replacement and renewalAsset replacement and renewalconstant</t>
  </si>
  <si>
    <t>2021AMP2015Operating ExpenditureAsset replacement and renewalAsset replacement and renewalconstant</t>
  </si>
  <si>
    <t>2021AMP2020Operating ExpenditureAsset replacement and renewalAsset replacement and renewalconstant</t>
  </si>
  <si>
    <t>2021AMP2018Operating ExpenditureAsset replacement and renewalAsset replacement and renewalconstant</t>
  </si>
  <si>
    <t>2021AMP2013Operating ExpenditureAsset replacement and renewalAsset replacement and renewalconstant</t>
  </si>
  <si>
    <t>2021AMP2016Operating ExpenditureAsset replacement and renewalAsset replacement and renewalconstant</t>
  </si>
  <si>
    <t>2021AMP2015Operating ExpenditureAsset replacement and renewalAsset replacement and renewalnominal</t>
  </si>
  <si>
    <t>2021AMP2019Operating ExpenditureAsset replacement and renewalAsset replacement and renewalnominal</t>
  </si>
  <si>
    <t>2021AMP2013Operating ExpenditureAsset replacement and renewalAsset replacement and renewalnominal</t>
  </si>
  <si>
    <t>2021AMP2014Operating ExpenditureAsset replacement and renewalAsset replacement and renewalnominal</t>
  </si>
  <si>
    <t>2021AMP2020Operating ExpenditureAsset replacement and renewalAsset replacement and renewalnominal</t>
  </si>
  <si>
    <t>2021AMP2016Operating ExpenditureAsset replacement and renewalAsset replacement and renewalnominal</t>
  </si>
  <si>
    <t>2021AMP2017Operating ExpenditureAsset replacement and renewalAsset replacement and renewalnominal</t>
  </si>
  <si>
    <t>2021AMP2021Operating ExpenditureAsset replacement and renewalAsset replacement and renewalnominal</t>
  </si>
  <si>
    <t>2021AMP2018Operating ExpenditureAsset replacement and renewalAsset replacement and renewalnominal</t>
  </si>
  <si>
    <t>2021AMP2013Operating ExpenditureBusiness supportBusiness supportconstant</t>
  </si>
  <si>
    <t>2021AMP2016Operating ExpenditureBusiness supportBusiness supportconstant</t>
  </si>
  <si>
    <t>2021AMP2017Operating ExpenditureBusiness supportBusiness supportconstant</t>
  </si>
  <si>
    <t>2021AMP2018Operating ExpenditureBusiness supportBusiness supportconstant</t>
  </si>
  <si>
    <t>2021AMP2021Operating ExpenditureBusiness supportBusiness supportconstant</t>
  </si>
  <si>
    <t>2021AMP2014Operating ExpenditureBusiness supportBusiness supportconstant</t>
  </si>
  <si>
    <t>2021AMP2015Operating ExpenditureBusiness supportBusiness supportconstant</t>
  </si>
  <si>
    <t>2021AMP2019Operating ExpenditureBusiness supportBusiness supportconstant</t>
  </si>
  <si>
    <t>2021AMP2020Operating ExpenditureBusiness supportBusiness supportconstant</t>
  </si>
  <si>
    <t>2021AMP2021Operating ExpenditureBusiness supportBusiness supportnominal</t>
  </si>
  <si>
    <t>2021AMP2013Operating ExpenditureBusiness supportBusiness supportnominal</t>
  </si>
  <si>
    <t>2021AMP2016Operating ExpenditureBusiness supportBusiness supportnominal</t>
  </si>
  <si>
    <t>2021AMP2017Operating ExpenditureBusiness supportBusiness supportnominal</t>
  </si>
  <si>
    <t>2021AMP2015Operating ExpenditureBusiness supportBusiness supportnominal</t>
  </si>
  <si>
    <t>2021AMP2018Operating ExpenditureBusiness supportBusiness supportnominal</t>
  </si>
  <si>
    <t>2021AMP2020Operating ExpenditureBusiness supportBusiness supportnominal</t>
  </si>
  <si>
    <t>2021AMP2019Operating ExpenditureBusiness supportBusiness supportnominal</t>
  </si>
  <si>
    <t>2021AMP2014Operating ExpenditureBusiness supportBusiness supportnominal</t>
  </si>
  <si>
    <t>2021AMP2014Operating ExpenditureExpenditure on subcomponentsInsuranceconstant</t>
  </si>
  <si>
    <t>2021AMP2019Operating ExpenditureExpenditure on subcomponentsInsuranceconstant</t>
  </si>
  <si>
    <t>2021AMP2021Operating ExpenditureExpenditure on subcomponentsInsuranceconstant</t>
  </si>
  <si>
    <t>2021AMP2015Operating ExpenditureExpenditure on subcomponentsInsuranceconstant</t>
  </si>
  <si>
    <t>2021AMP2013Operating ExpenditureExpenditure on subcomponentsInsuranceconstant</t>
  </si>
  <si>
    <t>2021AMP2016Operating ExpenditureExpenditure on subcomponentsInsuranceconstant</t>
  </si>
  <si>
    <t>2021AMP2017Operating ExpenditureExpenditure on subcomponentsInsuranceconstant</t>
  </si>
  <si>
    <t>2021AMP2018Operating ExpenditureExpenditure on subcomponentsInsuranceconstant</t>
  </si>
  <si>
    <t>2021AMP2020Operating ExpenditureExpenditure on subcomponentsInsuranceconstant</t>
  </si>
  <si>
    <t>2021AMP2018Operating ExpenditureExpenditure on subcomponentsResearch and developmentconstant</t>
  </si>
  <si>
    <t>2021AMP2017Operating ExpenditureExpenditure on subcomponentsResearch and developmentconstant</t>
  </si>
  <si>
    <t>2021AMP2015Operating ExpenditureExpenditure on subcomponentsResearch and developmentconstant</t>
  </si>
  <si>
    <t>2021AMP2013Operating ExpenditureExpenditure on subcomponentsResearch and developmentconstant</t>
  </si>
  <si>
    <t>2021AMP2021Operating ExpenditureExpenditure on subcomponentsResearch and developmentconstant</t>
  </si>
  <si>
    <t>2021AMP2019Operating ExpenditureExpenditure on subcomponentsResearch and developmentconstant</t>
  </si>
  <si>
    <t>2021AMP2014Operating ExpenditureExpenditure on subcomponentsResearch and developmentconstant</t>
  </si>
  <si>
    <t>2021AMP2020Operating ExpenditureExpenditure on subcomponentsResearch and developmentconstant</t>
  </si>
  <si>
    <t>2021AMP2016Operating ExpenditureExpenditure on subcomponentsResearch and developmentconstant</t>
  </si>
  <si>
    <t>2021AMP2018Operating ExpenditureNetwork opexNetwork opexconstant</t>
  </si>
  <si>
    <t>2021AMP2020Operating ExpenditureNetwork opexNetwork opexconstant</t>
  </si>
  <si>
    <t>2021AMP2017Operating ExpenditureNetwork opexNetwork opexconstant</t>
  </si>
  <si>
    <t>2021AMP2021Operating ExpenditureNetwork opexNetwork opexconstant</t>
  </si>
  <si>
    <t>2021AMP2016Operating ExpenditureNetwork opexNetwork opexconstant</t>
  </si>
  <si>
    <t>2021AMP2019Operating ExpenditureNetwork opexNetwork opexconstant</t>
  </si>
  <si>
    <t>2021AMP2015Operating ExpenditureNetwork opexNetwork opexconstant</t>
  </si>
  <si>
    <t>2021AMP2014Operating ExpenditureNetwork opexNetwork opexconstant</t>
  </si>
  <si>
    <t>2021AMP2013Operating ExpenditureNetwork opexNetwork opexconstant</t>
  </si>
  <si>
    <t>2021AMP2016Operating ExpenditureNetwork opexNetwork opexnominal</t>
  </si>
  <si>
    <t>2021AMP2021Operating ExpenditureNetwork opexNetwork opexnominal</t>
  </si>
  <si>
    <t>2021AMP2013Operating ExpenditureNetwork opexNetwork opexnominal</t>
  </si>
  <si>
    <t>2021AMP2015Operating ExpenditureNetwork opexNetwork opexnominal</t>
  </si>
  <si>
    <t>2021AMP2017Operating ExpenditureNetwork opexNetwork opexnominal</t>
  </si>
  <si>
    <t>2021AMP2019Operating ExpenditureNetwork opexNetwork opexnominal</t>
  </si>
  <si>
    <t>2021AMP2014Operating ExpenditureNetwork opexNetwork opexnominal</t>
  </si>
  <si>
    <t>2021AMP2020Operating ExpenditureNetwork opexNetwork opexnominal</t>
  </si>
  <si>
    <t>2021AMP2018Operating ExpenditureNetwork opexNetwork opexnominal</t>
  </si>
  <si>
    <t>2021AMP2013Operating ExpenditureNon-network opexNon-network opexconstant</t>
  </si>
  <si>
    <t>2021AMP2015Operating ExpenditureNon-network opexNon-network opexconstant</t>
  </si>
  <si>
    <t>2021AMP2014Operating ExpenditureNon-network opexNon-network opexconstant</t>
  </si>
  <si>
    <t>2021AMP2021Operating ExpenditureNon-network opexNon-network opexconstant</t>
  </si>
  <si>
    <t>2021AMP2020Operating ExpenditureNon-network opexNon-network opexconstant</t>
  </si>
  <si>
    <t>2021AMP2019Operating ExpenditureNon-network opexNon-network opexconstant</t>
  </si>
  <si>
    <t>2021AMP2016Operating ExpenditureNon-network opexNon-network opexconstant</t>
  </si>
  <si>
    <t>2021AMP2017Operating ExpenditureNon-network opexNon-network opexconstant</t>
  </si>
  <si>
    <t>2021AMP2018Operating ExpenditureNon-network opexNon-network opexconstant</t>
  </si>
  <si>
    <t>2021AMP2019Operating ExpenditureNon-network opexNon-network opexnominal</t>
  </si>
  <si>
    <t>2021AMP2021Operating ExpenditureNon-network opexNon-network opexnominal</t>
  </si>
  <si>
    <t>2021AMP2016Operating ExpenditureNon-network opexNon-network opexnominal</t>
  </si>
  <si>
    <t>2021AMP2013Operating ExpenditureNon-network opexNon-network opexnominal</t>
  </si>
  <si>
    <t>2021AMP2017Operating ExpenditureNon-network opexNon-network opexnominal</t>
  </si>
  <si>
    <t>2021AMP2015Operating ExpenditureNon-network opexNon-network opexnominal</t>
  </si>
  <si>
    <t>2021AMP2018Operating ExpenditureNon-network opexNon-network opexnominal</t>
  </si>
  <si>
    <t>2021AMP2020Operating ExpenditureNon-network opexNon-network opexnominal</t>
  </si>
  <si>
    <t>2021AMP2014Operating ExpenditureNon-network opexNon-network opexnominal</t>
  </si>
  <si>
    <t>2021AMP2020Operating ExpenditureResearch and developmentResearch and developmentconstant</t>
  </si>
  <si>
    <t>2021AMP2016Operating ExpenditureResearch and developmentResearch and developmentconstant</t>
  </si>
  <si>
    <t>2021AMP2014Operating ExpenditureResearch and developmentResearch and developmentconstant</t>
  </si>
  <si>
    <t>2021AMP2018Operating ExpenditureResearch and developmentResearch and developmentconstant</t>
  </si>
  <si>
    <t>2021AMP2017Operating ExpenditureResearch and developmentResearch and developmentconstant</t>
  </si>
  <si>
    <t>2021AMP2019Operating ExpenditureResearch and developmentResearch and developmentconstant</t>
  </si>
  <si>
    <t>2021AMP2013Operating ExpenditureResearch and developmentResearch and developmentconstant</t>
  </si>
  <si>
    <t>2021AMP2021Operating ExpenditureResearch and developmentResearch and developmentconstant</t>
  </si>
  <si>
    <t>2021AMP2015Operating ExpenditureResearch and developmentResearch and developmentconstant</t>
  </si>
  <si>
    <t>2021AMP2013Operating ExpenditureRoutine and corrective maintenance and inspectionRoutine and corrective maintenance and inspectionconstant</t>
  </si>
  <si>
    <t>2021AMP2015Operating ExpenditureRoutine and corrective maintenance and inspectionRoutine and corrective maintenance and inspectionconstant</t>
  </si>
  <si>
    <t>2021AMP2020Operating ExpenditureRoutine and corrective maintenance and inspectionRoutine and corrective maintenance and inspectionconstant</t>
  </si>
  <si>
    <t>2021AMP2019Operating ExpenditureRoutine and corrective maintenance and inspectionRoutine and corrective maintenance and inspectionconstant</t>
  </si>
  <si>
    <t>2021AMP2016Operating ExpenditureRoutine and corrective maintenance and inspectionRoutine and corrective maintenance and inspectionconstant</t>
  </si>
  <si>
    <t>2021AMP2014Operating ExpenditureRoutine and corrective maintenance and inspectionRoutine and corrective maintenance and inspectionconstant</t>
  </si>
  <si>
    <t>2021AMP2017Operating ExpenditureRoutine and corrective maintenance and inspectionRoutine and corrective maintenance and inspectionconstant</t>
  </si>
  <si>
    <t>2021AMP2021Operating ExpenditureRoutine and corrective maintenance and inspectionRoutine and corrective maintenance and inspectionconstant</t>
  </si>
  <si>
    <t>2021AMP2018Operating ExpenditureRoutine and corrective maintenance and inspectionRoutine and corrective maintenance and inspectionconstant</t>
  </si>
  <si>
    <t>2021AMP2017Operating ExpenditureRoutine and corrective maintenance and inspectionRoutine and corrective maintenance and inspectionnominal</t>
  </si>
  <si>
    <t>2021AMP2016Operating ExpenditureRoutine and corrective maintenance and inspectionRoutine and corrective maintenance and inspectionnominal</t>
  </si>
  <si>
    <t>2021AMP2014Operating ExpenditureRoutine and corrective maintenance and inspectionRoutine and corrective maintenance and inspectionnominal</t>
  </si>
  <si>
    <t>2021AMP2021Operating ExpenditureRoutine and corrective maintenance and inspectionRoutine and corrective maintenance and inspectionnominal</t>
  </si>
  <si>
    <t>2021AMP2018Operating ExpenditureRoutine and corrective maintenance and inspectionRoutine and corrective maintenance and inspectionnominal</t>
  </si>
  <si>
    <t>2021AMP2015Operating ExpenditureRoutine and corrective maintenance and inspectionRoutine and corrective maintenance and inspectionnominal</t>
  </si>
  <si>
    <t>2021AMP2013Operating ExpenditureRoutine and corrective maintenance and inspectionRoutine and corrective maintenance and inspectionnominal</t>
  </si>
  <si>
    <t>2021AMP2019Operating ExpenditureRoutine and corrective maintenance and inspectionRoutine and corrective maintenance and inspectionnominal</t>
  </si>
  <si>
    <t>2021AMP2020Operating ExpenditureRoutine and corrective maintenance and inspectionRoutine and corrective maintenance and inspectionnominal</t>
  </si>
  <si>
    <t>2021AMP2014Operating ExpenditureService interruptions, incidents and emergenciesService interruptions, incidents and emergenciesconstant</t>
  </si>
  <si>
    <t>2021AMP2013Operating ExpenditureService interruptions, incidents and emergenciesService interruptions, incidents and emergenciesconstant</t>
  </si>
  <si>
    <t>2021AMP2019Operating ExpenditureService interruptions, incidents and emergenciesService interruptions, incidents and emergenciesconstant</t>
  </si>
  <si>
    <t>2021AMP2017Operating ExpenditureService interruptions, incidents and emergenciesService interruptions, incidents and emergenciesconstant</t>
  </si>
  <si>
    <t>2021AMP2021Operating ExpenditureService interruptions, incidents and emergenciesService interruptions, incidents and emergenciesconstant</t>
  </si>
  <si>
    <t>2021AMP2020Operating ExpenditureService interruptions, incidents and emergenciesService interruptions, incidents and emergenciesconstant</t>
  </si>
  <si>
    <t>2021AMP2015Operating ExpenditureService interruptions, incidents and emergenciesService interruptions, incidents and emergenciesconstant</t>
  </si>
  <si>
    <t>2021AMP2018Operating ExpenditureService interruptions, incidents and emergenciesService interruptions, incidents and emergenciesconstant</t>
  </si>
  <si>
    <t>2021AMP2016Operating ExpenditureService interruptions, incidents and emergenciesService interruptions, incidents and emergenciesconstant</t>
  </si>
  <si>
    <t>2021AMP2017Operating ExpenditureService interruptions, incidents and emergenciesService interruptions, incidents and emergenciesnominal</t>
  </si>
  <si>
    <t>2021AMP2013Operating ExpenditureService interruptions, incidents and emergenciesService interruptions, incidents and emergenciesnominal</t>
  </si>
  <si>
    <t>2021AMP2021Operating ExpenditureService interruptions, incidents and emergenciesService interruptions, incidents and emergenciesnominal</t>
  </si>
  <si>
    <t>2021AMP2014Operating ExpenditureService interruptions, incidents and emergenciesService interruptions, incidents and emergenciesnominal</t>
  </si>
  <si>
    <t>2021AMP2018Operating ExpenditureService interruptions, incidents and emergenciesService interruptions, incidents and emergenciesnominal</t>
  </si>
  <si>
    <t>2021AMP2016Operating ExpenditureService interruptions, incidents and emergenciesService interruptions, incidents and emergenciesnominal</t>
  </si>
  <si>
    <t>2021AMP2019Operating ExpenditureService interruptions, incidents and emergenciesService interruptions, incidents and emergenciesnominal</t>
  </si>
  <si>
    <t>2021AMP2020Operating ExpenditureService interruptions, incidents and emergenciesService interruptions, incidents and emergenciesnominal</t>
  </si>
  <si>
    <t>2021AMP2015Operating ExpenditureService interruptions, incidents and emergenciesService interruptions, incidents and emergenciesnominal</t>
  </si>
  <si>
    <t>2021AMP2014Operating ExpenditureSystem operations and network supportSystem operations and network supportconstant</t>
  </si>
  <si>
    <t>2021AMP2015Operating ExpenditureSystem operations and network supportSystem operations and network supportconstant</t>
  </si>
  <si>
    <t>2021AMP2020Operating ExpenditureSystem operations and network supportSystem operations and network supportconstant</t>
  </si>
  <si>
    <t>2021AMP2019Operating ExpenditureSystem operations and network supportSystem operations and network supportconstant</t>
  </si>
  <si>
    <t>2021AMP2021Operating ExpenditureSystem operations and network supportSystem operations and network supportconstant</t>
  </si>
  <si>
    <t>2021AMP2018Operating ExpenditureSystem operations and network supportSystem operations and network supportconstant</t>
  </si>
  <si>
    <t>2021AMP2013Operating ExpenditureSystem operations and network supportSystem operations and network supportconstant</t>
  </si>
  <si>
    <t>2021AMP2017Operating ExpenditureSystem operations and network supportSystem operations and network supportconstant</t>
  </si>
  <si>
    <t>2021AMP2016Operating ExpenditureSystem operations and network supportSystem operations and network supportconstant</t>
  </si>
  <si>
    <t>2021AMP2020Operating ExpenditureSystem operations and network supportSystem operations and network supportnominal</t>
  </si>
  <si>
    <t>2021AMP2013Operating ExpenditureSystem operations and network supportSystem operations and network supportnominal</t>
  </si>
  <si>
    <t>2021AMP2018Operating ExpenditureSystem operations and network supportSystem operations and network supportnominal</t>
  </si>
  <si>
    <t>2021AMP2016Operating ExpenditureSystem operations and network supportSystem operations and network supportnominal</t>
  </si>
  <si>
    <t>2021AMP2014Operating ExpenditureSystem operations and network supportSystem operations and network supportnominal</t>
  </si>
  <si>
    <t>2021AMP2015Operating ExpenditureSystem operations and network supportSystem operations and network supportnominal</t>
  </si>
  <si>
    <t>2021AMP2021Operating ExpenditureSystem operations and network supportSystem operations and network supportnominal</t>
  </si>
  <si>
    <t>2021AMP2017Operating ExpenditureSystem operations and network supportSystem operations and network supportnominal</t>
  </si>
  <si>
    <t>2021AMP2019Operating ExpenditureSystem operations and network supportSystem operations and network supportnominal</t>
  </si>
  <si>
    <t>2021AMP2017Operating ExpenditureTotal opexOperational expenditureconstant</t>
  </si>
  <si>
    <t>2021AMP2015Operating ExpenditureTotal opexOperational expenditureconstant</t>
  </si>
  <si>
    <t>2021AMP2020Operating ExpenditureTotal opexOperational expenditureconstant</t>
  </si>
  <si>
    <t>2021AMP2014Operating ExpenditureTotal opexOperational expenditureconstant</t>
  </si>
  <si>
    <t>2021AMP2016Operating ExpenditureTotal opexOperational expenditureconstant</t>
  </si>
  <si>
    <t>2021AMP2013Operating ExpenditureTotal opexOperational expenditureconstant</t>
  </si>
  <si>
    <t>2021AMP2018Operating ExpenditureTotal opexOperational expenditureconstant</t>
  </si>
  <si>
    <t>2021AMP2019Operating ExpenditureTotal opexOperational expenditureconstant</t>
  </si>
  <si>
    <t>2021AMP2021Operating ExpenditureTotal opexOperational expenditureconstant</t>
  </si>
  <si>
    <t>2021AMP2013Operating ExpenditureTotal opexOperational expenditurenominal</t>
  </si>
  <si>
    <t>2021AMP2018Operating ExpenditureTotal opexOperational expenditurenominal</t>
  </si>
  <si>
    <t>2021AMP2020Operating ExpenditureTotal opexOperational expenditurenominal</t>
  </si>
  <si>
    <t>2021AMP2016Operating ExpenditureTotal opexOperational expenditurenominal</t>
  </si>
  <si>
    <t>2021AMP2015Operating ExpenditureTotal opexOperational expenditurenominal</t>
  </si>
  <si>
    <t>2021AMP2017Operating ExpenditureTotal opexOperational expenditurenominal</t>
  </si>
  <si>
    <t>2021AMP2021Operating ExpenditureTotal opexOperational expenditurenominal</t>
  </si>
  <si>
    <t>2021AMP2019Operating ExpenditureTotal opexOperational expenditurenominal</t>
  </si>
  <si>
    <t>2021AMP2014Operating ExpenditureTotal opexOperational expenditurenominal</t>
  </si>
  <si>
    <t>2021IDOperating ExpenditureAsset replacement and renewalAsset replacement and renewalconstant</t>
  </si>
  <si>
    <t>2021IDOperating ExpenditureAsset replacement and renewalAsset replacement and renewalnominal</t>
  </si>
  <si>
    <t>2021IDOperating ExpenditureBusiness supportBusiness supportconstant</t>
  </si>
  <si>
    <t>2021IDOperating ExpenditureBusiness supportBusiness supportnominal</t>
  </si>
  <si>
    <t>2021IDOperating ExpenditureNetwork opexNetwork opexconstant</t>
  </si>
  <si>
    <t>2021IDOperating ExpenditureNetwork opexNetwork opexnominal</t>
  </si>
  <si>
    <t>2021IDOperating ExpenditureNon-network opexNon-network opexconstant</t>
  </si>
  <si>
    <t>2021IDOperating ExpenditureNon-network opexNon-network opexnominal</t>
  </si>
  <si>
    <t>2021IDOperating ExpenditureRoutine and corrective maintenance and inspectionRoutine and corrective maintenance and inspectionconstant</t>
  </si>
  <si>
    <t>2021IDOperating ExpenditureRoutine and corrective maintenance and inspectionRoutine and corrective maintenance and inspectionnominal</t>
  </si>
  <si>
    <t>2021IDOperating ExpenditureService interruptions, incidents and emergenciesService interruptions, incidents and emergenciesconstant</t>
  </si>
  <si>
    <t>2021IDOperating ExpenditureService interruptions, incidents and emergenciesService interruptions, incidents and emergenciesnominal</t>
  </si>
  <si>
    <t>2021IDOperating ExpenditureSystem operations and network supportSystem operations and network supportconstant</t>
  </si>
  <si>
    <t>2021IDOperating ExpenditureSystem operations and network supportSystem operations and network supportnominal</t>
  </si>
  <si>
    <t>2021IDOperating ExpenditureTotal opexOperational expenditureconstant</t>
  </si>
  <si>
    <t>2021IDOperating ExpenditureTotal opexOperational expenditurenominal</t>
  </si>
  <si>
    <t>2021IDOther dataRelated party transactionsAsset relocationsconstant</t>
  </si>
  <si>
    <t>2021IDOther dataRelated party transactionsAsset relocationsnominal</t>
  </si>
  <si>
    <t>2021IDOther dataRelated party transactionsAsset replacement and renewal (capex)constant</t>
  </si>
  <si>
    <t>2021IDOther dataRelated party transactionsAsset replacement and renewal (capex)nominal</t>
  </si>
  <si>
    <t>2021IDOther dataRelated party transactionsAsset replacement and renewal (opex)constant</t>
  </si>
  <si>
    <t>2021IDOther dataRelated party transactionsAsset replacement and renewal (opex)nominal</t>
  </si>
  <si>
    <t>2021IDOther dataRelated party transactionsBusiness supportconstant</t>
  </si>
  <si>
    <t>2021IDOther dataRelated party transactionsBusiness supportnominal</t>
  </si>
  <si>
    <t>2021IDOther dataRelated party transactionsCapital expenditureconstant</t>
  </si>
  <si>
    <t>2021IDOther dataRelated party transactionsCapital expenditurenominal</t>
  </si>
  <si>
    <t>2021IDOther dataRelated party transactionsConsumer connectionconstant</t>
  </si>
  <si>
    <t>2021IDOther dataRelated party transactionsConsumer connectionnominal</t>
  </si>
  <si>
    <t>2021IDOther dataRelated party transactionsCost of financingconstant</t>
  </si>
  <si>
    <t>2021IDOther dataRelated party transactionsCost of financingnominal</t>
  </si>
  <si>
    <t>2021IDOther dataRelated party transactionsExpenditure on assetsconstant</t>
  </si>
  <si>
    <t>2021IDOther dataRelated party transactionsExpenditure on assetsnominal</t>
  </si>
  <si>
    <t>2021IDOther dataRelated party transactionsLegislative and regulatoryconstant</t>
  </si>
  <si>
    <t>2021IDOther dataRelated party transactionsLegislative and regulatorynominal</t>
  </si>
  <si>
    <t>2021IDOther dataRelated party transactionsMarket value of asset disposalsconstant</t>
  </si>
  <si>
    <t>2021IDOther dataRelated party transactionsMarket value of asset disposalsnominal</t>
  </si>
  <si>
    <t>2021IDOther dataRelated party transactionsNetwork opexconstant</t>
  </si>
  <si>
    <t>2021IDOther dataRelated party transactionsNetwork opexnominal</t>
  </si>
  <si>
    <t>2021IDOther dataRelated party transactionsNon-network assetsconstant</t>
  </si>
  <si>
    <t>2021IDOther dataRelated party transactionsNon-network assetsnominal</t>
  </si>
  <si>
    <t>2021IDOther dataRelated party transactionsOperational expenditureconstant</t>
  </si>
  <si>
    <t>2021IDOther dataRelated party transactionsOperational expenditurenominal</t>
  </si>
  <si>
    <t>2021IDOther dataRelated party transactionsOther related party transactionsconstant</t>
  </si>
  <si>
    <t>2021IDOther dataRelated party transactionsOther related party transactionsnominal</t>
  </si>
  <si>
    <t>2021IDOther dataRelated party transactionsOther reliability, safety and environmentconstant</t>
  </si>
  <si>
    <t>2021IDOther dataRelated party transactionsOther reliability, safety and environmentnominal</t>
  </si>
  <si>
    <t>2021IDOther dataRelated party transactionsQuality of supplyconstant</t>
  </si>
  <si>
    <t>2021IDOther dataRelated party transactionsQuality of supplynominal</t>
  </si>
  <si>
    <t>2021IDOther dataRelated party transactionsRoutine and corrective maintenance and inspectionconstant</t>
  </si>
  <si>
    <t>2021IDOther dataRelated party transactionsRoutine and corrective maintenance and inspectionnominal</t>
  </si>
  <si>
    <t>2021IDOther dataRelated party transactionsService interruptions, incidents and emergenciesconstant</t>
  </si>
  <si>
    <t>2021IDOther dataRelated party transactionsService interruptions, incidents and emergenciesnominal</t>
  </si>
  <si>
    <t>2021IDOther dataRelated party transactionsSystem growthconstant</t>
  </si>
  <si>
    <t>2021IDOther dataRelated party transactionsSystem growthnominal</t>
  </si>
  <si>
    <t>2021IDOther dataRelated party transactionsSystem operations and network supportconstant</t>
  </si>
  <si>
    <t>2021IDOther dataRelated party transactionsSystem operations and network supportnominal</t>
  </si>
  <si>
    <t>2021IDOther dataRelated party transactionsTotal expenditureconstant</t>
  </si>
  <si>
    <t>2021IDOther dataRelated party transactionsTotal expenditurenominal</t>
  </si>
  <si>
    <t>2021IDOther dataRelated party transactionsTotal regulatory incomeconstant</t>
  </si>
  <si>
    <t>2021IDOther dataRelated party transactionsTotal regulatory incomenominal</t>
  </si>
  <si>
    <t>2021IDOther dataRelated party transactionsValue of capital contributionsconstant</t>
  </si>
  <si>
    <t>2021IDOther dataRelated party transactionsValue of capital contributionsnominal</t>
  </si>
  <si>
    <t>2021IDOther dataRelated party transactionsValue of vested assetsconstant</t>
  </si>
  <si>
    <t>2021IDOther dataRelated party transactionsValue of vested assetsnominal</t>
  </si>
  <si>
    <t>2021IDRAB valueTotal closing RAB valueIntermediate pressure main pipelinesconstant</t>
  </si>
  <si>
    <t>2021IDRAB valueTotal closing RAB valueLine valveconstant</t>
  </si>
  <si>
    <t>2021IDRAB valueTotal closing RAB valueLow pressure main pipelinesconstant</t>
  </si>
  <si>
    <t>2021IDRAB valueTotal closing RAB valueMedium pressure main pipelinesconstant</t>
  </si>
  <si>
    <t>2021IDRAB valueTotal closing RAB valueOther network assetsconstant</t>
  </si>
  <si>
    <t>2021IDRAB valueTotal closing RAB valueService pipeconstant</t>
  </si>
  <si>
    <t>2021IDRAB valueTotal closing RAB valueSpecial crossingsconstant</t>
  </si>
  <si>
    <t>2021IDRAB valueTotal closing RAB valueStationsconstant</t>
  </si>
  <si>
    <t>2021IDRAB valueTotal closing RAB valueTotalconstant</t>
  </si>
  <si>
    <t>2021IDReliabilityInterruption rateInterruptions per 100 circuit kmNA</t>
  </si>
  <si>
    <t>2021IDReliabilityInterruptionsClass BNA</t>
  </si>
  <si>
    <t>2021IDReliabilityInterruptionsClass CNA</t>
  </si>
  <si>
    <t>2021IDReliabilityCAIDIAll interruptionsNA</t>
  </si>
  <si>
    <t>2021IDReliabilityCAIDIClass INA</t>
  </si>
  <si>
    <t>2021IDReliabilitySAIDIAll interruptionsNA</t>
  </si>
  <si>
    <t>2021IDReliabilitySAIDIClass INA</t>
  </si>
  <si>
    <t>2021IDReliabilitySAIFIAll interruptionsNA</t>
  </si>
  <si>
    <t>2021IDReliabilitySAIFIClass INA</t>
  </si>
  <si>
    <t>2021IDRevenue and ProfitabilityReturn on investmentReturn on Investment (post tax)NA</t>
  </si>
  <si>
    <t>2021IDRevenue and ProfitabilityReturn on investmentReturn on Investment (vanilla)NA</t>
  </si>
  <si>
    <t>2021IDRevenue and ProfitabilityExpensesOperational expenditureconstant</t>
  </si>
  <si>
    <t>2021IDRevenue and ProfitabilityExpensesOperational expenditurenominal</t>
  </si>
  <si>
    <t>2021IDRevenue and ProfitabilityExpensesPass-through and recoverable costsconstant</t>
  </si>
  <si>
    <t>2021IDRevenue and ProfitabilityExpensesPass-through and recoverable costsnominal</t>
  </si>
  <si>
    <t>2021IDRevenue and ProfitabilityOperating surplus / (deficit)Operating surplus / (deficit)constant</t>
  </si>
  <si>
    <t>2021IDRevenue and ProfitabilityOperating surplus / (deficit)Operating surplus / (deficit)nominal</t>
  </si>
  <si>
    <t>2021IDRevenue and ProfitabilityRegulatory profit / (loss)Regulatory profit / (loss)constant</t>
  </si>
  <si>
    <t>2021IDRevenue and ProfitabilityRegulatory profit / (loss)Regulatory profit / (loss)nominal</t>
  </si>
  <si>
    <t>2021IDRevenue and ProfitabilityRegulatory profit / (loss) before taxRegulatory profit / (loss) before taxconstant</t>
  </si>
  <si>
    <t>2021IDRevenue and ProfitabilityRegulatory profit / (loss) before taxRegulatory profit / (loss) before taxnominal</t>
  </si>
  <si>
    <t>2021IDRevenue and ProfitabilityTaxRegulatory tax allowanceconstant</t>
  </si>
  <si>
    <t>2021IDRevenue and ProfitabilityTaxRegulatory tax allowancenominal</t>
  </si>
  <si>
    <t>2021IDRevenue and ProfitabilityTerm credit spread differentialTerm credit spread differential allowanceconstant</t>
  </si>
  <si>
    <t>2021IDRevenue and ProfitabilityTerm credit spread differentialTerm credit spread differential allowancenominal</t>
  </si>
  <si>
    <t>2021IDRevenue and ProfitabilityTotal regulatory incomeGains / (losses) on asset disposalsconstant</t>
  </si>
  <si>
    <t>2021IDRevenue and ProfitabilityTotal regulatory incomeGains / (losses) on asset disposalsnominal</t>
  </si>
  <si>
    <t>2021IDRevenue and ProfitabilityTotal regulatory incomeLine charge revenueconstant</t>
  </si>
  <si>
    <t>2021IDRevenue and ProfitabilityTotal regulatory incomeLine charge revenuenominal</t>
  </si>
  <si>
    <t>2021IDRevenue and ProfitabilityTotal regulatory incomeOther regulatory incomeconstant</t>
  </si>
  <si>
    <t>2021IDRevenue and ProfitabilityTotal regulatory incomeOther regulatory incomenominal</t>
  </si>
  <si>
    <t>2021IDRevenue and ProfitabilityTotal regulatory incomeTotal regulatory incomeconstant</t>
  </si>
  <si>
    <t>2021IDRevenue and ProfitabilityTotal regulatory incomeTotal regulatory incomenominal</t>
  </si>
  <si>
    <t>2021IDRevenue and ProfitabilityAdjustment resulting from asset allocationAdjustment resulting from asset allocationconstant</t>
  </si>
  <si>
    <t>2021IDRevenue and ProfitabilityAdjustment resulting from asset allocationAdjustment resulting from asset allocationnominal</t>
  </si>
  <si>
    <t>2021IDRevenue and ProfitabilityAsset disposalsAsset disposalsconstant</t>
  </si>
  <si>
    <t>2021IDRevenue and ProfitabilityAsset disposalsAsset disposalsnominal</t>
  </si>
  <si>
    <t>2021IDRevenue and ProfitabilityAsset valueTotal depreciationconstant</t>
  </si>
  <si>
    <t>2021IDRevenue and ProfitabilityAsset valueTotal depreciationnominal</t>
  </si>
  <si>
    <t>2021IDRevenue and ProfitabilityAsset valueTotal revaluationsconstant</t>
  </si>
  <si>
    <t>2021IDRevenue and ProfitabilityAsset valueTotal revaluationsnominal</t>
  </si>
  <si>
    <t>2021IDRevenue and ProfitabilityAssets commissionedAssets commissionedconstant</t>
  </si>
  <si>
    <t>2021IDRevenue and ProfitabilityAssets commissionedAssets commissionednominal</t>
  </si>
  <si>
    <t>2021IDRevenue and ProfitabilityLost and found assets adjustmentLost and found assets adjustmentconstant</t>
  </si>
  <si>
    <t>2021IDRevenue and ProfitabilityLost and found assets adjustmentLost and found assets adjustmentnominal</t>
  </si>
  <si>
    <t>2021IDRevenue and ProfitabilityTotal closing RAB valueTotal closing RAB valueconstant</t>
  </si>
  <si>
    <t>2021IDRevenue and ProfitabilityTotal closing RAB valueTotal closing RAB valuenominal</t>
  </si>
  <si>
    <t>2021IDRevenue and ProfitabilityTotal opening RAB valueTotal opening RAB valueconstant</t>
  </si>
  <si>
    <t>2021IDRevenue and ProfitabilityTotal opening RAB valueTotal opening RAB valuenominal</t>
  </si>
  <si>
    <t>2022AMP2020Capital ExpenditureAll assetsExpenditure on assetsconstant</t>
  </si>
  <si>
    <t>2022AMP2018Capital ExpenditureAll assetsExpenditure on assetsconstant</t>
  </si>
  <si>
    <t>2022AMP2021Capital ExpenditureAll assetsExpenditure on assetsconstant</t>
  </si>
  <si>
    <t>2022AMP2013Capital ExpenditureAll assetsExpenditure on assetsconstant</t>
  </si>
  <si>
    <t>2022AMP2016Capital ExpenditureAll assetsExpenditure on assetsconstant</t>
  </si>
  <si>
    <t>2022AMP2019Capital ExpenditureAll assetsExpenditure on assetsconstant</t>
  </si>
  <si>
    <t>2022AMP2017Capital ExpenditureAll assetsExpenditure on assetsconstant</t>
  </si>
  <si>
    <t>2022AMP2014Capital ExpenditureAll assetsExpenditure on assetsconstant</t>
  </si>
  <si>
    <t>2022AMP2015Capital ExpenditureAll assetsExpenditure on assetsconstant</t>
  </si>
  <si>
    <t>2022AMP2015Capital ExpenditureAll assetsExpenditure on assetsnominal</t>
  </si>
  <si>
    <t>2022AMP2017Capital ExpenditureAll assetsExpenditure on assetsnominal</t>
  </si>
  <si>
    <t>2022AMP2018Capital ExpenditureAll assetsExpenditure on assetsnominal</t>
  </si>
  <si>
    <t>2022AMP2013Capital ExpenditureAll assetsExpenditure on assetsnominal</t>
  </si>
  <si>
    <t>2022AMP2021Capital ExpenditureAll assetsExpenditure on assetsnominal</t>
  </si>
  <si>
    <t>2022AMP2019Capital ExpenditureAll assetsExpenditure on assetsnominal</t>
  </si>
  <si>
    <t>2022AMP2014Capital ExpenditureAll assetsExpenditure on assetsnominal</t>
  </si>
  <si>
    <t>2022AMP2020Capital ExpenditureAll assetsExpenditure on assetsnominal</t>
  </si>
  <si>
    <t>2022AMP2016Capital ExpenditureAll assetsExpenditure on assetsnominal</t>
  </si>
  <si>
    <t>2022AMP2020Capital ExpenditureAsset relocationsAsset relocationsconstant</t>
  </si>
  <si>
    <t>2022AMP2018Capital ExpenditureAsset relocationsAsset relocationsconstant</t>
  </si>
  <si>
    <t>2022AMP2014Capital ExpenditureAsset relocationsAsset relocationsconstant</t>
  </si>
  <si>
    <t>2022AMP2015Capital ExpenditureAsset relocationsAsset relocationsconstant</t>
  </si>
  <si>
    <t>2022AMP2021Capital ExpenditureAsset relocationsAsset relocationsconstant</t>
  </si>
  <si>
    <t>2022AMP2013Capital ExpenditureAsset relocationsAsset relocationsconstant</t>
  </si>
  <si>
    <t>2022AMP2017Capital ExpenditureAsset relocationsAsset relocationsconstant</t>
  </si>
  <si>
    <t>2022AMP2019Capital ExpenditureAsset relocationsAsset relocationsconstant</t>
  </si>
  <si>
    <t>2022AMP2016Capital ExpenditureAsset relocationsAsset relocationsconstant</t>
  </si>
  <si>
    <t>2022AMP2015Capital ExpenditureAsset relocationsAsset relocationsnominal</t>
  </si>
  <si>
    <t>2022AMP2017Capital ExpenditureAsset relocationsAsset relocationsnominal</t>
  </si>
  <si>
    <t>2022AMP2016Capital ExpenditureAsset relocationsAsset relocationsnominal</t>
  </si>
  <si>
    <t>2022AMP2019Capital ExpenditureAsset relocationsAsset relocationsnominal</t>
  </si>
  <si>
    <t>2022AMP2021Capital ExpenditureAsset relocationsAsset relocationsnominal</t>
  </si>
  <si>
    <t>2022AMP2014Capital ExpenditureAsset relocationsAsset relocationsnominal</t>
  </si>
  <si>
    <t>2022AMP2020Capital ExpenditureAsset relocationsAsset relocationsnominal</t>
  </si>
  <si>
    <t>2022AMP2018Capital ExpenditureAsset relocationsAsset relocationsnominal</t>
  </si>
  <si>
    <t>2022AMP2013Capital ExpenditureAsset relocationsAsset relocationsnominal</t>
  </si>
  <si>
    <t>2022AMP2019Capital ExpenditureAsset replacement and renewalAsset replacement and renewalconstant</t>
  </si>
  <si>
    <t>2022AMP2021Capital ExpenditureAsset replacement and renewalAsset replacement and renewalconstant</t>
  </si>
  <si>
    <t>2022AMP2020Capital ExpenditureAsset replacement and renewalAsset replacement and renewalconstant</t>
  </si>
  <si>
    <t>2022AMP2015Capital ExpenditureAsset replacement and renewalAsset replacement and renewalconstant</t>
  </si>
  <si>
    <t>2022AMP2018Capital ExpenditureAsset replacement and renewalAsset replacement and renewalconstant</t>
  </si>
  <si>
    <t>2022AMP2017Capital ExpenditureAsset replacement and renewalAsset replacement and renewalconstant</t>
  </si>
  <si>
    <t>2022AMP2014Capital ExpenditureAsset replacement and renewalAsset replacement and renewalconstant</t>
  </si>
  <si>
    <t>2022AMP2013Capital ExpenditureAsset replacement and renewalAsset replacement and renewalconstant</t>
  </si>
  <si>
    <t>2022AMP2016Capital ExpenditureAsset replacement and renewalAsset replacement and renewalconstant</t>
  </si>
  <si>
    <t>2022AMP2014Capital ExpenditureAsset replacement and renewalAsset replacement and renewalnominal</t>
  </si>
  <si>
    <t>2022AMP2013Capital ExpenditureAsset replacement and renewalAsset replacement and renewalnominal</t>
  </si>
  <si>
    <t>2022AMP2020Capital ExpenditureAsset replacement and renewalAsset replacement and renewalnominal</t>
  </si>
  <si>
    <t>2022AMP2018Capital ExpenditureAsset replacement and renewalAsset replacement and renewalnominal</t>
  </si>
  <si>
    <t>2022AMP2015Capital ExpenditureAsset replacement and renewalAsset replacement and renewalnominal</t>
  </si>
  <si>
    <t>2022AMP2017Capital ExpenditureAsset replacement and renewalAsset replacement and renewalnominal</t>
  </si>
  <si>
    <t>2022AMP2019Capital ExpenditureAsset replacement and renewalAsset replacement and renewalnominal</t>
  </si>
  <si>
    <t>2022AMP2016Capital ExpenditureAsset replacement and renewalAsset replacement and renewalnominal</t>
  </si>
  <si>
    <t>2022AMP2021Capital ExpenditureAsset replacement and renewalAsset replacement and renewalnominal</t>
  </si>
  <si>
    <t>2022AMP2017Capital ExpenditureAssets commissionedAssets commissionednominal</t>
  </si>
  <si>
    <t>2022AMP2018Capital ExpenditureAssets commissionedAssets commissionednominal</t>
  </si>
  <si>
    <t>2022AMP2020Capital ExpenditureAssets commissionedAssets commissionednominal</t>
  </si>
  <si>
    <t>2022AMP2019Capital ExpenditureAssets commissionedAssets commissionednominal</t>
  </si>
  <si>
    <t>2022AMP2021Capital ExpenditureAssets commissionedAssets commissionednominal</t>
  </si>
  <si>
    <t>2022AMP2016Capital ExpenditureAssets commissionedAssets commissionednominal</t>
  </si>
  <si>
    <t>2022AMP2015Capital ExpenditureAssets commissionedAssets commissionednominal</t>
  </si>
  <si>
    <t>2022AMP2018Capital ExpenditureCapital expenditure forecastCapital expenditure forecastnominal</t>
  </si>
  <si>
    <t>2022AMP2017Capital ExpenditureCapital expenditure forecastCapital expenditure forecastnominal</t>
  </si>
  <si>
    <t>2022AMP2019Capital ExpenditureCapital expenditure forecastCapital expenditure forecastnominal</t>
  </si>
  <si>
    <t>2022AMP2015Capital ExpenditureCapital expenditure forecastCapital expenditure forecastnominal</t>
  </si>
  <si>
    <t>2022AMP2016Capital ExpenditureCapital expenditure forecastCapital expenditure forecastnominal</t>
  </si>
  <si>
    <t>2022AMP2013Capital ExpenditureCapital expenditure forecastCapital expenditure forecastnominal</t>
  </si>
  <si>
    <t>2022AMP2020Capital ExpenditureCapital expenditure forecastCapital expenditure forecastnominal</t>
  </si>
  <si>
    <t>2022AMP2014Capital ExpenditureCapital expenditure forecastCapital expenditure forecastnominal</t>
  </si>
  <si>
    <t>2022AMP2021Capital ExpenditureCapital expenditure forecastCapital expenditure forecastnominal</t>
  </si>
  <si>
    <t>2022AMP2015Capital ExpenditureConsumer connectionConsumer connectionconstant</t>
  </si>
  <si>
    <t>2022AMP2016Capital ExpenditureConsumer connectionConsumer connectionconstant</t>
  </si>
  <si>
    <t>2022AMP2019Capital ExpenditureConsumer connectionConsumer connectionconstant</t>
  </si>
  <si>
    <t>2022AMP2020Capital ExpenditureConsumer connectionConsumer connectionconstant</t>
  </si>
  <si>
    <t>2022AMP2018Capital ExpenditureConsumer connectionConsumer connectionconstant</t>
  </si>
  <si>
    <t>2022AMP2017Capital ExpenditureConsumer connectionConsumer connectionconstant</t>
  </si>
  <si>
    <t>2022AMP2013Capital ExpenditureConsumer connectionConsumer connectionconstant</t>
  </si>
  <si>
    <t>2022AMP2014Capital ExpenditureConsumer connectionConsumer connectionconstant</t>
  </si>
  <si>
    <t>2022AMP2021Capital ExpenditureConsumer connectionConsumer connectionconstant</t>
  </si>
  <si>
    <t>2022AMP2017Capital ExpenditureConsumer connectionConsumer connectionnominal</t>
  </si>
  <si>
    <t>2022AMP2021Capital ExpenditureConsumer connectionConsumer connectionnominal</t>
  </si>
  <si>
    <t>2022AMP2018Capital ExpenditureConsumer connectionConsumer connectionnominal</t>
  </si>
  <si>
    <t>2022AMP2013Capital ExpenditureConsumer connectionConsumer connectionnominal</t>
  </si>
  <si>
    <t>2022AMP2014Capital ExpenditureConsumer connectionConsumer connectionnominal</t>
  </si>
  <si>
    <t>2022AMP2015Capital ExpenditureConsumer connectionConsumer connectionnominal</t>
  </si>
  <si>
    <t>2022AMP2019Capital ExpenditureConsumer connectionConsumer connectionnominal</t>
  </si>
  <si>
    <t>2022AMP2020Capital ExpenditureConsumer connectionConsumer connectionnominal</t>
  </si>
  <si>
    <t>2022AMP2016Capital ExpenditureConsumer connectionConsumer connectionnominal</t>
  </si>
  <si>
    <t>2022AMP2014Capital ExpenditureCost of financingCost of financingnominal</t>
  </si>
  <si>
    <t>2022AMP2019Capital ExpenditureCost of financingCost of financingnominal</t>
  </si>
  <si>
    <t>2022AMP2016Capital ExpenditureCost of financingCost of financingnominal</t>
  </si>
  <si>
    <t>2022AMP2017Capital ExpenditureCost of financingCost of financingnominal</t>
  </si>
  <si>
    <t>2022AMP2015Capital ExpenditureCost of financingCost of financingnominal</t>
  </si>
  <si>
    <t>2022AMP2020Capital ExpenditureCost of financingCost of financingnominal</t>
  </si>
  <si>
    <t>2022AMP2013Capital ExpenditureCost of financingCost of financingnominal</t>
  </si>
  <si>
    <t>2022AMP2021Capital ExpenditureCost of financingCost of financingnominal</t>
  </si>
  <si>
    <t>2022AMP2018Capital ExpenditureCost of financingCost of financingnominal</t>
  </si>
  <si>
    <t>2022AMP2018Capital ExpenditureExpenditure on subcomponentsResearch and developmentconstant</t>
  </si>
  <si>
    <t>2022AMP2021Capital ExpenditureExpenditure on subcomponentsResearch and developmentconstant</t>
  </si>
  <si>
    <t>2022AMP2019Capital ExpenditureExpenditure on subcomponentsResearch and developmentconstant</t>
  </si>
  <si>
    <t>2022AMP2014Capital ExpenditureExpenditure on subcomponentsResearch and developmentconstant</t>
  </si>
  <si>
    <t>2022AMP2020Capital ExpenditureExpenditure on subcomponentsResearch and developmentconstant</t>
  </si>
  <si>
    <t>2022AMP2013Capital ExpenditureExpenditure on subcomponentsResearch and developmentconstant</t>
  </si>
  <si>
    <t>2022AMP2017Capital ExpenditureExpenditure on subcomponentsResearch and developmentconstant</t>
  </si>
  <si>
    <t>2022AMP2016Capital ExpenditureExpenditure on subcomponentsResearch and developmentconstant</t>
  </si>
  <si>
    <t>2022AMP2015Capital ExpenditureExpenditure on subcomponentsResearch and developmentconstant</t>
  </si>
  <si>
    <t>2022AMP2021Capital ExpenditureNetwork assetsExpenditure on network assetsconstant</t>
  </si>
  <si>
    <t>2022AMP2018Capital ExpenditureNetwork assetsExpenditure on network assetsconstant</t>
  </si>
  <si>
    <t>2022AMP2017Capital ExpenditureNetwork assetsExpenditure on network assetsconstant</t>
  </si>
  <si>
    <t>2022AMP2015Capital ExpenditureNetwork assetsExpenditure on network assetsconstant</t>
  </si>
  <si>
    <t>2022AMP2020Capital ExpenditureNetwork assetsExpenditure on network assetsconstant</t>
  </si>
  <si>
    <t>2022AMP2016Capital ExpenditureNetwork assetsExpenditure on network assetsconstant</t>
  </si>
  <si>
    <t>2022AMP2019Capital ExpenditureNetwork assetsExpenditure on network assetsconstant</t>
  </si>
  <si>
    <t>2022AMP2014Capital ExpenditureNetwork assetsExpenditure on network assetsconstant</t>
  </si>
  <si>
    <t>2022AMP2013Capital ExpenditureNetwork assetsExpenditure on network assetsconstant</t>
  </si>
  <si>
    <t>2022AMP2018Capital ExpenditureNetwork assetsExpenditure on network assetsnominal</t>
  </si>
  <si>
    <t>2022AMP2021Capital ExpenditureNetwork assetsExpenditure on network assetsnominal</t>
  </si>
  <si>
    <t>2022AMP2019Capital ExpenditureNetwork assetsExpenditure on network assetsnominal</t>
  </si>
  <si>
    <t>2022AMP2013Capital ExpenditureNetwork assetsExpenditure on network assetsnominal</t>
  </si>
  <si>
    <t>2022AMP2014Capital ExpenditureNetwork assetsExpenditure on network assetsnominal</t>
  </si>
  <si>
    <t>2022AMP2020Capital ExpenditureNetwork assetsExpenditure on network assetsnominal</t>
  </si>
  <si>
    <t>2022AMP2016Capital ExpenditureNetwork assetsExpenditure on network assetsnominal</t>
  </si>
  <si>
    <t>2022AMP2017Capital ExpenditureNetwork assetsExpenditure on network assetsnominal</t>
  </si>
  <si>
    <t>2022AMP2015Capital ExpenditureNetwork assetsExpenditure on network assetsnominal</t>
  </si>
  <si>
    <t>2022AMP2021Capital ExpenditureNon-network assetsNon-network assetsconstant</t>
  </si>
  <si>
    <t>2022AMP2014Capital ExpenditureNon-network assetsNon-network assetsconstant</t>
  </si>
  <si>
    <t>2022AMP2020Capital ExpenditureNon-network assetsNon-network assetsconstant</t>
  </si>
  <si>
    <t>2022AMP2018Capital ExpenditureNon-network assetsNon-network assetsconstant</t>
  </si>
  <si>
    <t>2022AMP2013Capital ExpenditureNon-network assetsNon-network assetsconstant</t>
  </si>
  <si>
    <t>2022AMP2015Capital ExpenditureNon-network assetsNon-network assetsconstant</t>
  </si>
  <si>
    <t>2022AMP2019Capital ExpenditureNon-network assetsNon-network assetsconstant</t>
  </si>
  <si>
    <t>2022AMP2017Capital ExpenditureNon-network assetsNon-network assetsconstant</t>
  </si>
  <si>
    <t>2022AMP2016Capital ExpenditureNon-network assetsNon-network assetsconstant</t>
  </si>
  <si>
    <t>2022AMP2021Capital ExpenditureNon-network assetsNon-network assetsnominal</t>
  </si>
  <si>
    <t>2022AMP2016Capital ExpenditureNon-network assetsNon-network assetsnominal</t>
  </si>
  <si>
    <t>2022AMP2020Capital ExpenditureNon-network assetsNon-network assetsnominal</t>
  </si>
  <si>
    <t>2022AMP2018Capital ExpenditureNon-network assetsNon-network assetsnominal</t>
  </si>
  <si>
    <t>2022AMP2015Capital ExpenditureNon-network assetsNon-network assetsnominal</t>
  </si>
  <si>
    <t>2022AMP2017Capital ExpenditureNon-network assetsNon-network assetsnominal</t>
  </si>
  <si>
    <t>2022AMP2014Capital ExpenditureNon-network assetsNon-network assetsnominal</t>
  </si>
  <si>
    <t>2022AMP2019Capital ExpenditureNon-network assetsNon-network assetsnominal</t>
  </si>
  <si>
    <t>2022AMP2013Capital ExpenditureNon-network assetsNon-network assetsnominal</t>
  </si>
  <si>
    <t>2022AMP2021Capital ExpenditureReliability, safety and environmentLegislative and regulatoryconstant</t>
  </si>
  <si>
    <t>2022AMP2020Capital ExpenditureReliability, safety and environmentLegislative and regulatoryconstant</t>
  </si>
  <si>
    <t>2022AMP2018Capital ExpenditureReliability, safety and environmentLegislative and regulatoryconstant</t>
  </si>
  <si>
    <t>2022AMP2013Capital ExpenditureReliability, safety and environmentLegislative and regulatoryconstant</t>
  </si>
  <si>
    <t>2022AMP2014Capital ExpenditureReliability, safety and environmentLegislative and regulatoryconstant</t>
  </si>
  <si>
    <t>2022AMP2019Capital ExpenditureReliability, safety and environmentLegislative and regulatoryconstant</t>
  </si>
  <si>
    <t>2022AMP2015Capital ExpenditureReliability, safety and environmentLegislative and regulatoryconstant</t>
  </si>
  <si>
    <t>2022AMP2016Capital ExpenditureReliability, safety and environmentLegislative and regulatoryconstant</t>
  </si>
  <si>
    <t>2022AMP2017Capital ExpenditureReliability, safety and environmentLegislative and regulatoryconstant</t>
  </si>
  <si>
    <t>2022AMP2021Capital ExpenditureReliability, safety and environmentLegislative and regulatorynominal</t>
  </si>
  <si>
    <t>2022AMP2017Capital ExpenditureReliability, safety and environmentLegislative and regulatorynominal</t>
  </si>
  <si>
    <t>2022AMP2020Capital ExpenditureReliability, safety and environmentLegislative and regulatorynominal</t>
  </si>
  <si>
    <t>2022AMP2019Capital ExpenditureReliability, safety and environmentLegislative and regulatorynominal</t>
  </si>
  <si>
    <t>2022AMP2015Capital ExpenditureReliability, safety and environmentLegislative and regulatorynominal</t>
  </si>
  <si>
    <t>2022AMP2016Capital ExpenditureReliability, safety and environmentLegislative and regulatorynominal</t>
  </si>
  <si>
    <t>2022AMP2014Capital ExpenditureReliability, safety and environmentLegislative and regulatorynominal</t>
  </si>
  <si>
    <t>2022AMP2013Capital ExpenditureReliability, safety and environmentLegislative and regulatorynominal</t>
  </si>
  <si>
    <t>2022AMP2018Capital ExpenditureReliability, safety and environmentLegislative and regulatorynominal</t>
  </si>
  <si>
    <t>2022AMP2015Capital ExpenditureReliability, safety and environmentOther reliability, safety and environmentconstant</t>
  </si>
  <si>
    <t>2022AMP2019Capital ExpenditureReliability, safety and environmentOther reliability, safety and environmentconstant</t>
  </si>
  <si>
    <t>2022AMP2013Capital ExpenditureReliability, safety and environmentOther reliability, safety and environmentconstant</t>
  </si>
  <si>
    <t>2022AMP2018Capital ExpenditureReliability, safety and environmentOther reliability, safety and environmentconstant</t>
  </si>
  <si>
    <t>2022AMP2014Capital ExpenditureReliability, safety and environmentOther reliability, safety and environmentconstant</t>
  </si>
  <si>
    <t>2022AMP2016Capital ExpenditureReliability, safety and environmentOther reliability, safety and environmentconstant</t>
  </si>
  <si>
    <t>2022AMP2020Capital ExpenditureReliability, safety and environmentOther reliability, safety and environmentconstant</t>
  </si>
  <si>
    <t>2022AMP2021Capital ExpenditureReliability, safety and environmentOther reliability, safety and environmentconstant</t>
  </si>
  <si>
    <t>2022AMP2017Capital ExpenditureReliability, safety and environmentOther reliability, safety and environmentconstant</t>
  </si>
  <si>
    <t>2022AMP2013Capital ExpenditureReliability, safety and environmentOther reliability, safety and environmentnominal</t>
  </si>
  <si>
    <t>2022AMP2017Capital ExpenditureReliability, safety and environmentOther reliability, safety and environmentnominal</t>
  </si>
  <si>
    <t>2022AMP2016Capital ExpenditureReliability, safety and environmentOther reliability, safety and environmentnominal</t>
  </si>
  <si>
    <t>2022AMP2019Capital ExpenditureReliability, safety and environmentOther reliability, safety and environmentnominal</t>
  </si>
  <si>
    <t>2022AMP2021Capital ExpenditureReliability, safety and environmentOther reliability, safety and environmentnominal</t>
  </si>
  <si>
    <t>2022AMP2020Capital ExpenditureReliability, safety and environmentOther reliability, safety and environmentnominal</t>
  </si>
  <si>
    <t>2022AMP2015Capital ExpenditureReliability, safety and environmentOther reliability, safety and environmentnominal</t>
  </si>
  <si>
    <t>2022AMP2014Capital ExpenditureReliability, safety and environmentOther reliability, safety and environmentnominal</t>
  </si>
  <si>
    <t>2022AMP2018Capital ExpenditureReliability, safety and environmentOther reliability, safety and environmentnominal</t>
  </si>
  <si>
    <t>2022AMP2017Capital ExpenditureReliability, safety and environmentQuality of supplyconstant</t>
  </si>
  <si>
    <t>2022AMP2018Capital ExpenditureReliability, safety and environmentQuality of supplyconstant</t>
  </si>
  <si>
    <t>2022AMP2020Capital ExpenditureReliability, safety and environmentQuality of supplyconstant</t>
  </si>
  <si>
    <t>2022AMP2014Capital ExpenditureReliability, safety and environmentQuality of supplyconstant</t>
  </si>
  <si>
    <t>2022AMP2013Capital ExpenditureReliability, safety and environmentQuality of supplyconstant</t>
  </si>
  <si>
    <t>2022AMP2015Capital ExpenditureReliability, safety and environmentQuality of supplyconstant</t>
  </si>
  <si>
    <t>2022AMP2021Capital ExpenditureReliability, safety and environmentQuality of supplyconstant</t>
  </si>
  <si>
    <t>2022AMP2019Capital ExpenditureReliability, safety and environmentQuality of supplyconstant</t>
  </si>
  <si>
    <t>2022AMP2016Capital ExpenditureReliability, safety and environmentQuality of supplyconstant</t>
  </si>
  <si>
    <t>2022AMP2013Capital ExpenditureReliability, safety and environmentQuality of supplynominal</t>
  </si>
  <si>
    <t>2022AMP2017Capital ExpenditureReliability, safety and environmentQuality of supplynominal</t>
  </si>
  <si>
    <t>2022AMP2016Capital ExpenditureReliability, safety and environmentQuality of supplynominal</t>
  </si>
  <si>
    <t>2022AMP2015Capital ExpenditureReliability, safety and environmentQuality of supplynominal</t>
  </si>
  <si>
    <t>2022AMP2019Capital ExpenditureReliability, safety and environmentQuality of supplynominal</t>
  </si>
  <si>
    <t>2022AMP2014Capital ExpenditureReliability, safety and environmentQuality of supplynominal</t>
  </si>
  <si>
    <t>2022AMP2020Capital ExpenditureReliability, safety and environmentQuality of supplynominal</t>
  </si>
  <si>
    <t>2022AMP2021Capital ExpenditureReliability, safety and environmentQuality of supplynominal</t>
  </si>
  <si>
    <t>2022AMP2018Capital ExpenditureReliability, safety and environmentQuality of supplynominal</t>
  </si>
  <si>
    <t>2022AMP2020Capital ExpenditureReliability, safety and environmentTotal reliability, safety and environmentconstant</t>
  </si>
  <si>
    <t>2022AMP2015Capital ExpenditureReliability, safety and environmentTotal reliability, safety and environmentconstant</t>
  </si>
  <si>
    <t>2022AMP2017Capital ExpenditureReliability, safety and environmentTotal reliability, safety and environmentconstant</t>
  </si>
  <si>
    <t>2022AMP2016Capital ExpenditureReliability, safety and environmentTotal reliability, safety and environmentconstant</t>
  </si>
  <si>
    <t>2022AMP2014Capital ExpenditureReliability, safety and environmentTotal reliability, safety and environmentconstant</t>
  </si>
  <si>
    <t>2022AMP2019Capital ExpenditureReliability, safety and environmentTotal reliability, safety and environmentconstant</t>
  </si>
  <si>
    <t>2022AMP2018Capital ExpenditureReliability, safety and environmentTotal reliability, safety and environmentconstant</t>
  </si>
  <si>
    <t>2022AMP2021Capital ExpenditureReliability, safety and environmentTotal reliability, safety and environmentconstant</t>
  </si>
  <si>
    <t>2022AMP2013Capital ExpenditureReliability, safety and environmentTotal reliability, safety and environmentconstant</t>
  </si>
  <si>
    <t>2022AMP2014Capital ExpenditureReliability, safety and environmentTotal reliability, safety and environmentnominal</t>
  </si>
  <si>
    <t>2022AMP2017Capital ExpenditureReliability, safety and environmentTotal reliability, safety and environmentnominal</t>
  </si>
  <si>
    <t>2022AMP2013Capital ExpenditureReliability, safety and environmentTotal reliability, safety and environmentnominal</t>
  </si>
  <si>
    <t>2022AMP2020Capital ExpenditureReliability, safety and environmentTotal reliability, safety and environmentnominal</t>
  </si>
  <si>
    <t>2022AMP2019Capital ExpenditureReliability, safety and environmentTotal reliability, safety and environmentnominal</t>
  </si>
  <si>
    <t>2022AMP2015Capital ExpenditureReliability, safety and environmentTotal reliability, safety and environmentnominal</t>
  </si>
  <si>
    <t>2022AMP2016Capital ExpenditureReliability, safety and environmentTotal reliability, safety and environmentnominal</t>
  </si>
  <si>
    <t>2022AMP2018Capital ExpenditureReliability, safety and environmentTotal reliability, safety and environmentnominal</t>
  </si>
  <si>
    <t>2022AMP2021Capital ExpenditureReliability, safety and environmentTotal reliability, safety and environmentnominal</t>
  </si>
  <si>
    <t>2022AMP2016Capital ExpenditureSystem growthSystem growthconstant</t>
  </si>
  <si>
    <t>2022AMP2013Capital ExpenditureSystem growthSystem growthconstant</t>
  </si>
  <si>
    <t>2022AMP2019Capital ExpenditureSystem growthSystem growthconstant</t>
  </si>
  <si>
    <t>2022AMP2021Capital ExpenditureSystem growthSystem growthconstant</t>
  </si>
  <si>
    <t>2022AMP2020Capital ExpenditureSystem growthSystem growthconstant</t>
  </si>
  <si>
    <t>2022AMP2015Capital ExpenditureSystem growthSystem growthconstant</t>
  </si>
  <si>
    <t>2022AMP2017Capital ExpenditureSystem growthSystem growthconstant</t>
  </si>
  <si>
    <t>2022AMP2018Capital ExpenditureSystem growthSystem growthconstant</t>
  </si>
  <si>
    <t>2022AMP2014Capital ExpenditureSystem growthSystem growthconstant</t>
  </si>
  <si>
    <t>2022AMP2018Capital ExpenditureSystem growthSystem growthnominal</t>
  </si>
  <si>
    <t>2022AMP2019Capital ExpenditureSystem growthSystem growthnominal</t>
  </si>
  <si>
    <t>2022AMP2017Capital ExpenditureSystem growthSystem growthnominal</t>
  </si>
  <si>
    <t>2022AMP2016Capital ExpenditureSystem growthSystem growthnominal</t>
  </si>
  <si>
    <t>2022AMP2015Capital ExpenditureSystem growthSystem growthnominal</t>
  </si>
  <si>
    <t>2022AMP2021Capital ExpenditureSystem growthSystem growthnominal</t>
  </si>
  <si>
    <t>2022AMP2014Capital ExpenditureSystem growthSystem growthnominal</t>
  </si>
  <si>
    <t>2022AMP2013Capital ExpenditureSystem growthSystem growthnominal</t>
  </si>
  <si>
    <t>2022AMP2020Capital ExpenditureSystem growthSystem growthnominal</t>
  </si>
  <si>
    <t>2022AMP2013Capital ExpenditureValue of capital contributionsValue of capital contributionsnominal</t>
  </si>
  <si>
    <t>2022AMP2017Capital ExpenditureValue of capital contributionsValue of capital contributionsnominal</t>
  </si>
  <si>
    <t>2022AMP2018Capital ExpenditureValue of capital contributionsValue of capital contributionsnominal</t>
  </si>
  <si>
    <t>2022AMP2021Capital ExpenditureValue of capital contributionsValue of capital contributionsnominal</t>
  </si>
  <si>
    <t>2022AMP2015Capital ExpenditureValue of capital contributionsValue of capital contributionsnominal</t>
  </si>
  <si>
    <t>2022AMP2020Capital ExpenditureValue of capital contributionsValue of capital contributionsnominal</t>
  </si>
  <si>
    <t>2022AMP2016Capital ExpenditureValue of capital contributionsValue of capital contributionsnominal</t>
  </si>
  <si>
    <t>2022AMP2019Capital ExpenditureValue of capital contributionsValue of capital contributionsnominal</t>
  </si>
  <si>
    <t>2022AMP2014Capital ExpenditureValue of capital contributionsValue of capital contributionsnominal</t>
  </si>
  <si>
    <t>2022AMP2013Capital ExpenditureValue of commissioned assetsValue of commissioned assetsnominal</t>
  </si>
  <si>
    <t>2022AMP2014Capital ExpenditureValue of commissioned assetsValue of commissioned assetsnominal</t>
  </si>
  <si>
    <t>2022AMP2017Capital ExpenditureValue of commissioned assetsValue of commissioned assetsnominal</t>
  </si>
  <si>
    <t>2022AMP2018Capital ExpenditureValue of vested assetsValue of vested assetsnominal</t>
  </si>
  <si>
    <t>2022AMP2015Capital ExpenditureValue of vested assetsValue of vested assetsnominal</t>
  </si>
  <si>
    <t>2022AMP2017Capital ExpenditureValue of vested assetsValue of vested assetsnominal</t>
  </si>
  <si>
    <t>2022AMP2020Capital ExpenditureValue of vested assetsValue of vested assetsnominal</t>
  </si>
  <si>
    <t>2022AMP2019Capital ExpenditureValue of vested assetsValue of vested assetsnominal</t>
  </si>
  <si>
    <t>2022AMP2014Capital ExpenditureValue of vested assetsValue of vested assetsnominal</t>
  </si>
  <si>
    <t>2022AMP2016Capital ExpenditureValue of vested assetsValue of vested assetsnominal</t>
  </si>
  <si>
    <t>2022AMP2013Capital ExpenditureValue of vested assetsValue of vested assetsnominal</t>
  </si>
  <si>
    <t>2022AMP2021Capital ExpenditureValue of vested assetsValue of vested assetsnominal</t>
  </si>
  <si>
    <t>2022AMP2018Capital ExpenditureAsset replacement and renewalAsset replacement and renewal expenditure - Asset replacement and renewal expenditureconstant</t>
  </si>
  <si>
    <t>2022AMP2020Capital ExpenditureAsset replacement and renewalAsset replacement and renewal expenditure - Asset replacement and renewal expenditureconstant</t>
  </si>
  <si>
    <t>2022AMP2017Capital ExpenditureAsset replacement and renewalAsset replacement and renewal expenditure - Asset replacement and renewal expenditureconstant</t>
  </si>
  <si>
    <t>2022AMP2019Capital ExpenditureAsset replacement and renewalAsset replacement and renewal expenditure - Asset replacement and renewal expenditureconstant</t>
  </si>
  <si>
    <t>2022AMP2021Capital ExpenditureAsset replacement and renewalAsset replacement and renewal expenditure - Asset replacement and renewal expenditureconstant</t>
  </si>
  <si>
    <t>2022AMP2018Capital ExpenditureAsset replacement and renewalAsset replacement and renewal expenditure - Capital contributions funding asset replacement and renewalconstant</t>
  </si>
  <si>
    <t>2022AMP2020Capital ExpenditureAsset replacement and renewalAsset replacement and renewal expenditure - Capital contributions funding asset replacement and renewalconstant</t>
  </si>
  <si>
    <t>2022AMP2017Capital ExpenditureAsset replacement and renewalAsset replacement and renewal expenditure - Capital contributions funding asset replacement and renewalconstant</t>
  </si>
  <si>
    <t>2022AMP2019Capital ExpenditureAsset replacement and renewalAsset replacement and renewal expenditure - Capital contributions funding asset replacement and renewalconstant</t>
  </si>
  <si>
    <t>2022AMP2021Capital ExpenditureAsset replacement and renewalAsset replacement and renewal expenditure - Capital contributions funding asset replacement and renewalconstant</t>
  </si>
  <si>
    <t>2022AMP2019Capital ExpenditureAsset replacement and renewalAsset replacement and renewal less capital contributions - Asset replacement and renewal less capital contributionsconstant</t>
  </si>
  <si>
    <t>2022AMP2017Capital ExpenditureAsset replacement and renewalAsset replacement and renewal less capital contributions - Asset replacement and renewal less capital contributionsconstant</t>
  </si>
  <si>
    <t>2022AMP2021Capital ExpenditureAsset replacement and renewalAsset replacement and renewal less capital contributions - Asset replacement and renewal less capital contributionsconstant</t>
  </si>
  <si>
    <t>2022AMP2018Capital ExpenditureAsset replacement and renewalAsset replacement and renewal less capital contributions - Asset replacement and renewal less capital contributionsconstant</t>
  </si>
  <si>
    <t>2022AMP2020Capital ExpenditureAsset replacement and renewalAsset replacement and renewal less capital contributions - Asset replacement and renewal less capital contributionsconstant</t>
  </si>
  <si>
    <t>2022AMP2018Capital ExpenditureAsset replacement and renewalIntermediate pressure - Intermediate Pressure totalconstant</t>
  </si>
  <si>
    <t>2022AMP2017Capital ExpenditureAsset replacement and renewalIntermediate pressure - Intermediate Pressure totalconstant</t>
  </si>
  <si>
    <t>2022AMP2019Capital ExpenditureAsset replacement and renewalIntermediate pressure - Intermediate Pressure totalconstant</t>
  </si>
  <si>
    <t>2022AMP2020Capital ExpenditureAsset replacement and renewalIntermediate pressure - Intermediate Pressure totalconstant</t>
  </si>
  <si>
    <t>2022AMP2021Capital ExpenditureAsset replacement and renewalIntermediate pressure - Intermediate Pressure totalconstant</t>
  </si>
  <si>
    <t>2022AMP2017Capital ExpenditureAsset replacement and renewalIntermediate pressure - Line valveconstant</t>
  </si>
  <si>
    <t>2022AMP2018Capital ExpenditureAsset replacement and renewalIntermediate pressure - Line valveconstant</t>
  </si>
  <si>
    <t>2022AMP2020Capital ExpenditureAsset replacement and renewalIntermediate pressure - Line valveconstant</t>
  </si>
  <si>
    <t>2022AMP2019Capital ExpenditureAsset replacement and renewalIntermediate pressure - Line valveconstant</t>
  </si>
  <si>
    <t>2022AMP2021Capital ExpenditureAsset replacement and renewalIntermediate pressure - Line valveconstant</t>
  </si>
  <si>
    <t>2022AMP2017Capital ExpenditureAsset replacement and renewalIntermediate pressure - Main pipeconstant</t>
  </si>
  <si>
    <t>2022AMP2021Capital ExpenditureAsset replacement and renewalIntermediate pressure - Main pipeconstant</t>
  </si>
  <si>
    <t>2022AMP2018Capital ExpenditureAsset replacement and renewalIntermediate pressure - Main pipeconstant</t>
  </si>
  <si>
    <t>2022AMP2019Capital ExpenditureAsset replacement and renewalIntermediate pressure - Main pipeconstant</t>
  </si>
  <si>
    <t>2022AMP2020Capital ExpenditureAsset replacement and renewalIntermediate pressure - Main pipeconstant</t>
  </si>
  <si>
    <t>2022AMP2019Capital ExpenditureAsset replacement and renewalIntermediate pressure - Service pipeconstant</t>
  </si>
  <si>
    <t>2022AMP2017Capital ExpenditureAsset replacement and renewalIntermediate pressure - Service pipeconstant</t>
  </si>
  <si>
    <t>2022AMP2021Capital ExpenditureAsset replacement and renewalIntermediate pressure - Service pipeconstant</t>
  </si>
  <si>
    <t>2022AMP2018Capital ExpenditureAsset replacement and renewalIntermediate pressure - Service pipeconstant</t>
  </si>
  <si>
    <t>2022AMP2020Capital ExpenditureAsset replacement and renewalIntermediate pressure - Service pipeconstant</t>
  </si>
  <si>
    <t>2022AMP2018Capital ExpenditureAsset replacement and renewalIntermediate pressure - Special crossingsconstant</t>
  </si>
  <si>
    <t>2022AMP2020Capital ExpenditureAsset replacement and renewalIntermediate pressure - Special crossingsconstant</t>
  </si>
  <si>
    <t>2022AMP2021Capital ExpenditureAsset replacement and renewalIntermediate pressure - Special crossingsconstant</t>
  </si>
  <si>
    <t>2022AMP2019Capital ExpenditureAsset replacement and renewalIntermediate pressure - Special crossingsconstant</t>
  </si>
  <si>
    <t>2022AMP2017Capital ExpenditureAsset replacement and renewalIntermediate pressure - Special crossingsconstant</t>
  </si>
  <si>
    <t>2022AMP2020Capital ExpenditureAsset replacement and renewalIntermediate pressure - Stationsconstant</t>
  </si>
  <si>
    <t>2022AMP2019Capital ExpenditureAsset replacement and renewalIntermediate pressure - Stationsconstant</t>
  </si>
  <si>
    <t>2022AMP2018Capital ExpenditureAsset replacement and renewalIntermediate pressure - Stationsconstant</t>
  </si>
  <si>
    <t>2022AMP2017Capital ExpenditureAsset replacement and renewalIntermediate pressure - Stationsconstant</t>
  </si>
  <si>
    <t>2022AMP2021Capital ExpenditureAsset replacement and renewalIntermediate pressure - Stationsconstant</t>
  </si>
  <si>
    <t>2022AMP2020Capital ExpenditureAsset replacement and renewalLow Pressure - Line valveconstant</t>
  </si>
  <si>
    <t>2022AMP2021Capital ExpenditureAsset replacement and renewalLow Pressure - Line valveconstant</t>
  </si>
  <si>
    <t>2022AMP2017Capital ExpenditureAsset replacement and renewalLow Pressure - Line valveconstant</t>
  </si>
  <si>
    <t>2022AMP2018Capital ExpenditureAsset replacement and renewalLow Pressure - Line valveconstant</t>
  </si>
  <si>
    <t>2022AMP2019Capital ExpenditureAsset replacement and renewalLow Pressure - Line valveconstant</t>
  </si>
  <si>
    <t>2022AMP2018Capital ExpenditureAsset replacement and renewalLow Pressure - Low Pressure totalconstant</t>
  </si>
  <si>
    <t>2022AMP2021Capital ExpenditureAsset replacement and renewalLow Pressure - Low Pressure totalconstant</t>
  </si>
  <si>
    <t>2022AMP2019Capital ExpenditureAsset replacement and renewalLow Pressure - Low Pressure totalconstant</t>
  </si>
  <si>
    <t>2022AMP2017Capital ExpenditureAsset replacement and renewalLow Pressure - Low Pressure totalconstant</t>
  </si>
  <si>
    <t>2022AMP2020Capital ExpenditureAsset replacement and renewalLow Pressure - Low Pressure totalconstant</t>
  </si>
  <si>
    <t>2022AMP2017Capital ExpenditureAsset replacement and renewalLow Pressure - Main pipeconstant</t>
  </si>
  <si>
    <t>2022AMP2019Capital ExpenditureAsset replacement and renewalLow Pressure - Main pipeconstant</t>
  </si>
  <si>
    <t>2022AMP2018Capital ExpenditureAsset replacement and renewalLow Pressure - Main pipeconstant</t>
  </si>
  <si>
    <t>2022AMP2021Capital ExpenditureAsset replacement and renewalLow Pressure - Main pipeconstant</t>
  </si>
  <si>
    <t>2022AMP2020Capital ExpenditureAsset replacement and renewalLow Pressure - Main pipeconstant</t>
  </si>
  <si>
    <t>2022AMP2021Capital ExpenditureAsset replacement and renewalLow Pressure - Service pipeconstant</t>
  </si>
  <si>
    <t>2022AMP2020Capital ExpenditureAsset replacement and renewalLow Pressure - Service pipeconstant</t>
  </si>
  <si>
    <t>2022AMP2017Capital ExpenditureAsset replacement and renewalLow Pressure - Service pipeconstant</t>
  </si>
  <si>
    <t>2022AMP2018Capital ExpenditureAsset replacement and renewalLow Pressure - Service pipeconstant</t>
  </si>
  <si>
    <t>2022AMP2019Capital ExpenditureAsset replacement and renewalLow Pressure - Service pipeconstant</t>
  </si>
  <si>
    <t>2022AMP2017Capital ExpenditureAsset replacement and renewalLow Pressure - Special crossingsconstant</t>
  </si>
  <si>
    <t>2022AMP2020Capital ExpenditureAsset replacement and renewalLow Pressure - Special crossingsconstant</t>
  </si>
  <si>
    <t>2022AMP2018Capital ExpenditureAsset replacement and renewalLow Pressure - Special crossingsconstant</t>
  </si>
  <si>
    <t>2022AMP2019Capital ExpenditureAsset replacement and renewalLow Pressure - Special crossingsconstant</t>
  </si>
  <si>
    <t>2022AMP2021Capital ExpenditureAsset replacement and renewalLow Pressure - Special crossingsconstant</t>
  </si>
  <si>
    <t>2022AMP2019Capital ExpenditureAsset replacement and renewalMedium pressure - Line valveconstant</t>
  </si>
  <si>
    <t>2022AMP2017Capital ExpenditureAsset replacement and renewalMedium pressure - Line valveconstant</t>
  </si>
  <si>
    <t>2022AMP2018Capital ExpenditureAsset replacement and renewalMedium pressure - Line valveconstant</t>
  </si>
  <si>
    <t>2022AMP2020Capital ExpenditureAsset replacement and renewalMedium pressure - Line valveconstant</t>
  </si>
  <si>
    <t>2022AMP2021Capital ExpenditureAsset replacement and renewalMedium pressure - Line valveconstant</t>
  </si>
  <si>
    <t>2022AMP2019Capital ExpenditureAsset replacement and renewalMedium pressure - Main pipeconstant</t>
  </si>
  <si>
    <t>2022AMP2018Capital ExpenditureAsset replacement and renewalMedium pressure - Main pipeconstant</t>
  </si>
  <si>
    <t>2022AMP2020Capital ExpenditureAsset replacement and renewalMedium pressure - Main pipeconstant</t>
  </si>
  <si>
    <t>2022AMP2017Capital ExpenditureAsset replacement and renewalMedium pressure - Main pipeconstant</t>
  </si>
  <si>
    <t>2022AMP2021Capital ExpenditureAsset replacement and renewalMedium pressure - Main pipeconstant</t>
  </si>
  <si>
    <t>2022AMP2021Capital ExpenditureAsset replacement and renewalMedium pressure - Medium Pressure totalconstant</t>
  </si>
  <si>
    <t>2022AMP2020Capital ExpenditureAsset replacement and renewalMedium pressure - Medium Pressure totalconstant</t>
  </si>
  <si>
    <t>2022AMP2017Capital ExpenditureAsset replacement and renewalMedium pressure - Medium Pressure totalconstant</t>
  </si>
  <si>
    <t>2022AMP2019Capital ExpenditureAsset replacement and renewalMedium pressure - Medium Pressure totalconstant</t>
  </si>
  <si>
    <t>2022AMP2018Capital ExpenditureAsset replacement and renewalMedium pressure - Medium Pressure totalconstant</t>
  </si>
  <si>
    <t>2022AMP2018Capital ExpenditureAsset replacement and renewalMedium pressure - Service pipeconstant</t>
  </si>
  <si>
    <t>2022AMP2017Capital ExpenditureAsset replacement and renewalMedium pressure - Service pipeconstant</t>
  </si>
  <si>
    <t>2022AMP2020Capital ExpenditureAsset replacement and renewalMedium pressure - Service pipeconstant</t>
  </si>
  <si>
    <t>2022AMP2021Capital ExpenditureAsset replacement and renewalMedium pressure - Service pipeconstant</t>
  </si>
  <si>
    <t>2022AMP2019Capital ExpenditureAsset replacement and renewalMedium pressure - Service pipeconstant</t>
  </si>
  <si>
    <t>2022AMP2021Capital ExpenditureAsset replacement and renewalMedium pressure - Special crossingsconstant</t>
  </si>
  <si>
    <t>2022AMP2019Capital ExpenditureAsset replacement and renewalMedium pressure - Special crossingsconstant</t>
  </si>
  <si>
    <t>2022AMP2018Capital ExpenditureAsset replacement and renewalMedium pressure - Special crossingsconstant</t>
  </si>
  <si>
    <t>2022AMP2017Capital ExpenditureAsset replacement and renewalMedium pressure - Special crossingsconstant</t>
  </si>
  <si>
    <t>2022AMP2020Capital ExpenditureAsset replacement and renewalMedium pressure - Special crossingsconstant</t>
  </si>
  <si>
    <t>2022AMP2018Capital ExpenditureAsset replacement and renewalMedium pressure - Stationconstant</t>
  </si>
  <si>
    <t>2022AMP2019Capital ExpenditureAsset replacement and renewalMedium pressure - Stationconstant</t>
  </si>
  <si>
    <t>2022AMP2021Capital ExpenditureAsset replacement and renewalMedium pressure - Stationconstant</t>
  </si>
  <si>
    <t>2022AMP2017Capital ExpenditureAsset replacement and renewalMedium pressure - Stationconstant</t>
  </si>
  <si>
    <t>2022AMP2020Capital ExpenditureAsset replacement and renewalMedium pressure - Stationconstant</t>
  </si>
  <si>
    <t>2022AMP2017Capital ExpenditureAsset replacement and renewalOther assets - Cathodic protection systemsconstant</t>
  </si>
  <si>
    <t>2022AMP2017Capital ExpenditureAsset replacement and renewalOther assets - Monitoring and control systemsconstant</t>
  </si>
  <si>
    <t>2022AMP2017Capital ExpenditureAsset replacement and renewalOther assets - Other assets (other than above)constant</t>
  </si>
  <si>
    <t>2022AMP2017Capital ExpenditureAsset replacement and renewalOther assets - Other totalconstant</t>
  </si>
  <si>
    <t>2022AMP2020Capital ExpenditureAsset replacement and renewalOther network assets - Cathodic protection systemsconstant</t>
  </si>
  <si>
    <t>2022AMP2021Capital ExpenditureAsset replacement and renewalOther network assets - Cathodic protection systemsconstant</t>
  </si>
  <si>
    <t>2022AMP2018Capital ExpenditureAsset replacement and renewalOther network assets - Cathodic protection systemsconstant</t>
  </si>
  <si>
    <t>2022AMP2017Capital ExpenditureAsset replacement and renewalOther network assets - Cathodic protection systemsconstant</t>
  </si>
  <si>
    <t>2022AMP2019Capital ExpenditureAsset replacement and renewalOther network assets - Cathodic protection systemsconstant</t>
  </si>
  <si>
    <t>2022AMP2020Capital ExpenditureAsset replacement and renewalOther network assets - Monitoring and control systemsconstant</t>
  </si>
  <si>
    <t>2022AMP2019Capital ExpenditureAsset replacement and renewalOther network assets - Monitoring and control systemsconstant</t>
  </si>
  <si>
    <t>2022AMP2018Capital ExpenditureAsset replacement and renewalOther network assets - Monitoring and control systemsconstant</t>
  </si>
  <si>
    <t>2022AMP2021Capital ExpenditureAsset replacement and renewalOther network assets - Monitoring and control systemsconstant</t>
  </si>
  <si>
    <t>2022AMP2017Capital ExpenditureAsset replacement and renewalOther network assets - Monitoring and control systemsconstant</t>
  </si>
  <si>
    <t>2022AMP2018Capital ExpenditureAsset replacement and renewalOther network assets - Other assets (other than above)constant</t>
  </si>
  <si>
    <t>2022AMP2020Capital ExpenditureAsset replacement and renewalOther network assets - Other assets (other than above)constant</t>
  </si>
  <si>
    <t>2022AMP2021Capital ExpenditureAsset replacement and renewalOther network assets - Other assets (other than above)constant</t>
  </si>
  <si>
    <t>2022AMP2019Capital ExpenditureAsset replacement and renewalOther network assets - Other assets (other than above)constant</t>
  </si>
  <si>
    <t>2022AMP2017Capital ExpenditureAsset replacement and renewalOther network assets - Other assets (other than above)constant</t>
  </si>
  <si>
    <t>2022AMP2018Capital ExpenditureAsset replacement and renewalOther network assets - Other network assets totalconstant</t>
  </si>
  <si>
    <t>2022AMP2017Capital ExpenditureAsset replacement and renewalOther network assets - Other network assets totalconstant</t>
  </si>
  <si>
    <t>2022AMP2020Capital ExpenditureAsset replacement and renewalOther network assets - Other network assets totalconstant</t>
  </si>
  <si>
    <t>2022AMP2021Capital ExpenditureAsset replacement and renewalOther network assets - Other network assets totalconstant</t>
  </si>
  <si>
    <t>2022AMP2019Capital ExpenditureAsset replacement and renewalOther network assets - Other network assets totalconstant</t>
  </si>
  <si>
    <t>2022AMP2021Operating ExpenditureAsset replacement and renewalAsset replacement and renewalconstant</t>
  </si>
  <si>
    <t>2022AMP2018Operating ExpenditureAsset replacement and renewalAsset replacement and renewalconstant</t>
  </si>
  <si>
    <t>2022AMP2019Operating ExpenditureAsset replacement and renewalAsset replacement and renewalconstant</t>
  </si>
  <si>
    <t>2022AMP2013Operating ExpenditureAsset replacement and renewalAsset replacement and renewalconstant</t>
  </si>
  <si>
    <t>2022AMP2014Operating ExpenditureAsset replacement and renewalAsset replacement and renewalconstant</t>
  </si>
  <si>
    <t>2022AMP2020Operating ExpenditureAsset replacement and renewalAsset replacement and renewalconstant</t>
  </si>
  <si>
    <t>2022AMP2016Operating ExpenditureAsset replacement and renewalAsset replacement and renewalconstant</t>
  </si>
  <si>
    <t>2022AMP2017Operating ExpenditureAsset replacement and renewalAsset replacement and renewalconstant</t>
  </si>
  <si>
    <t>2022AMP2015Operating ExpenditureAsset replacement and renewalAsset replacement and renewalconstant</t>
  </si>
  <si>
    <t>2022AMP2015Operating ExpenditureAsset replacement and renewalAsset replacement and renewalnominal</t>
  </si>
  <si>
    <t>2022AMP2020Operating ExpenditureAsset replacement and renewalAsset replacement and renewalnominal</t>
  </si>
  <si>
    <t>2022AMP2018Operating ExpenditureAsset replacement and renewalAsset replacement and renewalnominal</t>
  </si>
  <si>
    <t>2022AMP2021Operating ExpenditureAsset replacement and renewalAsset replacement and renewalnominal</t>
  </si>
  <si>
    <t>2022AMP2019Operating ExpenditureAsset replacement and renewalAsset replacement and renewalnominal</t>
  </si>
  <si>
    <t>2022AMP2013Operating ExpenditureAsset replacement and renewalAsset replacement and renewalnominal</t>
  </si>
  <si>
    <t>2022AMP2016Operating ExpenditureAsset replacement and renewalAsset replacement and renewalnominal</t>
  </si>
  <si>
    <t>2022AMP2017Operating ExpenditureAsset replacement and renewalAsset replacement and renewalnominal</t>
  </si>
  <si>
    <t>2022AMP2014Operating ExpenditureAsset replacement and renewalAsset replacement and renewalnominal</t>
  </si>
  <si>
    <t>2022AMP2019Operating ExpenditureBusiness supportBusiness supportconstant</t>
  </si>
  <si>
    <t>2022AMP2016Operating ExpenditureBusiness supportBusiness supportconstant</t>
  </si>
  <si>
    <t>2022AMP2021Operating ExpenditureBusiness supportBusiness supportconstant</t>
  </si>
  <si>
    <t>2022AMP2020Operating ExpenditureBusiness supportBusiness supportconstant</t>
  </si>
  <si>
    <t>2022AMP2013Operating ExpenditureBusiness supportBusiness supportconstant</t>
  </si>
  <si>
    <t>2022AMP2017Operating ExpenditureBusiness supportBusiness supportconstant</t>
  </si>
  <si>
    <t>2022AMP2015Operating ExpenditureBusiness supportBusiness supportconstant</t>
  </si>
  <si>
    <t>2022AMP2014Operating ExpenditureBusiness supportBusiness supportconstant</t>
  </si>
  <si>
    <t>2022AMP2018Operating ExpenditureBusiness supportBusiness supportconstant</t>
  </si>
  <si>
    <t>2022AMP2015Operating ExpenditureBusiness supportBusiness supportnominal</t>
  </si>
  <si>
    <t>2022AMP2013Operating ExpenditureBusiness supportBusiness supportnominal</t>
  </si>
  <si>
    <t>2022AMP2014Operating ExpenditureBusiness supportBusiness supportnominal</t>
  </si>
  <si>
    <t>2022AMP2020Operating ExpenditureBusiness supportBusiness supportnominal</t>
  </si>
  <si>
    <t>2022AMP2021Operating ExpenditureBusiness supportBusiness supportnominal</t>
  </si>
  <si>
    <t>2022AMP2017Operating ExpenditureBusiness supportBusiness supportnominal</t>
  </si>
  <si>
    <t>2022AMP2016Operating ExpenditureBusiness supportBusiness supportnominal</t>
  </si>
  <si>
    <t>2022AMP2019Operating ExpenditureBusiness supportBusiness supportnominal</t>
  </si>
  <si>
    <t>2022AMP2018Operating ExpenditureBusiness supportBusiness supportnominal</t>
  </si>
  <si>
    <t>2022AMP2017Operating ExpenditureExpenditure on subcomponentsInsuranceconstant</t>
  </si>
  <si>
    <t>2022AMP2021Operating ExpenditureExpenditure on subcomponentsInsuranceconstant</t>
  </si>
  <si>
    <t>2022AMP2014Operating ExpenditureExpenditure on subcomponentsInsuranceconstant</t>
  </si>
  <si>
    <t>2022AMP2019Operating ExpenditureExpenditure on subcomponentsInsuranceconstant</t>
  </si>
  <si>
    <t>2022AMP2013Operating ExpenditureExpenditure on subcomponentsInsuranceconstant</t>
  </si>
  <si>
    <t>2022AMP2015Operating ExpenditureExpenditure on subcomponentsInsuranceconstant</t>
  </si>
  <si>
    <t>2022AMP2018Operating ExpenditureExpenditure on subcomponentsInsuranceconstant</t>
  </si>
  <si>
    <t>2022AMP2016Operating ExpenditureExpenditure on subcomponentsInsuranceconstant</t>
  </si>
  <si>
    <t>2022AMP2020Operating ExpenditureExpenditure on subcomponentsInsuranceconstant</t>
  </si>
  <si>
    <t>2022AMP2017Operating ExpenditureExpenditure on subcomponentsResearch and developmentconstant</t>
  </si>
  <si>
    <t>2022AMP2019Operating ExpenditureExpenditure on subcomponentsResearch and developmentconstant</t>
  </si>
  <si>
    <t>2022AMP2015Operating ExpenditureExpenditure on subcomponentsResearch and developmentconstant</t>
  </si>
  <si>
    <t>2022AMP2016Operating ExpenditureExpenditure on subcomponentsResearch and developmentconstant</t>
  </si>
  <si>
    <t>2022AMP2014Operating ExpenditureExpenditure on subcomponentsResearch and developmentconstant</t>
  </si>
  <si>
    <t>2022AMP2021Operating ExpenditureExpenditure on subcomponentsResearch and developmentconstant</t>
  </si>
  <si>
    <t>2022AMP2018Operating ExpenditureExpenditure on subcomponentsResearch and developmentconstant</t>
  </si>
  <si>
    <t>2022AMP2020Operating ExpenditureExpenditure on subcomponentsResearch and developmentconstant</t>
  </si>
  <si>
    <t>2022AMP2013Operating ExpenditureExpenditure on subcomponentsResearch and developmentconstant</t>
  </si>
  <si>
    <t>2022AMP2021Operating ExpenditureNetwork opexNetwork opexconstant</t>
  </si>
  <si>
    <t>2022AMP2013Operating ExpenditureNetwork opexNetwork opexconstant</t>
  </si>
  <si>
    <t>2022AMP2019Operating ExpenditureNetwork opexNetwork opexconstant</t>
  </si>
  <si>
    <t>2022AMP2014Operating ExpenditureNetwork opexNetwork opexconstant</t>
  </si>
  <si>
    <t>2022AMP2018Operating ExpenditureNetwork opexNetwork opexconstant</t>
  </si>
  <si>
    <t>2022AMP2020Operating ExpenditureNetwork opexNetwork opexconstant</t>
  </si>
  <si>
    <t>2022AMP2017Operating ExpenditureNetwork opexNetwork opexconstant</t>
  </si>
  <si>
    <t>2022AMP2016Operating ExpenditureNetwork opexNetwork opexconstant</t>
  </si>
  <si>
    <t>2022AMP2015Operating ExpenditureNetwork opexNetwork opexconstant</t>
  </si>
  <si>
    <t>2022AMP2020Operating ExpenditureNetwork opexNetwork opexnominal</t>
  </si>
  <si>
    <t>2022AMP2017Operating ExpenditureNetwork opexNetwork opexnominal</t>
  </si>
  <si>
    <t>2022AMP2013Operating ExpenditureNetwork opexNetwork opexnominal</t>
  </si>
  <si>
    <t>2022AMP2021Operating ExpenditureNetwork opexNetwork opexnominal</t>
  </si>
  <si>
    <t>2022AMP2015Operating ExpenditureNetwork opexNetwork opexnominal</t>
  </si>
  <si>
    <t>2022AMP2018Operating ExpenditureNetwork opexNetwork opexnominal</t>
  </si>
  <si>
    <t>2022AMP2016Operating ExpenditureNetwork opexNetwork opexnominal</t>
  </si>
  <si>
    <t>2022AMP2014Operating ExpenditureNetwork opexNetwork opexnominal</t>
  </si>
  <si>
    <t>2022AMP2019Operating ExpenditureNetwork opexNetwork opexnominal</t>
  </si>
  <si>
    <t>2022AMP2020Operating ExpenditureNon-network opexNon-network opexconstant</t>
  </si>
  <si>
    <t>2022AMP2021Operating ExpenditureNon-network opexNon-network opexconstant</t>
  </si>
  <si>
    <t>2022AMP2017Operating ExpenditureNon-network opexNon-network opexconstant</t>
  </si>
  <si>
    <t>2022AMP2015Operating ExpenditureNon-network opexNon-network opexconstant</t>
  </si>
  <si>
    <t>2022AMP2013Operating ExpenditureNon-network opexNon-network opexconstant</t>
  </si>
  <si>
    <t>2022AMP2016Operating ExpenditureNon-network opexNon-network opexconstant</t>
  </si>
  <si>
    <t>2022AMP2019Operating ExpenditureNon-network opexNon-network opexconstant</t>
  </si>
  <si>
    <t>2022AMP2014Operating ExpenditureNon-network opexNon-network opexconstant</t>
  </si>
  <si>
    <t>2022AMP2018Operating ExpenditureNon-network opexNon-network opexconstant</t>
  </si>
  <si>
    <t>2022AMP2021Operating ExpenditureNon-network opexNon-network opexnominal</t>
  </si>
  <si>
    <t>2022AMP2018Operating ExpenditureNon-network opexNon-network opexnominal</t>
  </si>
  <si>
    <t>2022AMP2017Operating ExpenditureNon-network opexNon-network opexnominal</t>
  </si>
  <si>
    <t>2022AMP2014Operating ExpenditureNon-network opexNon-network opexnominal</t>
  </si>
  <si>
    <t>2022AMP2013Operating ExpenditureNon-network opexNon-network opexnominal</t>
  </si>
  <si>
    <t>2022AMP2015Operating ExpenditureNon-network opexNon-network opexnominal</t>
  </si>
  <si>
    <t>2022AMP2016Operating ExpenditureNon-network opexNon-network opexnominal</t>
  </si>
  <si>
    <t>2022AMP2020Operating ExpenditureNon-network opexNon-network opexnominal</t>
  </si>
  <si>
    <t>2022AMP2019Operating ExpenditureNon-network opexNon-network opexnominal</t>
  </si>
  <si>
    <t>2022AMP2015Operating ExpenditureResearch and developmentResearch and developmentconstant</t>
  </si>
  <si>
    <t>2022AMP2021Operating ExpenditureResearch and developmentResearch and developmentconstant</t>
  </si>
  <si>
    <t>2022AMP2017Operating ExpenditureResearch and developmentResearch and developmentconstant</t>
  </si>
  <si>
    <t>2022AMP2020Operating ExpenditureResearch and developmentResearch and developmentconstant</t>
  </si>
  <si>
    <t>2022AMP2014Operating ExpenditureResearch and developmentResearch and developmentconstant</t>
  </si>
  <si>
    <t>2022AMP2013Operating ExpenditureResearch and developmentResearch and developmentconstant</t>
  </si>
  <si>
    <t>2022AMP2019Operating ExpenditureResearch and developmentResearch and developmentconstant</t>
  </si>
  <si>
    <t>2022AMP2018Operating ExpenditureResearch and developmentResearch and developmentconstant</t>
  </si>
  <si>
    <t>2022AMP2016Operating ExpenditureResearch and developmentResearch and developmentconstant</t>
  </si>
  <si>
    <t>2022AMP2019Operating ExpenditureRoutine and corrective maintenance and inspectionRoutine and corrective maintenance and inspectionconstant</t>
  </si>
  <si>
    <t>2022AMP2015Operating ExpenditureRoutine and corrective maintenance and inspectionRoutine and corrective maintenance and inspectionconstant</t>
  </si>
  <si>
    <t>2022AMP2018Operating ExpenditureRoutine and corrective maintenance and inspectionRoutine and corrective maintenance and inspectionconstant</t>
  </si>
  <si>
    <t>2022AMP2016Operating ExpenditureRoutine and corrective maintenance and inspectionRoutine and corrective maintenance and inspectionconstant</t>
  </si>
  <si>
    <t>2022AMP2020Operating ExpenditureRoutine and corrective maintenance and inspectionRoutine and corrective maintenance and inspectionconstant</t>
  </si>
  <si>
    <t>2022AMP2021Operating ExpenditureRoutine and corrective maintenance and inspectionRoutine and corrective maintenance and inspectionconstant</t>
  </si>
  <si>
    <t>2022AMP2014Operating ExpenditureRoutine and corrective maintenance and inspectionRoutine and corrective maintenance and inspectionconstant</t>
  </si>
  <si>
    <t>2022AMP2017Operating ExpenditureRoutine and corrective maintenance and inspectionRoutine and corrective maintenance and inspectionconstant</t>
  </si>
  <si>
    <t>2022AMP2013Operating ExpenditureRoutine and corrective maintenance and inspectionRoutine and corrective maintenance and inspectionconstant</t>
  </si>
  <si>
    <t>2022AMP2013Operating ExpenditureRoutine and corrective maintenance and inspectionRoutine and corrective maintenance and inspectionnominal</t>
  </si>
  <si>
    <t>2022AMP2021Operating ExpenditureRoutine and corrective maintenance and inspectionRoutine and corrective maintenance and inspectionnominal</t>
  </si>
  <si>
    <t>2022AMP2016Operating ExpenditureRoutine and corrective maintenance and inspectionRoutine and corrective maintenance and inspectionnominal</t>
  </si>
  <si>
    <t>2022AMP2014Operating ExpenditureRoutine and corrective maintenance and inspectionRoutine and corrective maintenance and inspectionnominal</t>
  </si>
  <si>
    <t>2022AMP2019Operating ExpenditureRoutine and corrective maintenance and inspectionRoutine and corrective maintenance and inspectionnominal</t>
  </si>
  <si>
    <t>2022AMP2018Operating ExpenditureRoutine and corrective maintenance and inspectionRoutine and corrective maintenance and inspectionnominal</t>
  </si>
  <si>
    <t>2022AMP2020Operating ExpenditureRoutine and corrective maintenance and inspectionRoutine and corrective maintenance and inspectionnominal</t>
  </si>
  <si>
    <t>2022AMP2015Operating ExpenditureRoutine and corrective maintenance and inspectionRoutine and corrective maintenance and inspectionnominal</t>
  </si>
  <si>
    <t>2022AMP2017Operating ExpenditureRoutine and corrective maintenance and inspectionRoutine and corrective maintenance and inspectionnominal</t>
  </si>
  <si>
    <t>2022AMP2017Operating ExpenditureService interruptions, incidents and emergenciesService interruptions, incidents and emergenciesconstant</t>
  </si>
  <si>
    <t>2022AMP2014Operating ExpenditureService interruptions, incidents and emergenciesService interruptions, incidents and emergenciesconstant</t>
  </si>
  <si>
    <t>2022AMP2021Operating ExpenditureService interruptions, incidents and emergenciesService interruptions, incidents and emergenciesconstant</t>
  </si>
  <si>
    <t>2022AMP2018Operating ExpenditureService interruptions, incidents and emergenciesService interruptions, incidents and emergenciesconstant</t>
  </si>
  <si>
    <t>2022AMP2015Operating ExpenditureService interruptions, incidents and emergenciesService interruptions, incidents and emergenciesconstant</t>
  </si>
  <si>
    <t>2022AMP2013Operating ExpenditureService interruptions, incidents and emergenciesService interruptions, incidents and emergenciesconstant</t>
  </si>
  <si>
    <t>2022AMP2020Operating ExpenditureService interruptions, incidents and emergenciesService interruptions, incidents and emergenciesconstant</t>
  </si>
  <si>
    <t>2022AMP2016Operating ExpenditureService interruptions, incidents and emergenciesService interruptions, incidents and emergenciesconstant</t>
  </si>
  <si>
    <t>2022AMP2019Operating ExpenditureService interruptions, incidents and emergenciesService interruptions, incidents and emergenciesconstant</t>
  </si>
  <si>
    <t>2022AMP2019Operating ExpenditureService interruptions, incidents and emergenciesService interruptions, incidents and emergenciesnominal</t>
  </si>
  <si>
    <t>2022AMP2013Operating ExpenditureService interruptions, incidents and emergenciesService interruptions, incidents and emergenciesnominal</t>
  </si>
  <si>
    <t>2022AMP2020Operating ExpenditureService interruptions, incidents and emergenciesService interruptions, incidents and emergenciesnominal</t>
  </si>
  <si>
    <t>2022AMP2018Operating ExpenditureService interruptions, incidents and emergenciesService interruptions, incidents and emergenciesnominal</t>
  </si>
  <si>
    <t>2022AMP2016Operating ExpenditureService interruptions, incidents and emergenciesService interruptions, incidents and emergenciesnominal</t>
  </si>
  <si>
    <t>2022AMP2021Operating ExpenditureService interruptions, incidents and emergenciesService interruptions, incidents and emergenciesnominal</t>
  </si>
  <si>
    <t>2022AMP2015Operating ExpenditureService interruptions, incidents and emergenciesService interruptions, incidents and emergenciesnominal</t>
  </si>
  <si>
    <t>2022AMP2017Operating ExpenditureService interruptions, incidents and emergenciesService interruptions, incidents and emergenciesnominal</t>
  </si>
  <si>
    <t>2022AMP2014Operating ExpenditureService interruptions, incidents and emergenciesService interruptions, incidents and emergenciesnominal</t>
  </si>
  <si>
    <t>2022AMP2021Operating ExpenditureSystem operations and network supportSystem operations and network supportconstant</t>
  </si>
  <si>
    <t>2022AMP2016Operating ExpenditureSystem operations and network supportSystem operations and network supportconstant</t>
  </si>
  <si>
    <t>2022AMP2018Operating ExpenditureSystem operations and network supportSystem operations and network supportconstant</t>
  </si>
  <si>
    <t>2022AMP2017Operating ExpenditureSystem operations and network supportSystem operations and network supportconstant</t>
  </si>
  <si>
    <t>2022AMP2019Operating ExpenditureSystem operations and network supportSystem operations and network supportconstant</t>
  </si>
  <si>
    <t>2022AMP2014Operating ExpenditureSystem operations and network supportSystem operations and network supportconstant</t>
  </si>
  <si>
    <t>2022AMP2015Operating ExpenditureSystem operations and network supportSystem operations and network supportconstant</t>
  </si>
  <si>
    <t>2022AMP2013Operating ExpenditureSystem operations and network supportSystem operations and network supportconstant</t>
  </si>
  <si>
    <t>2022AMP2020Operating ExpenditureSystem operations and network supportSystem operations and network supportconstant</t>
  </si>
  <si>
    <t>2022AMP2016Operating ExpenditureSystem operations and network supportSystem operations and network supportnominal</t>
  </si>
  <si>
    <t>2022AMP2017Operating ExpenditureSystem operations and network supportSystem operations and network supportnominal</t>
  </si>
  <si>
    <t>2022AMP2013Operating ExpenditureSystem operations and network supportSystem operations and network supportnominal</t>
  </si>
  <si>
    <t>2022AMP2019Operating ExpenditureSystem operations and network supportSystem operations and network supportnominal</t>
  </si>
  <si>
    <t>2022AMP2021Operating ExpenditureSystem operations and network supportSystem operations and network supportnominal</t>
  </si>
  <si>
    <t>2022AMP2020Operating ExpenditureSystem operations and network supportSystem operations and network supportnominal</t>
  </si>
  <si>
    <t>2022AMP2018Operating ExpenditureSystem operations and network supportSystem operations and network supportnominal</t>
  </si>
  <si>
    <t>2022AMP2015Operating ExpenditureSystem operations and network supportSystem operations and network supportnominal</t>
  </si>
  <si>
    <t>2022AMP2014Operating ExpenditureSystem operations and network supportSystem operations and network supportnominal</t>
  </si>
  <si>
    <t>2022AMP2014Operating ExpenditureTotal opexOperational expenditureconstant</t>
  </si>
  <si>
    <t>2022AMP2017Operating ExpenditureTotal opexOperational expenditureconstant</t>
  </si>
  <si>
    <t>2022AMP2015Operating ExpenditureTotal opexOperational expenditureconstant</t>
  </si>
  <si>
    <t>2022AMP2019Operating ExpenditureTotal opexOperational expenditureconstant</t>
  </si>
  <si>
    <t>2022AMP2020Operating ExpenditureTotal opexOperational expenditureconstant</t>
  </si>
  <si>
    <t>2022AMP2018Operating ExpenditureTotal opexOperational expenditureconstant</t>
  </si>
  <si>
    <t>2022AMP2016Operating ExpenditureTotal opexOperational expenditureconstant</t>
  </si>
  <si>
    <t>2022AMP2013Operating ExpenditureTotal opexOperational expenditureconstant</t>
  </si>
  <si>
    <t>2022AMP2021Operating ExpenditureTotal opexOperational expenditureconstant</t>
  </si>
  <si>
    <t>2022AMP2020Operating ExpenditureTotal opexOperational expenditurenominal</t>
  </si>
  <si>
    <t>2022AMP2016Operating ExpenditureTotal opexOperational expenditurenominal</t>
  </si>
  <si>
    <t>2022AMP2021Operating ExpenditureTotal opexOperational expenditurenominal</t>
  </si>
  <si>
    <t>2022AMP2019Operating ExpenditureTotal opexOperational expenditurenominal</t>
  </si>
  <si>
    <t>2022AMP2014Operating ExpenditureTotal opexOperational expenditurenominal</t>
  </si>
  <si>
    <t>2022AMP2013Operating ExpenditureTotal opexOperational expenditurenominal</t>
  </si>
  <si>
    <t>2022AMP2015Operating ExpenditureTotal opexOperational expenditurenominal</t>
  </si>
  <si>
    <t>2022AMP2017Operating ExpenditureTotal opexOperational expenditurenominal</t>
  </si>
  <si>
    <t>2022AMP2018Operating ExpenditureTotal opexOperational expenditurenominal</t>
  </si>
  <si>
    <t>2023AMP2016Capital ExpenditureAll assetsExpenditure on assetsconstant</t>
  </si>
  <si>
    <t>2023AMP2017Capital ExpenditureAll assetsExpenditure on assetsconstant</t>
  </si>
  <si>
    <t>2023AMP2014Capital ExpenditureAll assetsExpenditure on assetsconstant</t>
  </si>
  <si>
    <t>2023AMP2013Capital ExpenditureAll assetsExpenditure on assetsconstant</t>
  </si>
  <si>
    <t>2023AMP2018Capital ExpenditureAll assetsExpenditure on assetsconstant</t>
  </si>
  <si>
    <t>2023AMP2015Capital ExpenditureAll assetsExpenditure on assetsconstant</t>
  </si>
  <si>
    <t>2023AMP2021Capital ExpenditureAll assetsExpenditure on assetsconstant</t>
  </si>
  <si>
    <t>2023AMP2020Capital ExpenditureAll assetsExpenditure on assetsconstant</t>
  </si>
  <si>
    <t>2023AMP2019Capital ExpenditureAll assetsExpenditure on assetsconstant</t>
  </si>
  <si>
    <t>2023AMP2015Capital ExpenditureAll assetsExpenditure on assetsnominal</t>
  </si>
  <si>
    <t>2023AMP2017Capital ExpenditureAll assetsExpenditure on assetsnominal</t>
  </si>
  <si>
    <t>2023AMP2021Capital ExpenditureAll assetsExpenditure on assetsnominal</t>
  </si>
  <si>
    <t>2023AMP2014Capital ExpenditureAll assetsExpenditure on assetsnominal</t>
  </si>
  <si>
    <t>2023AMP2019Capital ExpenditureAll assetsExpenditure on assetsnominal</t>
  </si>
  <si>
    <t>2023AMP2013Capital ExpenditureAll assetsExpenditure on assetsnominal</t>
  </si>
  <si>
    <t>2023AMP2020Capital ExpenditureAll assetsExpenditure on assetsnominal</t>
  </si>
  <si>
    <t>2023AMP2016Capital ExpenditureAll assetsExpenditure on assetsnominal</t>
  </si>
  <si>
    <t>2023AMP2018Capital ExpenditureAll assetsExpenditure on assetsnominal</t>
  </si>
  <si>
    <t>2023AMP2021Capital ExpenditureAsset relocationsAsset relocationsconstant</t>
  </si>
  <si>
    <t>2023AMP2015Capital ExpenditureAsset relocationsAsset relocationsconstant</t>
  </si>
  <si>
    <t>2023AMP2019Capital ExpenditureAsset relocationsAsset relocationsconstant</t>
  </si>
  <si>
    <t>2023AMP2013Capital ExpenditureAsset relocationsAsset relocationsconstant</t>
  </si>
  <si>
    <t>2023AMP2014Capital ExpenditureAsset relocationsAsset relocationsconstant</t>
  </si>
  <si>
    <t>2023AMP2016Capital ExpenditureAsset relocationsAsset relocationsconstant</t>
  </si>
  <si>
    <t>2023AMP2017Capital ExpenditureAsset relocationsAsset relocationsconstant</t>
  </si>
  <si>
    <t>2023AMP2018Capital ExpenditureAsset relocationsAsset relocationsconstant</t>
  </si>
  <si>
    <t>2023AMP2020Capital ExpenditureAsset relocationsAsset relocationsconstant</t>
  </si>
  <si>
    <t>2023AMP2018Capital ExpenditureAsset relocationsAsset relocationsnominal</t>
  </si>
  <si>
    <t>2023AMP2021Capital ExpenditureAsset relocationsAsset relocationsnominal</t>
  </si>
  <si>
    <t>2023AMP2013Capital ExpenditureAsset relocationsAsset relocationsnominal</t>
  </si>
  <si>
    <t>2023AMP2020Capital ExpenditureAsset relocationsAsset relocationsnominal</t>
  </si>
  <si>
    <t>2023AMP2016Capital ExpenditureAsset relocationsAsset relocationsnominal</t>
  </si>
  <si>
    <t>2023AMP2015Capital ExpenditureAsset relocationsAsset relocationsnominal</t>
  </si>
  <si>
    <t>2023AMP2017Capital ExpenditureAsset relocationsAsset relocationsnominal</t>
  </si>
  <si>
    <t>2023AMP2019Capital ExpenditureAsset relocationsAsset relocationsnominal</t>
  </si>
  <si>
    <t>2023AMP2014Capital ExpenditureAsset relocationsAsset relocationsnominal</t>
  </si>
  <si>
    <t>2023AMP2014Capital ExpenditureAsset replacement and renewalAsset replacement and renewalconstant</t>
  </si>
  <si>
    <t>2023AMP2020Capital ExpenditureAsset replacement and renewalAsset replacement and renewalconstant</t>
  </si>
  <si>
    <t>2023AMP2021Capital ExpenditureAsset replacement and renewalAsset replacement and renewalconstant</t>
  </si>
  <si>
    <t>2023AMP2017Capital ExpenditureAsset replacement and renewalAsset replacement and renewalconstant</t>
  </si>
  <si>
    <t>2023AMP2018Capital ExpenditureAsset replacement and renewalAsset replacement and renewalconstant</t>
  </si>
  <si>
    <t>2023AMP2013Capital ExpenditureAsset replacement and renewalAsset replacement and renewalconstant</t>
  </si>
  <si>
    <t>2023AMP2019Capital ExpenditureAsset replacement and renewalAsset replacement and renewalconstant</t>
  </si>
  <si>
    <t>2023AMP2016Capital ExpenditureAsset replacement and renewalAsset replacement and renewalconstant</t>
  </si>
  <si>
    <t>2023AMP2015Capital ExpenditureAsset replacement and renewalAsset replacement and renewalconstant</t>
  </si>
  <si>
    <t>2023AMP2018Capital ExpenditureAsset replacement and renewalAsset replacement and renewalnominal</t>
  </si>
  <si>
    <t>2023AMP2013Capital ExpenditureAsset replacement and renewalAsset replacement and renewalnominal</t>
  </si>
  <si>
    <t>2023AMP2021Capital ExpenditureAsset replacement and renewalAsset replacement and renewalnominal</t>
  </si>
  <si>
    <t>2023AMP2015Capital ExpenditureAsset replacement and renewalAsset replacement and renewalnominal</t>
  </si>
  <si>
    <t>2023AMP2016Capital ExpenditureAsset replacement and renewalAsset replacement and renewalnominal</t>
  </si>
  <si>
    <t>2023AMP2019Capital ExpenditureAsset replacement and renewalAsset replacement and renewalnominal</t>
  </si>
  <si>
    <t>2023AMP2020Capital ExpenditureAsset replacement and renewalAsset replacement and renewalnominal</t>
  </si>
  <si>
    <t>2023AMP2014Capital ExpenditureAsset replacement and renewalAsset replacement and renewalnominal</t>
  </si>
  <si>
    <t>2023AMP2017Capital ExpenditureAsset replacement and renewalAsset replacement and renewalnominal</t>
  </si>
  <si>
    <t>2023AMP2020Capital ExpenditureAssets commissionedAssets commissionednominal</t>
  </si>
  <si>
    <t>2023AMP2019Capital ExpenditureAssets commissionedAssets commissionednominal</t>
  </si>
  <si>
    <t>2023AMP2016Capital ExpenditureAssets commissionedAssets commissionednominal</t>
  </si>
  <si>
    <t>2023AMP2018Capital ExpenditureAssets commissionedAssets commissionednominal</t>
  </si>
  <si>
    <t>2023AMP2017Capital ExpenditureAssets commissionedAssets commissionednominal</t>
  </si>
  <si>
    <t>2023AMP2021Capital ExpenditureAssets commissionedAssets commissionednominal</t>
  </si>
  <si>
    <t>2023AMP2015Capital ExpenditureAssets commissionedAssets commissionednominal</t>
  </si>
  <si>
    <t>2023AMP2019Capital ExpenditureCapital expenditure forecastCapital expenditure forecastnominal</t>
  </si>
  <si>
    <t>2023AMP2014Capital ExpenditureCapital expenditure forecastCapital expenditure forecastnominal</t>
  </si>
  <si>
    <t>2023AMP2018Capital ExpenditureCapital expenditure forecastCapital expenditure forecastnominal</t>
  </si>
  <si>
    <t>2023AMP2017Capital ExpenditureCapital expenditure forecastCapital expenditure forecastnominal</t>
  </si>
  <si>
    <t>2023AMP2013Capital ExpenditureCapital expenditure forecastCapital expenditure forecastnominal</t>
  </si>
  <si>
    <t>2023AMP2021Capital ExpenditureCapital expenditure forecastCapital expenditure forecastnominal</t>
  </si>
  <si>
    <t>2023AMP2015Capital ExpenditureCapital expenditure forecastCapital expenditure forecastnominal</t>
  </si>
  <si>
    <t>2023AMP2020Capital ExpenditureCapital expenditure forecastCapital expenditure forecastnominal</t>
  </si>
  <si>
    <t>2023AMP2016Capital ExpenditureCapital expenditure forecastCapital expenditure forecastnominal</t>
  </si>
  <si>
    <t>2023AMP2017Capital ExpenditureConsumer connectionConsumer connectionconstant</t>
  </si>
  <si>
    <t>2023AMP2019Capital ExpenditureConsumer connectionConsumer connectionconstant</t>
  </si>
  <si>
    <t>2023AMP2021Capital ExpenditureConsumer connectionConsumer connectionconstant</t>
  </si>
  <si>
    <t>2023AMP2013Capital ExpenditureConsumer connectionConsumer connectionconstant</t>
  </si>
  <si>
    <t>2023AMP2015Capital ExpenditureConsumer connectionConsumer connectionconstant</t>
  </si>
  <si>
    <t>2023AMP2016Capital ExpenditureConsumer connectionConsumer connectionconstant</t>
  </si>
  <si>
    <t>2023AMP2018Capital ExpenditureConsumer connectionConsumer connectionconstant</t>
  </si>
  <si>
    <t>2023AMP2020Capital ExpenditureConsumer connectionConsumer connectionconstant</t>
  </si>
  <si>
    <t>2023AMP2014Capital ExpenditureConsumer connectionConsumer connectionconstant</t>
  </si>
  <si>
    <t>2023AMP2014Capital ExpenditureConsumer connectionConsumer connectionnominal</t>
  </si>
  <si>
    <t>2023AMP2019Capital ExpenditureConsumer connectionConsumer connectionnominal</t>
  </si>
  <si>
    <t>2023AMP2013Capital ExpenditureConsumer connectionConsumer connectionnominal</t>
  </si>
  <si>
    <t>2023AMP2020Capital ExpenditureConsumer connectionConsumer connectionnominal</t>
  </si>
  <si>
    <t>2023AMP2015Capital ExpenditureConsumer connectionConsumer connectionnominal</t>
  </si>
  <si>
    <t>2023AMP2018Capital ExpenditureConsumer connectionConsumer connectionnominal</t>
  </si>
  <si>
    <t>2023AMP2021Capital ExpenditureConsumer connectionConsumer connectionnominal</t>
  </si>
  <si>
    <t>2023AMP2016Capital ExpenditureConsumer connectionConsumer connectionnominal</t>
  </si>
  <si>
    <t>2023AMP2017Capital ExpenditureConsumer connectionConsumer connectionnominal</t>
  </si>
  <si>
    <t>2023AMP2013Capital ExpenditureCost of financingCost of financingnominal</t>
  </si>
  <si>
    <t>2023AMP2019Capital ExpenditureCost of financingCost of financingnominal</t>
  </si>
  <si>
    <t>2023AMP2021Capital ExpenditureCost of financingCost of financingnominal</t>
  </si>
  <si>
    <t>2023AMP2014Capital ExpenditureCost of financingCost of financingnominal</t>
  </si>
  <si>
    <t>2023AMP2016Capital ExpenditureCost of financingCost of financingnominal</t>
  </si>
  <si>
    <t>2023AMP2015Capital ExpenditureCost of financingCost of financingnominal</t>
  </si>
  <si>
    <t>2023AMP2018Capital ExpenditureCost of financingCost of financingnominal</t>
  </si>
  <si>
    <t>2023AMP2020Capital ExpenditureCost of financingCost of financingnominal</t>
  </si>
  <si>
    <t>2023AMP2017Capital ExpenditureCost of financingCost of financingnominal</t>
  </si>
  <si>
    <t>2023AMP2013Capital ExpenditureExpenditure on subcomponentsResearch and developmentconstant</t>
  </si>
  <si>
    <t>2023AMP2019Capital ExpenditureExpenditure on subcomponentsResearch and developmentconstant</t>
  </si>
  <si>
    <t>2023AMP2016Capital ExpenditureExpenditure on subcomponentsResearch and developmentconstant</t>
  </si>
  <si>
    <t>2023AMP2018Capital ExpenditureExpenditure on subcomponentsResearch and developmentconstant</t>
  </si>
  <si>
    <t>2023AMP2021Capital ExpenditureExpenditure on subcomponentsResearch and developmentconstant</t>
  </si>
  <si>
    <t>2023AMP2017Capital ExpenditureExpenditure on subcomponentsResearch and developmentconstant</t>
  </si>
  <si>
    <t>2023AMP2015Capital ExpenditureExpenditure on subcomponentsResearch and developmentconstant</t>
  </si>
  <si>
    <t>2023AMP2020Capital ExpenditureExpenditure on subcomponentsResearch and developmentconstant</t>
  </si>
  <si>
    <t>2023AMP2014Capital ExpenditureExpenditure on subcomponentsResearch and developmentconstant</t>
  </si>
  <si>
    <t>2023AMP2013Capital ExpenditureNetwork assetsExpenditure on network assetsconstant</t>
  </si>
  <si>
    <t>2023AMP2021Capital ExpenditureNetwork assetsExpenditure on network assetsconstant</t>
  </si>
  <si>
    <t>2023AMP2014Capital ExpenditureNetwork assetsExpenditure on network assetsconstant</t>
  </si>
  <si>
    <t>2023AMP2019Capital ExpenditureNetwork assetsExpenditure on network assetsconstant</t>
  </si>
  <si>
    <t>2023AMP2016Capital ExpenditureNetwork assetsExpenditure on network assetsconstant</t>
  </si>
  <si>
    <t>2023AMP2015Capital ExpenditureNetwork assetsExpenditure on network assetsconstant</t>
  </si>
  <si>
    <t>2023AMP2018Capital ExpenditureNetwork assetsExpenditure on network assetsconstant</t>
  </si>
  <si>
    <t>2023AMP2017Capital ExpenditureNetwork assetsExpenditure on network assetsconstant</t>
  </si>
  <si>
    <t>2023AMP2020Capital ExpenditureNetwork assetsExpenditure on network assetsconstant</t>
  </si>
  <si>
    <t>2023AMP2020Capital ExpenditureNetwork assetsExpenditure on network assetsnominal</t>
  </si>
  <si>
    <t>2023AMP2021Capital ExpenditureNetwork assetsExpenditure on network assetsnominal</t>
  </si>
  <si>
    <t>2023AMP2019Capital ExpenditureNetwork assetsExpenditure on network assetsnominal</t>
  </si>
  <si>
    <t>2023AMP2017Capital ExpenditureNetwork assetsExpenditure on network assetsnominal</t>
  </si>
  <si>
    <t>2023AMP2018Capital ExpenditureNetwork assetsExpenditure on network assetsnominal</t>
  </si>
  <si>
    <t>2023AMP2014Capital ExpenditureNetwork assetsExpenditure on network assetsnominal</t>
  </si>
  <si>
    <t>2023AMP2016Capital ExpenditureNetwork assetsExpenditure on network assetsnominal</t>
  </si>
  <si>
    <t>2023AMP2015Capital ExpenditureNetwork assetsExpenditure on network assetsnominal</t>
  </si>
  <si>
    <t>2023AMP2013Capital ExpenditureNetwork assetsExpenditure on network assetsnominal</t>
  </si>
  <si>
    <t>2023AMP2019Capital ExpenditureNon-network assetsNon-network assetsconstant</t>
  </si>
  <si>
    <t>2023AMP2016Capital ExpenditureNon-network assetsNon-network assetsconstant</t>
  </si>
  <si>
    <t>2023AMP2018Capital ExpenditureNon-network assetsNon-network assetsconstant</t>
  </si>
  <si>
    <t>2023AMP2013Capital ExpenditureNon-network assetsNon-network assetsconstant</t>
  </si>
  <si>
    <t>2023AMP2017Capital ExpenditureNon-network assetsNon-network assetsconstant</t>
  </si>
  <si>
    <t>2023AMP2020Capital ExpenditureNon-network assetsNon-network assetsconstant</t>
  </si>
  <si>
    <t>2023AMP2014Capital ExpenditureNon-network assetsNon-network assetsconstant</t>
  </si>
  <si>
    <t>2023AMP2015Capital ExpenditureNon-network assetsNon-network assetsconstant</t>
  </si>
  <si>
    <t>2023AMP2021Capital ExpenditureNon-network assetsNon-network assetsconstant</t>
  </si>
  <si>
    <t>2023AMP2019Capital ExpenditureNon-network assetsNon-network assetsnominal</t>
  </si>
  <si>
    <t>2023AMP2016Capital ExpenditureNon-network assetsNon-network assetsnominal</t>
  </si>
  <si>
    <t>2023AMP2020Capital ExpenditureNon-network assetsNon-network assetsnominal</t>
  </si>
  <si>
    <t>2023AMP2014Capital ExpenditureNon-network assetsNon-network assetsnominal</t>
  </si>
  <si>
    <t>2023AMP2017Capital ExpenditureNon-network assetsNon-network assetsnominal</t>
  </si>
  <si>
    <t>2023AMP2021Capital ExpenditureNon-network assetsNon-network assetsnominal</t>
  </si>
  <si>
    <t>2023AMP2018Capital ExpenditureNon-network assetsNon-network assetsnominal</t>
  </si>
  <si>
    <t>2023AMP2013Capital ExpenditureNon-network assetsNon-network assetsnominal</t>
  </si>
  <si>
    <t>2023AMP2015Capital ExpenditureNon-network assetsNon-network assetsnominal</t>
  </si>
  <si>
    <t>2023AMP2019Capital ExpenditureReliability, safety and environmentLegislative and regulatoryconstant</t>
  </si>
  <si>
    <t>2023AMP2014Capital ExpenditureReliability, safety and environmentLegislative and regulatoryconstant</t>
  </si>
  <si>
    <t>2023AMP2018Capital ExpenditureReliability, safety and environmentLegislative and regulatoryconstant</t>
  </si>
  <si>
    <t>2023AMP2016Capital ExpenditureReliability, safety and environmentLegislative and regulatoryconstant</t>
  </si>
  <si>
    <t>2023AMP2017Capital ExpenditureReliability, safety and environmentLegislative and regulatoryconstant</t>
  </si>
  <si>
    <t>2023AMP2013Capital ExpenditureReliability, safety and environmentLegislative and regulatoryconstant</t>
  </si>
  <si>
    <t>2023AMP2021Capital ExpenditureReliability, safety and environmentLegislative and regulatoryconstant</t>
  </si>
  <si>
    <t>2023AMP2020Capital ExpenditureReliability, safety and environmentLegislative and regulatoryconstant</t>
  </si>
  <si>
    <t>2023AMP2015Capital ExpenditureReliability, safety and environmentLegislative and regulatoryconstant</t>
  </si>
  <si>
    <t>2023AMP2013Capital ExpenditureReliability, safety and environmentLegislative and regulatorynominal</t>
  </si>
  <si>
    <t>2023AMP2017Capital ExpenditureReliability, safety and environmentLegislative and regulatorynominal</t>
  </si>
  <si>
    <t>2023AMP2016Capital ExpenditureReliability, safety and environmentLegislative and regulatorynominal</t>
  </si>
  <si>
    <t>2023AMP2021Capital ExpenditureReliability, safety and environmentLegislative and regulatorynominal</t>
  </si>
  <si>
    <t>2023AMP2019Capital ExpenditureReliability, safety and environmentLegislative and regulatorynominal</t>
  </si>
  <si>
    <t>2023AMP2018Capital ExpenditureReliability, safety and environmentLegislative and regulatorynominal</t>
  </si>
  <si>
    <t>2023AMP2015Capital ExpenditureReliability, safety and environmentLegislative and regulatorynominal</t>
  </si>
  <si>
    <t>2023AMP2014Capital ExpenditureReliability, safety and environmentLegislative and regulatorynominal</t>
  </si>
  <si>
    <t>2023AMP2020Capital ExpenditureReliability, safety and environmentLegislative and regulatorynominal</t>
  </si>
  <si>
    <t>2023AMP2020Capital ExpenditureReliability, safety and environmentOther reliability, safety and environmentconstant</t>
  </si>
  <si>
    <t>2023AMP2018Capital ExpenditureReliability, safety and environmentOther reliability, safety and environmentconstant</t>
  </si>
  <si>
    <t>2023AMP2017Capital ExpenditureReliability, safety and environmentOther reliability, safety and environmentconstant</t>
  </si>
  <si>
    <t>2023AMP2014Capital ExpenditureReliability, safety and environmentOther reliability, safety and environmentconstant</t>
  </si>
  <si>
    <t>2023AMP2015Capital ExpenditureReliability, safety and environmentOther reliability, safety and environmentconstant</t>
  </si>
  <si>
    <t>2023AMP2021Capital ExpenditureReliability, safety and environmentOther reliability, safety and environmentconstant</t>
  </si>
  <si>
    <t>2023AMP2013Capital ExpenditureReliability, safety and environmentOther reliability, safety and environmentconstant</t>
  </si>
  <si>
    <t>2023AMP2016Capital ExpenditureReliability, safety and environmentOther reliability, safety and environmentconstant</t>
  </si>
  <si>
    <t>2023AMP2019Capital ExpenditureReliability, safety and environmentOther reliability, safety and environmentconstant</t>
  </si>
  <si>
    <t>2023AMP2018Capital ExpenditureReliability, safety and environmentOther reliability, safety and environmentnominal</t>
  </si>
  <si>
    <t>2023AMP2014Capital ExpenditureReliability, safety and environmentOther reliability, safety and environmentnominal</t>
  </si>
  <si>
    <t>2023AMP2013Capital ExpenditureReliability, safety and environmentOther reliability, safety and environmentnominal</t>
  </si>
  <si>
    <t>2023AMP2016Capital ExpenditureReliability, safety and environmentOther reliability, safety and environmentnominal</t>
  </si>
  <si>
    <t>2023AMP2020Capital ExpenditureReliability, safety and environmentOther reliability, safety and environmentnominal</t>
  </si>
  <si>
    <t>2023AMP2021Capital ExpenditureReliability, safety and environmentOther reliability, safety and environmentnominal</t>
  </si>
  <si>
    <t>2023AMP2019Capital ExpenditureReliability, safety and environmentOther reliability, safety and environmentnominal</t>
  </si>
  <si>
    <t>2023AMP2015Capital ExpenditureReliability, safety and environmentOther reliability, safety and environmentnominal</t>
  </si>
  <si>
    <t>2023AMP2017Capital ExpenditureReliability, safety and environmentOther reliability, safety and environmentnominal</t>
  </si>
  <si>
    <t>2023AMP2017Capital ExpenditureReliability, safety and environmentQuality of supplyconstant</t>
  </si>
  <si>
    <t>2023AMP2015Capital ExpenditureReliability, safety and environmentQuality of supplyconstant</t>
  </si>
  <si>
    <t>2023AMP2018Capital ExpenditureReliability, safety and environmentQuality of supplyconstant</t>
  </si>
  <si>
    <t>2023AMP2016Capital ExpenditureReliability, safety and environmentQuality of supplyconstant</t>
  </si>
  <si>
    <t>2023AMP2021Capital ExpenditureReliability, safety and environmentQuality of supplyconstant</t>
  </si>
  <si>
    <t>2023AMP2014Capital ExpenditureReliability, safety and environmentQuality of supplyconstant</t>
  </si>
  <si>
    <t>2023AMP2019Capital ExpenditureReliability, safety and environmentQuality of supplyconstant</t>
  </si>
  <si>
    <t>2023AMP2013Capital ExpenditureReliability, safety and environmentQuality of supplyconstant</t>
  </si>
  <si>
    <t>2023AMP2020Capital ExpenditureReliability, safety and environmentQuality of supplyconstant</t>
  </si>
  <si>
    <t>2023AMP2016Capital ExpenditureReliability, safety and environmentQuality of supplynominal</t>
  </si>
  <si>
    <t>2023AMP2015Capital ExpenditureReliability, safety and environmentQuality of supplynominal</t>
  </si>
  <si>
    <t>2023AMP2020Capital ExpenditureReliability, safety and environmentQuality of supplynominal</t>
  </si>
  <si>
    <t>2023AMP2018Capital ExpenditureReliability, safety and environmentQuality of supplynominal</t>
  </si>
  <si>
    <t>2023AMP2019Capital ExpenditureReliability, safety and environmentQuality of supplynominal</t>
  </si>
  <si>
    <t>2023AMP2013Capital ExpenditureReliability, safety and environmentQuality of supplynominal</t>
  </si>
  <si>
    <t>2023AMP2021Capital ExpenditureReliability, safety and environmentQuality of supplynominal</t>
  </si>
  <si>
    <t>2023AMP2017Capital ExpenditureReliability, safety and environmentQuality of supplynominal</t>
  </si>
  <si>
    <t>2023AMP2014Capital ExpenditureReliability, safety and environmentQuality of supplynominal</t>
  </si>
  <si>
    <t>2023AMP2014Capital ExpenditureReliability, safety and environmentTotal reliability, safety and environmentconstant</t>
  </si>
  <si>
    <t>2023AMP2017Capital ExpenditureReliability, safety and environmentTotal reliability, safety and environmentconstant</t>
  </si>
  <si>
    <t>2023AMP2015Capital ExpenditureReliability, safety and environmentTotal reliability, safety and environmentconstant</t>
  </si>
  <si>
    <t>2023AMP2013Capital ExpenditureReliability, safety and environmentTotal reliability, safety and environmentconstant</t>
  </si>
  <si>
    <t>2023AMP2021Capital ExpenditureReliability, safety and environmentTotal reliability, safety and environmentconstant</t>
  </si>
  <si>
    <t>2023AMP2020Capital ExpenditureReliability, safety and environmentTotal reliability, safety and environmentconstant</t>
  </si>
  <si>
    <t>2023AMP2016Capital ExpenditureReliability, safety and environmentTotal reliability, safety and environmentconstant</t>
  </si>
  <si>
    <t>2023AMP2019Capital ExpenditureReliability, safety and environmentTotal reliability, safety and environmentconstant</t>
  </si>
  <si>
    <t>2023AMP2018Capital ExpenditureReliability, safety and environmentTotal reliability, safety and environmentconstant</t>
  </si>
  <si>
    <t>2023AMP2013Capital ExpenditureReliability, safety and environmentTotal reliability, safety and environmentnominal</t>
  </si>
  <si>
    <t>2023AMP2014Capital ExpenditureReliability, safety and environmentTotal reliability, safety and environmentnominal</t>
  </si>
  <si>
    <t>2023AMP2020Capital ExpenditureReliability, safety and environmentTotal reliability, safety and environmentnominal</t>
  </si>
  <si>
    <t>2023AMP2019Capital ExpenditureReliability, safety and environmentTotal reliability, safety and environmentnominal</t>
  </si>
  <si>
    <t>2023AMP2016Capital ExpenditureReliability, safety and environmentTotal reliability, safety and environmentnominal</t>
  </si>
  <si>
    <t>2023AMP2021Capital ExpenditureReliability, safety and environmentTotal reliability, safety and environmentnominal</t>
  </si>
  <si>
    <t>2023AMP2015Capital ExpenditureReliability, safety and environmentTotal reliability, safety and environmentnominal</t>
  </si>
  <si>
    <t>2023AMP2018Capital ExpenditureReliability, safety and environmentTotal reliability, safety and environmentnominal</t>
  </si>
  <si>
    <t>2023AMP2017Capital ExpenditureReliability, safety and environmentTotal reliability, safety and environmentnominal</t>
  </si>
  <si>
    <t>2023AMP2018Capital ExpenditureSystem growthSystem growthconstant</t>
  </si>
  <si>
    <t>2023AMP2020Capital ExpenditureSystem growthSystem growthconstant</t>
  </si>
  <si>
    <t>2023AMP2019Capital ExpenditureSystem growthSystem growthconstant</t>
  </si>
  <si>
    <t>2023AMP2013Capital ExpenditureSystem growthSystem growthconstant</t>
  </si>
  <si>
    <t>2023AMP2014Capital ExpenditureSystem growthSystem growthconstant</t>
  </si>
  <si>
    <t>2023AMP2016Capital ExpenditureSystem growthSystem growthconstant</t>
  </si>
  <si>
    <t>2023AMP2021Capital ExpenditureSystem growthSystem growthconstant</t>
  </si>
  <si>
    <t>2023AMP2017Capital ExpenditureSystem growthSystem growthconstant</t>
  </si>
  <si>
    <t>2023AMP2015Capital ExpenditureSystem growthSystem growthconstant</t>
  </si>
  <si>
    <t>2023AMP2013Capital ExpenditureSystem growthSystem growthnominal</t>
  </si>
  <si>
    <t>2023AMP2015Capital ExpenditureSystem growthSystem growthnominal</t>
  </si>
  <si>
    <t>2023AMP2021Capital ExpenditureSystem growthSystem growthnominal</t>
  </si>
  <si>
    <t>2023AMP2016Capital ExpenditureSystem growthSystem growthnominal</t>
  </si>
  <si>
    <t>2023AMP2020Capital ExpenditureSystem growthSystem growthnominal</t>
  </si>
  <si>
    <t>2023AMP2019Capital ExpenditureSystem growthSystem growthnominal</t>
  </si>
  <si>
    <t>2023AMP2017Capital ExpenditureSystem growthSystem growthnominal</t>
  </si>
  <si>
    <t>2023AMP2018Capital ExpenditureSystem growthSystem growthnominal</t>
  </si>
  <si>
    <t>2023AMP2014Capital ExpenditureSystem growthSystem growthnominal</t>
  </si>
  <si>
    <t>2023AMP2013Capital ExpenditureValue of capital contributionsValue of capital contributionsnominal</t>
  </si>
  <si>
    <t>2023AMP2018Capital ExpenditureValue of capital contributionsValue of capital contributionsnominal</t>
  </si>
  <si>
    <t>2023AMP2016Capital ExpenditureValue of capital contributionsValue of capital contributionsnominal</t>
  </si>
  <si>
    <t>2023AMP2017Capital ExpenditureValue of capital contributionsValue of capital contributionsnominal</t>
  </si>
  <si>
    <t>2023AMP2014Capital ExpenditureValue of capital contributionsValue of capital contributionsnominal</t>
  </si>
  <si>
    <t>2023AMP2015Capital ExpenditureValue of capital contributionsValue of capital contributionsnominal</t>
  </si>
  <si>
    <t>2023AMP2019Capital ExpenditureValue of capital contributionsValue of capital contributionsnominal</t>
  </si>
  <si>
    <t>2023AMP2020Capital ExpenditureValue of capital contributionsValue of capital contributionsnominal</t>
  </si>
  <si>
    <t>2023AMP2021Capital ExpenditureValue of capital contributionsValue of capital contributionsnominal</t>
  </si>
  <si>
    <t>2023AMP2017Capital ExpenditureValue of commissioned assetsValue of commissioned assetsnominal</t>
  </si>
  <si>
    <t>2023AMP2013Capital ExpenditureValue of commissioned assetsValue of commissioned assetsnominal</t>
  </si>
  <si>
    <t>2023AMP2014Capital ExpenditureValue of commissioned assetsValue of commissioned assetsnominal</t>
  </si>
  <si>
    <t>2023AMP2014Capital ExpenditureValue of vested assetsValue of vested assetsnominal</t>
  </si>
  <si>
    <t>2023AMP2018Capital ExpenditureValue of vested assetsValue of vested assetsnominal</t>
  </si>
  <si>
    <t>2023AMP2013Capital ExpenditureValue of vested assetsValue of vested assetsnominal</t>
  </si>
  <si>
    <t>2023AMP2017Capital ExpenditureValue of vested assetsValue of vested assetsnominal</t>
  </si>
  <si>
    <t>2023AMP2019Capital ExpenditureValue of vested assetsValue of vested assetsnominal</t>
  </si>
  <si>
    <t>2023AMP2015Capital ExpenditureValue of vested assetsValue of vested assetsnominal</t>
  </si>
  <si>
    <t>2023AMP2020Capital ExpenditureValue of vested assetsValue of vested assetsnominal</t>
  </si>
  <si>
    <t>2023AMP2016Capital ExpenditureValue of vested assetsValue of vested assetsnominal</t>
  </si>
  <si>
    <t>2023AMP2021Capital ExpenditureValue of vested assetsValue of vested assetsnominal</t>
  </si>
  <si>
    <t>2023AMP2018Capital ExpenditureAsset replacement and renewalAsset replacement and renewal expenditure - Asset replacement and renewal expenditureconstant</t>
  </si>
  <si>
    <t>2023AMP2021Capital ExpenditureAsset replacement and renewalAsset replacement and renewal expenditure - Asset replacement and renewal expenditureconstant</t>
  </si>
  <si>
    <t>2023AMP2019Capital ExpenditureAsset replacement and renewalAsset replacement and renewal expenditure - Asset replacement and renewal expenditureconstant</t>
  </si>
  <si>
    <t>2023AMP2020Capital ExpenditureAsset replacement and renewalAsset replacement and renewal expenditure - Asset replacement and renewal expenditureconstant</t>
  </si>
  <si>
    <t>2023AMP2020Capital ExpenditureAsset replacement and renewalAsset replacement and renewal expenditure - Capital contributions funding asset replacement and renewalconstant</t>
  </si>
  <si>
    <t>2023AMP2021Capital ExpenditureAsset replacement and renewalAsset replacement and renewal expenditure - Capital contributions funding asset replacement and renewalconstant</t>
  </si>
  <si>
    <t>2023AMP2018Capital ExpenditureAsset replacement and renewalAsset replacement and renewal expenditure - Capital contributions funding asset replacement and renewalconstant</t>
  </si>
  <si>
    <t>2023AMP2019Capital ExpenditureAsset replacement and renewalAsset replacement and renewal expenditure - Capital contributions funding asset replacement and renewalconstant</t>
  </si>
  <si>
    <t>2023AMP2020Capital ExpenditureAsset replacement and renewalAsset replacement and renewal less capital contributions - Asset replacement and renewal less capital contributionsconstant</t>
  </si>
  <si>
    <t>2023AMP2021Capital ExpenditureAsset replacement and renewalAsset replacement and renewal less capital contributions - Asset replacement and renewal less capital contributionsconstant</t>
  </si>
  <si>
    <t>2023AMP2018Capital ExpenditureAsset replacement and renewalAsset replacement and renewal less capital contributions - Asset replacement and renewal less capital contributionsconstant</t>
  </si>
  <si>
    <t>2023AMP2019Capital ExpenditureAsset replacement and renewalAsset replacement and renewal less capital contributions - Asset replacement and renewal less capital contributionsconstant</t>
  </si>
  <si>
    <t>2023AMP2018Capital ExpenditureAsset replacement and renewalIntermediate pressure - Intermediate Pressure totalconstant</t>
  </si>
  <si>
    <t>2023AMP2021Capital ExpenditureAsset replacement and renewalIntermediate pressure - Intermediate Pressure totalconstant</t>
  </si>
  <si>
    <t>2023AMP2020Capital ExpenditureAsset replacement and renewalIntermediate pressure - Intermediate Pressure totalconstant</t>
  </si>
  <si>
    <t>2023AMP2019Capital ExpenditureAsset replacement and renewalIntermediate pressure - Intermediate Pressure totalconstant</t>
  </si>
  <si>
    <t>2023AMP2019Capital ExpenditureAsset replacement and renewalIntermediate pressure - Line valveconstant</t>
  </si>
  <si>
    <t>2023AMP2018Capital ExpenditureAsset replacement and renewalIntermediate pressure - Line valveconstant</t>
  </si>
  <si>
    <t>2023AMP2020Capital ExpenditureAsset replacement and renewalIntermediate pressure - Line valveconstant</t>
  </si>
  <si>
    <t>2023AMP2021Capital ExpenditureAsset replacement and renewalIntermediate pressure - Line valveconstant</t>
  </si>
  <si>
    <t>2023AMP2020Capital ExpenditureAsset replacement and renewalIntermediate pressure - Main pipeconstant</t>
  </si>
  <si>
    <t>2023AMP2019Capital ExpenditureAsset replacement and renewalIntermediate pressure - Main pipeconstant</t>
  </si>
  <si>
    <t>2023AMP2018Capital ExpenditureAsset replacement and renewalIntermediate pressure - Main pipeconstant</t>
  </si>
  <si>
    <t>2023AMP2021Capital ExpenditureAsset replacement and renewalIntermediate pressure - Main pipeconstant</t>
  </si>
  <si>
    <t>2023AMP2020Capital ExpenditureAsset replacement and renewalIntermediate pressure - Service pipeconstant</t>
  </si>
  <si>
    <t>2023AMP2018Capital ExpenditureAsset replacement and renewalIntermediate pressure - Service pipeconstant</t>
  </si>
  <si>
    <t>2023AMP2019Capital ExpenditureAsset replacement and renewalIntermediate pressure - Service pipeconstant</t>
  </si>
  <si>
    <t>2023AMP2021Capital ExpenditureAsset replacement and renewalIntermediate pressure - Service pipeconstant</t>
  </si>
  <si>
    <t>2023AMP2019Capital ExpenditureAsset replacement and renewalIntermediate pressure - Special crossingsconstant</t>
  </si>
  <si>
    <t>2023AMP2018Capital ExpenditureAsset replacement and renewalIntermediate pressure - Special crossingsconstant</t>
  </si>
  <si>
    <t>2023AMP2020Capital ExpenditureAsset replacement and renewalIntermediate pressure - Special crossingsconstant</t>
  </si>
  <si>
    <t>2023AMP2021Capital ExpenditureAsset replacement and renewalIntermediate pressure - Special crossingsconstant</t>
  </si>
  <si>
    <t>2023AMP2019Capital ExpenditureAsset replacement and renewalIntermediate pressure - Stationsconstant</t>
  </si>
  <si>
    <t>2023AMP2021Capital ExpenditureAsset replacement and renewalIntermediate pressure - Stationsconstant</t>
  </si>
  <si>
    <t>2023AMP2018Capital ExpenditureAsset replacement and renewalIntermediate pressure - Stationsconstant</t>
  </si>
  <si>
    <t>2023AMP2020Capital ExpenditureAsset replacement and renewalIntermediate pressure - Stationsconstant</t>
  </si>
  <si>
    <t>2023AMP2019Capital ExpenditureAsset replacement and renewalLow Pressure - Line valveconstant</t>
  </si>
  <si>
    <t>2023AMP2021Capital ExpenditureAsset replacement and renewalLow Pressure - Line valveconstant</t>
  </si>
  <si>
    <t>2023AMP2020Capital ExpenditureAsset replacement and renewalLow Pressure - Line valveconstant</t>
  </si>
  <si>
    <t>2023AMP2018Capital ExpenditureAsset replacement and renewalLow Pressure - Line valveconstant</t>
  </si>
  <si>
    <t>2023AMP2019Capital ExpenditureAsset replacement and renewalLow Pressure - Low Pressure totalconstant</t>
  </si>
  <si>
    <t>2023AMP2021Capital ExpenditureAsset replacement and renewalLow Pressure - Low Pressure totalconstant</t>
  </si>
  <si>
    <t>2023AMP2020Capital ExpenditureAsset replacement and renewalLow Pressure - Low Pressure totalconstant</t>
  </si>
  <si>
    <t>2023AMP2018Capital ExpenditureAsset replacement and renewalLow Pressure - Low Pressure totalconstant</t>
  </si>
  <si>
    <t>2023AMP2020Capital ExpenditureAsset replacement and renewalLow Pressure - Main pipeconstant</t>
  </si>
  <si>
    <t>2023AMP2019Capital ExpenditureAsset replacement and renewalLow Pressure - Main pipeconstant</t>
  </si>
  <si>
    <t>2023AMP2018Capital ExpenditureAsset replacement and renewalLow Pressure - Main pipeconstant</t>
  </si>
  <si>
    <t>2023AMP2021Capital ExpenditureAsset replacement and renewalLow Pressure - Main pipeconstant</t>
  </si>
  <si>
    <t>2023AMP2020Capital ExpenditureAsset replacement and renewalLow Pressure - Service pipeconstant</t>
  </si>
  <si>
    <t>2023AMP2018Capital ExpenditureAsset replacement and renewalLow Pressure - Service pipeconstant</t>
  </si>
  <si>
    <t>2023AMP2019Capital ExpenditureAsset replacement and renewalLow Pressure - Service pipeconstant</t>
  </si>
  <si>
    <t>2023AMP2021Capital ExpenditureAsset replacement and renewalLow Pressure - Service pipeconstant</t>
  </si>
  <si>
    <t>2023AMP2021Capital ExpenditureAsset replacement and renewalLow Pressure - Special crossingsconstant</t>
  </si>
  <si>
    <t>2023AMP2018Capital ExpenditureAsset replacement and renewalLow Pressure - Special crossingsconstant</t>
  </si>
  <si>
    <t>2023AMP2019Capital ExpenditureAsset replacement and renewalLow Pressure - Special crossingsconstant</t>
  </si>
  <si>
    <t>2023AMP2020Capital ExpenditureAsset replacement and renewalLow Pressure - Special crossingsconstant</t>
  </si>
  <si>
    <t>2023AMP2019Capital ExpenditureAsset replacement and renewalMedium pressure - Line valveconstant</t>
  </si>
  <si>
    <t>2023AMP2020Capital ExpenditureAsset replacement and renewalMedium pressure - Line valveconstant</t>
  </si>
  <si>
    <t>2023AMP2021Capital ExpenditureAsset replacement and renewalMedium pressure - Line valveconstant</t>
  </si>
  <si>
    <t>2023AMP2018Capital ExpenditureAsset replacement and renewalMedium pressure - Line valveconstant</t>
  </si>
  <si>
    <t>2023AMP2019Capital ExpenditureAsset replacement and renewalMedium pressure - Main pipeconstant</t>
  </si>
  <si>
    <t>2023AMP2018Capital ExpenditureAsset replacement and renewalMedium pressure - Main pipeconstant</t>
  </si>
  <si>
    <t>2023AMP2020Capital ExpenditureAsset replacement and renewalMedium pressure - Main pipeconstant</t>
  </si>
  <si>
    <t>2023AMP2021Capital ExpenditureAsset replacement and renewalMedium pressure - Main pipeconstant</t>
  </si>
  <si>
    <t>2023AMP2021Capital ExpenditureAsset replacement and renewalMedium pressure - Medium Pressure totalconstant</t>
  </si>
  <si>
    <t>2023AMP2020Capital ExpenditureAsset replacement and renewalMedium pressure - Medium Pressure totalconstant</t>
  </si>
  <si>
    <t>2023AMP2018Capital ExpenditureAsset replacement and renewalMedium pressure - Medium Pressure totalconstant</t>
  </si>
  <si>
    <t>2023AMP2019Capital ExpenditureAsset replacement and renewalMedium pressure - Medium Pressure totalconstant</t>
  </si>
  <si>
    <t>2023AMP2020Capital ExpenditureAsset replacement and renewalMedium pressure - Service pipeconstant</t>
  </si>
  <si>
    <t>2023AMP2021Capital ExpenditureAsset replacement and renewalMedium pressure - Service pipeconstant</t>
  </si>
  <si>
    <t>2023AMP2019Capital ExpenditureAsset replacement and renewalMedium pressure - Service pipeconstant</t>
  </si>
  <si>
    <t>2023AMP2018Capital ExpenditureAsset replacement and renewalMedium pressure - Service pipeconstant</t>
  </si>
  <si>
    <t>2023AMP2018Capital ExpenditureAsset replacement and renewalMedium pressure - Special crossingsconstant</t>
  </si>
  <si>
    <t>2023AMP2020Capital ExpenditureAsset replacement and renewalMedium pressure - Special crossingsconstant</t>
  </si>
  <si>
    <t>2023AMP2021Capital ExpenditureAsset replacement and renewalMedium pressure - Special crossingsconstant</t>
  </si>
  <si>
    <t>2023AMP2019Capital ExpenditureAsset replacement and renewalMedium pressure - Special crossingsconstant</t>
  </si>
  <si>
    <t>2023AMP2018Capital ExpenditureAsset replacement and renewalMedium pressure - Stationconstant</t>
  </si>
  <si>
    <t>2023AMP2019Capital ExpenditureAsset replacement and renewalMedium pressure - Stationconstant</t>
  </si>
  <si>
    <t>2023AMP2020Capital ExpenditureAsset replacement and renewalMedium pressure - Stationconstant</t>
  </si>
  <si>
    <t>2023AMP2021Capital ExpenditureAsset replacement and renewalMedium pressure - Stationconstant</t>
  </si>
  <si>
    <t>2023AMP2020Capital ExpenditureAsset replacement and renewalOther network assets - Cathodic protection systemsconstant</t>
  </si>
  <si>
    <t>2023AMP2019Capital ExpenditureAsset replacement and renewalOther network assets - Cathodic protection systemsconstant</t>
  </si>
  <si>
    <t>2023AMP2021Capital ExpenditureAsset replacement and renewalOther network assets - Cathodic protection systemsconstant</t>
  </si>
  <si>
    <t>2023AMP2018Capital ExpenditureAsset replacement and renewalOther network assets - Cathodic protection systemsconstant</t>
  </si>
  <si>
    <t>2023AMP2020Capital ExpenditureAsset replacement and renewalOther network assets - Monitoring and control systemsconstant</t>
  </si>
  <si>
    <t>2023AMP2018Capital ExpenditureAsset replacement and renewalOther network assets - Monitoring and control systemsconstant</t>
  </si>
  <si>
    <t>2023AMP2021Capital ExpenditureAsset replacement and renewalOther network assets - Monitoring and control systemsconstant</t>
  </si>
  <si>
    <t>2023AMP2019Capital ExpenditureAsset replacement and renewalOther network assets - Monitoring and control systemsconstant</t>
  </si>
  <si>
    <t>2023AMP2021Capital ExpenditureAsset replacement and renewalOther network assets - Other assets (other than above)constant</t>
  </si>
  <si>
    <t>2023AMP2018Capital ExpenditureAsset replacement and renewalOther network assets - Other assets (other than above)constant</t>
  </si>
  <si>
    <t>2023AMP2020Capital ExpenditureAsset replacement and renewalOther network assets - Other assets (other than above)constant</t>
  </si>
  <si>
    <t>2023AMP2019Capital ExpenditureAsset replacement and renewalOther network assets - Other assets (other than above)constant</t>
  </si>
  <si>
    <t>2023AMP2019Capital ExpenditureAsset replacement and renewalOther network assets - Other network assets totalconstant</t>
  </si>
  <si>
    <t>2023AMP2021Capital ExpenditureAsset replacement and renewalOther network assets - Other network assets totalconstant</t>
  </si>
  <si>
    <t>2023AMP2018Capital ExpenditureAsset replacement and renewalOther network assets - Other network assets totalconstant</t>
  </si>
  <si>
    <t>2023AMP2020Capital ExpenditureAsset replacement and renewalOther network assets - Other network assets totalconstant</t>
  </si>
  <si>
    <t>2023AMP2021Operating ExpenditureAsset replacement and renewalAsset replacement and renewalconstant</t>
  </si>
  <si>
    <t>2023AMP2018Operating ExpenditureAsset replacement and renewalAsset replacement and renewalconstant</t>
  </si>
  <si>
    <t>2023AMP2017Operating ExpenditureAsset replacement and renewalAsset replacement and renewalconstant</t>
  </si>
  <si>
    <t>2023AMP2016Operating ExpenditureAsset replacement and renewalAsset replacement and renewalconstant</t>
  </si>
  <si>
    <t>2023AMP2020Operating ExpenditureAsset replacement and renewalAsset replacement and renewalconstant</t>
  </si>
  <si>
    <t>2023AMP2019Operating ExpenditureAsset replacement and renewalAsset replacement and renewalconstant</t>
  </si>
  <si>
    <t>2023AMP2015Operating ExpenditureAsset replacement and renewalAsset replacement and renewalconstant</t>
  </si>
  <si>
    <t>2023AMP2014Operating ExpenditureAsset replacement and renewalAsset replacement and renewalconstant</t>
  </si>
  <si>
    <t>2023AMP2013Operating ExpenditureAsset replacement and renewalAsset replacement and renewalconstant</t>
  </si>
  <si>
    <t>2023AMP2020Operating ExpenditureAsset replacement and renewalAsset replacement and renewalnominal</t>
  </si>
  <si>
    <t>2023AMP2016Operating ExpenditureAsset replacement and renewalAsset replacement and renewalnominal</t>
  </si>
  <si>
    <t>2023AMP2019Operating ExpenditureAsset replacement and renewalAsset replacement and renewalnominal</t>
  </si>
  <si>
    <t>2023AMP2021Operating ExpenditureAsset replacement and renewalAsset replacement and renewalnominal</t>
  </si>
  <si>
    <t>2023AMP2013Operating ExpenditureAsset replacement and renewalAsset replacement and renewalnominal</t>
  </si>
  <si>
    <t>2023AMP2017Operating ExpenditureAsset replacement and renewalAsset replacement and renewalnominal</t>
  </si>
  <si>
    <t>2023AMP2014Operating ExpenditureAsset replacement and renewalAsset replacement and renewalnominal</t>
  </si>
  <si>
    <t>2023AMP2015Operating ExpenditureAsset replacement and renewalAsset replacement and renewalnominal</t>
  </si>
  <si>
    <t>2023AMP2018Operating ExpenditureAsset replacement and renewalAsset replacement and renewalnominal</t>
  </si>
  <si>
    <t>2023AMP2014Operating ExpenditureBusiness supportBusiness supportconstant</t>
  </si>
  <si>
    <t>2023AMP2021Operating ExpenditureBusiness supportBusiness supportconstant</t>
  </si>
  <si>
    <t>2023AMP2018Operating ExpenditureBusiness supportBusiness supportconstant</t>
  </si>
  <si>
    <t>2023AMP2019Operating ExpenditureBusiness supportBusiness supportconstant</t>
  </si>
  <si>
    <t>2023AMP2020Operating ExpenditureBusiness supportBusiness supportconstant</t>
  </si>
  <si>
    <t>2023AMP2016Operating ExpenditureBusiness supportBusiness supportconstant</t>
  </si>
  <si>
    <t>2023AMP2013Operating ExpenditureBusiness supportBusiness supportconstant</t>
  </si>
  <si>
    <t>2023AMP2017Operating ExpenditureBusiness supportBusiness supportconstant</t>
  </si>
  <si>
    <t>2023AMP2015Operating ExpenditureBusiness supportBusiness supportconstant</t>
  </si>
  <si>
    <t>2023AMP2014Operating ExpenditureBusiness supportBusiness supportnominal</t>
  </si>
  <si>
    <t>2023AMP2018Operating ExpenditureBusiness supportBusiness supportnominal</t>
  </si>
  <si>
    <t>2023AMP2019Operating ExpenditureBusiness supportBusiness supportnominal</t>
  </si>
  <si>
    <t>2023AMP2015Operating ExpenditureBusiness supportBusiness supportnominal</t>
  </si>
  <si>
    <t>2023AMP2017Operating ExpenditureBusiness supportBusiness supportnominal</t>
  </si>
  <si>
    <t>2023AMP2013Operating ExpenditureBusiness supportBusiness supportnominal</t>
  </si>
  <si>
    <t>2023AMP2021Operating ExpenditureBusiness supportBusiness supportnominal</t>
  </si>
  <si>
    <t>2023AMP2020Operating ExpenditureBusiness supportBusiness supportnominal</t>
  </si>
  <si>
    <t>2023AMP2016Operating ExpenditureBusiness supportBusiness supportnominal</t>
  </si>
  <si>
    <t>2023AMP2017Operating ExpenditureExpenditure on subcomponentsInsuranceconstant</t>
  </si>
  <si>
    <t>2023AMP2018Operating ExpenditureExpenditure on subcomponentsInsuranceconstant</t>
  </si>
  <si>
    <t>2023AMP2021Operating ExpenditureExpenditure on subcomponentsInsuranceconstant</t>
  </si>
  <si>
    <t>2023AMP2019Operating ExpenditureExpenditure on subcomponentsInsuranceconstant</t>
  </si>
  <si>
    <t>2023AMP2015Operating ExpenditureExpenditure on subcomponentsInsuranceconstant</t>
  </si>
  <si>
    <t>2023AMP2013Operating ExpenditureExpenditure on subcomponentsInsuranceconstant</t>
  </si>
  <si>
    <t>2023AMP2016Operating ExpenditureExpenditure on subcomponentsInsuranceconstant</t>
  </si>
  <si>
    <t>2023AMP2014Operating ExpenditureExpenditure on subcomponentsInsuranceconstant</t>
  </si>
  <si>
    <t>2023AMP2020Operating ExpenditureExpenditure on subcomponentsInsuranceconstant</t>
  </si>
  <si>
    <t>2023AMP2014Operating ExpenditureExpenditure on subcomponentsResearch and developmentconstant</t>
  </si>
  <si>
    <t>2023AMP2021Operating ExpenditureExpenditure on subcomponentsResearch and developmentconstant</t>
  </si>
  <si>
    <t>2023AMP2015Operating ExpenditureExpenditure on subcomponentsResearch and developmentconstant</t>
  </si>
  <si>
    <t>2023AMP2019Operating ExpenditureExpenditure on subcomponentsResearch and developmentconstant</t>
  </si>
  <si>
    <t>2023AMP2016Operating ExpenditureExpenditure on subcomponentsResearch and developmentconstant</t>
  </si>
  <si>
    <t>2023AMP2018Operating ExpenditureExpenditure on subcomponentsResearch and developmentconstant</t>
  </si>
  <si>
    <t>2023AMP2017Operating ExpenditureExpenditure on subcomponentsResearch and developmentconstant</t>
  </si>
  <si>
    <t>2023AMP2020Operating ExpenditureExpenditure on subcomponentsResearch and developmentconstant</t>
  </si>
  <si>
    <t>2023AMP2013Operating ExpenditureExpenditure on subcomponentsResearch and developmentconstant</t>
  </si>
  <si>
    <t>2023AMP2013Operating ExpenditureNetwork opexNetwork opexconstant</t>
  </si>
  <si>
    <t>2023AMP2014Operating ExpenditureNetwork opexNetwork opexconstant</t>
  </si>
  <si>
    <t>2023AMP2017Operating ExpenditureNetwork opexNetwork opexconstant</t>
  </si>
  <si>
    <t>2023AMP2016Operating ExpenditureNetwork opexNetwork opexconstant</t>
  </si>
  <si>
    <t>2023AMP2015Operating ExpenditureNetwork opexNetwork opexconstant</t>
  </si>
  <si>
    <t>2023AMP2018Operating ExpenditureNetwork opexNetwork opexconstant</t>
  </si>
  <si>
    <t>2023AMP2020Operating ExpenditureNetwork opexNetwork opexconstant</t>
  </si>
  <si>
    <t>2023AMP2021Operating ExpenditureNetwork opexNetwork opexconstant</t>
  </si>
  <si>
    <t>2023AMP2019Operating ExpenditureNetwork opexNetwork opexconstant</t>
  </si>
  <si>
    <t>2023AMP2018Operating ExpenditureNetwork opexNetwork opexnominal</t>
  </si>
  <si>
    <t>2023AMP2017Operating ExpenditureNetwork opexNetwork opexnominal</t>
  </si>
  <si>
    <t>2023AMP2013Operating ExpenditureNetwork opexNetwork opexnominal</t>
  </si>
  <si>
    <t>2023AMP2016Operating ExpenditureNetwork opexNetwork opexnominal</t>
  </si>
  <si>
    <t>2023AMP2015Operating ExpenditureNetwork opexNetwork opexnominal</t>
  </si>
  <si>
    <t>2023AMP2014Operating ExpenditureNetwork opexNetwork opexnominal</t>
  </si>
  <si>
    <t>2023AMP2020Operating ExpenditureNetwork opexNetwork opexnominal</t>
  </si>
  <si>
    <t>2023AMP2019Operating ExpenditureNetwork opexNetwork opexnominal</t>
  </si>
  <si>
    <t>2023AMP2021Operating ExpenditureNetwork opexNetwork opexnominal</t>
  </si>
  <si>
    <t>2023AMP2021Operating ExpenditureNon-network opexNon-network opexconstant</t>
  </si>
  <si>
    <t>2023AMP2017Operating ExpenditureNon-network opexNon-network opexconstant</t>
  </si>
  <si>
    <t>2023AMP2019Operating ExpenditureNon-network opexNon-network opexconstant</t>
  </si>
  <si>
    <t>2023AMP2020Operating ExpenditureNon-network opexNon-network opexconstant</t>
  </si>
  <si>
    <t>2023AMP2018Operating ExpenditureNon-network opexNon-network opexconstant</t>
  </si>
  <si>
    <t>2023AMP2013Operating ExpenditureNon-network opexNon-network opexconstant</t>
  </si>
  <si>
    <t>2023AMP2015Operating ExpenditureNon-network opexNon-network opexconstant</t>
  </si>
  <si>
    <t>2023AMP2014Operating ExpenditureNon-network opexNon-network opexconstant</t>
  </si>
  <si>
    <t>2023AMP2016Operating ExpenditureNon-network opexNon-network opexconstant</t>
  </si>
  <si>
    <t>2023AMP2018Operating ExpenditureNon-network opexNon-network opexnominal</t>
  </si>
  <si>
    <t>2023AMP2016Operating ExpenditureNon-network opexNon-network opexnominal</t>
  </si>
  <si>
    <t>2023AMP2019Operating ExpenditureNon-network opexNon-network opexnominal</t>
  </si>
  <si>
    <t>2023AMP2017Operating ExpenditureNon-network opexNon-network opexnominal</t>
  </si>
  <si>
    <t>2023AMP2014Operating ExpenditureNon-network opexNon-network opexnominal</t>
  </si>
  <si>
    <t>2023AMP2021Operating ExpenditureNon-network opexNon-network opexnominal</t>
  </si>
  <si>
    <t>2023AMP2020Operating ExpenditureNon-network opexNon-network opexnominal</t>
  </si>
  <si>
    <t>2023AMP2013Operating ExpenditureNon-network opexNon-network opexnominal</t>
  </si>
  <si>
    <t>2023AMP2015Operating ExpenditureNon-network opexNon-network opexnominal</t>
  </si>
  <si>
    <t>2023AMP2016Operating ExpenditureResearch and developmentResearch and developmentconstant</t>
  </si>
  <si>
    <t>2023AMP2017Operating ExpenditureResearch and developmentResearch and developmentconstant</t>
  </si>
  <si>
    <t>2023AMP2015Operating ExpenditureResearch and developmentResearch and developmentconstant</t>
  </si>
  <si>
    <t>2023AMP2018Operating ExpenditureResearch and developmentResearch and developmentconstant</t>
  </si>
  <si>
    <t>2023AMP2019Operating ExpenditureResearch and developmentResearch and developmentconstant</t>
  </si>
  <si>
    <t>2023AMP2013Operating ExpenditureResearch and developmentResearch and developmentconstant</t>
  </si>
  <si>
    <t>2023AMP2014Operating ExpenditureResearch and developmentResearch and developmentconstant</t>
  </si>
  <si>
    <t>2023AMP2021Operating ExpenditureResearch and developmentResearch and developmentconstant</t>
  </si>
  <si>
    <t>2023AMP2020Operating ExpenditureResearch and developmentResearch and developmentconstant</t>
  </si>
  <si>
    <t>2023AMP2017Operating ExpenditureRoutine and corrective maintenance and inspectionRoutine and corrective maintenance and inspectionconstant</t>
  </si>
  <si>
    <t>2023AMP2020Operating ExpenditureRoutine and corrective maintenance and inspectionRoutine and corrective maintenance and inspectionconstant</t>
  </si>
  <si>
    <t>2023AMP2018Operating ExpenditureRoutine and corrective maintenance and inspectionRoutine and corrective maintenance and inspectionconstant</t>
  </si>
  <si>
    <t>2023AMP2021Operating ExpenditureRoutine and corrective maintenance and inspectionRoutine and corrective maintenance and inspectionconstant</t>
  </si>
  <si>
    <t>2023AMP2016Operating ExpenditureRoutine and corrective maintenance and inspectionRoutine and corrective maintenance and inspectionconstant</t>
  </si>
  <si>
    <t>2023AMP2019Operating ExpenditureRoutine and corrective maintenance and inspectionRoutine and corrective maintenance and inspectionconstant</t>
  </si>
  <si>
    <t>2023AMP2014Operating ExpenditureRoutine and corrective maintenance and inspectionRoutine and corrective maintenance and inspectionconstant</t>
  </si>
  <si>
    <t>2023AMP2015Operating ExpenditureRoutine and corrective maintenance and inspectionRoutine and corrective maintenance and inspectionconstant</t>
  </si>
  <si>
    <t>2023AMP2013Operating ExpenditureRoutine and corrective maintenance and inspectionRoutine and corrective maintenance and inspectionconstant</t>
  </si>
  <si>
    <t>2023AMP2018Operating ExpenditureRoutine and corrective maintenance and inspectionRoutine and corrective maintenance and inspectionnominal</t>
  </si>
  <si>
    <t>2023AMP2019Operating ExpenditureRoutine and corrective maintenance and inspectionRoutine and corrective maintenance and inspectionnominal</t>
  </si>
  <si>
    <t>2023AMP2017Operating ExpenditureRoutine and corrective maintenance and inspectionRoutine and corrective maintenance and inspectionnominal</t>
  </si>
  <si>
    <t>2023AMP2020Operating ExpenditureRoutine and corrective maintenance and inspectionRoutine and corrective maintenance and inspectionnominal</t>
  </si>
  <si>
    <t>2023AMP2013Operating ExpenditureRoutine and corrective maintenance and inspectionRoutine and corrective maintenance and inspectionnominal</t>
  </si>
  <si>
    <t>2023AMP2015Operating ExpenditureRoutine and corrective maintenance and inspectionRoutine and corrective maintenance and inspectionnominal</t>
  </si>
  <si>
    <t>2023AMP2014Operating ExpenditureRoutine and corrective maintenance and inspectionRoutine and corrective maintenance and inspectionnominal</t>
  </si>
  <si>
    <t>2023AMP2016Operating ExpenditureRoutine and corrective maintenance and inspectionRoutine and corrective maintenance and inspectionnominal</t>
  </si>
  <si>
    <t>2023AMP2021Operating ExpenditureRoutine and corrective maintenance and inspectionRoutine and corrective maintenance and inspectionnominal</t>
  </si>
  <si>
    <t>2023AMP2017Operating ExpenditureService interruptions, incidents and emergenciesService interruptions, incidents and emergenciesconstant</t>
  </si>
  <si>
    <t>2023AMP2020Operating ExpenditureService interruptions, incidents and emergenciesService interruptions, incidents and emergenciesconstant</t>
  </si>
  <si>
    <t>2023AMP2021Operating ExpenditureService interruptions, incidents and emergenciesService interruptions, incidents and emergenciesconstant</t>
  </si>
  <si>
    <t>2023AMP2015Operating ExpenditureService interruptions, incidents and emergenciesService interruptions, incidents and emergenciesconstant</t>
  </si>
  <si>
    <t>2023AMP2019Operating ExpenditureService interruptions, incidents and emergenciesService interruptions, incidents and emergenciesconstant</t>
  </si>
  <si>
    <t>2023AMP2013Operating ExpenditureService interruptions, incidents and emergenciesService interruptions, incidents and emergenciesconstant</t>
  </si>
  <si>
    <t>2023AMP2016Operating ExpenditureService interruptions, incidents and emergenciesService interruptions, incidents and emergenciesconstant</t>
  </si>
  <si>
    <t>2023AMP2014Operating ExpenditureService interruptions, incidents and emergenciesService interruptions, incidents and emergenciesconstant</t>
  </si>
  <si>
    <t>2023AMP2018Operating ExpenditureService interruptions, incidents and emergenciesService interruptions, incidents and emergenciesconstant</t>
  </si>
  <si>
    <t>2023AMP2015Operating ExpenditureService interruptions, incidents and emergenciesService interruptions, incidents and emergenciesnominal</t>
  </si>
  <si>
    <t>2023AMP2017Operating ExpenditureService interruptions, incidents and emergenciesService interruptions, incidents and emergenciesnominal</t>
  </si>
  <si>
    <t>2023AMP2021Operating ExpenditureService interruptions, incidents and emergenciesService interruptions, incidents and emergenciesnominal</t>
  </si>
  <si>
    <t>2023AMP2020Operating ExpenditureService interruptions, incidents and emergenciesService interruptions, incidents and emergenciesnominal</t>
  </si>
  <si>
    <t>2023AMP2019Operating ExpenditureService interruptions, incidents and emergenciesService interruptions, incidents and emergenciesnominal</t>
  </si>
  <si>
    <t>2023AMP2013Operating ExpenditureService interruptions, incidents and emergenciesService interruptions, incidents and emergenciesnominal</t>
  </si>
  <si>
    <t>2023AMP2014Operating ExpenditureService interruptions, incidents and emergenciesService interruptions, incidents and emergenciesnominal</t>
  </si>
  <si>
    <t>2023AMP2016Operating ExpenditureService interruptions, incidents and emergenciesService interruptions, incidents and emergenciesnominal</t>
  </si>
  <si>
    <t>2023AMP2018Operating ExpenditureService interruptions, incidents and emergenciesService interruptions, incidents and emergenciesnominal</t>
  </si>
  <si>
    <t>2023AMP2019Operating ExpenditureSystem operations and network supportSystem operations and network supportconstant</t>
  </si>
  <si>
    <t>2023AMP2017Operating ExpenditureSystem operations and network supportSystem operations and network supportconstant</t>
  </si>
  <si>
    <t>2023AMP2021Operating ExpenditureSystem operations and network supportSystem operations and network supportconstant</t>
  </si>
  <si>
    <t>2023AMP2016Operating ExpenditureSystem operations and network supportSystem operations and network supportconstant</t>
  </si>
  <si>
    <t>2023AMP2015Operating ExpenditureSystem operations and network supportSystem operations and network supportconstant</t>
  </si>
  <si>
    <t>2023AMP2018Operating ExpenditureSystem operations and network supportSystem operations and network supportconstant</t>
  </si>
  <si>
    <t>2023AMP2020Operating ExpenditureSystem operations and network supportSystem operations and network supportconstant</t>
  </si>
  <si>
    <t>2023AMP2013Operating ExpenditureSystem operations and network supportSystem operations and network supportconstant</t>
  </si>
  <si>
    <t>2023AMP2014Operating ExpenditureSystem operations and network supportSystem operations and network supportconstant</t>
  </si>
  <si>
    <t>2023AMP2013Operating ExpenditureSystem operations and network supportSystem operations and network supportnominal</t>
  </si>
  <si>
    <t>2023AMP2017Operating ExpenditureSystem operations and network supportSystem operations and network supportnominal</t>
  </si>
  <si>
    <t>2023AMP2018Operating ExpenditureSystem operations and network supportSystem operations and network supportnominal</t>
  </si>
  <si>
    <t>2023AMP2014Operating ExpenditureSystem operations and network supportSystem operations and network supportnominal</t>
  </si>
  <si>
    <t>2023AMP2019Operating ExpenditureSystem operations and network supportSystem operations and network supportnominal</t>
  </si>
  <si>
    <t>2023AMP2021Operating ExpenditureSystem operations and network supportSystem operations and network supportnominal</t>
  </si>
  <si>
    <t>2023AMP2015Operating ExpenditureSystem operations and network supportSystem operations and network supportnominal</t>
  </si>
  <si>
    <t>2023AMP2020Operating ExpenditureSystem operations and network supportSystem operations and network supportnominal</t>
  </si>
  <si>
    <t>2023AMP2016Operating ExpenditureSystem operations and network supportSystem operations and network supportnominal</t>
  </si>
  <si>
    <t>2023AMP2013Operating ExpenditureTotal opexOperational expenditureconstant</t>
  </si>
  <si>
    <t>2023AMP2017Operating ExpenditureTotal opexOperational expenditureconstant</t>
  </si>
  <si>
    <t>2023AMP2016Operating ExpenditureTotal opexOperational expenditureconstant</t>
  </si>
  <si>
    <t>2023AMP2018Operating ExpenditureTotal opexOperational expenditureconstant</t>
  </si>
  <si>
    <t>2023AMP2014Operating ExpenditureTotal opexOperational expenditureconstant</t>
  </si>
  <si>
    <t>2023AMP2015Operating ExpenditureTotal opexOperational expenditureconstant</t>
  </si>
  <si>
    <t>2023AMP2021Operating ExpenditureTotal opexOperational expenditureconstant</t>
  </si>
  <si>
    <t>2023AMP2019Operating ExpenditureTotal opexOperational expenditureconstant</t>
  </si>
  <si>
    <t>2023AMP2020Operating ExpenditureTotal opexOperational expenditureconstant</t>
  </si>
  <si>
    <t>2023AMP2020Operating ExpenditureTotal opexOperational expenditurenominal</t>
  </si>
  <si>
    <t>2023AMP2018Operating ExpenditureTotal opexOperational expenditurenominal</t>
  </si>
  <si>
    <t>2023AMP2013Operating ExpenditureTotal opexOperational expenditurenominal</t>
  </si>
  <si>
    <t>2023AMP2019Operating ExpenditureTotal opexOperational expenditurenominal</t>
  </si>
  <si>
    <t>2023AMP2021Operating ExpenditureTotal opexOperational expenditurenominal</t>
  </si>
  <si>
    <t>2023AMP2017Operating ExpenditureTotal opexOperational expenditurenominal</t>
  </si>
  <si>
    <t>2023AMP2014Operating ExpenditureTotal opexOperational expenditurenominal</t>
  </si>
  <si>
    <t>2023AMP2015Operating ExpenditureTotal opexOperational expenditurenominal</t>
  </si>
  <si>
    <t>2023AMP2016Operating ExpenditureTotal opexOperational expenditurenominal</t>
  </si>
  <si>
    <t>2024AMP2020Capital ExpenditureAll assetsExpenditure on assetsconstant</t>
  </si>
  <si>
    <t>2024AMP2015Capital ExpenditureAll assetsExpenditure on assetsconstant</t>
  </si>
  <si>
    <t>2024AMP2017Capital ExpenditureAll assetsExpenditure on assetsconstant</t>
  </si>
  <si>
    <t>2024AMP2018Capital ExpenditureAll assetsExpenditure on assetsconstant</t>
  </si>
  <si>
    <t>2024AMP2016Capital ExpenditureAll assetsExpenditure on assetsconstant</t>
  </si>
  <si>
    <t>2024AMP2014Capital ExpenditureAll assetsExpenditure on assetsconstant</t>
  </si>
  <si>
    <t>2024AMP2021Capital ExpenditureAll assetsExpenditure on assetsconstant</t>
  </si>
  <si>
    <t>2024AMP2019Capital ExpenditureAll assetsExpenditure on assetsconstant</t>
  </si>
  <si>
    <t>2024AMP2020Capital ExpenditureAll assetsExpenditure on assetsnominal</t>
  </si>
  <si>
    <t>2024AMP2019Capital ExpenditureAll assetsExpenditure on assetsnominal</t>
  </si>
  <si>
    <t>2024AMP2018Capital ExpenditureAll assetsExpenditure on assetsnominal</t>
  </si>
  <si>
    <t>2024AMP2021Capital ExpenditureAll assetsExpenditure on assetsnominal</t>
  </si>
  <si>
    <t>2024AMP2016Capital ExpenditureAll assetsExpenditure on assetsnominal</t>
  </si>
  <si>
    <t>2024AMP2015Capital ExpenditureAll assetsExpenditure on assetsnominal</t>
  </si>
  <si>
    <t>2024AMP2014Capital ExpenditureAll assetsExpenditure on assetsnominal</t>
  </si>
  <si>
    <t>2024AMP2017Capital ExpenditureAll assetsExpenditure on assetsnominal</t>
  </si>
  <si>
    <t>2024AMP2014Capital ExpenditureAsset relocationsAsset relocationsconstant</t>
  </si>
  <si>
    <t>2024AMP2017Capital ExpenditureAsset relocationsAsset relocationsconstant</t>
  </si>
  <si>
    <t>2024AMP2015Capital ExpenditureAsset relocationsAsset relocationsconstant</t>
  </si>
  <si>
    <t>2024AMP2016Capital ExpenditureAsset relocationsAsset relocationsconstant</t>
  </si>
  <si>
    <t>2024AMP2021Capital ExpenditureAsset relocationsAsset relocationsconstant</t>
  </si>
  <si>
    <t>2024AMP2019Capital ExpenditureAsset relocationsAsset relocationsconstant</t>
  </si>
  <si>
    <t>2024AMP2020Capital ExpenditureAsset relocationsAsset relocationsconstant</t>
  </si>
  <si>
    <t>2024AMP2018Capital ExpenditureAsset relocationsAsset relocationsconstant</t>
  </si>
  <si>
    <t>2024AMP2014Capital ExpenditureAsset relocationsAsset relocationsnominal</t>
  </si>
  <si>
    <t>2024AMP2018Capital ExpenditureAsset relocationsAsset relocationsnominal</t>
  </si>
  <si>
    <t>2024AMP2021Capital ExpenditureAsset relocationsAsset relocationsnominal</t>
  </si>
  <si>
    <t>2024AMP2020Capital ExpenditureAsset relocationsAsset relocationsnominal</t>
  </si>
  <si>
    <t>2024AMP2016Capital ExpenditureAsset relocationsAsset relocationsnominal</t>
  </si>
  <si>
    <t>2024AMP2015Capital ExpenditureAsset relocationsAsset relocationsnominal</t>
  </si>
  <si>
    <t>2024AMP2017Capital ExpenditureAsset relocationsAsset relocationsnominal</t>
  </si>
  <si>
    <t>2024AMP2019Capital ExpenditureAsset relocationsAsset relocationsnominal</t>
  </si>
  <si>
    <t>2024AMP2019Capital ExpenditureAsset replacement and renewalAsset replacement and renewalconstant</t>
  </si>
  <si>
    <t>2024AMP2021Capital ExpenditureAsset replacement and renewalAsset replacement and renewalconstant</t>
  </si>
  <si>
    <t>2024AMP2016Capital ExpenditureAsset replacement and renewalAsset replacement and renewalconstant</t>
  </si>
  <si>
    <t>2024AMP2015Capital ExpenditureAsset replacement and renewalAsset replacement and renewalconstant</t>
  </si>
  <si>
    <t>2024AMP2018Capital ExpenditureAsset replacement and renewalAsset replacement and renewalconstant</t>
  </si>
  <si>
    <t>2024AMP2017Capital ExpenditureAsset replacement and renewalAsset replacement and renewalconstant</t>
  </si>
  <si>
    <t>2024AMP2014Capital ExpenditureAsset replacement and renewalAsset replacement and renewalconstant</t>
  </si>
  <si>
    <t>2024AMP2020Capital ExpenditureAsset replacement and renewalAsset replacement and renewalconstant</t>
  </si>
  <si>
    <t>2024AMP2016Capital ExpenditureAsset replacement and renewalAsset replacement and renewalnominal</t>
  </si>
  <si>
    <t>2024AMP2015Capital ExpenditureAsset replacement and renewalAsset replacement and renewalnominal</t>
  </si>
  <si>
    <t>2024AMP2014Capital ExpenditureAsset replacement and renewalAsset replacement and renewalnominal</t>
  </si>
  <si>
    <t>2024AMP2021Capital ExpenditureAsset replacement and renewalAsset replacement and renewalnominal</t>
  </si>
  <si>
    <t>2024AMP2019Capital ExpenditureAsset replacement and renewalAsset replacement and renewalnominal</t>
  </si>
  <si>
    <t>2024AMP2020Capital ExpenditureAsset replacement and renewalAsset replacement and renewalnominal</t>
  </si>
  <si>
    <t>2024AMP2018Capital ExpenditureAsset replacement and renewalAsset replacement and renewalnominal</t>
  </si>
  <si>
    <t>2024AMP2017Capital ExpenditureAsset replacement and renewalAsset replacement and renewalnominal</t>
  </si>
  <si>
    <t>2024AMP2015Capital ExpenditureAssets commissionedAssets commissionednominal</t>
  </si>
  <si>
    <t>2024AMP2017Capital ExpenditureAssets commissionedAssets commissionednominal</t>
  </si>
  <si>
    <t>2024AMP2021Capital ExpenditureAssets commissionedAssets commissionednominal</t>
  </si>
  <si>
    <t>2024AMP2016Capital ExpenditureAssets commissionedAssets commissionednominal</t>
  </si>
  <si>
    <t>2024AMP2018Capital ExpenditureAssets commissionedAssets commissionednominal</t>
  </si>
  <si>
    <t>2024AMP2019Capital ExpenditureAssets commissionedAssets commissionednominal</t>
  </si>
  <si>
    <t>2024AMP2020Capital ExpenditureAssets commissionedAssets commissionednominal</t>
  </si>
  <si>
    <t>2024AMP2014Capital ExpenditureCapital expenditure forecastCapital expenditure forecastnominal</t>
  </si>
  <si>
    <t>2024AMP2019Capital ExpenditureCapital expenditure forecastCapital expenditure forecastnominal</t>
  </si>
  <si>
    <t>2024AMP2016Capital ExpenditureCapital expenditure forecastCapital expenditure forecastnominal</t>
  </si>
  <si>
    <t>2024AMP2015Capital ExpenditureCapital expenditure forecastCapital expenditure forecastnominal</t>
  </si>
  <si>
    <t>2024AMP2021Capital ExpenditureCapital expenditure forecastCapital expenditure forecastnominal</t>
  </si>
  <si>
    <t>2024AMP2018Capital ExpenditureCapital expenditure forecastCapital expenditure forecastnominal</t>
  </si>
  <si>
    <t>2024AMP2017Capital ExpenditureCapital expenditure forecastCapital expenditure forecastnominal</t>
  </si>
  <si>
    <t>2024AMP2020Capital ExpenditureCapital expenditure forecastCapital expenditure forecastnominal</t>
  </si>
  <si>
    <t>2024AMP2015Capital ExpenditureConsumer connectionConsumer connectionconstant</t>
  </si>
  <si>
    <t>2024AMP2020Capital ExpenditureConsumer connectionConsumer connectionconstant</t>
  </si>
  <si>
    <t>2024AMP2019Capital ExpenditureConsumer connectionConsumer connectionconstant</t>
  </si>
  <si>
    <t>2024AMP2016Capital ExpenditureConsumer connectionConsumer connectionconstant</t>
  </si>
  <si>
    <t>2024AMP2017Capital ExpenditureConsumer connectionConsumer connectionconstant</t>
  </si>
  <si>
    <t>2024AMP2014Capital ExpenditureConsumer connectionConsumer connectionconstant</t>
  </si>
  <si>
    <t>2024AMP2021Capital ExpenditureConsumer connectionConsumer connectionconstant</t>
  </si>
  <si>
    <t>2024AMP2018Capital ExpenditureConsumer connectionConsumer connectionconstant</t>
  </si>
  <si>
    <t>2024AMP2019Capital ExpenditureConsumer connectionConsumer connectionnominal</t>
  </si>
  <si>
    <t>2024AMP2015Capital ExpenditureConsumer connectionConsumer connectionnominal</t>
  </si>
  <si>
    <t>2024AMP2018Capital ExpenditureConsumer connectionConsumer connectionnominal</t>
  </si>
  <si>
    <t>2024AMP2014Capital ExpenditureConsumer connectionConsumer connectionnominal</t>
  </si>
  <si>
    <t>2024AMP2016Capital ExpenditureConsumer connectionConsumer connectionnominal</t>
  </si>
  <si>
    <t>2024AMP2021Capital ExpenditureConsumer connectionConsumer connectionnominal</t>
  </si>
  <si>
    <t>2024AMP2017Capital ExpenditureConsumer connectionConsumer connectionnominal</t>
  </si>
  <si>
    <t>2024AMP2020Capital ExpenditureConsumer connectionConsumer connectionnominal</t>
  </si>
  <si>
    <t>2024AMP2021Capital ExpenditureCost of financingCost of financingnominal</t>
  </si>
  <si>
    <t>2024AMP2015Capital ExpenditureCost of financingCost of financingnominal</t>
  </si>
  <si>
    <t>2024AMP2014Capital ExpenditureCost of financingCost of financingnominal</t>
  </si>
  <si>
    <t>2024AMP2020Capital ExpenditureCost of financingCost of financingnominal</t>
  </si>
  <si>
    <t>2024AMP2017Capital ExpenditureCost of financingCost of financingnominal</t>
  </si>
  <si>
    <t>2024AMP2018Capital ExpenditureCost of financingCost of financingnominal</t>
  </si>
  <si>
    <t>2024AMP2019Capital ExpenditureCost of financingCost of financingnominal</t>
  </si>
  <si>
    <t>2024AMP2016Capital ExpenditureCost of financingCost of financingnominal</t>
  </si>
  <si>
    <t>2024AMP2016Capital ExpenditureExpenditure on subcomponentsResearch and developmentconstant</t>
  </si>
  <si>
    <t>2024AMP2015Capital ExpenditureExpenditure on subcomponentsResearch and developmentconstant</t>
  </si>
  <si>
    <t>2024AMP2018Capital ExpenditureExpenditure on subcomponentsResearch and developmentconstant</t>
  </si>
  <si>
    <t>2024AMP2021Capital ExpenditureExpenditure on subcomponentsResearch and developmentconstant</t>
  </si>
  <si>
    <t>2024AMP2014Capital ExpenditureExpenditure on subcomponentsResearch and developmentconstant</t>
  </si>
  <si>
    <t>2024AMP2019Capital ExpenditureExpenditure on subcomponentsResearch and developmentconstant</t>
  </si>
  <si>
    <t>2024AMP2017Capital ExpenditureExpenditure on subcomponentsResearch and developmentconstant</t>
  </si>
  <si>
    <t>2024AMP2020Capital ExpenditureExpenditure on subcomponentsResearch and developmentconstant</t>
  </si>
  <si>
    <t>2024AMP2017Capital ExpenditureNetwork assetsExpenditure on network assetsconstant</t>
  </si>
  <si>
    <t>2024AMP2019Capital ExpenditureNetwork assetsExpenditure on network assetsconstant</t>
  </si>
  <si>
    <t>2024AMP2016Capital ExpenditureNetwork assetsExpenditure on network assetsconstant</t>
  </si>
  <si>
    <t>2024AMP2021Capital ExpenditureNetwork assetsExpenditure on network assetsconstant</t>
  </si>
  <si>
    <t>2024AMP2015Capital ExpenditureNetwork assetsExpenditure on network assetsconstant</t>
  </si>
  <si>
    <t>2024AMP2018Capital ExpenditureNetwork assetsExpenditure on network assetsconstant</t>
  </si>
  <si>
    <t>2024AMP2014Capital ExpenditureNetwork assetsExpenditure on network assetsconstant</t>
  </si>
  <si>
    <t>2024AMP2020Capital ExpenditureNetwork assetsExpenditure on network assetsconstant</t>
  </si>
  <si>
    <t>2024AMP2017Capital ExpenditureNetwork assetsExpenditure on network assetsnominal</t>
  </si>
  <si>
    <t>2024AMP2016Capital ExpenditureNetwork assetsExpenditure on network assetsnominal</t>
  </si>
  <si>
    <t>2024AMP2018Capital ExpenditureNetwork assetsExpenditure on network assetsnominal</t>
  </si>
  <si>
    <t>2024AMP2019Capital ExpenditureNetwork assetsExpenditure on network assetsnominal</t>
  </si>
  <si>
    <t>2024AMP2014Capital ExpenditureNetwork assetsExpenditure on network assetsnominal</t>
  </si>
  <si>
    <t>2024AMP2021Capital ExpenditureNetwork assetsExpenditure on network assetsnominal</t>
  </si>
  <si>
    <t>2024AMP2015Capital ExpenditureNetwork assetsExpenditure on network assetsnominal</t>
  </si>
  <si>
    <t>2024AMP2020Capital ExpenditureNetwork assetsExpenditure on network assetsnominal</t>
  </si>
  <si>
    <t>2024AMP2018Capital ExpenditureNon-network assetsNon-network assetsconstant</t>
  </si>
  <si>
    <t>2024AMP2021Capital ExpenditureNon-network assetsNon-network assetsconstant</t>
  </si>
  <si>
    <t>2024AMP2014Capital ExpenditureNon-network assetsNon-network assetsconstant</t>
  </si>
  <si>
    <t>2024AMP2017Capital ExpenditureNon-network assetsNon-network assetsconstant</t>
  </si>
  <si>
    <t>2024AMP2015Capital ExpenditureNon-network assetsNon-network assetsconstant</t>
  </si>
  <si>
    <t>2024AMP2016Capital ExpenditureNon-network assetsNon-network assetsconstant</t>
  </si>
  <si>
    <t>2024AMP2019Capital ExpenditureNon-network assetsNon-network assetsconstant</t>
  </si>
  <si>
    <t>2024AMP2020Capital ExpenditureNon-network assetsNon-network assetsconstant</t>
  </si>
  <si>
    <t>2024AMP2014Capital ExpenditureNon-network assetsNon-network assetsnominal</t>
  </si>
  <si>
    <t>2024AMP2018Capital ExpenditureNon-network assetsNon-network assetsnominal</t>
  </si>
  <si>
    <t>2024AMP2017Capital ExpenditureNon-network assetsNon-network assetsnominal</t>
  </si>
  <si>
    <t>2024AMP2019Capital ExpenditureNon-network assetsNon-network assetsnominal</t>
  </si>
  <si>
    <t>2024AMP2020Capital ExpenditureNon-network assetsNon-network assetsnominal</t>
  </si>
  <si>
    <t>2024AMP2021Capital ExpenditureNon-network assetsNon-network assetsnominal</t>
  </si>
  <si>
    <t>2024AMP2016Capital ExpenditureNon-network assetsNon-network assetsnominal</t>
  </si>
  <si>
    <t>2024AMP2015Capital ExpenditureNon-network assetsNon-network assetsnominal</t>
  </si>
  <si>
    <t>2024AMP2019Capital ExpenditureReliability, safety and environmentLegislative and regulatoryconstant</t>
  </si>
  <si>
    <t>2024AMP2021Capital ExpenditureReliability, safety and environmentLegislative and regulatoryconstant</t>
  </si>
  <si>
    <t>2024AMP2020Capital ExpenditureReliability, safety and environmentLegislative and regulatoryconstant</t>
  </si>
  <si>
    <t>2024AMP2014Capital ExpenditureReliability, safety and environmentLegislative and regulatoryconstant</t>
  </si>
  <si>
    <t>2024AMP2017Capital ExpenditureReliability, safety and environmentLegislative and regulatoryconstant</t>
  </si>
  <si>
    <t>2024AMP2015Capital ExpenditureReliability, safety and environmentLegislative and regulatoryconstant</t>
  </si>
  <si>
    <t>2024AMP2016Capital ExpenditureReliability, safety and environmentLegislative and regulatoryconstant</t>
  </si>
  <si>
    <t>2024AMP2018Capital ExpenditureReliability, safety and environmentLegislative and regulatoryconstant</t>
  </si>
  <si>
    <t>2024AMP2014Capital ExpenditureReliability, safety and environmentLegislative and regulatorynominal</t>
  </si>
  <si>
    <t>2024AMP2018Capital ExpenditureReliability, safety and environmentLegislative and regulatorynominal</t>
  </si>
  <si>
    <t>2024AMP2020Capital ExpenditureReliability, safety and environmentLegislative and regulatorynominal</t>
  </si>
  <si>
    <t>2024AMP2021Capital ExpenditureReliability, safety and environmentLegislative and regulatorynominal</t>
  </si>
  <si>
    <t>2024AMP2017Capital ExpenditureReliability, safety and environmentLegislative and regulatorynominal</t>
  </si>
  <si>
    <t>2024AMP2016Capital ExpenditureReliability, safety and environmentLegislative and regulatorynominal</t>
  </si>
  <si>
    <t>2024AMP2019Capital ExpenditureReliability, safety and environmentLegislative and regulatorynominal</t>
  </si>
  <si>
    <t>2024AMP2015Capital ExpenditureReliability, safety and environmentLegislative and regulatorynominal</t>
  </si>
  <si>
    <t>2024AMP2020Capital ExpenditureReliability, safety and environmentOther reliability, safety and environmentconstant</t>
  </si>
  <si>
    <t>2024AMP2015Capital ExpenditureReliability, safety and environmentOther reliability, safety and environmentconstant</t>
  </si>
  <si>
    <t>2024AMP2021Capital ExpenditureReliability, safety and environmentOther reliability, safety and environmentconstant</t>
  </si>
  <si>
    <t>2024AMP2016Capital ExpenditureReliability, safety and environmentOther reliability, safety and environmentconstant</t>
  </si>
  <si>
    <t>2024AMP2017Capital ExpenditureReliability, safety and environmentOther reliability, safety and environmentconstant</t>
  </si>
  <si>
    <t>2024AMP2019Capital ExpenditureReliability, safety and environmentOther reliability, safety and environmentconstant</t>
  </si>
  <si>
    <t>2024AMP2014Capital ExpenditureReliability, safety and environmentOther reliability, safety and environmentconstant</t>
  </si>
  <si>
    <t>2024AMP2018Capital ExpenditureReliability, safety and environmentOther reliability, safety and environmentconstant</t>
  </si>
  <si>
    <t>2024AMP2016Capital ExpenditureReliability, safety and environmentOther reliability, safety and environmentnominal</t>
  </si>
  <si>
    <t>2024AMP2020Capital ExpenditureReliability, safety and environmentOther reliability, safety and environmentnominal</t>
  </si>
  <si>
    <t>2024AMP2018Capital ExpenditureReliability, safety and environmentOther reliability, safety and environmentnominal</t>
  </si>
  <si>
    <t>2024AMP2017Capital ExpenditureReliability, safety and environmentOther reliability, safety and environmentnominal</t>
  </si>
  <si>
    <t>2024AMP2019Capital ExpenditureReliability, safety and environmentOther reliability, safety and environmentnominal</t>
  </si>
  <si>
    <t>2024AMP2021Capital ExpenditureReliability, safety and environmentOther reliability, safety and environmentnominal</t>
  </si>
  <si>
    <t>2024AMP2014Capital ExpenditureReliability, safety and environmentOther reliability, safety and environmentnominal</t>
  </si>
  <si>
    <t>2024AMP2015Capital ExpenditureReliability, safety and environmentOther reliability, safety and environmentnominal</t>
  </si>
  <si>
    <t>2024AMP2021Capital ExpenditureReliability, safety and environmentQuality of supplyconstant</t>
  </si>
  <si>
    <t>2024AMP2019Capital ExpenditureReliability, safety and environmentQuality of supplyconstant</t>
  </si>
  <si>
    <t>2024AMP2018Capital ExpenditureReliability, safety and environmentQuality of supplyconstant</t>
  </si>
  <si>
    <t>2024AMP2020Capital ExpenditureReliability, safety and environmentQuality of supplyconstant</t>
  </si>
  <si>
    <t>2024AMP2015Capital ExpenditureReliability, safety and environmentQuality of supplyconstant</t>
  </si>
  <si>
    <t>2024AMP2014Capital ExpenditureReliability, safety and environmentQuality of supplyconstant</t>
  </si>
  <si>
    <t>2024AMP2017Capital ExpenditureReliability, safety and environmentQuality of supplyconstant</t>
  </si>
  <si>
    <t>2024AMP2016Capital ExpenditureReliability, safety and environmentQuality of supplyconstant</t>
  </si>
  <si>
    <t>2024AMP2019Capital ExpenditureReliability, safety and environmentQuality of supplynominal</t>
  </si>
  <si>
    <t>2024AMP2016Capital ExpenditureReliability, safety and environmentQuality of supplynominal</t>
  </si>
  <si>
    <t>2024AMP2014Capital ExpenditureReliability, safety and environmentQuality of supplynominal</t>
  </si>
  <si>
    <t>2024AMP2020Capital ExpenditureReliability, safety and environmentQuality of supplynominal</t>
  </si>
  <si>
    <t>2024AMP2021Capital ExpenditureReliability, safety and environmentQuality of supplynominal</t>
  </si>
  <si>
    <t>2024AMP2018Capital ExpenditureReliability, safety and environmentQuality of supplynominal</t>
  </si>
  <si>
    <t>2024AMP2017Capital ExpenditureReliability, safety and environmentQuality of supplynominal</t>
  </si>
  <si>
    <t>2024AMP2015Capital ExpenditureReliability, safety and environmentQuality of supplynominal</t>
  </si>
  <si>
    <t>2024AMP2017Capital ExpenditureReliability, safety and environmentTotal reliability, safety and environmentconstant</t>
  </si>
  <si>
    <t>2024AMP2016Capital ExpenditureReliability, safety and environmentTotal reliability, safety and environmentconstant</t>
  </si>
  <si>
    <t>2024AMP2015Capital ExpenditureReliability, safety and environmentTotal reliability, safety and environmentconstant</t>
  </si>
  <si>
    <t>2024AMP2019Capital ExpenditureReliability, safety and environmentTotal reliability, safety and environmentconstant</t>
  </si>
  <si>
    <t>2024AMP2018Capital ExpenditureReliability, safety and environmentTotal reliability, safety and environmentconstant</t>
  </si>
  <si>
    <t>2024AMP2020Capital ExpenditureReliability, safety and environmentTotal reliability, safety and environmentconstant</t>
  </si>
  <si>
    <t>2024AMP2021Capital ExpenditureReliability, safety and environmentTotal reliability, safety and environmentconstant</t>
  </si>
  <si>
    <t>2024AMP2014Capital ExpenditureReliability, safety and environmentTotal reliability, safety and environmentconstant</t>
  </si>
  <si>
    <t>2024AMP2015Capital ExpenditureReliability, safety and environmentTotal reliability, safety and environmentnominal</t>
  </si>
  <si>
    <t>2024AMP2014Capital ExpenditureReliability, safety and environmentTotal reliability, safety and environmentnominal</t>
  </si>
  <si>
    <t>2024AMP2017Capital ExpenditureReliability, safety and environmentTotal reliability, safety and environmentnominal</t>
  </si>
  <si>
    <t>2024AMP2020Capital ExpenditureReliability, safety and environmentTotal reliability, safety and environmentnominal</t>
  </si>
  <si>
    <t>2024AMP2018Capital ExpenditureReliability, safety and environmentTotal reliability, safety and environmentnominal</t>
  </si>
  <si>
    <t>2024AMP2016Capital ExpenditureReliability, safety and environmentTotal reliability, safety and environmentnominal</t>
  </si>
  <si>
    <t>2024AMP2019Capital ExpenditureReliability, safety and environmentTotal reliability, safety and environmentnominal</t>
  </si>
  <si>
    <t>2024AMP2021Capital ExpenditureReliability, safety and environmentTotal reliability, safety and environmentnominal</t>
  </si>
  <si>
    <t>2024AMP2018Capital ExpenditureSystem growthSystem growthconstant</t>
  </si>
  <si>
    <t>2024AMP2014Capital ExpenditureSystem growthSystem growthconstant</t>
  </si>
  <si>
    <t>2024AMP2016Capital ExpenditureSystem growthSystem growthconstant</t>
  </si>
  <si>
    <t>2024AMP2019Capital ExpenditureSystem growthSystem growthconstant</t>
  </si>
  <si>
    <t>2024AMP2021Capital ExpenditureSystem growthSystem growthconstant</t>
  </si>
  <si>
    <t>2024AMP2017Capital ExpenditureSystem growthSystem growthconstant</t>
  </si>
  <si>
    <t>2024AMP2020Capital ExpenditureSystem growthSystem growthconstant</t>
  </si>
  <si>
    <t>2024AMP2015Capital ExpenditureSystem growthSystem growthconstant</t>
  </si>
  <si>
    <t>2024AMP2016Capital ExpenditureSystem growthSystem growthnominal</t>
  </si>
  <si>
    <t>2024AMP2019Capital ExpenditureSystem growthSystem growthnominal</t>
  </si>
  <si>
    <t>2024AMP2017Capital ExpenditureSystem growthSystem growthnominal</t>
  </si>
  <si>
    <t>2024AMP2015Capital ExpenditureSystem growthSystem growthnominal</t>
  </si>
  <si>
    <t>2024AMP2021Capital ExpenditureSystem growthSystem growthnominal</t>
  </si>
  <si>
    <t>2024AMP2020Capital ExpenditureSystem growthSystem growthnominal</t>
  </si>
  <si>
    <t>2024AMP2018Capital ExpenditureSystem growthSystem growthnominal</t>
  </si>
  <si>
    <t>2024AMP2014Capital ExpenditureSystem growthSystem growthnominal</t>
  </si>
  <si>
    <t>2024AMP2015Capital ExpenditureValue of capital contributionsValue of capital contributionsnominal</t>
  </si>
  <si>
    <t>2024AMP2014Capital ExpenditureValue of capital contributionsValue of capital contributionsnominal</t>
  </si>
  <si>
    <t>2024AMP2019Capital ExpenditureValue of capital contributionsValue of capital contributionsnominal</t>
  </si>
  <si>
    <t>2024AMP2018Capital ExpenditureValue of capital contributionsValue of capital contributionsnominal</t>
  </si>
  <si>
    <t>2024AMP2020Capital ExpenditureValue of capital contributionsValue of capital contributionsnominal</t>
  </si>
  <si>
    <t>2024AMP2021Capital ExpenditureValue of capital contributionsValue of capital contributionsnominal</t>
  </si>
  <si>
    <t>2024AMP2016Capital ExpenditureValue of capital contributionsValue of capital contributionsnominal</t>
  </si>
  <si>
    <t>2024AMP2017Capital ExpenditureValue of capital contributionsValue of capital contributionsnominal</t>
  </si>
  <si>
    <t>2024AMP2017Capital ExpenditureValue of commissioned assetsValue of commissioned assetsnominal</t>
  </si>
  <si>
    <t>2024AMP2014Capital ExpenditureValue of commissioned assetsValue of commissioned assetsnominal</t>
  </si>
  <si>
    <t>2024AMP2020Capital ExpenditureValue of vested assetsValue of vested assetsnominal</t>
  </si>
  <si>
    <t>2024AMP2016Capital ExpenditureValue of vested assetsValue of vested assetsnominal</t>
  </si>
  <si>
    <t>2024AMP2021Capital ExpenditureValue of vested assetsValue of vested assetsnominal</t>
  </si>
  <si>
    <t>2024AMP2015Capital ExpenditureValue of vested assetsValue of vested assetsnominal</t>
  </si>
  <si>
    <t>2024AMP2017Capital ExpenditureValue of vested assetsValue of vested assetsnominal</t>
  </si>
  <si>
    <t>2024AMP2018Capital ExpenditureValue of vested assetsValue of vested assetsnominal</t>
  </si>
  <si>
    <t>2024AMP2014Capital ExpenditureValue of vested assetsValue of vested assetsnominal</t>
  </si>
  <si>
    <t>2024AMP2019Capital ExpenditureValue of vested assetsValue of vested assetsnominal</t>
  </si>
  <si>
    <t>2024AMP2020Capital ExpenditureAsset replacement and renewalAsset replacement and renewal expenditure - Asset replacement and renewal expenditureconstant</t>
  </si>
  <si>
    <t>2024AMP2019Capital ExpenditureAsset replacement and renewalAsset replacement and renewal expenditure - Asset replacement and renewal expenditureconstant</t>
  </si>
  <si>
    <t>2024AMP2021Capital ExpenditureAsset replacement and renewalAsset replacement and renewal expenditure - Asset replacement and renewal expenditureconstant</t>
  </si>
  <si>
    <t>2024AMP2020Capital ExpenditureAsset replacement and renewalAsset replacement and renewal expenditure - Capital contributions funding asset replacement and renewalconstant</t>
  </si>
  <si>
    <t>2024AMP2021Capital ExpenditureAsset replacement and renewalAsset replacement and renewal expenditure - Capital contributions funding asset replacement and renewalconstant</t>
  </si>
  <si>
    <t>2024AMP2019Capital ExpenditureAsset replacement and renewalAsset replacement and renewal expenditure - Capital contributions funding asset replacement and renewalconstant</t>
  </si>
  <si>
    <t>2024AMP2021Capital ExpenditureAsset replacement and renewalAsset replacement and renewal less capital contributions - Asset replacement and renewal less capital contributionsconstant</t>
  </si>
  <si>
    <t>2024AMP2020Capital ExpenditureAsset replacement and renewalAsset replacement and renewal less capital contributions - Asset replacement and renewal less capital contributionsconstant</t>
  </si>
  <si>
    <t>2024AMP2019Capital ExpenditureAsset replacement and renewalAsset replacement and renewal less capital contributions - Asset replacement and renewal less capital contributionsconstant</t>
  </si>
  <si>
    <t>2024AMP2020Capital ExpenditureAsset replacement and renewalIntermediate pressure - Intermediate Pressure totalconstant</t>
  </si>
  <si>
    <t>2024AMP2021Capital ExpenditureAsset replacement and renewalIntermediate pressure - Intermediate Pressure totalconstant</t>
  </si>
  <si>
    <t>2024AMP2019Capital ExpenditureAsset replacement and renewalIntermediate pressure - Intermediate Pressure totalconstant</t>
  </si>
  <si>
    <t>2024AMP2021Capital ExpenditureAsset replacement and renewalIntermediate pressure - Line valveconstant</t>
  </si>
  <si>
    <t>2024AMP2019Capital ExpenditureAsset replacement and renewalIntermediate pressure - Line valveconstant</t>
  </si>
  <si>
    <t>2024AMP2020Capital ExpenditureAsset replacement and renewalIntermediate pressure - Line valveconstant</t>
  </si>
  <si>
    <t>2024AMP2021Capital ExpenditureAsset replacement and renewalIntermediate pressure - Main pipeconstant</t>
  </si>
  <si>
    <t>2024AMP2020Capital ExpenditureAsset replacement and renewalIntermediate pressure - Main pipeconstant</t>
  </si>
  <si>
    <t>2024AMP2019Capital ExpenditureAsset replacement and renewalIntermediate pressure - Main pipeconstant</t>
  </si>
  <si>
    <t>2024AMP2019Capital ExpenditureAsset replacement and renewalIntermediate pressure - Service pipeconstant</t>
  </si>
  <si>
    <t>2024AMP2021Capital ExpenditureAsset replacement and renewalIntermediate pressure - Service pipeconstant</t>
  </si>
  <si>
    <t>2024AMP2020Capital ExpenditureAsset replacement and renewalIntermediate pressure - Service pipeconstant</t>
  </si>
  <si>
    <t>2024AMP2021Capital ExpenditureAsset replacement and renewalIntermediate pressure - Special crossingsconstant</t>
  </si>
  <si>
    <t>2024AMP2019Capital ExpenditureAsset replacement and renewalIntermediate pressure - Special crossingsconstant</t>
  </si>
  <si>
    <t>2024AMP2020Capital ExpenditureAsset replacement and renewalIntermediate pressure - Special crossingsconstant</t>
  </si>
  <si>
    <t>2024AMP2021Capital ExpenditureAsset replacement and renewalIntermediate pressure - Stationsconstant</t>
  </si>
  <si>
    <t>2024AMP2019Capital ExpenditureAsset replacement and renewalIntermediate pressure - Stationsconstant</t>
  </si>
  <si>
    <t>2024AMP2020Capital ExpenditureAsset replacement and renewalIntermediate pressure - Stationsconstant</t>
  </si>
  <si>
    <t>2024AMP2020Capital ExpenditureAsset replacement and renewalLow Pressure - Line valveconstant</t>
  </si>
  <si>
    <t>2024AMP2021Capital ExpenditureAsset replacement and renewalLow Pressure - Line valveconstant</t>
  </si>
  <si>
    <t>2024AMP2019Capital ExpenditureAsset replacement and renewalLow Pressure - Line valveconstant</t>
  </si>
  <si>
    <t>2024AMP2020Capital ExpenditureAsset replacement and renewalLow Pressure - Low Pressure totalconstant</t>
  </si>
  <si>
    <t>2024AMP2019Capital ExpenditureAsset replacement and renewalLow Pressure - Low Pressure totalconstant</t>
  </si>
  <si>
    <t>2024AMP2021Capital ExpenditureAsset replacement and renewalLow Pressure - Low Pressure totalconstant</t>
  </si>
  <si>
    <t>2024AMP2019Capital ExpenditureAsset replacement and renewalLow Pressure - Main pipeconstant</t>
  </si>
  <si>
    <t>2024AMP2021Capital ExpenditureAsset replacement and renewalLow Pressure - Main pipeconstant</t>
  </si>
  <si>
    <t>2024AMP2020Capital ExpenditureAsset replacement and renewalLow Pressure - Main pipeconstant</t>
  </si>
  <si>
    <t>2024AMP2021Capital ExpenditureAsset replacement and renewalLow Pressure - Service pipeconstant</t>
  </si>
  <si>
    <t>2024AMP2020Capital ExpenditureAsset replacement and renewalLow Pressure - Service pipeconstant</t>
  </si>
  <si>
    <t>2024AMP2019Capital ExpenditureAsset replacement and renewalLow Pressure - Service pipeconstant</t>
  </si>
  <si>
    <t>2024AMP2020Capital ExpenditureAsset replacement and renewalLow Pressure - Special crossingsconstant</t>
  </si>
  <si>
    <t>2024AMP2019Capital ExpenditureAsset replacement and renewalLow Pressure - Special crossingsconstant</t>
  </si>
  <si>
    <t>2024AMP2021Capital ExpenditureAsset replacement and renewalLow Pressure - Special crossingsconstant</t>
  </si>
  <si>
    <t>2024AMP2021Capital ExpenditureAsset replacement and renewalMedium pressure - Line valveconstant</t>
  </si>
  <si>
    <t>2024AMP2019Capital ExpenditureAsset replacement and renewalMedium pressure - Line valveconstant</t>
  </si>
  <si>
    <t>2024AMP2020Capital ExpenditureAsset replacement and renewalMedium pressure - Line valveconstant</t>
  </si>
  <si>
    <t>2024AMP2019Capital ExpenditureAsset replacement and renewalMedium pressure - Main pipeconstant</t>
  </si>
  <si>
    <t>2024AMP2020Capital ExpenditureAsset replacement and renewalMedium pressure - Main pipeconstant</t>
  </si>
  <si>
    <t>2024AMP2021Capital ExpenditureAsset replacement and renewalMedium pressure - Main pipeconstant</t>
  </si>
  <si>
    <t>2024AMP2020Capital ExpenditureAsset replacement and renewalMedium pressure - Medium Pressure totalconstant</t>
  </si>
  <si>
    <t>2024AMP2019Capital ExpenditureAsset replacement and renewalMedium pressure - Medium Pressure totalconstant</t>
  </si>
  <si>
    <t>2024AMP2021Capital ExpenditureAsset replacement and renewalMedium pressure - Medium Pressure totalconstant</t>
  </si>
  <si>
    <t>2024AMP2021Capital ExpenditureAsset replacement and renewalMedium pressure - Service pipeconstant</t>
  </si>
  <si>
    <t>2024AMP2019Capital ExpenditureAsset replacement and renewalMedium pressure - Service pipeconstant</t>
  </si>
  <si>
    <t>2024AMP2020Capital ExpenditureAsset replacement and renewalMedium pressure - Service pipeconstant</t>
  </si>
  <si>
    <t>2024AMP2021Capital ExpenditureAsset replacement and renewalMedium pressure - Special crossingsconstant</t>
  </si>
  <si>
    <t>2024AMP2019Capital ExpenditureAsset replacement and renewalMedium pressure - Special crossingsconstant</t>
  </si>
  <si>
    <t>2024AMP2020Capital ExpenditureAsset replacement and renewalMedium pressure - Special crossingsconstant</t>
  </si>
  <si>
    <t>2024AMP2020Capital ExpenditureAsset replacement and renewalMedium pressure - Stationconstant</t>
  </si>
  <si>
    <t>2024AMP2021Capital ExpenditureAsset replacement and renewalMedium pressure - Stationconstant</t>
  </si>
  <si>
    <t>2024AMP2019Capital ExpenditureAsset replacement and renewalMedium pressure - Stationconstant</t>
  </si>
  <si>
    <t>2024AMP2019Capital ExpenditureAsset replacement and renewalOther network assets - Cathodic protection systemsconstant</t>
  </si>
  <si>
    <t>2024AMP2021Capital ExpenditureAsset replacement and renewalOther network assets - Cathodic protection systemsconstant</t>
  </si>
  <si>
    <t>2024AMP2020Capital ExpenditureAsset replacement and renewalOther network assets - Cathodic protection systemsconstant</t>
  </si>
  <si>
    <t>2024AMP2021Capital ExpenditureAsset replacement and renewalOther network assets - Monitoring and control systemsconstant</t>
  </si>
  <si>
    <t>2024AMP2020Capital ExpenditureAsset replacement and renewalOther network assets - Monitoring and control systemsconstant</t>
  </si>
  <si>
    <t>2024AMP2019Capital ExpenditureAsset replacement and renewalOther network assets - Monitoring and control systemsconstant</t>
  </si>
  <si>
    <t>2024AMP2020Capital ExpenditureAsset replacement and renewalOther network assets - Other assets (other than above)constant</t>
  </si>
  <si>
    <t>2024AMP2021Capital ExpenditureAsset replacement and renewalOther network assets - Other assets (other than above)constant</t>
  </si>
  <si>
    <t>2024AMP2019Capital ExpenditureAsset replacement and renewalOther network assets - Other assets (other than above)constant</t>
  </si>
  <si>
    <t>2024AMP2020Capital ExpenditureAsset replacement and renewalOther network assets - Other network assets totalconstant</t>
  </si>
  <si>
    <t>2024AMP2019Capital ExpenditureAsset replacement and renewalOther network assets - Other network assets totalconstant</t>
  </si>
  <si>
    <t>2024AMP2021Capital ExpenditureAsset replacement and renewalOther network assets - Other network assets totalconstant</t>
  </si>
  <si>
    <t>2024AMP2019Operating ExpenditureAsset replacement and renewalAsset replacement and renewalconstant</t>
  </si>
  <si>
    <t>2024AMP2015Operating ExpenditureAsset replacement and renewalAsset replacement and renewalconstant</t>
  </si>
  <si>
    <t>2024AMP2017Operating ExpenditureAsset replacement and renewalAsset replacement and renewalconstant</t>
  </si>
  <si>
    <t>2024AMP2021Operating ExpenditureAsset replacement and renewalAsset replacement and renewalconstant</t>
  </si>
  <si>
    <t>2024AMP2014Operating ExpenditureAsset replacement and renewalAsset replacement and renewalconstant</t>
  </si>
  <si>
    <t>2024AMP2016Operating ExpenditureAsset replacement and renewalAsset replacement and renewalconstant</t>
  </si>
  <si>
    <t>2024AMP2018Operating ExpenditureAsset replacement and renewalAsset replacement and renewalconstant</t>
  </si>
  <si>
    <t>2024AMP2020Operating ExpenditureAsset replacement and renewalAsset replacement and renewalconstant</t>
  </si>
  <si>
    <t>2024AMP2019Operating ExpenditureAsset replacement and renewalAsset replacement and renewalnominal</t>
  </si>
  <si>
    <t>2024AMP2016Operating ExpenditureAsset replacement and renewalAsset replacement and renewalnominal</t>
  </si>
  <si>
    <t>2024AMP2018Operating ExpenditureAsset replacement and renewalAsset replacement and renewalnominal</t>
  </si>
  <si>
    <t>2024AMP2020Operating ExpenditureAsset replacement and renewalAsset replacement and renewalnominal</t>
  </si>
  <si>
    <t>2024AMP2021Operating ExpenditureAsset replacement and renewalAsset replacement and renewalnominal</t>
  </si>
  <si>
    <t>2024AMP2014Operating ExpenditureAsset replacement and renewalAsset replacement and renewalnominal</t>
  </si>
  <si>
    <t>2024AMP2017Operating ExpenditureAsset replacement and renewalAsset replacement and renewalnominal</t>
  </si>
  <si>
    <t>2024AMP2015Operating ExpenditureAsset replacement and renewalAsset replacement and renewalnominal</t>
  </si>
  <si>
    <t>2024AMP2016Operating ExpenditureBusiness supportBusiness supportconstant</t>
  </si>
  <si>
    <t>2024AMP2017Operating ExpenditureBusiness supportBusiness supportconstant</t>
  </si>
  <si>
    <t>2024AMP2020Operating ExpenditureBusiness supportBusiness supportconstant</t>
  </si>
  <si>
    <t>2024AMP2018Operating ExpenditureBusiness supportBusiness supportconstant</t>
  </si>
  <si>
    <t>2024AMP2021Operating ExpenditureBusiness supportBusiness supportconstant</t>
  </si>
  <si>
    <t>2024AMP2019Operating ExpenditureBusiness supportBusiness supportconstant</t>
  </si>
  <si>
    <t>2024AMP2015Operating ExpenditureBusiness supportBusiness supportconstant</t>
  </si>
  <si>
    <t>2024AMP2014Operating ExpenditureBusiness supportBusiness supportconstant</t>
  </si>
  <si>
    <t>2024AMP2019Operating ExpenditureBusiness supportBusiness supportnominal</t>
  </si>
  <si>
    <t>2024AMP2016Operating ExpenditureBusiness supportBusiness supportnominal</t>
  </si>
  <si>
    <t>2024AMP2020Operating ExpenditureBusiness supportBusiness supportnominal</t>
  </si>
  <si>
    <t>2024AMP2017Operating ExpenditureBusiness supportBusiness supportnominal</t>
  </si>
  <si>
    <t>2024AMP2015Operating ExpenditureBusiness supportBusiness supportnominal</t>
  </si>
  <si>
    <t>2024AMP2018Operating ExpenditureBusiness supportBusiness supportnominal</t>
  </si>
  <si>
    <t>2024AMP2021Operating ExpenditureBusiness supportBusiness supportnominal</t>
  </si>
  <si>
    <t>2024AMP2014Operating ExpenditureBusiness supportBusiness supportnominal</t>
  </si>
  <si>
    <t>2024AMP2015Operating ExpenditureExpenditure on subcomponentsInsuranceconstant</t>
  </si>
  <si>
    <t>2024AMP2021Operating ExpenditureExpenditure on subcomponentsInsuranceconstant</t>
  </si>
  <si>
    <t>2024AMP2016Operating ExpenditureExpenditure on subcomponentsInsuranceconstant</t>
  </si>
  <si>
    <t>2024AMP2019Operating ExpenditureExpenditure on subcomponentsInsuranceconstant</t>
  </si>
  <si>
    <t>2024AMP2020Operating ExpenditureExpenditure on subcomponentsInsuranceconstant</t>
  </si>
  <si>
    <t>2024AMP2018Operating ExpenditureExpenditure on subcomponentsInsuranceconstant</t>
  </si>
  <si>
    <t>2024AMP2017Operating ExpenditureExpenditure on subcomponentsInsuranceconstant</t>
  </si>
  <si>
    <t>2024AMP2014Operating ExpenditureExpenditure on subcomponentsInsuranceconstant</t>
  </si>
  <si>
    <t>2024AMP2019Operating ExpenditureExpenditure on subcomponentsResearch and developmentconstant</t>
  </si>
  <si>
    <t>2024AMP2015Operating ExpenditureExpenditure on subcomponentsResearch and developmentconstant</t>
  </si>
  <si>
    <t>2024AMP2021Operating ExpenditureExpenditure on subcomponentsResearch and developmentconstant</t>
  </si>
  <si>
    <t>2024AMP2018Operating ExpenditureExpenditure on subcomponentsResearch and developmentconstant</t>
  </si>
  <si>
    <t>2024AMP2020Operating ExpenditureExpenditure on subcomponentsResearch and developmentconstant</t>
  </si>
  <si>
    <t>2024AMP2016Operating ExpenditureExpenditure on subcomponentsResearch and developmentconstant</t>
  </si>
  <si>
    <t>2024AMP2017Operating ExpenditureExpenditure on subcomponentsResearch and developmentconstant</t>
  </si>
  <si>
    <t>2024AMP2014Operating ExpenditureExpenditure on subcomponentsResearch and developmentconstant</t>
  </si>
  <si>
    <t>2024AMP2019Operating ExpenditureNetwork opexNetwork opexconstant</t>
  </si>
  <si>
    <t>2024AMP2014Operating ExpenditureNetwork opexNetwork opexconstant</t>
  </si>
  <si>
    <t>2024AMP2016Operating ExpenditureNetwork opexNetwork opexconstant</t>
  </si>
  <si>
    <t>2024AMP2017Operating ExpenditureNetwork opexNetwork opexconstant</t>
  </si>
  <si>
    <t>2024AMP2018Operating ExpenditureNetwork opexNetwork opexconstant</t>
  </si>
  <si>
    <t>2024AMP2020Operating ExpenditureNetwork opexNetwork opexconstant</t>
  </si>
  <si>
    <t>2024AMP2015Operating ExpenditureNetwork opexNetwork opexconstant</t>
  </si>
  <si>
    <t>2024AMP2021Operating ExpenditureNetwork opexNetwork opexconstant</t>
  </si>
  <si>
    <t>2024AMP2017Operating ExpenditureNetwork opexNetwork opexnominal</t>
  </si>
  <si>
    <t>2024AMP2018Operating ExpenditureNetwork opexNetwork opexnominal</t>
  </si>
  <si>
    <t>2024AMP2014Operating ExpenditureNetwork opexNetwork opexnominal</t>
  </si>
  <si>
    <t>2024AMP2021Operating ExpenditureNetwork opexNetwork opexnominal</t>
  </si>
  <si>
    <t>2024AMP2019Operating ExpenditureNetwork opexNetwork opexnominal</t>
  </si>
  <si>
    <t>2024AMP2020Operating ExpenditureNetwork opexNetwork opexnominal</t>
  </si>
  <si>
    <t>2024AMP2015Operating ExpenditureNetwork opexNetwork opexnominal</t>
  </si>
  <si>
    <t>2024AMP2016Operating ExpenditureNetwork opexNetwork opexnominal</t>
  </si>
  <si>
    <t>2024AMP2020Operating ExpenditureNon-network opexNon-network opexconstant</t>
  </si>
  <si>
    <t>2024AMP2018Operating ExpenditureNon-network opexNon-network opexconstant</t>
  </si>
  <si>
    <t>2024AMP2015Operating ExpenditureNon-network opexNon-network opexconstant</t>
  </si>
  <si>
    <t>2024AMP2014Operating ExpenditureNon-network opexNon-network opexconstant</t>
  </si>
  <si>
    <t>2024AMP2017Operating ExpenditureNon-network opexNon-network opexconstant</t>
  </si>
  <si>
    <t>2024AMP2016Operating ExpenditureNon-network opexNon-network opexconstant</t>
  </si>
  <si>
    <t>2024AMP2019Operating ExpenditureNon-network opexNon-network opexconstant</t>
  </si>
  <si>
    <t>2024AMP2021Operating ExpenditureNon-network opexNon-network opexconstant</t>
  </si>
  <si>
    <t>2024AMP2014Operating ExpenditureNon-network opexNon-network opexnominal</t>
  </si>
  <si>
    <t>2024AMP2018Operating ExpenditureNon-network opexNon-network opexnominal</t>
  </si>
  <si>
    <t>2024AMP2020Operating ExpenditureNon-network opexNon-network opexnominal</t>
  </si>
  <si>
    <t>2024AMP2019Operating ExpenditureNon-network opexNon-network opexnominal</t>
  </si>
  <si>
    <t>2024AMP2015Operating ExpenditureNon-network opexNon-network opexnominal</t>
  </si>
  <si>
    <t>2024AMP2017Operating ExpenditureNon-network opexNon-network opexnominal</t>
  </si>
  <si>
    <t>2024AMP2016Operating ExpenditureNon-network opexNon-network opexnominal</t>
  </si>
  <si>
    <t>2024AMP2021Operating ExpenditureNon-network opexNon-network opexnominal</t>
  </si>
  <si>
    <t>2024AMP2017Operating ExpenditureResearch and developmentResearch and developmentconstant</t>
  </si>
  <si>
    <t>2024AMP2015Operating ExpenditureResearch and developmentResearch and developmentconstant</t>
  </si>
  <si>
    <t>2024AMP2016Operating ExpenditureResearch and developmentResearch and developmentconstant</t>
  </si>
  <si>
    <t>2024AMP2014Operating ExpenditureResearch and developmentResearch and developmentconstant</t>
  </si>
  <si>
    <t>2024AMP2019Operating ExpenditureResearch and developmentResearch and developmentconstant</t>
  </si>
  <si>
    <t>2024AMP2021Operating ExpenditureResearch and developmentResearch and developmentconstant</t>
  </si>
  <si>
    <t>2024AMP2020Operating ExpenditureResearch and developmentResearch and developmentconstant</t>
  </si>
  <si>
    <t>2024AMP2018Operating ExpenditureResearch and developmentResearch and developmentconstant</t>
  </si>
  <si>
    <t>2024AMP2016Operating ExpenditureRoutine and corrective maintenance and inspectionRoutine and corrective maintenance and inspectionconstant</t>
  </si>
  <si>
    <t>2024AMP2020Operating ExpenditureRoutine and corrective maintenance and inspectionRoutine and corrective maintenance and inspectionconstant</t>
  </si>
  <si>
    <t>2024AMP2019Operating ExpenditureRoutine and corrective maintenance and inspectionRoutine and corrective maintenance and inspectionconstant</t>
  </si>
  <si>
    <t>2024AMP2014Operating ExpenditureRoutine and corrective maintenance and inspectionRoutine and corrective maintenance and inspectionconstant</t>
  </si>
  <si>
    <t>2024AMP2021Operating ExpenditureRoutine and corrective maintenance and inspectionRoutine and corrective maintenance and inspectionconstant</t>
  </si>
  <si>
    <t>2024AMP2018Operating ExpenditureRoutine and corrective maintenance and inspectionRoutine and corrective maintenance and inspectionconstant</t>
  </si>
  <si>
    <t>2024AMP2017Operating ExpenditureRoutine and corrective maintenance and inspectionRoutine and corrective maintenance and inspectionconstant</t>
  </si>
  <si>
    <t>2024AMP2015Operating ExpenditureRoutine and corrective maintenance and inspectionRoutine and corrective maintenance and inspectionconstant</t>
  </si>
  <si>
    <t>2024AMP2021Operating ExpenditureRoutine and corrective maintenance and inspectionRoutine and corrective maintenance and inspectionnominal</t>
  </si>
  <si>
    <t>2024AMP2020Operating ExpenditureRoutine and corrective maintenance and inspectionRoutine and corrective maintenance and inspectionnominal</t>
  </si>
  <si>
    <t>2024AMP2014Operating ExpenditureRoutine and corrective maintenance and inspectionRoutine and corrective maintenance and inspectionnominal</t>
  </si>
  <si>
    <t>2024AMP2016Operating ExpenditureRoutine and corrective maintenance and inspectionRoutine and corrective maintenance and inspectionnominal</t>
  </si>
  <si>
    <t>2024AMP2018Operating ExpenditureRoutine and corrective maintenance and inspectionRoutine and corrective maintenance and inspectionnominal</t>
  </si>
  <si>
    <t>2024AMP2015Operating ExpenditureRoutine and corrective maintenance and inspectionRoutine and corrective maintenance and inspectionnominal</t>
  </si>
  <si>
    <t>2024AMP2019Operating ExpenditureRoutine and corrective maintenance and inspectionRoutine and corrective maintenance and inspectionnominal</t>
  </si>
  <si>
    <t>2024AMP2017Operating ExpenditureRoutine and corrective maintenance and inspectionRoutine and corrective maintenance and inspectionnominal</t>
  </si>
  <si>
    <t>2024AMP2018Operating ExpenditureService interruptions, incidents and emergenciesService interruptions, incidents and emergenciesconstant</t>
  </si>
  <si>
    <t>2024AMP2016Operating ExpenditureService interruptions, incidents and emergenciesService interruptions, incidents and emergenciesconstant</t>
  </si>
  <si>
    <t>2024AMP2015Operating ExpenditureService interruptions, incidents and emergenciesService interruptions, incidents and emergenciesconstant</t>
  </si>
  <si>
    <t>2024AMP2017Operating ExpenditureService interruptions, incidents and emergenciesService interruptions, incidents and emergenciesconstant</t>
  </si>
  <si>
    <t>2024AMP2019Operating ExpenditureService interruptions, incidents and emergenciesService interruptions, incidents and emergenciesconstant</t>
  </si>
  <si>
    <t>2024AMP2021Operating ExpenditureService interruptions, incidents and emergenciesService interruptions, incidents and emergenciesconstant</t>
  </si>
  <si>
    <t>2024AMP2020Operating ExpenditureService interruptions, incidents and emergenciesService interruptions, incidents and emergenciesconstant</t>
  </si>
  <si>
    <t>2024AMP2014Operating ExpenditureService interruptions, incidents and emergenciesService interruptions, incidents and emergenciesconstant</t>
  </si>
  <si>
    <t>2024AMP2018Operating ExpenditureService interruptions, incidents and emergenciesService interruptions, incidents and emergenciesnominal</t>
  </si>
  <si>
    <t>2024AMP2017Operating ExpenditureService interruptions, incidents and emergenciesService interruptions, incidents and emergenciesnominal</t>
  </si>
  <si>
    <t>2024AMP2016Operating ExpenditureService interruptions, incidents and emergenciesService interruptions, incidents and emergenciesnominal</t>
  </si>
  <si>
    <t>2024AMP2020Operating ExpenditureService interruptions, incidents and emergenciesService interruptions, incidents and emergenciesnominal</t>
  </si>
  <si>
    <t>2024AMP2019Operating ExpenditureService interruptions, incidents and emergenciesService interruptions, incidents and emergenciesnominal</t>
  </si>
  <si>
    <t>2024AMP2015Operating ExpenditureService interruptions, incidents and emergenciesService interruptions, incidents and emergenciesnominal</t>
  </si>
  <si>
    <t>2024AMP2014Operating ExpenditureService interruptions, incidents and emergenciesService interruptions, incidents and emergenciesnominal</t>
  </si>
  <si>
    <t>2024AMP2021Operating ExpenditureService interruptions, incidents and emergenciesService interruptions, incidents and emergenciesnominal</t>
  </si>
  <si>
    <t>2024AMP2021Operating ExpenditureSystem operations and network supportSystem operations and network supportconstant</t>
  </si>
  <si>
    <t>2024AMP2018Operating ExpenditureSystem operations and network supportSystem operations and network supportconstant</t>
  </si>
  <si>
    <t>2024AMP2014Operating ExpenditureSystem operations and network supportSystem operations and network supportconstant</t>
  </si>
  <si>
    <t>2024AMP2017Operating ExpenditureSystem operations and network supportSystem operations and network supportconstant</t>
  </si>
  <si>
    <t>2024AMP2019Operating ExpenditureSystem operations and network supportSystem operations and network supportconstant</t>
  </si>
  <si>
    <t>2024AMP2020Operating ExpenditureSystem operations and network supportSystem operations and network supportconstant</t>
  </si>
  <si>
    <t>2024AMP2016Operating ExpenditureSystem operations and network supportSystem operations and network supportconstant</t>
  </si>
  <si>
    <t>2024AMP2015Operating ExpenditureSystem operations and network supportSystem operations and network supportconstant</t>
  </si>
  <si>
    <t>2024AMP2015Operating ExpenditureSystem operations and network supportSystem operations and network supportnominal</t>
  </si>
  <si>
    <t>2024AMP2020Operating ExpenditureSystem operations and network supportSystem operations and network supportnominal</t>
  </si>
  <si>
    <t>2024AMP2016Operating ExpenditureSystem operations and network supportSystem operations and network supportnominal</t>
  </si>
  <si>
    <t>2024AMP2021Operating ExpenditureSystem operations and network supportSystem operations and network supportnominal</t>
  </si>
  <si>
    <t>2024AMP2017Operating ExpenditureSystem operations and network supportSystem operations and network supportnominal</t>
  </si>
  <si>
    <t>2024AMP2014Operating ExpenditureSystem operations and network supportSystem operations and network supportnominal</t>
  </si>
  <si>
    <t>2024AMP2018Operating ExpenditureSystem operations and network supportSystem operations and network supportnominal</t>
  </si>
  <si>
    <t>2024AMP2019Operating ExpenditureSystem operations and network supportSystem operations and network supportnominal</t>
  </si>
  <si>
    <t>2024AMP2015Operating ExpenditureTotal opexOperational expenditureconstant</t>
  </si>
  <si>
    <t>2024AMP2017Operating ExpenditureTotal opexOperational expenditureconstant</t>
  </si>
  <si>
    <t>2024AMP2014Operating ExpenditureTotal opexOperational expenditureconstant</t>
  </si>
  <si>
    <t>2024AMP2018Operating ExpenditureTotal opexOperational expenditureconstant</t>
  </si>
  <si>
    <t>2024AMP2019Operating ExpenditureTotal opexOperational expenditureconstant</t>
  </si>
  <si>
    <t>2024AMP2021Operating ExpenditureTotal opexOperational expenditureconstant</t>
  </si>
  <si>
    <t>2024AMP2016Operating ExpenditureTotal opexOperational expenditureconstant</t>
  </si>
  <si>
    <t>2024AMP2020Operating ExpenditureTotal opexOperational expenditureconstant</t>
  </si>
  <si>
    <t>2024AMP2018Operating ExpenditureTotal opexOperational expenditurenominal</t>
  </si>
  <si>
    <t>2024AMP2014Operating ExpenditureTotal opexOperational expenditurenominal</t>
  </si>
  <si>
    <t>2024AMP2020Operating ExpenditureTotal opexOperational expenditurenominal</t>
  </si>
  <si>
    <t>2024AMP2017Operating ExpenditureTotal opexOperational expenditurenominal</t>
  </si>
  <si>
    <t>2024AMP2015Operating ExpenditureTotal opexOperational expenditurenominal</t>
  </si>
  <si>
    <t>2024AMP2021Operating ExpenditureTotal opexOperational expenditurenominal</t>
  </si>
  <si>
    <t>2024AMP2016Operating ExpenditureTotal opexOperational expenditurenominal</t>
  </si>
  <si>
    <t>2024AMP2019Operating ExpenditureTotal opexOperational expenditurenominal</t>
  </si>
  <si>
    <t>2025AMP2017Capital ExpenditureAll assetsExpenditure on assetsconstant</t>
  </si>
  <si>
    <t>2025AMP2015Capital ExpenditureAll assetsExpenditure on assetsconstant</t>
  </si>
  <si>
    <t>2025AMP2019Capital ExpenditureAll assetsExpenditure on assetsconstant</t>
  </si>
  <si>
    <t>2025AMP2018Capital ExpenditureAll assetsExpenditure on assetsconstant</t>
  </si>
  <si>
    <t>2025AMP2020Capital ExpenditureAll assetsExpenditure on assetsconstant</t>
  </si>
  <si>
    <t>2025AMP2021Capital ExpenditureAll assetsExpenditure on assetsconstant</t>
  </si>
  <si>
    <t>2025AMP2016Capital ExpenditureAll assetsExpenditure on assetsconstant</t>
  </si>
  <si>
    <t>2025AMP2017Capital ExpenditureAll assetsExpenditure on assetsnominal</t>
  </si>
  <si>
    <t>2025AMP2015Capital ExpenditureAll assetsExpenditure on assetsnominal</t>
  </si>
  <si>
    <t>2025AMP2016Capital ExpenditureAll assetsExpenditure on assetsnominal</t>
  </si>
  <si>
    <t>2025AMP2018Capital ExpenditureAll assetsExpenditure on assetsnominal</t>
  </si>
  <si>
    <t>2025AMP2020Capital ExpenditureAll assetsExpenditure on assetsnominal</t>
  </si>
  <si>
    <t>2025AMP2021Capital ExpenditureAll assetsExpenditure on assetsnominal</t>
  </si>
  <si>
    <t>2025AMP2019Capital ExpenditureAll assetsExpenditure on assetsnominal</t>
  </si>
  <si>
    <t>2025AMP2019Capital ExpenditureAsset relocationsAsset relocationsconstant</t>
  </si>
  <si>
    <t>2025AMP2020Capital ExpenditureAsset relocationsAsset relocationsconstant</t>
  </si>
  <si>
    <t>2025AMP2015Capital ExpenditureAsset relocationsAsset relocationsconstant</t>
  </si>
  <si>
    <t>2025AMP2018Capital ExpenditureAsset relocationsAsset relocationsconstant</t>
  </si>
  <si>
    <t>2025AMP2017Capital ExpenditureAsset relocationsAsset relocationsconstant</t>
  </si>
  <si>
    <t>2025AMP2016Capital ExpenditureAsset relocationsAsset relocationsconstant</t>
  </si>
  <si>
    <t>2025AMP2021Capital ExpenditureAsset relocationsAsset relocationsconstant</t>
  </si>
  <si>
    <t>2025AMP2021Capital ExpenditureAsset relocationsAsset relocationsnominal</t>
  </si>
  <si>
    <t>2025AMP2019Capital ExpenditureAsset relocationsAsset relocationsnominal</t>
  </si>
  <si>
    <t>2025AMP2016Capital ExpenditureAsset relocationsAsset relocationsnominal</t>
  </si>
  <si>
    <t>2025AMP2015Capital ExpenditureAsset relocationsAsset relocationsnominal</t>
  </si>
  <si>
    <t>2025AMP2018Capital ExpenditureAsset relocationsAsset relocationsnominal</t>
  </si>
  <si>
    <t>2025AMP2017Capital ExpenditureAsset relocationsAsset relocationsnominal</t>
  </si>
  <si>
    <t>2025AMP2020Capital ExpenditureAsset relocationsAsset relocationsnominal</t>
  </si>
  <si>
    <t>2025AMP2018Capital ExpenditureAsset replacement and renewalAsset replacement and renewalconstant</t>
  </si>
  <si>
    <t>2025AMP2017Capital ExpenditureAsset replacement and renewalAsset replacement and renewalconstant</t>
  </si>
  <si>
    <t>2025AMP2016Capital ExpenditureAsset replacement and renewalAsset replacement and renewalconstant</t>
  </si>
  <si>
    <t>2025AMP2021Capital ExpenditureAsset replacement and renewalAsset replacement and renewalconstant</t>
  </si>
  <si>
    <t>2025AMP2020Capital ExpenditureAsset replacement and renewalAsset replacement and renewalconstant</t>
  </si>
  <si>
    <t>2025AMP2015Capital ExpenditureAsset replacement and renewalAsset replacement and renewalconstant</t>
  </si>
  <si>
    <t>2025AMP2019Capital ExpenditureAsset replacement and renewalAsset replacement and renewalconstant</t>
  </si>
  <si>
    <t>2025AMP2019Capital ExpenditureAsset replacement and renewalAsset replacement and renewalnominal</t>
  </si>
  <si>
    <t>2025AMP2021Capital ExpenditureAsset replacement and renewalAsset replacement and renewalnominal</t>
  </si>
  <si>
    <t>2025AMP2017Capital ExpenditureAsset replacement and renewalAsset replacement and renewalnominal</t>
  </si>
  <si>
    <t>2025AMP2016Capital ExpenditureAsset replacement and renewalAsset replacement and renewalnominal</t>
  </si>
  <si>
    <t>2025AMP2020Capital ExpenditureAsset replacement and renewalAsset replacement and renewalnominal</t>
  </si>
  <si>
    <t>2025AMP2018Capital ExpenditureAsset replacement and renewalAsset replacement and renewalnominal</t>
  </si>
  <si>
    <t>2025AMP2015Capital ExpenditureAsset replacement and renewalAsset replacement and renewalnominal</t>
  </si>
  <si>
    <t>2025AMP2021Capital ExpenditureAssets commissionedAssets commissionednominal</t>
  </si>
  <si>
    <t>2025AMP2019Capital ExpenditureAssets commissionedAssets commissionednominal</t>
  </si>
  <si>
    <t>2025AMP2017Capital ExpenditureAssets commissionedAssets commissionednominal</t>
  </si>
  <si>
    <t>2025AMP2015Capital ExpenditureAssets commissionedAssets commissionednominal</t>
  </si>
  <si>
    <t>2025AMP2018Capital ExpenditureAssets commissionedAssets commissionednominal</t>
  </si>
  <si>
    <t>2025AMP2016Capital ExpenditureAssets commissionedAssets commissionednominal</t>
  </si>
  <si>
    <t>2025AMP2020Capital ExpenditureAssets commissionedAssets commissionednominal</t>
  </si>
  <si>
    <t>2025AMP2020Capital ExpenditureCapital expenditure forecastCapital expenditure forecastnominal</t>
  </si>
  <si>
    <t>2025AMP2019Capital ExpenditureCapital expenditure forecastCapital expenditure forecastnominal</t>
  </si>
  <si>
    <t>2025AMP2016Capital ExpenditureCapital expenditure forecastCapital expenditure forecastnominal</t>
  </si>
  <si>
    <t>2025AMP2021Capital ExpenditureCapital expenditure forecastCapital expenditure forecastnominal</t>
  </si>
  <si>
    <t>2025AMP2015Capital ExpenditureCapital expenditure forecastCapital expenditure forecastnominal</t>
  </si>
  <si>
    <t>2025AMP2017Capital ExpenditureCapital expenditure forecastCapital expenditure forecastnominal</t>
  </si>
  <si>
    <t>2025AMP2018Capital ExpenditureCapital expenditure forecastCapital expenditure forecastnominal</t>
  </si>
  <si>
    <t>2025AMP2015Capital ExpenditureConsumer connectionConsumer connectionconstant</t>
  </si>
  <si>
    <t>2025AMP2016Capital ExpenditureConsumer connectionConsumer connectionconstant</t>
  </si>
  <si>
    <t>2025AMP2018Capital ExpenditureConsumer connectionConsumer connectionconstant</t>
  </si>
  <si>
    <t>2025AMP2021Capital ExpenditureConsumer connectionConsumer connectionconstant</t>
  </si>
  <si>
    <t>2025AMP2017Capital ExpenditureConsumer connectionConsumer connectionconstant</t>
  </si>
  <si>
    <t>2025AMP2019Capital ExpenditureConsumer connectionConsumer connectionconstant</t>
  </si>
  <si>
    <t>2025AMP2020Capital ExpenditureConsumer connectionConsumer connectionconstant</t>
  </si>
  <si>
    <t>2025AMP2017Capital ExpenditureConsumer connectionConsumer connectionnominal</t>
  </si>
  <si>
    <t>2025AMP2015Capital ExpenditureConsumer connectionConsumer connectionnominal</t>
  </si>
  <si>
    <t>2025AMP2021Capital ExpenditureConsumer connectionConsumer connectionnominal</t>
  </si>
  <si>
    <t>2025AMP2020Capital ExpenditureConsumer connectionConsumer connectionnominal</t>
  </si>
  <si>
    <t>2025AMP2018Capital ExpenditureConsumer connectionConsumer connectionnominal</t>
  </si>
  <si>
    <t>2025AMP2016Capital ExpenditureConsumer connectionConsumer connectionnominal</t>
  </si>
  <si>
    <t>2025AMP2019Capital ExpenditureConsumer connectionConsumer connectionnominal</t>
  </si>
  <si>
    <t>2025AMP2021Capital ExpenditureCost of financingCost of financingnominal</t>
  </si>
  <si>
    <t>2025AMP2019Capital ExpenditureCost of financingCost of financingnominal</t>
  </si>
  <si>
    <t>2025AMP2016Capital ExpenditureCost of financingCost of financingnominal</t>
  </si>
  <si>
    <t>2025AMP2017Capital ExpenditureCost of financingCost of financingnominal</t>
  </si>
  <si>
    <t>2025AMP2015Capital ExpenditureCost of financingCost of financingnominal</t>
  </si>
  <si>
    <t>2025AMP2018Capital ExpenditureCost of financingCost of financingnominal</t>
  </si>
  <si>
    <t>2025AMP2020Capital ExpenditureCost of financingCost of financingnominal</t>
  </si>
  <si>
    <t>2025AMP2016Capital ExpenditureExpenditure on subcomponentsResearch and developmentconstant</t>
  </si>
  <si>
    <t>2025AMP2019Capital ExpenditureExpenditure on subcomponentsResearch and developmentconstant</t>
  </si>
  <si>
    <t>2025AMP2017Capital ExpenditureExpenditure on subcomponentsResearch and developmentconstant</t>
  </si>
  <si>
    <t>2025AMP2021Capital ExpenditureExpenditure on subcomponentsResearch and developmentconstant</t>
  </si>
  <si>
    <t>2025AMP2020Capital ExpenditureExpenditure on subcomponentsResearch and developmentconstant</t>
  </si>
  <si>
    <t>2025AMP2015Capital ExpenditureExpenditure on subcomponentsResearch and developmentconstant</t>
  </si>
  <si>
    <t>2025AMP2018Capital ExpenditureExpenditure on subcomponentsResearch and developmentconstant</t>
  </si>
  <si>
    <t>2025AMP2015Capital ExpenditureNetwork assetsExpenditure on network assetsconstant</t>
  </si>
  <si>
    <t>2025AMP2021Capital ExpenditureNetwork assetsExpenditure on network assetsconstant</t>
  </si>
  <si>
    <t>2025AMP2020Capital ExpenditureNetwork assetsExpenditure on network assetsconstant</t>
  </si>
  <si>
    <t>2025AMP2018Capital ExpenditureNetwork assetsExpenditure on network assetsconstant</t>
  </si>
  <si>
    <t>2025AMP2019Capital ExpenditureNetwork assetsExpenditure on network assetsconstant</t>
  </si>
  <si>
    <t>2025AMP2016Capital ExpenditureNetwork assetsExpenditure on network assetsconstant</t>
  </si>
  <si>
    <t>2025AMP2017Capital ExpenditureNetwork assetsExpenditure on network assetsconstant</t>
  </si>
  <si>
    <t>2025AMP2018Capital ExpenditureNetwork assetsExpenditure on network assetsnominal</t>
  </si>
  <si>
    <t>2025AMP2021Capital ExpenditureNetwork assetsExpenditure on network assetsnominal</t>
  </si>
  <si>
    <t>2025AMP2016Capital ExpenditureNetwork assetsExpenditure on network assetsnominal</t>
  </si>
  <si>
    <t>2025AMP2017Capital ExpenditureNetwork assetsExpenditure on network assetsnominal</t>
  </si>
  <si>
    <t>2025AMP2020Capital ExpenditureNetwork assetsExpenditure on network assetsnominal</t>
  </si>
  <si>
    <t>2025AMP2015Capital ExpenditureNetwork assetsExpenditure on network assetsnominal</t>
  </si>
  <si>
    <t>2025AMP2019Capital ExpenditureNetwork assetsExpenditure on network assetsnominal</t>
  </si>
  <si>
    <t>2025AMP2018Capital ExpenditureNon-network assetsNon-network assetsconstant</t>
  </si>
  <si>
    <t>2025AMP2019Capital ExpenditureNon-network assetsNon-network assetsconstant</t>
  </si>
  <si>
    <t>2025AMP2017Capital ExpenditureNon-network assetsNon-network assetsconstant</t>
  </si>
  <si>
    <t>2025AMP2020Capital ExpenditureNon-network assetsNon-network assetsconstant</t>
  </si>
  <si>
    <t>2025AMP2021Capital ExpenditureNon-network assetsNon-network assetsconstant</t>
  </si>
  <si>
    <t>2025AMP2015Capital ExpenditureNon-network assetsNon-network assetsconstant</t>
  </si>
  <si>
    <t>2025AMP2016Capital ExpenditureNon-network assetsNon-network assetsconstant</t>
  </si>
  <si>
    <t>2025AMP2018Capital ExpenditureNon-network assetsNon-network assetsnominal</t>
  </si>
  <si>
    <t>2025AMP2017Capital ExpenditureNon-network assetsNon-network assetsnominal</t>
  </si>
  <si>
    <t>2025AMP2016Capital ExpenditureNon-network assetsNon-network assetsnominal</t>
  </si>
  <si>
    <t>2025AMP2021Capital ExpenditureNon-network assetsNon-network assetsnominal</t>
  </si>
  <si>
    <t>2025AMP2020Capital ExpenditureNon-network assetsNon-network assetsnominal</t>
  </si>
  <si>
    <t>2025AMP2015Capital ExpenditureNon-network assetsNon-network assetsnominal</t>
  </si>
  <si>
    <t>2025AMP2019Capital ExpenditureNon-network assetsNon-network assetsnominal</t>
  </si>
  <si>
    <t>2025AMP2019Capital ExpenditureReliability, safety and environmentLegislative and regulatoryconstant</t>
  </si>
  <si>
    <t>2025AMP2016Capital ExpenditureReliability, safety and environmentLegislative and regulatoryconstant</t>
  </si>
  <si>
    <t>2025AMP2021Capital ExpenditureReliability, safety and environmentLegislative and regulatoryconstant</t>
  </si>
  <si>
    <t>2025AMP2017Capital ExpenditureReliability, safety and environmentLegislative and regulatoryconstant</t>
  </si>
  <si>
    <t>2025AMP2018Capital ExpenditureReliability, safety and environmentLegislative and regulatoryconstant</t>
  </si>
  <si>
    <t>2025AMP2020Capital ExpenditureReliability, safety and environmentLegislative and regulatoryconstant</t>
  </si>
  <si>
    <t>2025AMP2015Capital ExpenditureReliability, safety and environmentLegislative and regulatoryconstant</t>
  </si>
  <si>
    <t>2025AMP2019Capital ExpenditureReliability, safety and environmentLegislative and regulatorynominal</t>
  </si>
  <si>
    <t>2025AMP2015Capital ExpenditureReliability, safety and environmentLegislative and regulatorynominal</t>
  </si>
  <si>
    <t>2025AMP2016Capital ExpenditureReliability, safety and environmentLegislative and regulatorynominal</t>
  </si>
  <si>
    <t>2025AMP2018Capital ExpenditureReliability, safety and environmentLegislative and regulatorynominal</t>
  </si>
  <si>
    <t>2025AMP2021Capital ExpenditureReliability, safety and environmentLegislative and regulatorynominal</t>
  </si>
  <si>
    <t>2025AMP2017Capital ExpenditureReliability, safety and environmentLegislative and regulatorynominal</t>
  </si>
  <si>
    <t>2025AMP2020Capital ExpenditureReliability, safety and environmentLegislative and regulatorynominal</t>
  </si>
  <si>
    <t>2025AMP2020Capital ExpenditureReliability, safety and environmentOther reliability, safety and environmentconstant</t>
  </si>
  <si>
    <t>2025AMP2019Capital ExpenditureReliability, safety and environmentOther reliability, safety and environmentconstant</t>
  </si>
  <si>
    <t>2025AMP2015Capital ExpenditureReliability, safety and environmentOther reliability, safety and environmentconstant</t>
  </si>
  <si>
    <t>2025AMP2018Capital ExpenditureReliability, safety and environmentOther reliability, safety and environmentconstant</t>
  </si>
  <si>
    <t>2025AMP2016Capital ExpenditureReliability, safety and environmentOther reliability, safety and environmentconstant</t>
  </si>
  <si>
    <t>2025AMP2021Capital ExpenditureReliability, safety and environmentOther reliability, safety and environmentconstant</t>
  </si>
  <si>
    <t>2025AMP2017Capital ExpenditureReliability, safety and environmentOther reliability, safety and environmentconstant</t>
  </si>
  <si>
    <t>2025AMP2016Capital ExpenditureReliability, safety and environmentOther reliability, safety and environmentnominal</t>
  </si>
  <si>
    <t>2025AMP2015Capital ExpenditureReliability, safety and environmentOther reliability, safety and environmentnominal</t>
  </si>
  <si>
    <t>2025AMP2019Capital ExpenditureReliability, safety and environmentOther reliability, safety and environmentnominal</t>
  </si>
  <si>
    <t>2025AMP2017Capital ExpenditureReliability, safety and environmentOther reliability, safety and environmentnominal</t>
  </si>
  <si>
    <t>2025AMP2018Capital ExpenditureReliability, safety and environmentOther reliability, safety and environmentnominal</t>
  </si>
  <si>
    <t>2025AMP2020Capital ExpenditureReliability, safety and environmentOther reliability, safety and environmentnominal</t>
  </si>
  <si>
    <t>2025AMP2021Capital ExpenditureReliability, safety and environmentOther reliability, safety and environmentnominal</t>
  </si>
  <si>
    <t>2025AMP2019Capital ExpenditureReliability, safety and environmentQuality of supplyconstant</t>
  </si>
  <si>
    <t>2025AMP2015Capital ExpenditureReliability, safety and environmentQuality of supplyconstant</t>
  </si>
  <si>
    <t>2025AMP2020Capital ExpenditureReliability, safety and environmentQuality of supplyconstant</t>
  </si>
  <si>
    <t>2025AMP2018Capital ExpenditureReliability, safety and environmentQuality of supplyconstant</t>
  </si>
  <si>
    <t>2025AMP2016Capital ExpenditureReliability, safety and environmentQuality of supplyconstant</t>
  </si>
  <si>
    <t>2025AMP2021Capital ExpenditureReliability, safety and environmentQuality of supplyconstant</t>
  </si>
  <si>
    <t>2025AMP2017Capital ExpenditureReliability, safety and environmentQuality of supplyconstant</t>
  </si>
  <si>
    <t>2025AMP2020Capital ExpenditureReliability, safety and environmentQuality of supplynominal</t>
  </si>
  <si>
    <t>2025AMP2021Capital ExpenditureReliability, safety and environmentQuality of supplynominal</t>
  </si>
  <si>
    <t>2025AMP2015Capital ExpenditureReliability, safety and environmentQuality of supplynominal</t>
  </si>
  <si>
    <t>2025AMP2017Capital ExpenditureReliability, safety and environmentQuality of supplynominal</t>
  </si>
  <si>
    <t>2025AMP2018Capital ExpenditureReliability, safety and environmentQuality of supplynominal</t>
  </si>
  <si>
    <t>2025AMP2016Capital ExpenditureReliability, safety and environmentQuality of supplynominal</t>
  </si>
  <si>
    <t>2025AMP2019Capital ExpenditureReliability, safety and environmentQuality of supplynominal</t>
  </si>
  <si>
    <t>2025AMP2020Capital ExpenditureReliability, safety and environmentTotal reliability, safety and environmentconstant</t>
  </si>
  <si>
    <t>2025AMP2019Capital ExpenditureReliability, safety and environmentTotal reliability, safety and environmentconstant</t>
  </si>
  <si>
    <t>2025AMP2015Capital ExpenditureReliability, safety and environmentTotal reliability, safety and environmentconstant</t>
  </si>
  <si>
    <t>2025AMP2016Capital ExpenditureReliability, safety and environmentTotal reliability, safety and environmentconstant</t>
  </si>
  <si>
    <t>2025AMP2021Capital ExpenditureReliability, safety and environmentTotal reliability, safety and environmentconstant</t>
  </si>
  <si>
    <t>2025AMP2018Capital ExpenditureReliability, safety and environmentTotal reliability, safety and environmentconstant</t>
  </si>
  <si>
    <t>2025AMP2017Capital ExpenditureReliability, safety and environmentTotal reliability, safety and environmentconstant</t>
  </si>
  <si>
    <t>2025AMP2017Capital ExpenditureReliability, safety and environmentTotal reliability, safety and environmentnominal</t>
  </si>
  <si>
    <t>2025AMP2021Capital ExpenditureReliability, safety and environmentTotal reliability, safety and environmentnominal</t>
  </si>
  <si>
    <t>2025AMP2016Capital ExpenditureReliability, safety and environmentTotal reliability, safety and environmentnominal</t>
  </si>
  <si>
    <t>2025AMP2019Capital ExpenditureReliability, safety and environmentTotal reliability, safety and environmentnominal</t>
  </si>
  <si>
    <t>2025AMP2020Capital ExpenditureReliability, safety and environmentTotal reliability, safety and environmentnominal</t>
  </si>
  <si>
    <t>2025AMP2018Capital ExpenditureReliability, safety and environmentTotal reliability, safety and environmentnominal</t>
  </si>
  <si>
    <t>2025AMP2015Capital ExpenditureReliability, safety and environmentTotal reliability, safety and environmentnominal</t>
  </si>
  <si>
    <t>2025AMP2018Capital ExpenditureSystem growthSystem growthconstant</t>
  </si>
  <si>
    <t>2025AMP2020Capital ExpenditureSystem growthSystem growthconstant</t>
  </si>
  <si>
    <t>2025AMP2019Capital ExpenditureSystem growthSystem growthconstant</t>
  </si>
  <si>
    <t>2025AMP2017Capital ExpenditureSystem growthSystem growthconstant</t>
  </si>
  <si>
    <t>2025AMP2016Capital ExpenditureSystem growthSystem growthconstant</t>
  </si>
  <si>
    <t>2025AMP2015Capital ExpenditureSystem growthSystem growthconstant</t>
  </si>
  <si>
    <t>2025AMP2021Capital ExpenditureSystem growthSystem growthconstant</t>
  </si>
  <si>
    <t>2025AMP2016Capital ExpenditureSystem growthSystem growthnominal</t>
  </si>
  <si>
    <t>2025AMP2015Capital ExpenditureSystem growthSystem growthnominal</t>
  </si>
  <si>
    <t>2025AMP2017Capital ExpenditureSystem growthSystem growthnominal</t>
  </si>
  <si>
    <t>2025AMP2018Capital ExpenditureSystem growthSystem growthnominal</t>
  </si>
  <si>
    <t>2025AMP2021Capital ExpenditureSystem growthSystem growthnominal</t>
  </si>
  <si>
    <t>2025AMP2020Capital ExpenditureSystem growthSystem growthnominal</t>
  </si>
  <si>
    <t>2025AMP2019Capital ExpenditureSystem growthSystem growthnominal</t>
  </si>
  <si>
    <t>2025AMP2017Capital ExpenditureValue of capital contributionsValue of capital contributionsnominal</t>
  </si>
  <si>
    <t>2025AMP2021Capital ExpenditureValue of capital contributionsValue of capital contributionsnominal</t>
  </si>
  <si>
    <t>2025AMP2015Capital ExpenditureValue of capital contributionsValue of capital contributionsnominal</t>
  </si>
  <si>
    <t>2025AMP2019Capital ExpenditureValue of capital contributionsValue of capital contributionsnominal</t>
  </si>
  <si>
    <t>2025AMP2018Capital ExpenditureValue of capital contributionsValue of capital contributionsnominal</t>
  </si>
  <si>
    <t>2025AMP2020Capital ExpenditureValue of capital contributionsValue of capital contributionsnominal</t>
  </si>
  <si>
    <t>2025AMP2016Capital ExpenditureValue of capital contributionsValue of capital contributionsnominal</t>
  </si>
  <si>
    <t>2025AMP2017Capital ExpenditureValue of commissioned assetsValue of commissioned assetsnominal</t>
  </si>
  <si>
    <t>2025AMP2017Capital ExpenditureValue of vested assetsValue of vested assetsnominal</t>
  </si>
  <si>
    <t>2025AMP2021Capital ExpenditureValue of vested assetsValue of vested assetsnominal</t>
  </si>
  <si>
    <t>2025AMP2020Capital ExpenditureValue of vested assetsValue of vested assetsnominal</t>
  </si>
  <si>
    <t>2025AMP2016Capital ExpenditureValue of vested assetsValue of vested assetsnominal</t>
  </si>
  <si>
    <t>2025AMP2015Capital ExpenditureValue of vested assetsValue of vested assetsnominal</t>
  </si>
  <si>
    <t>2025AMP2019Capital ExpenditureValue of vested assetsValue of vested assetsnominal</t>
  </si>
  <si>
    <t>2025AMP2018Capital ExpenditureValue of vested assetsValue of vested assetsnominal</t>
  </si>
  <si>
    <t>2025AMP2020Capital ExpenditureAsset replacement and renewalAsset replacement and renewal expenditure - Asset replacement and renewal expenditureconstant</t>
  </si>
  <si>
    <t>2025AMP2021Capital ExpenditureAsset replacement and renewalAsset replacement and renewal expenditure - Asset replacement and renewal expenditureconstant</t>
  </si>
  <si>
    <t>2025AMP2021Capital ExpenditureAsset replacement and renewalAsset replacement and renewal expenditure - Capital contributions funding asset replacement and renewalconstant</t>
  </si>
  <si>
    <t>2025AMP2020Capital ExpenditureAsset replacement and renewalAsset replacement and renewal expenditure - Capital contributions funding asset replacement and renewalconstant</t>
  </si>
  <si>
    <t>2025AMP2021Capital ExpenditureAsset replacement and renewalAsset replacement and renewal less capital contributions - Asset replacement and renewal less capital contributionsconstant</t>
  </si>
  <si>
    <t>2025AMP2020Capital ExpenditureAsset replacement and renewalAsset replacement and renewal less capital contributions - Asset replacement and renewal less capital contributionsconstant</t>
  </si>
  <si>
    <t>2025AMP2021Capital ExpenditureAsset replacement and renewalIntermediate pressure - Intermediate Pressure totalconstant</t>
  </si>
  <si>
    <t>2025AMP2020Capital ExpenditureAsset replacement and renewalIntermediate pressure - Intermediate Pressure totalconstant</t>
  </si>
  <si>
    <t>2025AMP2020Capital ExpenditureAsset replacement and renewalIntermediate pressure - Line valveconstant</t>
  </si>
  <si>
    <t>2025AMP2021Capital ExpenditureAsset replacement and renewalIntermediate pressure - Line valveconstant</t>
  </si>
  <si>
    <t>2025AMP2021Capital ExpenditureAsset replacement and renewalIntermediate pressure - Main pipeconstant</t>
  </si>
  <si>
    <t>2025AMP2020Capital ExpenditureAsset replacement and renewalIntermediate pressure - Main pipeconstant</t>
  </si>
  <si>
    <t>2025AMP2021Capital ExpenditureAsset replacement and renewalIntermediate pressure - Service pipeconstant</t>
  </si>
  <si>
    <t>2025AMP2020Capital ExpenditureAsset replacement and renewalIntermediate pressure - Service pipeconstant</t>
  </si>
  <si>
    <t>2025AMP2020Capital ExpenditureAsset replacement and renewalIntermediate pressure - Special crossingsconstant</t>
  </si>
  <si>
    <t>2025AMP2021Capital ExpenditureAsset replacement and renewalIntermediate pressure - Special crossingsconstant</t>
  </si>
  <si>
    <t>2025AMP2020Capital ExpenditureAsset replacement and renewalIntermediate pressure - Stationsconstant</t>
  </si>
  <si>
    <t>2025AMP2021Capital ExpenditureAsset replacement and renewalIntermediate pressure - Stationsconstant</t>
  </si>
  <si>
    <t>2025AMP2020Capital ExpenditureAsset replacement and renewalLow Pressure - Line valveconstant</t>
  </si>
  <si>
    <t>2025AMP2021Capital ExpenditureAsset replacement and renewalLow Pressure - Line valveconstant</t>
  </si>
  <si>
    <t>2025AMP2020Capital ExpenditureAsset replacement and renewalLow Pressure - Low Pressure totalconstant</t>
  </si>
  <si>
    <t>2025AMP2021Capital ExpenditureAsset replacement and renewalLow Pressure - Low Pressure totalconstant</t>
  </si>
  <si>
    <t>2025AMP2021Capital ExpenditureAsset replacement and renewalLow Pressure - Main pipeconstant</t>
  </si>
  <si>
    <t>2025AMP2020Capital ExpenditureAsset replacement and renewalLow Pressure - Main pipeconstant</t>
  </si>
  <si>
    <t>2025AMP2020Capital ExpenditureAsset replacement and renewalLow Pressure - Service pipeconstant</t>
  </si>
  <si>
    <t>2025AMP2021Capital ExpenditureAsset replacement and renewalLow Pressure - Service pipeconstant</t>
  </si>
  <si>
    <t>2025AMP2021Capital ExpenditureAsset replacement and renewalLow Pressure - Special crossingsconstant</t>
  </si>
  <si>
    <t>2025AMP2020Capital ExpenditureAsset replacement and renewalLow Pressure - Special crossingsconstant</t>
  </si>
  <si>
    <t>2025AMP2021Capital ExpenditureAsset replacement and renewalMedium pressure - Line valveconstant</t>
  </si>
  <si>
    <t>2025AMP2020Capital ExpenditureAsset replacement and renewalMedium pressure - Line valveconstant</t>
  </si>
  <si>
    <t>2025AMP2020Capital ExpenditureAsset replacement and renewalMedium pressure - Main pipeconstant</t>
  </si>
  <si>
    <t>2025AMP2021Capital ExpenditureAsset replacement and renewalMedium pressure - Main pipeconstant</t>
  </si>
  <si>
    <t>2025AMP2021Capital ExpenditureAsset replacement and renewalMedium pressure - Medium Pressure totalconstant</t>
  </si>
  <si>
    <t>2025AMP2020Capital ExpenditureAsset replacement and renewalMedium pressure - Medium Pressure totalconstant</t>
  </si>
  <si>
    <t>2025AMP2021Capital ExpenditureAsset replacement and renewalMedium pressure - Service pipeconstant</t>
  </si>
  <si>
    <t>2025AMP2020Capital ExpenditureAsset replacement and renewalMedium pressure - Service pipeconstant</t>
  </si>
  <si>
    <t>2025AMP2020Capital ExpenditureAsset replacement and renewalMedium pressure - Special crossingsconstant</t>
  </si>
  <si>
    <t>2025AMP2021Capital ExpenditureAsset replacement and renewalMedium pressure - Special crossingsconstant</t>
  </si>
  <si>
    <t>2025AMP2021Capital ExpenditureAsset replacement and renewalMedium pressure - Stationconstant</t>
  </si>
  <si>
    <t>2025AMP2020Capital ExpenditureAsset replacement and renewalMedium pressure - Stationconstant</t>
  </si>
  <si>
    <t>2025AMP2020Capital ExpenditureAsset replacement and renewalOther network assets - Cathodic protection systemsconstant</t>
  </si>
  <si>
    <t>2025AMP2021Capital ExpenditureAsset replacement and renewalOther network assets - Cathodic protection systemsconstant</t>
  </si>
  <si>
    <t>2025AMP2020Capital ExpenditureAsset replacement and renewalOther network assets - Monitoring and control systemsconstant</t>
  </si>
  <si>
    <t>2025AMP2021Capital ExpenditureAsset replacement and renewalOther network assets - Monitoring and control systemsconstant</t>
  </si>
  <si>
    <t>2025AMP2021Capital ExpenditureAsset replacement and renewalOther network assets - Other assets (other than above)constant</t>
  </si>
  <si>
    <t>2025AMP2020Capital ExpenditureAsset replacement and renewalOther network assets - Other assets (other than above)constant</t>
  </si>
  <si>
    <t>2025AMP2021Capital ExpenditureAsset replacement and renewalOther network assets - Other network assets totalconstant</t>
  </si>
  <si>
    <t>2025AMP2020Capital ExpenditureAsset replacement and renewalOther network assets - Other network assets totalconstant</t>
  </si>
  <si>
    <t>2025AMP2019Operating ExpenditureAsset replacement and renewalAsset replacement and renewalconstant</t>
  </si>
  <si>
    <t>2025AMP2018Operating ExpenditureAsset replacement and renewalAsset replacement and renewalconstant</t>
  </si>
  <si>
    <t>2025AMP2017Operating ExpenditureAsset replacement and renewalAsset replacement and renewalconstant</t>
  </si>
  <si>
    <t>2025AMP2016Operating ExpenditureAsset replacement and renewalAsset replacement and renewalconstant</t>
  </si>
  <si>
    <t>2025AMP2015Operating ExpenditureAsset replacement and renewalAsset replacement and renewalconstant</t>
  </si>
  <si>
    <t>2025AMP2020Operating ExpenditureAsset replacement and renewalAsset replacement and renewalconstant</t>
  </si>
  <si>
    <t>2025AMP2021Operating ExpenditureAsset replacement and renewalAsset replacement and renewalconstant</t>
  </si>
  <si>
    <t>2025AMP2017Operating ExpenditureAsset replacement and renewalAsset replacement and renewalnominal</t>
  </si>
  <si>
    <t>2025AMP2015Operating ExpenditureAsset replacement and renewalAsset replacement and renewalnominal</t>
  </si>
  <si>
    <t>2025AMP2021Operating ExpenditureAsset replacement and renewalAsset replacement and renewalnominal</t>
  </si>
  <si>
    <t>2025AMP2018Operating ExpenditureAsset replacement and renewalAsset replacement and renewalnominal</t>
  </si>
  <si>
    <t>2025AMP2016Operating ExpenditureAsset replacement and renewalAsset replacement and renewalnominal</t>
  </si>
  <si>
    <t>2025AMP2020Operating ExpenditureAsset replacement and renewalAsset replacement and renewalnominal</t>
  </si>
  <si>
    <t>2025AMP2019Operating ExpenditureAsset replacement and renewalAsset replacement and renewalnominal</t>
  </si>
  <si>
    <t>2025AMP2017Operating ExpenditureBusiness supportBusiness supportconstant</t>
  </si>
  <si>
    <t>2025AMP2015Operating ExpenditureBusiness supportBusiness supportconstant</t>
  </si>
  <si>
    <t>2025AMP2020Operating ExpenditureBusiness supportBusiness supportconstant</t>
  </si>
  <si>
    <t>2025AMP2016Operating ExpenditureBusiness supportBusiness supportconstant</t>
  </si>
  <si>
    <t>2025AMP2018Operating ExpenditureBusiness supportBusiness supportconstant</t>
  </si>
  <si>
    <t>2025AMP2019Operating ExpenditureBusiness supportBusiness supportconstant</t>
  </si>
  <si>
    <t>2025AMP2021Operating ExpenditureBusiness supportBusiness supportconstant</t>
  </si>
  <si>
    <t>2025AMP2016Operating ExpenditureBusiness supportBusiness supportnominal</t>
  </si>
  <si>
    <t>2025AMP2020Operating ExpenditureBusiness supportBusiness supportnominal</t>
  </si>
  <si>
    <t>2025AMP2018Operating ExpenditureBusiness supportBusiness supportnominal</t>
  </si>
  <si>
    <t>2025AMP2017Operating ExpenditureBusiness supportBusiness supportnominal</t>
  </si>
  <si>
    <t>2025AMP2019Operating ExpenditureBusiness supportBusiness supportnominal</t>
  </si>
  <si>
    <t>2025AMP2015Operating ExpenditureBusiness supportBusiness supportnominal</t>
  </si>
  <si>
    <t>2025AMP2021Operating ExpenditureBusiness supportBusiness supportnominal</t>
  </si>
  <si>
    <t>2025AMP2019Operating ExpenditureExpenditure on subcomponentsInsuranceconstant</t>
  </si>
  <si>
    <t>2025AMP2020Operating ExpenditureExpenditure on subcomponentsInsuranceconstant</t>
  </si>
  <si>
    <t>2025AMP2021Operating ExpenditureExpenditure on subcomponentsInsuranceconstant</t>
  </si>
  <si>
    <t>2025AMP2018Operating ExpenditureExpenditure on subcomponentsInsuranceconstant</t>
  </si>
  <si>
    <t>2025AMP2015Operating ExpenditureExpenditure on subcomponentsInsuranceconstant</t>
  </si>
  <si>
    <t>2025AMP2016Operating ExpenditureExpenditure on subcomponentsInsuranceconstant</t>
  </si>
  <si>
    <t>2025AMP2017Operating ExpenditureExpenditure on subcomponentsInsuranceconstant</t>
  </si>
  <si>
    <t>2025AMP2020Operating ExpenditureExpenditure on subcomponentsResearch and developmentconstant</t>
  </si>
  <si>
    <t>2025AMP2015Operating ExpenditureExpenditure on subcomponentsResearch and developmentconstant</t>
  </si>
  <si>
    <t>2025AMP2021Operating ExpenditureExpenditure on subcomponentsResearch and developmentconstant</t>
  </si>
  <si>
    <t>2025AMP2016Operating ExpenditureExpenditure on subcomponentsResearch and developmentconstant</t>
  </si>
  <si>
    <t>2025AMP2019Operating ExpenditureExpenditure on subcomponentsResearch and developmentconstant</t>
  </si>
  <si>
    <t>2025AMP2017Operating ExpenditureExpenditure on subcomponentsResearch and developmentconstant</t>
  </si>
  <si>
    <t>2025AMP2018Operating ExpenditureExpenditure on subcomponentsResearch and developmentconstant</t>
  </si>
  <si>
    <t>2025AMP2020Operating ExpenditureNetwork opexNetwork opexconstant</t>
  </si>
  <si>
    <t>2025AMP2019Operating ExpenditureNetwork opexNetwork opexconstant</t>
  </si>
  <si>
    <t>2025AMP2016Operating ExpenditureNetwork opexNetwork opexconstant</t>
  </si>
  <si>
    <t>2025AMP2015Operating ExpenditureNetwork opexNetwork opexconstant</t>
  </si>
  <si>
    <t>2025AMP2021Operating ExpenditureNetwork opexNetwork opexconstant</t>
  </si>
  <si>
    <t>2025AMP2018Operating ExpenditureNetwork opexNetwork opexconstant</t>
  </si>
  <si>
    <t>2025AMP2017Operating ExpenditureNetwork opexNetwork opexconstant</t>
  </si>
  <si>
    <t>2025AMP2017Operating ExpenditureNetwork opexNetwork opexnominal</t>
  </si>
  <si>
    <t>2025AMP2015Operating ExpenditureNetwork opexNetwork opexnominal</t>
  </si>
  <si>
    <t>2025AMP2018Operating ExpenditureNetwork opexNetwork opexnominal</t>
  </si>
  <si>
    <t>2025AMP2020Operating ExpenditureNetwork opexNetwork opexnominal</t>
  </si>
  <si>
    <t>2025AMP2021Operating ExpenditureNetwork opexNetwork opexnominal</t>
  </si>
  <si>
    <t>2025AMP2019Operating ExpenditureNetwork opexNetwork opexnominal</t>
  </si>
  <si>
    <t>2025AMP2016Operating ExpenditureNetwork opexNetwork opexnominal</t>
  </si>
  <si>
    <t>2025AMP2021Operating ExpenditureNon-network opexNon-network opexconstant</t>
  </si>
  <si>
    <t>2025AMP2019Operating ExpenditureNon-network opexNon-network opexconstant</t>
  </si>
  <si>
    <t>2025AMP2020Operating ExpenditureNon-network opexNon-network opexconstant</t>
  </si>
  <si>
    <t>2025AMP2016Operating ExpenditureNon-network opexNon-network opexconstant</t>
  </si>
  <si>
    <t>2025AMP2018Operating ExpenditureNon-network opexNon-network opexconstant</t>
  </si>
  <si>
    <t>2025AMP2015Operating ExpenditureNon-network opexNon-network opexconstant</t>
  </si>
  <si>
    <t>2025AMP2017Operating ExpenditureNon-network opexNon-network opexconstant</t>
  </si>
  <si>
    <t>2025AMP2015Operating ExpenditureNon-network opexNon-network opexnominal</t>
  </si>
  <si>
    <t>2025AMP2017Operating ExpenditureNon-network opexNon-network opexnominal</t>
  </si>
  <si>
    <t>2025AMP2016Operating ExpenditureNon-network opexNon-network opexnominal</t>
  </si>
  <si>
    <t>2025AMP2018Operating ExpenditureNon-network opexNon-network opexnominal</t>
  </si>
  <si>
    <t>2025AMP2021Operating ExpenditureNon-network opexNon-network opexnominal</t>
  </si>
  <si>
    <t>2025AMP2020Operating ExpenditureNon-network opexNon-network opexnominal</t>
  </si>
  <si>
    <t>2025AMP2019Operating ExpenditureNon-network opexNon-network opexnominal</t>
  </si>
  <si>
    <t>2025AMP2020Operating ExpenditureResearch and developmentResearch and developmentconstant</t>
  </si>
  <si>
    <t>2025AMP2016Operating ExpenditureResearch and developmentResearch and developmentconstant</t>
  </si>
  <si>
    <t>2025AMP2017Operating ExpenditureResearch and developmentResearch and developmentconstant</t>
  </si>
  <si>
    <t>2025AMP2015Operating ExpenditureResearch and developmentResearch and developmentconstant</t>
  </si>
  <si>
    <t>2025AMP2018Operating ExpenditureResearch and developmentResearch and developmentconstant</t>
  </si>
  <si>
    <t>2025AMP2021Operating ExpenditureResearch and developmentResearch and developmentconstant</t>
  </si>
  <si>
    <t>2025AMP2019Operating ExpenditureResearch and developmentResearch and developmentconstant</t>
  </si>
  <si>
    <t>2025AMP2019Operating ExpenditureRoutine and corrective maintenance and inspectionRoutine and corrective maintenance and inspectionconstant</t>
  </si>
  <si>
    <t>2025AMP2018Operating ExpenditureRoutine and corrective maintenance and inspectionRoutine and corrective maintenance and inspectionconstant</t>
  </si>
  <si>
    <t>2025AMP2020Operating ExpenditureRoutine and corrective maintenance and inspectionRoutine and corrective maintenance and inspectionconstant</t>
  </si>
  <si>
    <t>2025AMP2016Operating ExpenditureRoutine and corrective maintenance and inspectionRoutine and corrective maintenance and inspectionconstant</t>
  </si>
  <si>
    <t>2025AMP2017Operating ExpenditureRoutine and corrective maintenance and inspectionRoutine and corrective maintenance and inspectionconstant</t>
  </si>
  <si>
    <t>2025AMP2015Operating ExpenditureRoutine and corrective maintenance and inspectionRoutine and corrective maintenance and inspectionconstant</t>
  </si>
  <si>
    <t>2025AMP2021Operating ExpenditureRoutine and corrective maintenance and inspectionRoutine and corrective maintenance and inspectionconstant</t>
  </si>
  <si>
    <t>2025AMP2018Operating ExpenditureRoutine and corrective maintenance and inspectionRoutine and corrective maintenance and inspectionnominal</t>
  </si>
  <si>
    <t>2025AMP2017Operating ExpenditureRoutine and corrective maintenance and inspectionRoutine and corrective maintenance and inspectionnominal</t>
  </si>
  <si>
    <t>2025AMP2021Operating ExpenditureRoutine and corrective maintenance and inspectionRoutine and corrective maintenance and inspectionnominal</t>
  </si>
  <si>
    <t>2025AMP2019Operating ExpenditureRoutine and corrective maintenance and inspectionRoutine and corrective maintenance and inspectionnominal</t>
  </si>
  <si>
    <t>2025AMP2015Operating ExpenditureRoutine and corrective maintenance and inspectionRoutine and corrective maintenance and inspectionnominal</t>
  </si>
  <si>
    <t>2025AMP2020Operating ExpenditureRoutine and corrective maintenance and inspectionRoutine and corrective maintenance and inspectionnominal</t>
  </si>
  <si>
    <t>2025AMP2016Operating ExpenditureRoutine and corrective maintenance and inspectionRoutine and corrective maintenance and inspectionnominal</t>
  </si>
  <si>
    <t>2025AMP2019Operating ExpenditureService interruptions, incidents and emergenciesService interruptions, incidents and emergenciesconstant</t>
  </si>
  <si>
    <t>2025AMP2020Operating ExpenditureService interruptions, incidents and emergenciesService interruptions, incidents and emergenciesconstant</t>
  </si>
  <si>
    <t>2025AMP2016Operating ExpenditureService interruptions, incidents and emergenciesService interruptions, incidents and emergenciesconstant</t>
  </si>
  <si>
    <t>2025AMP2017Operating ExpenditureService interruptions, incidents and emergenciesService interruptions, incidents and emergenciesconstant</t>
  </si>
  <si>
    <t>2025AMP2015Operating ExpenditureService interruptions, incidents and emergenciesService interruptions, incidents and emergenciesconstant</t>
  </si>
  <si>
    <t>2025AMP2018Operating ExpenditureService interruptions, incidents and emergenciesService interruptions, incidents and emergenciesconstant</t>
  </si>
  <si>
    <t>2025AMP2021Operating ExpenditureService interruptions, incidents and emergenciesService interruptions, incidents and emergenciesconstant</t>
  </si>
  <si>
    <t>2025AMP2015Operating ExpenditureService interruptions, incidents and emergenciesService interruptions, incidents and emergenciesnominal</t>
  </si>
  <si>
    <t>2025AMP2016Operating ExpenditureService interruptions, incidents and emergenciesService interruptions, incidents and emergenciesnominal</t>
  </si>
  <si>
    <t>2025AMP2020Operating ExpenditureService interruptions, incidents and emergenciesService interruptions, incidents and emergenciesnominal</t>
  </si>
  <si>
    <t>2025AMP2017Operating ExpenditureService interruptions, incidents and emergenciesService interruptions, incidents and emergenciesnominal</t>
  </si>
  <si>
    <t>2025AMP2019Operating ExpenditureService interruptions, incidents and emergenciesService interruptions, incidents and emergenciesnominal</t>
  </si>
  <si>
    <t>2025AMP2018Operating ExpenditureService interruptions, incidents and emergenciesService interruptions, incidents and emergenciesnominal</t>
  </si>
  <si>
    <t>2025AMP2021Operating ExpenditureService interruptions, incidents and emergenciesService interruptions, incidents and emergenciesnominal</t>
  </si>
  <si>
    <t>2025AMP2018Operating ExpenditureSystem operations and network supportSystem operations and network supportconstant</t>
  </si>
  <si>
    <t>2025AMP2021Operating ExpenditureSystem operations and network supportSystem operations and network supportconstant</t>
  </si>
  <si>
    <t>2025AMP2020Operating ExpenditureSystem operations and network supportSystem operations and network supportconstant</t>
  </si>
  <si>
    <t>2025AMP2019Operating ExpenditureSystem operations and network supportSystem operations and network supportconstant</t>
  </si>
  <si>
    <t>2025AMP2017Operating ExpenditureSystem operations and network supportSystem operations and network supportconstant</t>
  </si>
  <si>
    <t>2025AMP2015Operating ExpenditureSystem operations and network supportSystem operations and network supportconstant</t>
  </si>
  <si>
    <t>2025AMP2016Operating ExpenditureSystem operations and network supportSystem operations and network supportconstant</t>
  </si>
  <si>
    <t>2025AMP2016Operating ExpenditureSystem operations and network supportSystem operations and network supportnominal</t>
  </si>
  <si>
    <t>2025AMP2018Operating ExpenditureSystem operations and network supportSystem operations and network supportnominal</t>
  </si>
  <si>
    <t>2025AMP2017Operating ExpenditureSystem operations and network supportSystem operations and network supportnominal</t>
  </si>
  <si>
    <t>2025AMP2021Operating ExpenditureSystem operations and network supportSystem operations and network supportnominal</t>
  </si>
  <si>
    <t>2025AMP2019Operating ExpenditureSystem operations and network supportSystem operations and network supportnominal</t>
  </si>
  <si>
    <t>2025AMP2015Operating ExpenditureSystem operations and network supportSystem operations and network supportnominal</t>
  </si>
  <si>
    <t>2025AMP2020Operating ExpenditureSystem operations and network supportSystem operations and network supportnominal</t>
  </si>
  <si>
    <t>2025AMP2015Operating ExpenditureTotal opexOperational expenditureconstant</t>
  </si>
  <si>
    <t>2025AMP2016Operating ExpenditureTotal opexOperational expenditureconstant</t>
  </si>
  <si>
    <t>2025AMP2018Operating ExpenditureTotal opexOperational expenditureconstant</t>
  </si>
  <si>
    <t>2025AMP2021Operating ExpenditureTotal opexOperational expenditureconstant</t>
  </si>
  <si>
    <t>2025AMP2020Operating ExpenditureTotal opexOperational expenditureconstant</t>
  </si>
  <si>
    <t>2025AMP2017Operating ExpenditureTotal opexOperational expenditureconstant</t>
  </si>
  <si>
    <t>2025AMP2019Operating ExpenditureTotal opexOperational expenditureconstant</t>
  </si>
  <si>
    <t>2025AMP2019Operating ExpenditureTotal opexOperational expenditurenominal</t>
  </si>
  <si>
    <t>2025AMP2016Operating ExpenditureTotal opexOperational expenditurenominal</t>
  </si>
  <si>
    <t>2025AMP2018Operating ExpenditureTotal opexOperational expenditurenominal</t>
  </si>
  <si>
    <t>2025AMP2017Operating ExpenditureTotal opexOperational expenditurenominal</t>
  </si>
  <si>
    <t>2025AMP2015Operating ExpenditureTotal opexOperational expenditurenominal</t>
  </si>
  <si>
    <t>2025AMP2020Operating ExpenditureTotal opexOperational expenditurenominal</t>
  </si>
  <si>
    <t>2025AMP2021Operating ExpenditureTotal opexOperational expenditurenominal</t>
  </si>
  <si>
    <t>2026AMP2018Capital ExpenditureAll assetsExpenditure on assetsconstant</t>
  </si>
  <si>
    <t>2026AMP2019Capital ExpenditureAll assetsExpenditure on assetsconstant</t>
  </si>
  <si>
    <t>2026AMP2017Capital ExpenditureAll assetsExpenditure on assetsconstant</t>
  </si>
  <si>
    <t>2026AMP2020Capital ExpenditureAll assetsExpenditure on assetsconstant</t>
  </si>
  <si>
    <t>2026AMP2016Capital ExpenditureAll assetsExpenditure on assetsconstant</t>
  </si>
  <si>
    <t>2026AMP2021Capital ExpenditureAll assetsExpenditure on assetsconstant</t>
  </si>
  <si>
    <t>2026AMP2021Capital ExpenditureAll assetsExpenditure on assetsnominal</t>
  </si>
  <si>
    <t>2026AMP2019Capital ExpenditureAll assetsExpenditure on assetsnominal</t>
  </si>
  <si>
    <t>2026AMP2017Capital ExpenditureAll assetsExpenditure on assetsnominal</t>
  </si>
  <si>
    <t>2026AMP2016Capital ExpenditureAll assetsExpenditure on assetsnominal</t>
  </si>
  <si>
    <t>2026AMP2020Capital ExpenditureAll assetsExpenditure on assetsnominal</t>
  </si>
  <si>
    <t>2026AMP2018Capital ExpenditureAll assetsExpenditure on assetsnominal</t>
  </si>
  <si>
    <t>2026AMP2020Capital ExpenditureAsset relocationsAsset relocationsconstant</t>
  </si>
  <si>
    <t>2026AMP2019Capital ExpenditureAsset relocationsAsset relocationsconstant</t>
  </si>
  <si>
    <t>2026AMP2016Capital ExpenditureAsset relocationsAsset relocationsconstant</t>
  </si>
  <si>
    <t>2026AMP2017Capital ExpenditureAsset relocationsAsset relocationsconstant</t>
  </si>
  <si>
    <t>2026AMP2018Capital ExpenditureAsset relocationsAsset relocationsconstant</t>
  </si>
  <si>
    <t>2026AMP2021Capital ExpenditureAsset relocationsAsset relocationsconstant</t>
  </si>
  <si>
    <t>2026AMP2020Capital ExpenditureAsset relocationsAsset relocationsnominal</t>
  </si>
  <si>
    <t>2026AMP2018Capital ExpenditureAsset relocationsAsset relocationsnominal</t>
  </si>
  <si>
    <t>2026AMP2021Capital ExpenditureAsset relocationsAsset relocationsnominal</t>
  </si>
  <si>
    <t>2026AMP2017Capital ExpenditureAsset relocationsAsset relocationsnominal</t>
  </si>
  <si>
    <t>2026AMP2019Capital ExpenditureAsset relocationsAsset relocationsnominal</t>
  </si>
  <si>
    <t>2026AMP2016Capital ExpenditureAsset relocationsAsset relocationsnominal</t>
  </si>
  <si>
    <t>2026AMP2020Capital ExpenditureAsset replacement and renewalAsset replacement and renewalconstant</t>
  </si>
  <si>
    <t>2026AMP2016Capital ExpenditureAsset replacement and renewalAsset replacement and renewalconstant</t>
  </si>
  <si>
    <t>2026AMP2021Capital ExpenditureAsset replacement and renewalAsset replacement and renewalconstant</t>
  </si>
  <si>
    <t>2026AMP2019Capital ExpenditureAsset replacement and renewalAsset replacement and renewalconstant</t>
  </si>
  <si>
    <t>2026AMP2018Capital ExpenditureAsset replacement and renewalAsset replacement and renewalconstant</t>
  </si>
  <si>
    <t>2026AMP2017Capital ExpenditureAsset replacement and renewalAsset replacement and renewalconstant</t>
  </si>
  <si>
    <t>2026AMP2018Capital ExpenditureAsset replacement and renewalAsset replacement and renewalnominal</t>
  </si>
  <si>
    <t>2026AMP2017Capital ExpenditureAsset replacement and renewalAsset replacement and renewalnominal</t>
  </si>
  <si>
    <t>2026AMP2020Capital ExpenditureAsset replacement and renewalAsset replacement and renewalnominal</t>
  </si>
  <si>
    <t>2026AMP2021Capital ExpenditureAsset replacement and renewalAsset replacement and renewalnominal</t>
  </si>
  <si>
    <t>2026AMP2016Capital ExpenditureAsset replacement and renewalAsset replacement and renewalnominal</t>
  </si>
  <si>
    <t>2026AMP2019Capital ExpenditureAsset replacement and renewalAsset replacement and renewalnominal</t>
  </si>
  <si>
    <t>2026AMP2021Capital ExpenditureAssets commissionedAssets commissionednominal</t>
  </si>
  <si>
    <t>2026AMP2020Capital ExpenditureAssets commissionedAssets commissionednominal</t>
  </si>
  <si>
    <t>2026AMP2018Capital ExpenditureAssets commissionedAssets commissionednominal</t>
  </si>
  <si>
    <t>2026AMP2017Capital ExpenditureAssets commissionedAssets commissionednominal</t>
  </si>
  <si>
    <t>2026AMP2019Capital ExpenditureAssets commissionedAssets commissionednominal</t>
  </si>
  <si>
    <t>2026AMP2016Capital ExpenditureAssets commissionedAssets commissionednominal</t>
  </si>
  <si>
    <t>2026AMP2020Capital ExpenditureCapital expenditure forecastCapital expenditure forecastnominal</t>
  </si>
  <si>
    <t>2026AMP2018Capital ExpenditureCapital expenditure forecastCapital expenditure forecastnominal</t>
  </si>
  <si>
    <t>2026AMP2019Capital ExpenditureCapital expenditure forecastCapital expenditure forecastnominal</t>
  </si>
  <si>
    <t>2026AMP2021Capital ExpenditureCapital expenditure forecastCapital expenditure forecastnominal</t>
  </si>
  <si>
    <t>2026AMP2016Capital ExpenditureCapital expenditure forecastCapital expenditure forecastnominal</t>
  </si>
  <si>
    <t>2026AMP2017Capital ExpenditureCapital expenditure forecastCapital expenditure forecastnominal</t>
  </si>
  <si>
    <t>2026AMP2019Capital ExpenditureConsumer connectionConsumer connectionconstant</t>
  </si>
  <si>
    <t>2026AMP2017Capital ExpenditureConsumer connectionConsumer connectionconstant</t>
  </si>
  <si>
    <t>2026AMP2018Capital ExpenditureConsumer connectionConsumer connectionconstant</t>
  </si>
  <si>
    <t>2026AMP2021Capital ExpenditureConsumer connectionConsumer connectionconstant</t>
  </si>
  <si>
    <t>2026AMP2020Capital ExpenditureConsumer connectionConsumer connectionconstant</t>
  </si>
  <si>
    <t>2026AMP2016Capital ExpenditureConsumer connectionConsumer connectionconstant</t>
  </si>
  <si>
    <t>2026AMP2016Capital ExpenditureConsumer connectionConsumer connectionnominal</t>
  </si>
  <si>
    <t>2026AMP2021Capital ExpenditureConsumer connectionConsumer connectionnominal</t>
  </si>
  <si>
    <t>2026AMP2020Capital ExpenditureConsumer connectionConsumer connectionnominal</t>
  </si>
  <si>
    <t>2026AMP2017Capital ExpenditureConsumer connectionConsumer connectionnominal</t>
  </si>
  <si>
    <t>2026AMP2018Capital ExpenditureConsumer connectionConsumer connectionnominal</t>
  </si>
  <si>
    <t>2026AMP2019Capital ExpenditureConsumer connectionConsumer connectionnominal</t>
  </si>
  <si>
    <t>2026AMP2019Capital ExpenditureCost of financingCost of financingnominal</t>
  </si>
  <si>
    <t>2026AMP2020Capital ExpenditureCost of financingCost of financingnominal</t>
  </si>
  <si>
    <t>2026AMP2021Capital ExpenditureCost of financingCost of financingnominal</t>
  </si>
  <si>
    <t>2026AMP2018Capital ExpenditureCost of financingCost of financingnominal</t>
  </si>
  <si>
    <t>2026AMP2017Capital ExpenditureCost of financingCost of financingnominal</t>
  </si>
  <si>
    <t>2026AMP2016Capital ExpenditureCost of financingCost of financingnominal</t>
  </si>
  <si>
    <t>2026AMP2018Capital ExpenditureExpenditure on subcomponentsResearch and developmentconstant</t>
  </si>
  <si>
    <t>2026AMP2016Capital ExpenditureExpenditure on subcomponentsResearch and developmentconstant</t>
  </si>
  <si>
    <t>2026AMP2021Capital ExpenditureExpenditure on subcomponentsResearch and developmentconstant</t>
  </si>
  <si>
    <t>2026AMP2019Capital ExpenditureExpenditure on subcomponentsResearch and developmentconstant</t>
  </si>
  <si>
    <t>2026AMP2020Capital ExpenditureExpenditure on subcomponentsResearch and developmentconstant</t>
  </si>
  <si>
    <t>2026AMP2017Capital ExpenditureExpenditure on subcomponentsResearch and developmentconstant</t>
  </si>
  <si>
    <t>2026AMP2020Capital ExpenditureNetwork assetsExpenditure on network assetsconstant</t>
  </si>
  <si>
    <t>2026AMP2021Capital ExpenditureNetwork assetsExpenditure on network assetsconstant</t>
  </si>
  <si>
    <t>2026AMP2019Capital ExpenditureNetwork assetsExpenditure on network assetsconstant</t>
  </si>
  <si>
    <t>2026AMP2018Capital ExpenditureNetwork assetsExpenditure on network assetsconstant</t>
  </si>
  <si>
    <t>2026AMP2017Capital ExpenditureNetwork assetsExpenditure on network assetsconstant</t>
  </si>
  <si>
    <t>2026AMP2016Capital ExpenditureNetwork assetsExpenditure on network assetsconstant</t>
  </si>
  <si>
    <t>2026AMP2021Capital ExpenditureNetwork assetsExpenditure on network assetsnominal</t>
  </si>
  <si>
    <t>2026AMP2016Capital ExpenditureNetwork assetsExpenditure on network assetsnominal</t>
  </si>
  <si>
    <t>2026AMP2020Capital ExpenditureNetwork assetsExpenditure on network assetsnominal</t>
  </si>
  <si>
    <t>2026AMP2018Capital ExpenditureNetwork assetsExpenditure on network assetsnominal</t>
  </si>
  <si>
    <t>2026AMP2019Capital ExpenditureNetwork assetsExpenditure on network assetsnominal</t>
  </si>
  <si>
    <t>2026AMP2017Capital ExpenditureNetwork assetsExpenditure on network assetsnominal</t>
  </si>
  <si>
    <t>2026AMP2018Capital ExpenditureNon-network assetsNon-network assetsconstant</t>
  </si>
  <si>
    <t>2026AMP2020Capital ExpenditureNon-network assetsNon-network assetsconstant</t>
  </si>
  <si>
    <t>2026AMP2019Capital ExpenditureNon-network assetsNon-network assetsconstant</t>
  </si>
  <si>
    <t>2026AMP2021Capital ExpenditureNon-network assetsNon-network assetsconstant</t>
  </si>
  <si>
    <t>2026AMP2017Capital ExpenditureNon-network assetsNon-network assetsconstant</t>
  </si>
  <si>
    <t>2026AMP2016Capital ExpenditureNon-network assetsNon-network assetsconstant</t>
  </si>
  <si>
    <t>2026AMP2021Capital ExpenditureNon-network assetsNon-network assetsnominal</t>
  </si>
  <si>
    <t>2026AMP2019Capital ExpenditureNon-network assetsNon-network assetsnominal</t>
  </si>
  <si>
    <t>2026AMP2018Capital ExpenditureNon-network assetsNon-network assetsnominal</t>
  </si>
  <si>
    <t>2026AMP2020Capital ExpenditureNon-network assetsNon-network assetsnominal</t>
  </si>
  <si>
    <t>2026AMP2016Capital ExpenditureNon-network assetsNon-network assetsnominal</t>
  </si>
  <si>
    <t>2026AMP2017Capital ExpenditureNon-network assetsNon-network assetsnominal</t>
  </si>
  <si>
    <t>2026AMP2018Capital ExpenditureReliability, safety and environmentLegislative and regulatoryconstant</t>
  </si>
  <si>
    <t>2026AMP2021Capital ExpenditureReliability, safety and environmentLegislative and regulatoryconstant</t>
  </si>
  <si>
    <t>2026AMP2019Capital ExpenditureReliability, safety and environmentLegislative and regulatoryconstant</t>
  </si>
  <si>
    <t>2026AMP2016Capital ExpenditureReliability, safety and environmentLegislative and regulatoryconstant</t>
  </si>
  <si>
    <t>2026AMP2017Capital ExpenditureReliability, safety and environmentLegislative and regulatoryconstant</t>
  </si>
  <si>
    <t>2026AMP2020Capital ExpenditureReliability, safety and environmentLegislative and regulatoryconstant</t>
  </si>
  <si>
    <t>2026AMP2020Capital ExpenditureReliability, safety and environmentLegislative and regulatorynominal</t>
  </si>
  <si>
    <t>2026AMP2018Capital ExpenditureReliability, safety and environmentLegislative and regulatorynominal</t>
  </si>
  <si>
    <t>2026AMP2021Capital ExpenditureReliability, safety and environmentLegislative and regulatorynominal</t>
  </si>
  <si>
    <t>2026AMP2017Capital ExpenditureReliability, safety and environmentLegislative and regulatorynominal</t>
  </si>
  <si>
    <t>2026AMP2016Capital ExpenditureReliability, safety and environmentLegislative and regulatorynominal</t>
  </si>
  <si>
    <t>2026AMP2019Capital ExpenditureReliability, safety and environmentLegislative and regulatorynominal</t>
  </si>
  <si>
    <t>2026AMP2019Capital ExpenditureReliability, safety and environmentOther reliability, safety and environmentconstant</t>
  </si>
  <si>
    <t>2026AMP2017Capital ExpenditureReliability, safety and environmentOther reliability, safety and environmentconstant</t>
  </si>
  <si>
    <t>2026AMP2018Capital ExpenditureReliability, safety and environmentOther reliability, safety and environmentconstant</t>
  </si>
  <si>
    <t>2026AMP2016Capital ExpenditureReliability, safety and environmentOther reliability, safety and environmentconstant</t>
  </si>
  <si>
    <t>2026AMP2020Capital ExpenditureReliability, safety and environmentOther reliability, safety and environmentconstant</t>
  </si>
  <si>
    <t>2026AMP2021Capital ExpenditureReliability, safety and environmentOther reliability, safety and environmentconstant</t>
  </si>
  <si>
    <t>2026AMP2019Capital ExpenditureReliability, safety and environmentOther reliability, safety and environmentnominal</t>
  </si>
  <si>
    <t>2026AMP2020Capital ExpenditureReliability, safety and environmentOther reliability, safety and environmentnominal</t>
  </si>
  <si>
    <t>2026AMP2021Capital ExpenditureReliability, safety and environmentOther reliability, safety and environmentnominal</t>
  </si>
  <si>
    <t>2026AMP2016Capital ExpenditureReliability, safety and environmentOther reliability, safety and environmentnominal</t>
  </si>
  <si>
    <t>2026AMP2018Capital ExpenditureReliability, safety and environmentOther reliability, safety and environmentnominal</t>
  </si>
  <si>
    <t>2026AMP2017Capital ExpenditureReliability, safety and environmentOther reliability, safety and environmentnominal</t>
  </si>
  <si>
    <t>2026AMP2018Capital ExpenditureReliability, safety and environmentQuality of supplyconstant</t>
  </si>
  <si>
    <t>2026AMP2017Capital ExpenditureReliability, safety and environmentQuality of supplyconstant</t>
  </si>
  <si>
    <t>2026AMP2020Capital ExpenditureReliability, safety and environmentQuality of supplyconstant</t>
  </si>
  <si>
    <t>2026AMP2019Capital ExpenditureReliability, safety and environmentQuality of supplyconstant</t>
  </si>
  <si>
    <t>2026AMP2016Capital ExpenditureReliability, safety and environmentQuality of supplyconstant</t>
  </si>
  <si>
    <t>2026AMP2021Capital ExpenditureReliability, safety and environmentQuality of supplyconstant</t>
  </si>
  <si>
    <t>2026AMP2016Capital ExpenditureReliability, safety and environmentQuality of supplynominal</t>
  </si>
  <si>
    <t>2026AMP2021Capital ExpenditureReliability, safety and environmentQuality of supplynominal</t>
  </si>
  <si>
    <t>2026AMP2020Capital ExpenditureReliability, safety and environmentQuality of supplynominal</t>
  </si>
  <si>
    <t>2026AMP2018Capital ExpenditureReliability, safety and environmentQuality of supplynominal</t>
  </si>
  <si>
    <t>2026AMP2019Capital ExpenditureReliability, safety and environmentQuality of supplynominal</t>
  </si>
  <si>
    <t>2026AMP2017Capital ExpenditureReliability, safety and environmentQuality of supplynominal</t>
  </si>
  <si>
    <t>2026AMP2018Capital ExpenditureReliability, safety and environmentTotal reliability, safety and environmentconstant</t>
  </si>
  <si>
    <t>2026AMP2021Capital ExpenditureReliability, safety and environmentTotal reliability, safety and environmentconstant</t>
  </si>
  <si>
    <t>2026AMP2020Capital ExpenditureReliability, safety and environmentTotal reliability, safety and environmentconstant</t>
  </si>
  <si>
    <t>2026AMP2019Capital ExpenditureReliability, safety and environmentTotal reliability, safety and environmentconstant</t>
  </si>
  <si>
    <t>2026AMP2017Capital ExpenditureReliability, safety and environmentTotal reliability, safety and environmentconstant</t>
  </si>
  <si>
    <t>2026AMP2016Capital ExpenditureReliability, safety and environmentTotal reliability, safety and environmentconstant</t>
  </si>
  <si>
    <t>2026AMP2020Capital ExpenditureReliability, safety and environmentTotal reliability, safety and environmentnominal</t>
  </si>
  <si>
    <t>2026AMP2021Capital ExpenditureReliability, safety and environmentTotal reliability, safety and environmentnominal</t>
  </si>
  <si>
    <t>2026AMP2019Capital ExpenditureReliability, safety and environmentTotal reliability, safety and environmentnominal</t>
  </si>
  <si>
    <t>2026AMP2017Capital ExpenditureReliability, safety and environmentTotal reliability, safety and environmentnominal</t>
  </si>
  <si>
    <t>2026AMP2016Capital ExpenditureReliability, safety and environmentTotal reliability, safety and environmentnominal</t>
  </si>
  <si>
    <t>2026AMP2018Capital ExpenditureReliability, safety and environmentTotal reliability, safety and environmentnominal</t>
  </si>
  <si>
    <t>2026AMP2021Capital ExpenditureSystem growthSystem growthconstant</t>
  </si>
  <si>
    <t>2026AMP2018Capital ExpenditureSystem growthSystem growthconstant</t>
  </si>
  <si>
    <t>2026AMP2020Capital ExpenditureSystem growthSystem growthconstant</t>
  </si>
  <si>
    <t>2026AMP2016Capital ExpenditureSystem growthSystem growthconstant</t>
  </si>
  <si>
    <t>2026AMP2017Capital ExpenditureSystem growthSystem growthconstant</t>
  </si>
  <si>
    <t>2026AMP2019Capital ExpenditureSystem growthSystem growthconstant</t>
  </si>
  <si>
    <t>2026AMP2017Capital ExpenditureSystem growthSystem growthnominal</t>
  </si>
  <si>
    <t>2026AMP2019Capital ExpenditureSystem growthSystem growthnominal</t>
  </si>
  <si>
    <t>2026AMP2020Capital ExpenditureSystem growthSystem growthnominal</t>
  </si>
  <si>
    <t>2026AMP2016Capital ExpenditureSystem growthSystem growthnominal</t>
  </si>
  <si>
    <t>2026AMP2021Capital ExpenditureSystem growthSystem growthnominal</t>
  </si>
  <si>
    <t>2026AMP2018Capital ExpenditureSystem growthSystem growthnominal</t>
  </si>
  <si>
    <t>2026AMP2019Capital ExpenditureValue of capital contributionsValue of capital contributionsnominal</t>
  </si>
  <si>
    <t>2026AMP2020Capital ExpenditureValue of capital contributionsValue of capital contributionsnominal</t>
  </si>
  <si>
    <t>2026AMP2016Capital ExpenditureValue of capital contributionsValue of capital contributionsnominal</t>
  </si>
  <si>
    <t>2026AMP2021Capital ExpenditureValue of capital contributionsValue of capital contributionsnominal</t>
  </si>
  <si>
    <t>2026AMP2018Capital ExpenditureValue of capital contributionsValue of capital contributionsnominal</t>
  </si>
  <si>
    <t>2026AMP2017Capital ExpenditureValue of capital contributionsValue of capital contributionsnominal</t>
  </si>
  <si>
    <t>2026AMP2017Capital ExpenditureValue of commissioned assetsValue of commissioned assetsnominal</t>
  </si>
  <si>
    <t>2026AMP2021Capital ExpenditureValue of vested assetsValue of vested assetsnominal</t>
  </si>
  <si>
    <t>2026AMP2020Capital ExpenditureValue of vested assetsValue of vested assetsnominal</t>
  </si>
  <si>
    <t>2026AMP2018Capital ExpenditureValue of vested assetsValue of vested assetsnominal</t>
  </si>
  <si>
    <t>2026AMP2016Capital ExpenditureValue of vested assetsValue of vested assetsnominal</t>
  </si>
  <si>
    <t>2026AMP2019Capital ExpenditureValue of vested assetsValue of vested assetsnominal</t>
  </si>
  <si>
    <t>2026AMP2017Capital ExpenditureValue of vested assetsValue of vested assetsnominal</t>
  </si>
  <si>
    <t>2026AMP2021Capital ExpenditureAsset replacement and renewalAsset replacement and renewal expenditure - Asset replacement and renewal expenditureconstant</t>
  </si>
  <si>
    <t>2026AMP2021Capital ExpenditureAsset replacement and renewalAsset replacement and renewal expenditure - Capital contributions funding asset replacement and renewalconstant</t>
  </si>
  <si>
    <t>2026AMP2021Capital ExpenditureAsset replacement and renewalAsset replacement and renewal less capital contributions - Asset replacement and renewal less capital contributionsconstant</t>
  </si>
  <si>
    <t>2026AMP2021Capital ExpenditureAsset replacement and renewalIntermediate pressure - Intermediate Pressure totalconstant</t>
  </si>
  <si>
    <t>2026AMP2021Capital ExpenditureAsset replacement and renewalIntermediate pressure - Line valveconstant</t>
  </si>
  <si>
    <t>2026AMP2021Capital ExpenditureAsset replacement and renewalIntermediate pressure - Main pipeconstant</t>
  </si>
  <si>
    <t>2026AMP2021Capital ExpenditureAsset replacement and renewalIntermediate pressure - Service pipeconstant</t>
  </si>
  <si>
    <t>2026AMP2021Capital ExpenditureAsset replacement and renewalIntermediate pressure - Special crossingsconstant</t>
  </si>
  <si>
    <t>2026AMP2021Capital ExpenditureAsset replacement and renewalIntermediate pressure - Stationsconstant</t>
  </si>
  <si>
    <t>2026AMP2021Capital ExpenditureAsset replacement and renewalLow Pressure - Line valveconstant</t>
  </si>
  <si>
    <t>2026AMP2021Capital ExpenditureAsset replacement and renewalLow Pressure - Low Pressure totalconstant</t>
  </si>
  <si>
    <t>2026AMP2021Capital ExpenditureAsset replacement and renewalLow Pressure - Main pipeconstant</t>
  </si>
  <si>
    <t>2026AMP2021Capital ExpenditureAsset replacement and renewalLow Pressure - Service pipeconstant</t>
  </si>
  <si>
    <t>2026AMP2021Capital ExpenditureAsset replacement and renewalLow Pressure - Special crossingsconstant</t>
  </si>
  <si>
    <t>2026AMP2021Capital ExpenditureAsset replacement and renewalMedium pressure - Line valveconstant</t>
  </si>
  <si>
    <t>2026AMP2021Capital ExpenditureAsset replacement and renewalMedium pressure - Main pipeconstant</t>
  </si>
  <si>
    <t>2026AMP2021Capital ExpenditureAsset replacement and renewalMedium pressure - Medium Pressure totalconstant</t>
  </si>
  <si>
    <t>2026AMP2021Capital ExpenditureAsset replacement and renewalMedium pressure - Service pipeconstant</t>
  </si>
  <si>
    <t>2026AMP2021Capital ExpenditureAsset replacement and renewalMedium pressure - Special crossingsconstant</t>
  </si>
  <si>
    <t>2026AMP2021Capital ExpenditureAsset replacement and renewalMedium pressure - Stationconstant</t>
  </si>
  <si>
    <t>2026AMP2021Capital ExpenditureAsset replacement and renewalOther network assets - Cathodic protection systemsconstant</t>
  </si>
  <si>
    <t>2026AMP2021Capital ExpenditureAsset replacement and renewalOther network assets - Monitoring and control systemsconstant</t>
  </si>
  <si>
    <t>2026AMP2021Capital ExpenditureAsset replacement and renewalOther network assets - Other assets (other than above)constant</t>
  </si>
  <si>
    <t>2026AMP2021Capital ExpenditureAsset replacement and renewalOther network assets - Other network assets totalconstant</t>
  </si>
  <si>
    <t>2026AMP2017Operating ExpenditureAsset replacement and renewalAsset replacement and renewalconstant</t>
  </si>
  <si>
    <t>2026AMP2019Operating ExpenditureAsset replacement and renewalAsset replacement and renewalconstant</t>
  </si>
  <si>
    <t>2026AMP2018Operating ExpenditureAsset replacement and renewalAsset replacement and renewalconstant</t>
  </si>
  <si>
    <t>2026AMP2020Operating ExpenditureAsset replacement and renewalAsset replacement and renewalconstant</t>
  </si>
  <si>
    <t>2026AMP2021Operating ExpenditureAsset replacement and renewalAsset replacement and renewalconstant</t>
  </si>
  <si>
    <t>2026AMP2016Operating ExpenditureAsset replacement and renewalAsset replacement and renewalconstant</t>
  </si>
  <si>
    <t>2026AMP2016Operating ExpenditureAsset replacement and renewalAsset replacement and renewalnominal</t>
  </si>
  <si>
    <t>2026AMP2017Operating ExpenditureAsset replacement and renewalAsset replacement and renewalnominal</t>
  </si>
  <si>
    <t>2026AMP2019Operating ExpenditureAsset replacement and renewalAsset replacement and renewalnominal</t>
  </si>
  <si>
    <t>2026AMP2021Operating ExpenditureAsset replacement and renewalAsset replacement and renewalnominal</t>
  </si>
  <si>
    <t>2026AMP2018Operating ExpenditureAsset replacement and renewalAsset replacement and renewalnominal</t>
  </si>
  <si>
    <t>2026AMP2020Operating ExpenditureAsset replacement and renewalAsset replacement and renewalnominal</t>
  </si>
  <si>
    <t>2026AMP2019Operating ExpenditureBusiness supportBusiness supportconstant</t>
  </si>
  <si>
    <t>2026AMP2018Operating ExpenditureBusiness supportBusiness supportconstant</t>
  </si>
  <si>
    <t>2026AMP2017Operating ExpenditureBusiness supportBusiness supportconstant</t>
  </si>
  <si>
    <t>2026AMP2016Operating ExpenditureBusiness supportBusiness supportconstant</t>
  </si>
  <si>
    <t>2026AMP2021Operating ExpenditureBusiness supportBusiness supportconstant</t>
  </si>
  <si>
    <t>2026AMP2020Operating ExpenditureBusiness supportBusiness supportconstant</t>
  </si>
  <si>
    <t>2026AMP2020Operating ExpenditureBusiness supportBusiness supportnominal</t>
  </si>
  <si>
    <t>2026AMP2016Operating ExpenditureBusiness supportBusiness supportnominal</t>
  </si>
  <si>
    <t>2026AMP2017Operating ExpenditureBusiness supportBusiness supportnominal</t>
  </si>
  <si>
    <t>2026AMP2019Operating ExpenditureBusiness supportBusiness supportnominal</t>
  </si>
  <si>
    <t>2026AMP2021Operating ExpenditureBusiness supportBusiness supportnominal</t>
  </si>
  <si>
    <t>2026AMP2018Operating ExpenditureBusiness supportBusiness supportnominal</t>
  </si>
  <si>
    <t>2026AMP2019Operating ExpenditureExpenditure on subcomponentsInsuranceconstant</t>
  </si>
  <si>
    <t>2026AMP2018Operating ExpenditureExpenditure on subcomponentsInsuranceconstant</t>
  </si>
  <si>
    <t>2026AMP2021Operating ExpenditureExpenditure on subcomponentsInsuranceconstant</t>
  </si>
  <si>
    <t>2026AMP2017Operating ExpenditureExpenditure on subcomponentsInsuranceconstant</t>
  </si>
  <si>
    <t>2026AMP2020Operating ExpenditureExpenditure on subcomponentsInsuranceconstant</t>
  </si>
  <si>
    <t>2026AMP2016Operating ExpenditureExpenditure on subcomponentsInsuranceconstant</t>
  </si>
  <si>
    <t>2026AMP2019Operating ExpenditureExpenditure on subcomponentsResearch and developmentconstant</t>
  </si>
  <si>
    <t>2026AMP2016Operating ExpenditureExpenditure on subcomponentsResearch and developmentconstant</t>
  </si>
  <si>
    <t>2026AMP2021Operating ExpenditureExpenditure on subcomponentsResearch and developmentconstant</t>
  </si>
  <si>
    <t>2026AMP2018Operating ExpenditureExpenditure on subcomponentsResearch and developmentconstant</t>
  </si>
  <si>
    <t>2026AMP2017Operating ExpenditureExpenditure on subcomponentsResearch and developmentconstant</t>
  </si>
  <si>
    <t>2026AMP2020Operating ExpenditureExpenditure on subcomponentsResearch and developmentconstant</t>
  </si>
  <si>
    <t>2026AMP2021Operating ExpenditureNetwork opexNetwork opexconstant</t>
  </si>
  <si>
    <t>2026AMP2020Operating ExpenditureNetwork opexNetwork opexconstant</t>
  </si>
  <si>
    <t>2026AMP2019Operating ExpenditureNetwork opexNetwork opexconstant</t>
  </si>
  <si>
    <t>2026AMP2018Operating ExpenditureNetwork opexNetwork opexconstant</t>
  </si>
  <si>
    <t>2026AMP2016Operating ExpenditureNetwork opexNetwork opexconstant</t>
  </si>
  <si>
    <t>2026AMP2017Operating ExpenditureNetwork opexNetwork opexconstant</t>
  </si>
  <si>
    <t>2026AMP2018Operating ExpenditureNetwork opexNetwork opexnominal</t>
  </si>
  <si>
    <t>2026AMP2019Operating ExpenditureNetwork opexNetwork opexnominal</t>
  </si>
  <si>
    <t>2026AMP2017Operating ExpenditureNetwork opexNetwork opexnominal</t>
  </si>
  <si>
    <t>2026AMP2021Operating ExpenditureNetwork opexNetwork opexnominal</t>
  </si>
  <si>
    <t>2026AMP2016Operating ExpenditureNetwork opexNetwork opexnominal</t>
  </si>
  <si>
    <t>2026AMP2020Operating ExpenditureNetwork opexNetwork opexnominal</t>
  </si>
  <si>
    <t>2026AMP2020Operating ExpenditureNon-network opexNon-network opexconstant</t>
  </si>
  <si>
    <t>2026AMP2019Operating ExpenditureNon-network opexNon-network opexconstant</t>
  </si>
  <si>
    <t>2026AMP2017Operating ExpenditureNon-network opexNon-network opexconstant</t>
  </si>
  <si>
    <t>2026AMP2018Operating ExpenditureNon-network opexNon-network opexconstant</t>
  </si>
  <si>
    <t>2026AMP2021Operating ExpenditureNon-network opexNon-network opexconstant</t>
  </si>
  <si>
    <t>2026AMP2016Operating ExpenditureNon-network opexNon-network opexconstant</t>
  </si>
  <si>
    <t>2026AMP2016Operating ExpenditureNon-network opexNon-network opexnominal</t>
  </si>
  <si>
    <t>2026AMP2018Operating ExpenditureNon-network opexNon-network opexnominal</t>
  </si>
  <si>
    <t>2026AMP2020Operating ExpenditureNon-network opexNon-network opexnominal</t>
  </si>
  <si>
    <t>2026AMP2017Operating ExpenditureNon-network opexNon-network opexnominal</t>
  </si>
  <si>
    <t>2026AMP2021Operating ExpenditureNon-network opexNon-network opexnominal</t>
  </si>
  <si>
    <t>2026AMP2019Operating ExpenditureNon-network opexNon-network opexnominal</t>
  </si>
  <si>
    <t>2026AMP2021Operating ExpenditureResearch and developmentResearch and developmentconstant</t>
  </si>
  <si>
    <t>2026AMP2019Operating ExpenditureResearch and developmentResearch and developmentconstant</t>
  </si>
  <si>
    <t>2026AMP2020Operating ExpenditureResearch and developmentResearch and developmentconstant</t>
  </si>
  <si>
    <t>2026AMP2018Operating ExpenditureResearch and developmentResearch and developmentconstant</t>
  </si>
  <si>
    <t>2026AMP2016Operating ExpenditureResearch and developmentResearch and developmentconstant</t>
  </si>
  <si>
    <t>2026AMP2017Operating ExpenditureResearch and developmentResearch and developmentconstant</t>
  </si>
  <si>
    <t>2026AMP2021Operating ExpenditureRoutine and corrective maintenance and inspectionRoutine and corrective maintenance and inspectionconstant</t>
  </si>
  <si>
    <t>2026AMP2016Operating ExpenditureRoutine and corrective maintenance and inspectionRoutine and corrective maintenance and inspectionconstant</t>
  </si>
  <si>
    <t>2026AMP2018Operating ExpenditureRoutine and corrective maintenance and inspectionRoutine and corrective maintenance and inspectionconstant</t>
  </si>
  <si>
    <t>2026AMP2020Operating ExpenditureRoutine and corrective maintenance and inspectionRoutine and corrective maintenance and inspectionconstant</t>
  </si>
  <si>
    <t>2026AMP2019Operating ExpenditureRoutine and corrective maintenance and inspectionRoutine and corrective maintenance and inspectionconstant</t>
  </si>
  <si>
    <t>2026AMP2017Operating ExpenditureRoutine and corrective maintenance and inspectionRoutine and corrective maintenance and inspectionconstant</t>
  </si>
  <si>
    <t>2026AMP2016Operating ExpenditureRoutine and corrective maintenance and inspectionRoutine and corrective maintenance and inspectionnominal</t>
  </si>
  <si>
    <t>2026AMP2019Operating ExpenditureRoutine and corrective maintenance and inspectionRoutine and corrective maintenance and inspectionnominal</t>
  </si>
  <si>
    <t>2026AMP2020Operating ExpenditureRoutine and corrective maintenance and inspectionRoutine and corrective maintenance and inspectionnominal</t>
  </si>
  <si>
    <t>2026AMP2021Operating ExpenditureRoutine and corrective maintenance and inspectionRoutine and corrective maintenance and inspectionnominal</t>
  </si>
  <si>
    <t>2026AMP2018Operating ExpenditureRoutine and corrective maintenance and inspectionRoutine and corrective maintenance and inspectionnominal</t>
  </si>
  <si>
    <t>2026AMP2017Operating ExpenditureRoutine and corrective maintenance and inspectionRoutine and corrective maintenance and inspectionnominal</t>
  </si>
  <si>
    <t>2026AMP2016Operating ExpenditureService interruptions, incidents and emergenciesService interruptions, incidents and emergenciesconstant</t>
  </si>
  <si>
    <t>2026AMP2020Operating ExpenditureService interruptions, incidents and emergenciesService interruptions, incidents and emergenciesconstant</t>
  </si>
  <si>
    <t>2026AMP2021Operating ExpenditureService interruptions, incidents and emergenciesService interruptions, incidents and emergenciesconstant</t>
  </si>
  <si>
    <t>2026AMP2019Operating ExpenditureService interruptions, incidents and emergenciesService interruptions, incidents and emergenciesconstant</t>
  </si>
  <si>
    <t>2026AMP2018Operating ExpenditureService interruptions, incidents and emergenciesService interruptions, incidents and emergenciesconstant</t>
  </si>
  <si>
    <t>2026AMP2017Operating ExpenditureService interruptions, incidents and emergenciesService interruptions, incidents and emergenciesconstant</t>
  </si>
  <si>
    <t>2026AMP2019Operating ExpenditureService interruptions, incidents and emergenciesService interruptions, incidents and emergenciesnominal</t>
  </si>
  <si>
    <t>2026AMP2016Operating ExpenditureService interruptions, incidents and emergenciesService interruptions, incidents and emergenciesnominal</t>
  </si>
  <si>
    <t>2026AMP2018Operating ExpenditureService interruptions, incidents and emergenciesService interruptions, incidents and emergenciesnominal</t>
  </si>
  <si>
    <t>2026AMP2021Operating ExpenditureService interruptions, incidents and emergenciesService interruptions, incidents and emergenciesnominal</t>
  </si>
  <si>
    <t>2026AMP2020Operating ExpenditureService interruptions, incidents and emergenciesService interruptions, incidents and emergenciesnominal</t>
  </si>
  <si>
    <t>2026AMP2017Operating ExpenditureService interruptions, incidents and emergenciesService interruptions, incidents and emergenciesnominal</t>
  </si>
  <si>
    <t>2026AMP2021Operating ExpenditureSystem operations and network supportSystem operations and network supportconstant</t>
  </si>
  <si>
    <t>2026AMP2017Operating ExpenditureSystem operations and network supportSystem operations and network supportconstant</t>
  </si>
  <si>
    <t>2026AMP2016Operating ExpenditureSystem operations and network supportSystem operations and network supportconstant</t>
  </si>
  <si>
    <t>2026AMP2019Operating ExpenditureSystem operations and network supportSystem operations and network supportconstant</t>
  </si>
  <si>
    <t>2026AMP2018Operating ExpenditureSystem operations and network supportSystem operations and network supportconstant</t>
  </si>
  <si>
    <t>2026AMP2020Operating ExpenditureSystem operations and network supportSystem operations and network supportconstant</t>
  </si>
  <si>
    <t>2026AMP2018Operating ExpenditureSystem operations and network supportSystem operations and network supportnominal</t>
  </si>
  <si>
    <t>2026AMP2016Operating ExpenditureSystem operations and network supportSystem operations and network supportnominal</t>
  </si>
  <si>
    <t>2026AMP2020Operating ExpenditureSystem operations and network supportSystem operations and network supportnominal</t>
  </si>
  <si>
    <t>2026AMP2019Operating ExpenditureSystem operations and network supportSystem operations and network supportnominal</t>
  </si>
  <si>
    <t>2026AMP2021Operating ExpenditureSystem operations and network supportSystem operations and network supportnominal</t>
  </si>
  <si>
    <t>2026AMP2017Operating ExpenditureSystem operations and network supportSystem operations and network supportnominal</t>
  </si>
  <si>
    <t>2026AMP2020Operating ExpenditureTotal opexOperational expenditureconstant</t>
  </si>
  <si>
    <t>2026AMP2016Operating ExpenditureTotal opexOperational expenditureconstant</t>
  </si>
  <si>
    <t>2026AMP2021Operating ExpenditureTotal opexOperational expenditureconstant</t>
  </si>
  <si>
    <t>2026AMP2017Operating ExpenditureTotal opexOperational expenditureconstant</t>
  </si>
  <si>
    <t>2026AMP2019Operating ExpenditureTotal opexOperational expenditureconstant</t>
  </si>
  <si>
    <t>2026AMP2018Operating ExpenditureTotal opexOperational expenditureconstant</t>
  </si>
  <si>
    <t>2026AMP2020Operating ExpenditureTotal opexOperational expenditurenominal</t>
  </si>
  <si>
    <t>2026AMP2016Operating ExpenditureTotal opexOperational expenditurenominal</t>
  </si>
  <si>
    <t>2026AMP2019Operating ExpenditureTotal opexOperational expenditurenominal</t>
  </si>
  <si>
    <t>2026AMP2021Operating ExpenditureTotal opexOperational expenditurenominal</t>
  </si>
  <si>
    <t>2026AMP2017Operating ExpenditureTotal opexOperational expenditurenominal</t>
  </si>
  <si>
    <t>2026AMP2018Operating ExpenditureTotal opexOperational expenditurenominal</t>
  </si>
  <si>
    <t>2027AMP2017Capital ExpenditureAll assetsExpenditure on assetsconstant</t>
  </si>
  <si>
    <t>2027AMP2019Capital ExpenditureAll assetsExpenditure on assetsconstant</t>
  </si>
  <si>
    <t>2027AMP2021Capital ExpenditureAll assetsExpenditure on assetsconstant</t>
  </si>
  <si>
    <t>2027AMP2018Capital ExpenditureAll assetsExpenditure on assetsconstant</t>
  </si>
  <si>
    <t>2027AMP2020Capital ExpenditureAll assetsExpenditure on assetsconstant</t>
  </si>
  <si>
    <t>2027AMP2020Capital ExpenditureAll assetsExpenditure on assetsnominal</t>
  </si>
  <si>
    <t>2027AMP2018Capital ExpenditureAll assetsExpenditure on assetsnominal</t>
  </si>
  <si>
    <t>2027AMP2017Capital ExpenditureAll assetsExpenditure on assetsnominal</t>
  </si>
  <si>
    <t>2027AMP2021Capital ExpenditureAll assetsExpenditure on assetsnominal</t>
  </si>
  <si>
    <t>2027AMP2019Capital ExpenditureAll assetsExpenditure on assetsnominal</t>
  </si>
  <si>
    <t>2027AMP2017Capital ExpenditureAsset relocationsAsset relocationsconstant</t>
  </si>
  <si>
    <t>2027AMP2019Capital ExpenditureAsset relocationsAsset relocationsconstant</t>
  </si>
  <si>
    <t>2027AMP2018Capital ExpenditureAsset relocationsAsset relocationsconstant</t>
  </si>
  <si>
    <t>2027AMP2020Capital ExpenditureAsset relocationsAsset relocationsconstant</t>
  </si>
  <si>
    <t>2027AMP2021Capital ExpenditureAsset relocationsAsset relocationsconstant</t>
  </si>
  <si>
    <t>2027AMP2018Capital ExpenditureAsset relocationsAsset relocationsnominal</t>
  </si>
  <si>
    <t>2027AMP2021Capital ExpenditureAsset relocationsAsset relocationsnominal</t>
  </si>
  <si>
    <t>2027AMP2017Capital ExpenditureAsset relocationsAsset relocationsnominal</t>
  </si>
  <si>
    <t>2027AMP2019Capital ExpenditureAsset relocationsAsset relocationsnominal</t>
  </si>
  <si>
    <t>2027AMP2020Capital ExpenditureAsset relocationsAsset relocationsnominal</t>
  </si>
  <si>
    <t>2027AMP2021Capital ExpenditureAsset replacement and renewalAsset replacement and renewalconstant</t>
  </si>
  <si>
    <t>2027AMP2019Capital ExpenditureAsset replacement and renewalAsset replacement and renewalconstant</t>
  </si>
  <si>
    <t>2027AMP2020Capital ExpenditureAsset replacement and renewalAsset replacement and renewalconstant</t>
  </si>
  <si>
    <t>2027AMP2017Capital ExpenditureAsset replacement and renewalAsset replacement and renewalconstant</t>
  </si>
  <si>
    <t>2027AMP2018Capital ExpenditureAsset replacement and renewalAsset replacement and renewalconstant</t>
  </si>
  <si>
    <t>2027AMP2018Capital ExpenditureAsset replacement and renewalAsset replacement and renewalnominal</t>
  </si>
  <si>
    <t>2027AMP2019Capital ExpenditureAsset replacement and renewalAsset replacement and renewalnominal</t>
  </si>
  <si>
    <t>2027AMP2021Capital ExpenditureAsset replacement and renewalAsset replacement and renewalnominal</t>
  </si>
  <si>
    <t>2027AMP2017Capital ExpenditureAsset replacement and renewalAsset replacement and renewalnominal</t>
  </si>
  <si>
    <t>2027AMP2020Capital ExpenditureAsset replacement and renewalAsset replacement and renewalnominal</t>
  </si>
  <si>
    <t>2027AMP2020Capital ExpenditureAssets commissionedAssets commissionednominal</t>
  </si>
  <si>
    <t>2027AMP2017Capital ExpenditureAssets commissionedAssets commissionednominal</t>
  </si>
  <si>
    <t>2027AMP2021Capital ExpenditureAssets commissionedAssets commissionednominal</t>
  </si>
  <si>
    <t>2027AMP2019Capital ExpenditureAssets commissionedAssets commissionednominal</t>
  </si>
  <si>
    <t>2027AMP2018Capital ExpenditureAssets commissionedAssets commissionednominal</t>
  </si>
  <si>
    <t>2027AMP2021Capital ExpenditureCapital expenditure forecastCapital expenditure forecastnominal</t>
  </si>
  <si>
    <t>2027AMP2017Capital ExpenditureCapital expenditure forecastCapital expenditure forecastnominal</t>
  </si>
  <si>
    <t>2027AMP2019Capital ExpenditureCapital expenditure forecastCapital expenditure forecastnominal</t>
  </si>
  <si>
    <t>2027AMP2020Capital ExpenditureCapital expenditure forecastCapital expenditure forecastnominal</t>
  </si>
  <si>
    <t>2027AMP2018Capital ExpenditureCapital expenditure forecastCapital expenditure forecastnominal</t>
  </si>
  <si>
    <t>2027AMP2019Capital ExpenditureConsumer connectionConsumer connectionconstant</t>
  </si>
  <si>
    <t>2027AMP2017Capital ExpenditureConsumer connectionConsumer connectionconstant</t>
  </si>
  <si>
    <t>2027AMP2018Capital ExpenditureConsumer connectionConsumer connectionconstant</t>
  </si>
  <si>
    <t>2027AMP2020Capital ExpenditureConsumer connectionConsumer connectionconstant</t>
  </si>
  <si>
    <t>2027AMP2021Capital ExpenditureConsumer connectionConsumer connectionconstant</t>
  </si>
  <si>
    <t>2027AMP2018Capital ExpenditureConsumer connectionConsumer connectionnominal</t>
  </si>
  <si>
    <t>2027AMP2017Capital ExpenditureConsumer connectionConsumer connectionnominal</t>
  </si>
  <si>
    <t>2027AMP2020Capital ExpenditureConsumer connectionConsumer connectionnominal</t>
  </si>
  <si>
    <t>2027AMP2019Capital ExpenditureConsumer connectionConsumer connectionnominal</t>
  </si>
  <si>
    <t>2027AMP2021Capital ExpenditureConsumer connectionConsumer connectionnominal</t>
  </si>
  <si>
    <t>2027AMP2021Capital ExpenditureCost of financingCost of financingnominal</t>
  </si>
  <si>
    <t>2027AMP2017Capital ExpenditureCost of financingCost of financingnominal</t>
  </si>
  <si>
    <t>2027AMP2019Capital ExpenditureCost of financingCost of financingnominal</t>
  </si>
  <si>
    <t>2027AMP2018Capital ExpenditureCost of financingCost of financingnominal</t>
  </si>
  <si>
    <t>2027AMP2020Capital ExpenditureCost of financingCost of financingnominal</t>
  </si>
  <si>
    <t>2027AMP2017Capital ExpenditureExpenditure on subcomponentsResearch and developmentconstant</t>
  </si>
  <si>
    <t>2027AMP2018Capital ExpenditureExpenditure on subcomponentsResearch and developmentconstant</t>
  </si>
  <si>
    <t>2027AMP2020Capital ExpenditureExpenditure on subcomponentsResearch and developmentconstant</t>
  </si>
  <si>
    <t>2027AMP2019Capital ExpenditureExpenditure on subcomponentsResearch and developmentconstant</t>
  </si>
  <si>
    <t>2027AMP2021Capital ExpenditureExpenditure on subcomponentsResearch and developmentconstant</t>
  </si>
  <si>
    <t>2027AMP2020Capital ExpenditureNetwork assetsExpenditure on network assetsconstant</t>
  </si>
  <si>
    <t>2027AMP2019Capital ExpenditureNetwork assetsExpenditure on network assetsconstant</t>
  </si>
  <si>
    <t>2027AMP2021Capital ExpenditureNetwork assetsExpenditure on network assetsconstant</t>
  </si>
  <si>
    <t>2027AMP2018Capital ExpenditureNetwork assetsExpenditure on network assetsconstant</t>
  </si>
  <si>
    <t>2027AMP2017Capital ExpenditureNetwork assetsExpenditure on network assetsconstant</t>
  </si>
  <si>
    <t>2027AMP2021Capital ExpenditureNetwork assetsExpenditure on network assetsnominal</t>
  </si>
  <si>
    <t>2027AMP2019Capital ExpenditureNetwork assetsExpenditure on network assetsnominal</t>
  </si>
  <si>
    <t>2027AMP2017Capital ExpenditureNetwork assetsExpenditure on network assetsnominal</t>
  </si>
  <si>
    <t>2027AMP2020Capital ExpenditureNetwork assetsExpenditure on network assetsnominal</t>
  </si>
  <si>
    <t>2027AMP2018Capital ExpenditureNetwork assetsExpenditure on network assetsnominal</t>
  </si>
  <si>
    <t>2027AMP2017Capital ExpenditureNon-network assetsNon-network assetsconstant</t>
  </si>
  <si>
    <t>2027AMP2018Capital ExpenditureNon-network assetsNon-network assetsconstant</t>
  </si>
  <si>
    <t>2027AMP2021Capital ExpenditureNon-network assetsNon-network assetsconstant</t>
  </si>
  <si>
    <t>2027AMP2020Capital ExpenditureNon-network assetsNon-network assetsconstant</t>
  </si>
  <si>
    <t>2027AMP2019Capital ExpenditureNon-network assetsNon-network assetsconstant</t>
  </si>
  <si>
    <t>2027AMP2021Capital ExpenditureNon-network assetsNon-network assetsnominal</t>
  </si>
  <si>
    <t>2027AMP2019Capital ExpenditureNon-network assetsNon-network assetsnominal</t>
  </si>
  <si>
    <t>2027AMP2018Capital ExpenditureNon-network assetsNon-network assetsnominal</t>
  </si>
  <si>
    <t>2027AMP2020Capital ExpenditureNon-network assetsNon-network assetsnominal</t>
  </si>
  <si>
    <t>2027AMP2017Capital ExpenditureNon-network assetsNon-network assetsnominal</t>
  </si>
  <si>
    <t>2027AMP2021Capital ExpenditureReliability, safety and environmentLegislative and regulatoryconstant</t>
  </si>
  <si>
    <t>2027AMP2017Capital ExpenditureReliability, safety and environmentLegislative and regulatoryconstant</t>
  </si>
  <si>
    <t>2027AMP2018Capital ExpenditureReliability, safety and environmentLegislative and regulatoryconstant</t>
  </si>
  <si>
    <t>2027AMP2020Capital ExpenditureReliability, safety and environmentLegislative and regulatoryconstant</t>
  </si>
  <si>
    <t>2027AMP2019Capital ExpenditureReliability, safety and environmentLegislative and regulatoryconstant</t>
  </si>
  <si>
    <t>2027AMP2017Capital ExpenditureReliability, safety and environmentLegislative and regulatorynominal</t>
  </si>
  <si>
    <t>2027AMP2019Capital ExpenditureReliability, safety and environmentLegislative and regulatorynominal</t>
  </si>
  <si>
    <t>2027AMP2021Capital ExpenditureReliability, safety and environmentLegislative and regulatorynominal</t>
  </si>
  <si>
    <t>2027AMP2020Capital ExpenditureReliability, safety and environmentLegislative and regulatorynominal</t>
  </si>
  <si>
    <t>2027AMP2018Capital ExpenditureReliability, safety and environmentLegislative and regulatorynominal</t>
  </si>
  <si>
    <t>2027AMP2019Capital ExpenditureReliability, safety and environmentOther reliability, safety and environmentconstant</t>
  </si>
  <si>
    <t>2027AMP2020Capital ExpenditureReliability, safety and environmentOther reliability, safety and environmentconstant</t>
  </si>
  <si>
    <t>2027AMP2018Capital ExpenditureReliability, safety and environmentOther reliability, safety and environmentconstant</t>
  </si>
  <si>
    <t>2027AMP2021Capital ExpenditureReliability, safety and environmentOther reliability, safety and environmentconstant</t>
  </si>
  <si>
    <t>2027AMP2017Capital ExpenditureReliability, safety and environmentOther reliability, safety and environmentconstant</t>
  </si>
  <si>
    <t>2027AMP2020Capital ExpenditureReliability, safety and environmentOther reliability, safety and environmentnominal</t>
  </si>
  <si>
    <t>2027AMP2017Capital ExpenditureReliability, safety and environmentOther reliability, safety and environmentnominal</t>
  </si>
  <si>
    <t>2027AMP2021Capital ExpenditureReliability, safety and environmentOther reliability, safety and environmentnominal</t>
  </si>
  <si>
    <t>2027AMP2019Capital ExpenditureReliability, safety and environmentOther reliability, safety and environmentnominal</t>
  </si>
  <si>
    <t>2027AMP2018Capital ExpenditureReliability, safety and environmentOther reliability, safety and environmentnominal</t>
  </si>
  <si>
    <t>2027AMP2021Capital ExpenditureReliability, safety and environmentQuality of supplyconstant</t>
  </si>
  <si>
    <t>2027AMP2018Capital ExpenditureReliability, safety and environmentQuality of supplyconstant</t>
  </si>
  <si>
    <t>2027AMP2020Capital ExpenditureReliability, safety and environmentQuality of supplyconstant</t>
  </si>
  <si>
    <t>2027AMP2019Capital ExpenditureReliability, safety and environmentQuality of supplyconstant</t>
  </si>
  <si>
    <t>2027AMP2017Capital ExpenditureReliability, safety and environmentQuality of supplyconstant</t>
  </si>
  <si>
    <t>2027AMP2019Capital ExpenditureReliability, safety and environmentQuality of supplynominal</t>
  </si>
  <si>
    <t>2027AMP2021Capital ExpenditureReliability, safety and environmentQuality of supplynominal</t>
  </si>
  <si>
    <t>2027AMP2018Capital ExpenditureReliability, safety and environmentQuality of supplynominal</t>
  </si>
  <si>
    <t>2027AMP2017Capital ExpenditureReliability, safety and environmentQuality of supplynominal</t>
  </si>
  <si>
    <t>2027AMP2020Capital ExpenditureReliability, safety and environmentQuality of supplynominal</t>
  </si>
  <si>
    <t>2027AMP2020Capital ExpenditureReliability, safety and environmentTotal reliability, safety and environmentconstant</t>
  </si>
  <si>
    <t>2027AMP2019Capital ExpenditureReliability, safety and environmentTotal reliability, safety and environmentconstant</t>
  </si>
  <si>
    <t>2027AMP2021Capital ExpenditureReliability, safety and environmentTotal reliability, safety and environmentconstant</t>
  </si>
  <si>
    <t>2027AMP2018Capital ExpenditureReliability, safety and environmentTotal reliability, safety and environmentconstant</t>
  </si>
  <si>
    <t>2027AMP2017Capital ExpenditureReliability, safety and environmentTotal reliability, safety and environmentconstant</t>
  </si>
  <si>
    <t>2027AMP2018Capital ExpenditureReliability, safety and environmentTotal reliability, safety and environmentnominal</t>
  </si>
  <si>
    <t>2027AMP2019Capital ExpenditureReliability, safety and environmentTotal reliability, safety and environmentnominal</t>
  </si>
  <si>
    <t>2027AMP2021Capital ExpenditureReliability, safety and environmentTotal reliability, safety and environmentnominal</t>
  </si>
  <si>
    <t>2027AMP2020Capital ExpenditureReliability, safety and environmentTotal reliability, safety and environmentnominal</t>
  </si>
  <si>
    <t>2027AMP2017Capital ExpenditureReliability, safety and environmentTotal reliability, safety and environmentnominal</t>
  </si>
  <si>
    <t>2027AMP2021Capital ExpenditureSystem growthSystem growthconstant</t>
  </si>
  <si>
    <t>2027AMP2019Capital ExpenditureSystem growthSystem growthconstant</t>
  </si>
  <si>
    <t>2027AMP2018Capital ExpenditureSystem growthSystem growthconstant</t>
  </si>
  <si>
    <t>2027AMP2020Capital ExpenditureSystem growthSystem growthconstant</t>
  </si>
  <si>
    <t>2027AMP2017Capital ExpenditureSystem growthSystem growthconstant</t>
  </si>
  <si>
    <t>2027AMP2020Capital ExpenditureSystem growthSystem growthnominal</t>
  </si>
  <si>
    <t>2027AMP2019Capital ExpenditureSystem growthSystem growthnominal</t>
  </si>
  <si>
    <t>2027AMP2017Capital ExpenditureSystem growthSystem growthnominal</t>
  </si>
  <si>
    <t>2027AMP2018Capital ExpenditureSystem growthSystem growthnominal</t>
  </si>
  <si>
    <t>2027AMP2021Capital ExpenditureSystem growthSystem growthnominal</t>
  </si>
  <si>
    <t>2027AMP2021Capital ExpenditureValue of capital contributionsValue of capital contributionsnominal</t>
  </si>
  <si>
    <t>2027AMP2018Capital ExpenditureValue of capital contributionsValue of capital contributionsnominal</t>
  </si>
  <si>
    <t>2027AMP2019Capital ExpenditureValue of capital contributionsValue of capital contributionsnominal</t>
  </si>
  <si>
    <t>2027AMP2020Capital ExpenditureValue of capital contributionsValue of capital contributionsnominal</t>
  </si>
  <si>
    <t>2027AMP2017Capital ExpenditureValue of capital contributionsValue of capital contributionsnominal</t>
  </si>
  <si>
    <t>2027AMP2017Capital ExpenditureValue of commissioned assetsValue of commissioned assetsnominal</t>
  </si>
  <si>
    <t>2027AMP2018Capital ExpenditureValue of vested assetsValue of vested assetsnominal</t>
  </si>
  <si>
    <t>2027AMP2020Capital ExpenditureValue of vested assetsValue of vested assetsnominal</t>
  </si>
  <si>
    <t>2027AMP2021Capital ExpenditureValue of vested assetsValue of vested assetsnominal</t>
  </si>
  <si>
    <t>2027AMP2019Capital ExpenditureValue of vested assetsValue of vested assetsnominal</t>
  </si>
  <si>
    <t>2027AMP2017Capital ExpenditureValue of vested assetsValue of vested assetsnominal</t>
  </si>
  <si>
    <t>2027AMP2019Operating ExpenditureAsset replacement and renewalAsset replacement and renewalconstant</t>
  </si>
  <si>
    <t>2027AMP2020Operating ExpenditureAsset replacement and renewalAsset replacement and renewalconstant</t>
  </si>
  <si>
    <t>2027AMP2018Operating ExpenditureAsset replacement and renewalAsset replacement and renewalconstant</t>
  </si>
  <si>
    <t>2027AMP2021Operating ExpenditureAsset replacement and renewalAsset replacement and renewalconstant</t>
  </si>
  <si>
    <t>2027AMP2017Operating ExpenditureAsset replacement and renewalAsset replacement and renewalconstant</t>
  </si>
  <si>
    <t>2027AMP2021Operating ExpenditureAsset replacement and renewalAsset replacement and renewalnominal</t>
  </si>
  <si>
    <t>2027AMP2020Operating ExpenditureAsset replacement and renewalAsset replacement and renewalnominal</t>
  </si>
  <si>
    <t>2027AMP2018Operating ExpenditureAsset replacement and renewalAsset replacement and renewalnominal</t>
  </si>
  <si>
    <t>2027AMP2019Operating ExpenditureAsset replacement and renewalAsset replacement and renewalnominal</t>
  </si>
  <si>
    <t>2027AMP2017Operating ExpenditureAsset replacement and renewalAsset replacement and renewalnominal</t>
  </si>
  <si>
    <t>2027AMP2019Operating ExpenditureBusiness supportBusiness supportconstant</t>
  </si>
  <si>
    <t>2027AMP2017Operating ExpenditureBusiness supportBusiness supportconstant</t>
  </si>
  <si>
    <t>2027AMP2018Operating ExpenditureBusiness supportBusiness supportconstant</t>
  </si>
  <si>
    <t>2027AMP2021Operating ExpenditureBusiness supportBusiness supportconstant</t>
  </si>
  <si>
    <t>2027AMP2020Operating ExpenditureBusiness supportBusiness supportconstant</t>
  </si>
  <si>
    <t>2027AMP2020Operating ExpenditureBusiness supportBusiness supportnominal</t>
  </si>
  <si>
    <t>2027AMP2021Operating ExpenditureBusiness supportBusiness supportnominal</t>
  </si>
  <si>
    <t>2027AMP2017Operating ExpenditureBusiness supportBusiness supportnominal</t>
  </si>
  <si>
    <t>2027AMP2019Operating ExpenditureBusiness supportBusiness supportnominal</t>
  </si>
  <si>
    <t>2027AMP2018Operating ExpenditureBusiness supportBusiness supportnominal</t>
  </si>
  <si>
    <t>2027AMP2019Operating ExpenditureExpenditure on subcomponentsInsuranceconstant</t>
  </si>
  <si>
    <t>2027AMP2020Operating ExpenditureExpenditure on subcomponentsInsuranceconstant</t>
  </si>
  <si>
    <t>2027AMP2018Operating ExpenditureExpenditure on subcomponentsInsuranceconstant</t>
  </si>
  <si>
    <t>2027AMP2021Operating ExpenditureExpenditure on subcomponentsInsuranceconstant</t>
  </si>
  <si>
    <t>2027AMP2017Operating ExpenditureExpenditure on subcomponentsInsuranceconstant</t>
  </si>
  <si>
    <t>2027AMP2017Operating ExpenditureExpenditure on subcomponentsResearch and developmentconstant</t>
  </si>
  <si>
    <t>2027AMP2018Operating ExpenditureExpenditure on subcomponentsResearch and developmentconstant</t>
  </si>
  <si>
    <t>2027AMP2019Operating ExpenditureExpenditure on subcomponentsResearch and developmentconstant</t>
  </si>
  <si>
    <t>2027AMP2020Operating ExpenditureExpenditure on subcomponentsResearch and developmentconstant</t>
  </si>
  <si>
    <t>2027AMP2021Operating ExpenditureExpenditure on subcomponentsResearch and developmentconstant</t>
  </si>
  <si>
    <t>2027AMP2021Operating ExpenditureNetwork opexNetwork opexconstant</t>
  </si>
  <si>
    <t>2027AMP2019Operating ExpenditureNetwork opexNetwork opexconstant</t>
  </si>
  <si>
    <t>2027AMP2017Operating ExpenditureNetwork opexNetwork opexconstant</t>
  </si>
  <si>
    <t>2027AMP2018Operating ExpenditureNetwork opexNetwork opexconstant</t>
  </si>
  <si>
    <t>2027AMP2020Operating ExpenditureNetwork opexNetwork opexconstant</t>
  </si>
  <si>
    <t>2027AMP2021Operating ExpenditureNetwork opexNetwork opexnominal</t>
  </si>
  <si>
    <t>2027AMP2020Operating ExpenditureNetwork opexNetwork opexnominal</t>
  </si>
  <si>
    <t>2027AMP2019Operating ExpenditureNetwork opexNetwork opexnominal</t>
  </si>
  <si>
    <t>2027AMP2017Operating ExpenditureNetwork opexNetwork opexnominal</t>
  </si>
  <si>
    <t>2027AMP2018Operating ExpenditureNetwork opexNetwork opexnominal</t>
  </si>
  <si>
    <t>2027AMP2020Operating ExpenditureNon-network opexNon-network opexconstant</t>
  </si>
  <si>
    <t>2027AMP2021Operating ExpenditureNon-network opexNon-network opexconstant</t>
  </si>
  <si>
    <t>2027AMP2019Operating ExpenditureNon-network opexNon-network opexconstant</t>
  </si>
  <si>
    <t>2027AMP2018Operating ExpenditureNon-network opexNon-network opexconstant</t>
  </si>
  <si>
    <t>2027AMP2017Operating ExpenditureNon-network opexNon-network opexconstant</t>
  </si>
  <si>
    <t>2027AMP2018Operating ExpenditureNon-network opexNon-network opexnominal</t>
  </si>
  <si>
    <t>2027AMP2021Operating ExpenditureNon-network opexNon-network opexnominal</t>
  </si>
  <si>
    <t>2027AMP2020Operating ExpenditureNon-network opexNon-network opexnominal</t>
  </si>
  <si>
    <t>2027AMP2017Operating ExpenditureNon-network opexNon-network opexnominal</t>
  </si>
  <si>
    <t>2027AMP2019Operating ExpenditureNon-network opexNon-network opexnominal</t>
  </si>
  <si>
    <t>2027AMP2021Operating ExpenditureResearch and developmentResearch and developmentconstant</t>
  </si>
  <si>
    <t>2027AMP2019Operating ExpenditureResearch and developmentResearch and developmentconstant</t>
  </si>
  <si>
    <t>2027AMP2020Operating ExpenditureResearch and developmentResearch and developmentconstant</t>
  </si>
  <si>
    <t>2027AMP2017Operating ExpenditureResearch and developmentResearch and developmentconstant</t>
  </si>
  <si>
    <t>2027AMP2018Operating ExpenditureResearch and developmentResearch and developmentconstant</t>
  </si>
  <si>
    <t>2027AMP2019Operating ExpenditureRoutine and corrective maintenance and inspectionRoutine and corrective maintenance and inspectionconstant</t>
  </si>
  <si>
    <t>2027AMP2021Operating ExpenditureRoutine and corrective maintenance and inspectionRoutine and corrective maintenance and inspectionconstant</t>
  </si>
  <si>
    <t>2027AMP2020Operating ExpenditureRoutine and corrective maintenance and inspectionRoutine and corrective maintenance and inspectionconstant</t>
  </si>
  <si>
    <t>2027AMP2017Operating ExpenditureRoutine and corrective maintenance and inspectionRoutine and corrective maintenance and inspectionconstant</t>
  </si>
  <si>
    <t>2027AMP2018Operating ExpenditureRoutine and corrective maintenance and inspectionRoutine and corrective maintenance and inspectionconstant</t>
  </si>
  <si>
    <t>2027AMP2021Operating ExpenditureRoutine and corrective maintenance and inspectionRoutine and corrective maintenance and inspectionnominal</t>
  </si>
  <si>
    <t>2027AMP2019Operating ExpenditureRoutine and corrective maintenance and inspectionRoutine and corrective maintenance and inspectionnominal</t>
  </si>
  <si>
    <t>2027AMP2018Operating ExpenditureRoutine and corrective maintenance and inspectionRoutine and corrective maintenance and inspectionnominal</t>
  </si>
  <si>
    <t>2027AMP2017Operating ExpenditureRoutine and corrective maintenance and inspectionRoutine and corrective maintenance and inspectionnominal</t>
  </si>
  <si>
    <t>2027AMP2020Operating ExpenditureRoutine and corrective maintenance and inspectionRoutine and corrective maintenance and inspectionnominal</t>
  </si>
  <si>
    <t>2027AMP2021Operating ExpenditureService interruptions, incidents and emergenciesService interruptions, incidents and emergenciesconstant</t>
  </si>
  <si>
    <t>2027AMP2018Operating ExpenditureService interruptions, incidents and emergenciesService interruptions, incidents and emergenciesconstant</t>
  </si>
  <si>
    <t>2027AMP2017Operating ExpenditureService interruptions, incidents and emergenciesService interruptions, incidents and emergenciesconstant</t>
  </si>
  <si>
    <t>2027AMP2020Operating ExpenditureService interruptions, incidents and emergenciesService interruptions, incidents and emergenciesconstant</t>
  </si>
  <si>
    <t>2027AMP2019Operating ExpenditureService interruptions, incidents and emergenciesService interruptions, incidents and emergenciesconstant</t>
  </si>
  <si>
    <t>2027AMP2021Operating ExpenditureService interruptions, incidents and emergenciesService interruptions, incidents and emergenciesnominal</t>
  </si>
  <si>
    <t>2027AMP2020Operating ExpenditureService interruptions, incidents and emergenciesService interruptions, incidents and emergenciesnominal</t>
  </si>
  <si>
    <t>2027AMP2018Operating ExpenditureService interruptions, incidents and emergenciesService interruptions, incidents and emergenciesnominal</t>
  </si>
  <si>
    <t>2027AMP2019Operating ExpenditureService interruptions, incidents and emergenciesService interruptions, incidents and emergenciesnominal</t>
  </si>
  <si>
    <t>2027AMP2017Operating ExpenditureService interruptions, incidents and emergenciesService interruptions, incidents and emergenciesnominal</t>
  </si>
  <si>
    <t>2027AMP2017Operating ExpenditureSystem operations and network supportSystem operations and network supportconstant</t>
  </si>
  <si>
    <t>2027AMP2019Operating ExpenditureSystem operations and network supportSystem operations and network supportconstant</t>
  </si>
  <si>
    <t>2027AMP2020Operating ExpenditureSystem operations and network supportSystem operations and network supportconstant</t>
  </si>
  <si>
    <t>2027AMP2018Operating ExpenditureSystem operations and network supportSystem operations and network supportconstant</t>
  </si>
  <si>
    <t>2027AMP2021Operating ExpenditureSystem operations and network supportSystem operations and network supportconstant</t>
  </si>
  <si>
    <t>2027AMP2021Operating ExpenditureSystem operations and network supportSystem operations and network supportnominal</t>
  </si>
  <si>
    <t>2027AMP2020Operating ExpenditureSystem operations and network supportSystem operations and network supportnominal</t>
  </si>
  <si>
    <t>2027AMP2018Operating ExpenditureSystem operations and network supportSystem operations and network supportnominal</t>
  </si>
  <si>
    <t>2027AMP2019Operating ExpenditureSystem operations and network supportSystem operations and network supportnominal</t>
  </si>
  <si>
    <t>2027AMP2017Operating ExpenditureSystem operations and network supportSystem operations and network supportnominal</t>
  </si>
  <si>
    <t>2027AMP2018Operating ExpenditureTotal opexOperational expenditureconstant</t>
  </si>
  <si>
    <t>2027AMP2017Operating ExpenditureTotal opexOperational expenditureconstant</t>
  </si>
  <si>
    <t>2027AMP2020Operating ExpenditureTotal opexOperational expenditureconstant</t>
  </si>
  <si>
    <t>2027AMP2021Operating ExpenditureTotal opexOperational expenditureconstant</t>
  </si>
  <si>
    <t>2027AMP2019Operating ExpenditureTotal opexOperational expenditureconstant</t>
  </si>
  <si>
    <t>2027AMP2021Operating ExpenditureTotal opexOperational expenditurenominal</t>
  </si>
  <si>
    <t>2027AMP2018Operating ExpenditureTotal opexOperational expenditurenominal</t>
  </si>
  <si>
    <t>2027AMP2019Operating ExpenditureTotal opexOperational expenditurenominal</t>
  </si>
  <si>
    <t>2027AMP2020Operating ExpenditureTotal opexOperational expenditurenominal</t>
  </si>
  <si>
    <t>2027AMP2017Operating ExpenditureTotal opexOperational expenditurenominal</t>
  </si>
  <si>
    <t>2028AMP2021Capital ExpenditureAll assetsExpenditure on assetsconstant</t>
  </si>
  <si>
    <t>2028AMP2018Capital ExpenditureAll assetsExpenditure on assetsconstant</t>
  </si>
  <si>
    <t>2028AMP2019Capital ExpenditureAll assetsExpenditure on assetsconstant</t>
  </si>
  <si>
    <t>2028AMP2020Capital ExpenditureAll assetsExpenditure on assetsconstant</t>
  </si>
  <si>
    <t>2028AMP2021Capital ExpenditureAll assetsExpenditure on assetsnominal</t>
  </si>
  <si>
    <t>2028AMP2018Capital ExpenditureAll assetsExpenditure on assetsnominal</t>
  </si>
  <si>
    <t>2028AMP2020Capital ExpenditureAll assetsExpenditure on assetsnominal</t>
  </si>
  <si>
    <t>2028AMP2019Capital ExpenditureAll assetsExpenditure on assetsnominal</t>
  </si>
  <si>
    <t>2028AMP2018Capital ExpenditureAsset relocationsAsset relocationsconstant</t>
  </si>
  <si>
    <t>2028AMP2019Capital ExpenditureAsset relocationsAsset relocationsconstant</t>
  </si>
  <si>
    <t>2028AMP2021Capital ExpenditureAsset relocationsAsset relocationsconstant</t>
  </si>
  <si>
    <t>2028AMP2020Capital ExpenditureAsset relocationsAsset relocationsconstant</t>
  </si>
  <si>
    <t>2028AMP2019Capital ExpenditureAsset relocationsAsset relocationsnominal</t>
  </si>
  <si>
    <t>2028AMP2021Capital ExpenditureAsset relocationsAsset relocationsnominal</t>
  </si>
  <si>
    <t>2028AMP2020Capital ExpenditureAsset relocationsAsset relocationsnominal</t>
  </si>
  <si>
    <t>2028AMP2018Capital ExpenditureAsset relocationsAsset relocationsnominal</t>
  </si>
  <si>
    <t>2028AMP2021Capital ExpenditureAsset replacement and renewalAsset replacement and renewalconstant</t>
  </si>
  <si>
    <t>2028AMP2018Capital ExpenditureAsset replacement and renewalAsset replacement and renewalconstant</t>
  </si>
  <si>
    <t>2028AMP2020Capital ExpenditureAsset replacement and renewalAsset replacement and renewalconstant</t>
  </si>
  <si>
    <t>2028AMP2019Capital ExpenditureAsset replacement and renewalAsset replacement and renewalconstant</t>
  </si>
  <si>
    <t>2028AMP2021Capital ExpenditureAsset replacement and renewalAsset replacement and renewalnominal</t>
  </si>
  <si>
    <t>2028AMP2019Capital ExpenditureAsset replacement and renewalAsset replacement and renewalnominal</t>
  </si>
  <si>
    <t>2028AMP2018Capital ExpenditureAsset replacement and renewalAsset replacement and renewalnominal</t>
  </si>
  <si>
    <t>2028AMP2020Capital ExpenditureAsset replacement and renewalAsset replacement and renewalnominal</t>
  </si>
  <si>
    <t>2028AMP2020Capital ExpenditureAssets commissionedAssets commissionednominal</t>
  </si>
  <si>
    <t>2028AMP2021Capital ExpenditureAssets commissionedAssets commissionednominal</t>
  </si>
  <si>
    <t>2028AMP2018Capital ExpenditureAssets commissionedAssets commissionednominal</t>
  </si>
  <si>
    <t>2028AMP2019Capital ExpenditureAssets commissionedAssets commissionednominal</t>
  </si>
  <si>
    <t>2028AMP2021Capital ExpenditureCapital expenditure forecastCapital expenditure forecastnominal</t>
  </si>
  <si>
    <t>2028AMP2019Capital ExpenditureCapital expenditure forecastCapital expenditure forecastnominal</t>
  </si>
  <si>
    <t>2028AMP2018Capital ExpenditureCapital expenditure forecastCapital expenditure forecastnominal</t>
  </si>
  <si>
    <t>2028AMP2020Capital ExpenditureCapital expenditure forecastCapital expenditure forecastnominal</t>
  </si>
  <si>
    <t>2028AMP2018Capital ExpenditureConsumer connectionConsumer connectionconstant</t>
  </si>
  <si>
    <t>2028AMP2021Capital ExpenditureConsumer connectionConsumer connectionconstant</t>
  </si>
  <si>
    <t>2028AMP2020Capital ExpenditureConsumer connectionConsumer connectionconstant</t>
  </si>
  <si>
    <t>2028AMP2019Capital ExpenditureConsumer connectionConsumer connectionconstant</t>
  </si>
  <si>
    <t>2028AMP2018Capital ExpenditureConsumer connectionConsumer connectionnominal</t>
  </si>
  <si>
    <t>2028AMP2021Capital ExpenditureConsumer connectionConsumer connectionnominal</t>
  </si>
  <si>
    <t>2028AMP2020Capital ExpenditureConsumer connectionConsumer connectionnominal</t>
  </si>
  <si>
    <t>2028AMP2019Capital ExpenditureConsumer connectionConsumer connectionnominal</t>
  </si>
  <si>
    <t>2028AMP2018Capital ExpenditureCost of financingCost of financingnominal</t>
  </si>
  <si>
    <t>2028AMP2019Capital ExpenditureCost of financingCost of financingnominal</t>
  </si>
  <si>
    <t>2028AMP2020Capital ExpenditureCost of financingCost of financingnominal</t>
  </si>
  <si>
    <t>2028AMP2021Capital ExpenditureCost of financingCost of financingnominal</t>
  </si>
  <si>
    <t>2028AMP2021Capital ExpenditureExpenditure on subcomponentsResearch and developmentconstant</t>
  </si>
  <si>
    <t>2028AMP2020Capital ExpenditureExpenditure on subcomponentsResearch and developmentconstant</t>
  </si>
  <si>
    <t>2028AMP2018Capital ExpenditureExpenditure on subcomponentsResearch and developmentconstant</t>
  </si>
  <si>
    <t>2028AMP2019Capital ExpenditureExpenditure on subcomponentsResearch and developmentconstant</t>
  </si>
  <si>
    <t>2028AMP2020Capital ExpenditureNetwork assetsExpenditure on network assetsconstant</t>
  </si>
  <si>
    <t>2028AMP2021Capital ExpenditureNetwork assetsExpenditure on network assetsconstant</t>
  </si>
  <si>
    <t>2028AMP2019Capital ExpenditureNetwork assetsExpenditure on network assetsconstant</t>
  </si>
  <si>
    <t>2028AMP2018Capital ExpenditureNetwork assetsExpenditure on network assetsconstant</t>
  </si>
  <si>
    <t>2028AMP2019Capital ExpenditureNetwork assetsExpenditure on network assetsnominal</t>
  </si>
  <si>
    <t>2028AMP2021Capital ExpenditureNetwork assetsExpenditure on network assetsnominal</t>
  </si>
  <si>
    <t>2028AMP2020Capital ExpenditureNetwork assetsExpenditure on network assetsnominal</t>
  </si>
  <si>
    <t>2028AMP2018Capital ExpenditureNetwork assetsExpenditure on network assetsnominal</t>
  </si>
  <si>
    <t>2028AMP2019Capital ExpenditureNon-network assetsNon-network assetsconstant</t>
  </si>
  <si>
    <t>2028AMP2021Capital ExpenditureNon-network assetsNon-network assetsconstant</t>
  </si>
  <si>
    <t>2028AMP2020Capital ExpenditureNon-network assetsNon-network assetsconstant</t>
  </si>
  <si>
    <t>2028AMP2018Capital ExpenditureNon-network assetsNon-network assetsconstant</t>
  </si>
  <si>
    <t>2028AMP2020Capital ExpenditureNon-network assetsNon-network assetsnominal</t>
  </si>
  <si>
    <t>2028AMP2021Capital ExpenditureNon-network assetsNon-network assetsnominal</t>
  </si>
  <si>
    <t>2028AMP2019Capital ExpenditureNon-network assetsNon-network assetsnominal</t>
  </si>
  <si>
    <t>2028AMP2018Capital ExpenditureNon-network assetsNon-network assetsnominal</t>
  </si>
  <si>
    <t>2028AMP2021Capital ExpenditureReliability, safety and environmentLegislative and regulatoryconstant</t>
  </si>
  <si>
    <t>2028AMP2018Capital ExpenditureReliability, safety and environmentLegislative and regulatoryconstant</t>
  </si>
  <si>
    <t>2028AMP2020Capital ExpenditureReliability, safety and environmentLegislative and regulatoryconstant</t>
  </si>
  <si>
    <t>2028AMP2019Capital ExpenditureReliability, safety and environmentLegislative and regulatoryconstant</t>
  </si>
  <si>
    <t>2028AMP2020Capital ExpenditureReliability, safety and environmentLegislative and regulatorynominal</t>
  </si>
  <si>
    <t>2028AMP2021Capital ExpenditureReliability, safety and environmentLegislative and regulatorynominal</t>
  </si>
  <si>
    <t>2028AMP2018Capital ExpenditureReliability, safety and environmentLegislative and regulatorynominal</t>
  </si>
  <si>
    <t>2028AMP2019Capital ExpenditureReliability, safety and environmentLegislative and regulatorynominal</t>
  </si>
  <si>
    <t>2028AMP2020Capital ExpenditureReliability, safety and environmentOther reliability, safety and environmentconstant</t>
  </si>
  <si>
    <t>2028AMP2018Capital ExpenditureReliability, safety and environmentOther reliability, safety and environmentconstant</t>
  </si>
  <si>
    <t>2028AMP2019Capital ExpenditureReliability, safety and environmentOther reliability, safety and environmentconstant</t>
  </si>
  <si>
    <t>2028AMP2021Capital ExpenditureReliability, safety and environmentOther reliability, safety and environmentconstant</t>
  </si>
  <si>
    <t>2028AMP2020Capital ExpenditureReliability, safety and environmentOther reliability, safety and environmentnominal</t>
  </si>
  <si>
    <t>2028AMP2019Capital ExpenditureReliability, safety and environmentOther reliability, safety and environmentnominal</t>
  </si>
  <si>
    <t>2028AMP2018Capital ExpenditureReliability, safety and environmentOther reliability, safety and environmentnominal</t>
  </si>
  <si>
    <t>2028AMP2021Capital ExpenditureReliability, safety and environmentOther reliability, safety and environmentnominal</t>
  </si>
  <si>
    <t>2028AMP2019Capital ExpenditureReliability, safety and environmentQuality of supplyconstant</t>
  </si>
  <si>
    <t>2028AMP2018Capital ExpenditureReliability, safety and environmentQuality of supplyconstant</t>
  </si>
  <si>
    <t>2028AMP2020Capital ExpenditureReliability, safety and environmentQuality of supplyconstant</t>
  </si>
  <si>
    <t>2028AMP2021Capital ExpenditureReliability, safety and environmentQuality of supplyconstant</t>
  </si>
  <si>
    <t>2028AMP2019Capital ExpenditureReliability, safety and environmentQuality of supplynominal</t>
  </si>
  <si>
    <t>2028AMP2020Capital ExpenditureReliability, safety and environmentQuality of supplynominal</t>
  </si>
  <si>
    <t>2028AMP2021Capital ExpenditureReliability, safety and environmentQuality of supplynominal</t>
  </si>
  <si>
    <t>2028AMP2018Capital ExpenditureReliability, safety and environmentQuality of supplynominal</t>
  </si>
  <si>
    <t>2028AMP2020Capital ExpenditureReliability, safety and environmentTotal reliability, safety and environmentconstant</t>
  </si>
  <si>
    <t>2028AMP2021Capital ExpenditureReliability, safety and environmentTotal reliability, safety and environmentconstant</t>
  </si>
  <si>
    <t>2028AMP2019Capital ExpenditureReliability, safety and environmentTotal reliability, safety and environmentconstant</t>
  </si>
  <si>
    <t>2028AMP2018Capital ExpenditureReliability, safety and environmentTotal reliability, safety and environmentconstant</t>
  </si>
  <si>
    <t>2028AMP2019Capital ExpenditureReliability, safety and environmentTotal reliability, safety and environmentnominal</t>
  </si>
  <si>
    <t>2028AMP2021Capital ExpenditureReliability, safety and environmentTotal reliability, safety and environmentnominal</t>
  </si>
  <si>
    <t>2028AMP2018Capital ExpenditureReliability, safety and environmentTotal reliability, safety and environmentnominal</t>
  </si>
  <si>
    <t>2028AMP2020Capital ExpenditureReliability, safety and environmentTotal reliability, safety and environmentnominal</t>
  </si>
  <si>
    <t>2028AMP2021Capital ExpenditureSystem growthSystem growthconstant</t>
  </si>
  <si>
    <t>2028AMP2020Capital ExpenditureSystem growthSystem growthconstant</t>
  </si>
  <si>
    <t>2028AMP2018Capital ExpenditureSystem growthSystem growthconstant</t>
  </si>
  <si>
    <t>2028AMP2019Capital ExpenditureSystem growthSystem growthconstant</t>
  </si>
  <si>
    <t>2028AMP2019Capital ExpenditureSystem growthSystem growthnominal</t>
  </si>
  <si>
    <t>2028AMP2021Capital ExpenditureSystem growthSystem growthnominal</t>
  </si>
  <si>
    <t>2028AMP2020Capital ExpenditureSystem growthSystem growthnominal</t>
  </si>
  <si>
    <t>2028AMP2018Capital ExpenditureSystem growthSystem growthnominal</t>
  </si>
  <si>
    <t>2028AMP2020Capital ExpenditureValue of capital contributionsValue of capital contributionsnominal</t>
  </si>
  <si>
    <t>2028AMP2018Capital ExpenditureValue of capital contributionsValue of capital contributionsnominal</t>
  </si>
  <si>
    <t>2028AMP2019Capital ExpenditureValue of capital contributionsValue of capital contributionsnominal</t>
  </si>
  <si>
    <t>2028AMP2021Capital ExpenditureValue of capital contributionsValue of capital contributionsnominal</t>
  </si>
  <si>
    <t>2028AMP2021Capital ExpenditureValue of vested assetsValue of vested assetsnominal</t>
  </si>
  <si>
    <t>2028AMP2020Capital ExpenditureValue of vested assetsValue of vested assetsnominal</t>
  </si>
  <si>
    <t>2028AMP2018Capital ExpenditureValue of vested assetsValue of vested assetsnominal</t>
  </si>
  <si>
    <t>2028AMP2019Capital ExpenditureValue of vested assetsValue of vested assetsnominal</t>
  </si>
  <si>
    <t>2028AMP2018Operating ExpenditureAsset replacement and renewalAsset replacement and renewalconstant</t>
  </si>
  <si>
    <t>2028AMP2021Operating ExpenditureAsset replacement and renewalAsset replacement and renewalconstant</t>
  </si>
  <si>
    <t>2028AMP2020Operating ExpenditureAsset replacement and renewalAsset replacement and renewalconstant</t>
  </si>
  <si>
    <t>2028AMP2019Operating ExpenditureAsset replacement and renewalAsset replacement and renewalconstant</t>
  </si>
  <si>
    <t>2028AMP2021Operating ExpenditureAsset replacement and renewalAsset replacement and renewalnominal</t>
  </si>
  <si>
    <t>2028AMP2020Operating ExpenditureAsset replacement and renewalAsset replacement and renewalnominal</t>
  </si>
  <si>
    <t>2028AMP2018Operating ExpenditureAsset replacement and renewalAsset replacement and renewalnominal</t>
  </si>
  <si>
    <t>2028AMP2019Operating ExpenditureAsset replacement and renewalAsset replacement and renewalnominal</t>
  </si>
  <si>
    <t>2028AMP2018Operating ExpenditureBusiness supportBusiness supportconstant</t>
  </si>
  <si>
    <t>2028AMP2019Operating ExpenditureBusiness supportBusiness supportconstant</t>
  </si>
  <si>
    <t>2028AMP2020Operating ExpenditureBusiness supportBusiness supportconstant</t>
  </si>
  <si>
    <t>2028AMP2021Operating ExpenditureBusiness supportBusiness supportconstant</t>
  </si>
  <si>
    <t>2028AMP2020Operating ExpenditureBusiness supportBusiness supportnominal</t>
  </si>
  <si>
    <t>2028AMP2018Operating ExpenditureBusiness supportBusiness supportnominal</t>
  </si>
  <si>
    <t>2028AMP2019Operating ExpenditureBusiness supportBusiness supportnominal</t>
  </si>
  <si>
    <t>2028AMP2021Operating ExpenditureBusiness supportBusiness supportnominal</t>
  </si>
  <si>
    <t>2028AMP2019Operating ExpenditureExpenditure on subcomponentsInsuranceconstant</t>
  </si>
  <si>
    <t>2028AMP2021Operating ExpenditureExpenditure on subcomponentsInsuranceconstant</t>
  </si>
  <si>
    <t>2028AMP2018Operating ExpenditureExpenditure on subcomponentsInsuranceconstant</t>
  </si>
  <si>
    <t>2028AMP2020Operating ExpenditureExpenditure on subcomponentsInsuranceconstant</t>
  </si>
  <si>
    <t>2028AMP2021Operating ExpenditureExpenditure on subcomponentsResearch and developmentconstant</t>
  </si>
  <si>
    <t>2028AMP2019Operating ExpenditureExpenditure on subcomponentsResearch and developmentconstant</t>
  </si>
  <si>
    <t>2028AMP2018Operating ExpenditureExpenditure on subcomponentsResearch and developmentconstant</t>
  </si>
  <si>
    <t>2028AMP2020Operating ExpenditureExpenditure on subcomponentsResearch and developmentconstant</t>
  </si>
  <si>
    <t>2028AMP2019Operating ExpenditureNetwork opexNetwork opexconstant</t>
  </si>
  <si>
    <t>2028AMP2021Operating ExpenditureNetwork opexNetwork opexconstant</t>
  </si>
  <si>
    <t>2028AMP2018Operating ExpenditureNetwork opexNetwork opexconstant</t>
  </si>
  <si>
    <t>2028AMP2020Operating ExpenditureNetwork opexNetwork opexconstant</t>
  </si>
  <si>
    <t>2028AMP2021Operating ExpenditureNetwork opexNetwork opexnominal</t>
  </si>
  <si>
    <t>2028AMP2019Operating ExpenditureNetwork opexNetwork opexnominal</t>
  </si>
  <si>
    <t>2028AMP2020Operating ExpenditureNetwork opexNetwork opexnominal</t>
  </si>
  <si>
    <t>2028AMP2018Operating ExpenditureNetwork opexNetwork opexnominal</t>
  </si>
  <si>
    <t>2028AMP2021Operating ExpenditureNon-network opexNon-network opexconstant</t>
  </si>
  <si>
    <t>2028AMP2020Operating ExpenditureNon-network opexNon-network opexconstant</t>
  </si>
  <si>
    <t>2028AMP2018Operating ExpenditureNon-network opexNon-network opexconstant</t>
  </si>
  <si>
    <t>2028AMP2019Operating ExpenditureNon-network opexNon-network opexconstant</t>
  </si>
  <si>
    <t>2028AMP2018Operating ExpenditureNon-network opexNon-network opexnominal</t>
  </si>
  <si>
    <t>2028AMP2021Operating ExpenditureNon-network opexNon-network opexnominal</t>
  </si>
  <si>
    <t>2028AMP2019Operating ExpenditureNon-network opexNon-network opexnominal</t>
  </si>
  <si>
    <t>2028AMP2020Operating ExpenditureNon-network opexNon-network opexnominal</t>
  </si>
  <si>
    <t>2028AMP2018Operating ExpenditureResearch and developmentResearch and developmentconstant</t>
  </si>
  <si>
    <t>2028AMP2021Operating ExpenditureResearch and developmentResearch and developmentconstant</t>
  </si>
  <si>
    <t>2028AMP2019Operating ExpenditureResearch and developmentResearch and developmentconstant</t>
  </si>
  <si>
    <t>2028AMP2020Operating ExpenditureResearch and developmentResearch and developmentconstant</t>
  </si>
  <si>
    <t>2028AMP2021Operating ExpenditureRoutine and corrective maintenance and inspectionRoutine and corrective maintenance and inspectionconstant</t>
  </si>
  <si>
    <t>2028AMP2020Operating ExpenditureRoutine and corrective maintenance and inspectionRoutine and corrective maintenance and inspectionconstant</t>
  </si>
  <si>
    <t>2028AMP2019Operating ExpenditureRoutine and corrective maintenance and inspectionRoutine and corrective maintenance and inspectionconstant</t>
  </si>
  <si>
    <t>2028AMP2018Operating ExpenditureRoutine and corrective maintenance and inspectionRoutine and corrective maintenance and inspectionconstant</t>
  </si>
  <si>
    <t>2028AMP2020Operating ExpenditureRoutine and corrective maintenance and inspectionRoutine and corrective maintenance and inspectionnominal</t>
  </si>
  <si>
    <t>2028AMP2019Operating ExpenditureRoutine and corrective maintenance and inspectionRoutine and corrective maintenance and inspectionnominal</t>
  </si>
  <si>
    <t>2028AMP2021Operating ExpenditureRoutine and corrective maintenance and inspectionRoutine and corrective maintenance and inspectionnominal</t>
  </si>
  <si>
    <t>2028AMP2018Operating ExpenditureRoutine and corrective maintenance and inspectionRoutine and corrective maintenance and inspectionnominal</t>
  </si>
  <si>
    <t>2028AMP2021Operating ExpenditureService interruptions, incidents and emergenciesService interruptions, incidents and emergenciesconstant</t>
  </si>
  <si>
    <t>2028AMP2019Operating ExpenditureService interruptions, incidents and emergenciesService interruptions, incidents and emergenciesconstant</t>
  </si>
  <si>
    <t>2028AMP2018Operating ExpenditureService interruptions, incidents and emergenciesService interruptions, incidents and emergenciesconstant</t>
  </si>
  <si>
    <t>2028AMP2020Operating ExpenditureService interruptions, incidents and emergenciesService interruptions, incidents and emergenciesconstant</t>
  </si>
  <si>
    <t>2028AMP2018Operating ExpenditureService interruptions, incidents and emergenciesService interruptions, incidents and emergenciesnominal</t>
  </si>
  <si>
    <t>2028AMP2020Operating ExpenditureService interruptions, incidents and emergenciesService interruptions, incidents and emergenciesnominal</t>
  </si>
  <si>
    <t>2028AMP2021Operating ExpenditureService interruptions, incidents and emergenciesService interruptions, incidents and emergenciesnominal</t>
  </si>
  <si>
    <t>2028AMP2019Operating ExpenditureService interruptions, incidents and emergenciesService interruptions, incidents and emergenciesnominal</t>
  </si>
  <si>
    <t>2028AMP2018Operating ExpenditureSystem operations and network supportSystem operations and network supportconstant</t>
  </si>
  <si>
    <t>2028AMP2020Operating ExpenditureSystem operations and network supportSystem operations and network supportconstant</t>
  </si>
  <si>
    <t>2028AMP2021Operating ExpenditureSystem operations and network supportSystem operations and network supportconstant</t>
  </si>
  <si>
    <t>2028AMP2019Operating ExpenditureSystem operations and network supportSystem operations and network supportconstant</t>
  </si>
  <si>
    <t>2028AMP2020Operating ExpenditureSystem operations and network supportSystem operations and network supportnominal</t>
  </si>
  <si>
    <t>2028AMP2018Operating ExpenditureSystem operations and network supportSystem operations and network supportnominal</t>
  </si>
  <si>
    <t>2028AMP2021Operating ExpenditureSystem operations and network supportSystem operations and network supportnominal</t>
  </si>
  <si>
    <t>2028AMP2019Operating ExpenditureSystem operations and network supportSystem operations and network supportnominal</t>
  </si>
  <si>
    <t>2028AMP2020Operating ExpenditureTotal opexOperational expenditureconstant</t>
  </si>
  <si>
    <t>2028AMP2018Operating ExpenditureTotal opexOperational expenditureconstant</t>
  </si>
  <si>
    <t>2028AMP2021Operating ExpenditureTotal opexOperational expenditureconstant</t>
  </si>
  <si>
    <t>2028AMP2019Operating ExpenditureTotal opexOperational expenditureconstant</t>
  </si>
  <si>
    <t>2028AMP2019Operating ExpenditureTotal opexOperational expenditurenominal</t>
  </si>
  <si>
    <t>2028AMP2021Operating ExpenditureTotal opexOperational expenditurenominal</t>
  </si>
  <si>
    <t>2028AMP2018Operating ExpenditureTotal opexOperational expenditurenominal</t>
  </si>
  <si>
    <t>2028AMP2020Operating ExpenditureTotal opexOperational expenditurenominal</t>
  </si>
  <si>
    <t>2029AMP2021Capital ExpenditureAll assetsExpenditure on assetsconstant</t>
  </si>
  <si>
    <t>2029AMP2020Capital ExpenditureAll assetsExpenditure on assetsconstant</t>
  </si>
  <si>
    <t>2029AMP2019Capital ExpenditureAll assetsExpenditure on assetsconstant</t>
  </si>
  <si>
    <t>2029AMP2019Capital ExpenditureAll assetsExpenditure on assetsnominal</t>
  </si>
  <si>
    <t>2029AMP2020Capital ExpenditureAll assetsExpenditure on assetsnominal</t>
  </si>
  <si>
    <t>2029AMP2021Capital ExpenditureAll assetsExpenditure on assetsnominal</t>
  </si>
  <si>
    <t>2029AMP2020Capital ExpenditureAsset relocationsAsset relocationsconstant</t>
  </si>
  <si>
    <t>2029AMP2021Capital ExpenditureAsset relocationsAsset relocationsconstant</t>
  </si>
  <si>
    <t>2029AMP2019Capital ExpenditureAsset relocationsAsset relocationsconstant</t>
  </si>
  <si>
    <t>2029AMP2021Capital ExpenditureAsset relocationsAsset relocationsnominal</t>
  </si>
  <si>
    <t>2029AMP2019Capital ExpenditureAsset relocationsAsset relocationsnominal</t>
  </si>
  <si>
    <t>2029AMP2020Capital ExpenditureAsset relocationsAsset relocationsnominal</t>
  </si>
  <si>
    <t>2029AMP2020Capital ExpenditureAsset replacement and renewalAsset replacement and renewalconstant</t>
  </si>
  <si>
    <t>2029AMP2021Capital ExpenditureAsset replacement and renewalAsset replacement and renewalconstant</t>
  </si>
  <si>
    <t>2029AMP2019Capital ExpenditureAsset replacement and renewalAsset replacement and renewalconstant</t>
  </si>
  <si>
    <t>2029AMP2021Capital ExpenditureAsset replacement and renewalAsset replacement and renewalnominal</t>
  </si>
  <si>
    <t>2029AMP2019Capital ExpenditureAsset replacement and renewalAsset replacement and renewalnominal</t>
  </si>
  <si>
    <t>2029AMP2020Capital ExpenditureAsset replacement and renewalAsset replacement and renewalnominal</t>
  </si>
  <si>
    <t>2029AMP2020Capital ExpenditureAssets commissionedAssets commissionednominal</t>
  </si>
  <si>
    <t>2029AMP2019Capital ExpenditureAssets commissionedAssets commissionednominal</t>
  </si>
  <si>
    <t>2029AMP2021Capital ExpenditureAssets commissionedAssets commissionednominal</t>
  </si>
  <si>
    <t>2029AMP2020Capital ExpenditureCapital expenditure forecastCapital expenditure forecastnominal</t>
  </si>
  <si>
    <t>2029AMP2021Capital ExpenditureCapital expenditure forecastCapital expenditure forecastnominal</t>
  </si>
  <si>
    <t>2029AMP2019Capital ExpenditureCapital expenditure forecastCapital expenditure forecastnominal</t>
  </si>
  <si>
    <t>2029AMP2019Capital ExpenditureConsumer connectionConsumer connectionconstant</t>
  </si>
  <si>
    <t>2029AMP2020Capital ExpenditureConsumer connectionConsumer connectionconstant</t>
  </si>
  <si>
    <t>2029AMP2021Capital ExpenditureConsumer connectionConsumer connectionconstant</t>
  </si>
  <si>
    <t>2029AMP2021Capital ExpenditureConsumer connectionConsumer connectionnominal</t>
  </si>
  <si>
    <t>2029AMP2020Capital ExpenditureConsumer connectionConsumer connectionnominal</t>
  </si>
  <si>
    <t>2029AMP2019Capital ExpenditureConsumer connectionConsumer connectionnominal</t>
  </si>
  <si>
    <t>2029AMP2019Capital ExpenditureCost of financingCost of financingnominal</t>
  </si>
  <si>
    <t>2029AMP2021Capital ExpenditureCost of financingCost of financingnominal</t>
  </si>
  <si>
    <t>2029AMP2020Capital ExpenditureCost of financingCost of financingnominal</t>
  </si>
  <si>
    <t>2029AMP2019Capital ExpenditureExpenditure on subcomponentsResearch and developmentconstant</t>
  </si>
  <si>
    <t>2029AMP2021Capital ExpenditureExpenditure on subcomponentsResearch and developmentconstant</t>
  </si>
  <si>
    <t>2029AMP2020Capital ExpenditureExpenditure on subcomponentsResearch and developmentconstant</t>
  </si>
  <si>
    <t>2029AMP2021Capital ExpenditureNetwork assetsExpenditure on network assetsconstant</t>
  </si>
  <si>
    <t>2029AMP2020Capital ExpenditureNetwork assetsExpenditure on network assetsconstant</t>
  </si>
  <si>
    <t>2029AMP2019Capital ExpenditureNetwork assetsExpenditure on network assetsconstant</t>
  </si>
  <si>
    <t>2029AMP2021Capital ExpenditureNetwork assetsExpenditure on network assetsnominal</t>
  </si>
  <si>
    <t>2029AMP2020Capital ExpenditureNetwork assetsExpenditure on network assetsnominal</t>
  </si>
  <si>
    <t>2029AMP2019Capital ExpenditureNetwork assetsExpenditure on network assetsnominal</t>
  </si>
  <si>
    <t>2029AMP2021Capital ExpenditureNon-network assetsNon-network assetsconstant</t>
  </si>
  <si>
    <t>2029AMP2019Capital ExpenditureNon-network assetsNon-network assetsconstant</t>
  </si>
  <si>
    <t>2029AMP2020Capital ExpenditureNon-network assetsNon-network assetsconstant</t>
  </si>
  <si>
    <t>2029AMP2021Capital ExpenditureNon-network assetsNon-network assetsnominal</t>
  </si>
  <si>
    <t>2029AMP2019Capital ExpenditureNon-network assetsNon-network assetsnominal</t>
  </si>
  <si>
    <t>2029AMP2020Capital ExpenditureNon-network assetsNon-network assetsnominal</t>
  </si>
  <si>
    <t>2029AMP2020Capital ExpenditureReliability, safety and environmentLegislative and regulatoryconstant</t>
  </si>
  <si>
    <t>2029AMP2021Capital ExpenditureReliability, safety and environmentLegislative and regulatoryconstant</t>
  </si>
  <si>
    <t>2029AMP2019Capital ExpenditureReliability, safety and environmentLegislative and regulatoryconstant</t>
  </si>
  <si>
    <t>2029AMP2020Capital ExpenditureReliability, safety and environmentLegislative and regulatorynominal</t>
  </si>
  <si>
    <t>2029AMP2021Capital ExpenditureReliability, safety and environmentLegislative and regulatorynominal</t>
  </si>
  <si>
    <t>2029AMP2019Capital ExpenditureReliability, safety and environmentLegislative and regulatorynominal</t>
  </si>
  <si>
    <t>2029AMP2019Capital ExpenditureReliability, safety and environmentOther reliability, safety and environmentconstant</t>
  </si>
  <si>
    <t>2029AMP2020Capital ExpenditureReliability, safety and environmentOther reliability, safety and environmentconstant</t>
  </si>
  <si>
    <t>2029AMP2021Capital ExpenditureReliability, safety and environmentOther reliability, safety and environmentconstant</t>
  </si>
  <si>
    <t>2029AMP2020Capital ExpenditureReliability, safety and environmentOther reliability, safety and environmentnominal</t>
  </si>
  <si>
    <t>2029AMP2021Capital ExpenditureReliability, safety and environmentOther reliability, safety and environmentnominal</t>
  </si>
  <si>
    <t>2029AMP2019Capital ExpenditureReliability, safety and environmentOther reliability, safety and environmentnominal</t>
  </si>
  <si>
    <t>2029AMP2021Capital ExpenditureReliability, safety and environmentQuality of supplyconstant</t>
  </si>
  <si>
    <t>2029AMP2020Capital ExpenditureReliability, safety and environmentQuality of supplyconstant</t>
  </si>
  <si>
    <t>2029AMP2019Capital ExpenditureReliability, safety and environmentQuality of supplyconstant</t>
  </si>
  <si>
    <t>2029AMP2021Capital ExpenditureReliability, safety and environmentQuality of supplynominal</t>
  </si>
  <si>
    <t>2029AMP2019Capital ExpenditureReliability, safety and environmentQuality of supplynominal</t>
  </si>
  <si>
    <t>2029AMP2020Capital ExpenditureReliability, safety and environmentQuality of supplynominal</t>
  </si>
  <si>
    <t>2029AMP2021Capital ExpenditureReliability, safety and environmentTotal reliability, safety and environmentconstant</t>
  </si>
  <si>
    <t>2029AMP2020Capital ExpenditureReliability, safety and environmentTotal reliability, safety and environmentconstant</t>
  </si>
  <si>
    <t>2029AMP2019Capital ExpenditureReliability, safety and environmentTotal reliability, safety and environmentconstant</t>
  </si>
  <si>
    <t>2029AMP2020Capital ExpenditureReliability, safety and environmentTotal reliability, safety and environmentnominal</t>
  </si>
  <si>
    <t>2029AMP2021Capital ExpenditureReliability, safety and environmentTotal reliability, safety and environmentnominal</t>
  </si>
  <si>
    <t>2029AMP2019Capital ExpenditureReliability, safety and environmentTotal reliability, safety and environmentnominal</t>
  </si>
  <si>
    <t>2029AMP2020Capital ExpenditureSystem growthSystem growthconstant</t>
  </si>
  <si>
    <t>2029AMP2021Capital ExpenditureSystem growthSystem growthconstant</t>
  </si>
  <si>
    <t>2029AMP2019Capital ExpenditureSystem growthSystem growthconstant</t>
  </si>
  <si>
    <t>2029AMP2021Capital ExpenditureSystem growthSystem growthnominal</t>
  </si>
  <si>
    <t>2029AMP2019Capital ExpenditureSystem growthSystem growthnominal</t>
  </si>
  <si>
    <t>2029AMP2020Capital ExpenditureSystem growthSystem growthnominal</t>
  </si>
  <si>
    <t>2029AMP2019Capital ExpenditureValue of capital contributionsValue of capital contributionsnominal</t>
  </si>
  <si>
    <t>2029AMP2020Capital ExpenditureValue of capital contributionsValue of capital contributionsnominal</t>
  </si>
  <si>
    <t>2029AMP2021Capital ExpenditureValue of capital contributionsValue of capital contributionsnominal</t>
  </si>
  <si>
    <t>2029AMP2019Capital ExpenditureValue of vested assetsValue of vested assetsnominal</t>
  </si>
  <si>
    <t>2029AMP2021Capital ExpenditureValue of vested assetsValue of vested assetsnominal</t>
  </si>
  <si>
    <t>2029AMP2020Capital ExpenditureValue of vested assetsValue of vested assetsnominal</t>
  </si>
  <si>
    <t>2029AMP2019Operating ExpenditureAsset replacement and renewalAsset replacement and renewalconstant</t>
  </si>
  <si>
    <t>2029AMP2020Operating ExpenditureAsset replacement and renewalAsset replacement and renewalconstant</t>
  </si>
  <si>
    <t>2029AMP2021Operating ExpenditureAsset replacement and renewalAsset replacement and renewalconstant</t>
  </si>
  <si>
    <t>2029AMP2020Operating ExpenditureAsset replacement and renewalAsset replacement and renewalnominal</t>
  </si>
  <si>
    <t>2029AMP2019Operating ExpenditureAsset replacement and renewalAsset replacement and renewalnominal</t>
  </si>
  <si>
    <t>2029AMP2021Operating ExpenditureAsset replacement and renewalAsset replacement and renewalnominal</t>
  </si>
  <si>
    <t>2029AMP2019Operating ExpenditureBusiness supportBusiness supportconstant</t>
  </si>
  <si>
    <t>2029AMP2021Operating ExpenditureBusiness supportBusiness supportconstant</t>
  </si>
  <si>
    <t>2029AMP2020Operating ExpenditureBusiness supportBusiness supportconstant</t>
  </si>
  <si>
    <t>2029AMP2019Operating ExpenditureBusiness supportBusiness supportnominal</t>
  </si>
  <si>
    <t>2029AMP2021Operating ExpenditureBusiness supportBusiness supportnominal</t>
  </si>
  <si>
    <t>2029AMP2020Operating ExpenditureBusiness supportBusiness supportnominal</t>
  </si>
  <si>
    <t>2029AMP2020Operating ExpenditureExpenditure on subcomponentsInsuranceconstant</t>
  </si>
  <si>
    <t>2029AMP2019Operating ExpenditureExpenditure on subcomponentsInsuranceconstant</t>
  </si>
  <si>
    <t>2029AMP2021Operating ExpenditureExpenditure on subcomponentsInsuranceconstant</t>
  </si>
  <si>
    <t>2029AMP2021Operating ExpenditureExpenditure on subcomponentsResearch and developmentconstant</t>
  </si>
  <si>
    <t>2029AMP2020Operating ExpenditureExpenditure on subcomponentsResearch and developmentconstant</t>
  </si>
  <si>
    <t>2029AMP2019Operating ExpenditureExpenditure on subcomponentsResearch and developmentconstant</t>
  </si>
  <si>
    <t>2029AMP2020Operating ExpenditureNetwork opexNetwork opexconstant</t>
  </si>
  <si>
    <t>2029AMP2019Operating ExpenditureNetwork opexNetwork opexconstant</t>
  </si>
  <si>
    <t>2029AMP2021Operating ExpenditureNetwork opexNetwork opexconstant</t>
  </si>
  <si>
    <t>2029AMP2019Operating ExpenditureNetwork opexNetwork opexnominal</t>
  </si>
  <si>
    <t>2029AMP2021Operating ExpenditureNetwork opexNetwork opexnominal</t>
  </si>
  <si>
    <t>2029AMP2020Operating ExpenditureNetwork opexNetwork opexnominal</t>
  </si>
  <si>
    <t>2029AMP2019Operating ExpenditureNon-network opexNon-network opexconstant</t>
  </si>
  <si>
    <t>2029AMP2020Operating ExpenditureNon-network opexNon-network opexconstant</t>
  </si>
  <si>
    <t>2029AMP2021Operating ExpenditureNon-network opexNon-network opexconstant</t>
  </si>
  <si>
    <t>2029AMP2020Operating ExpenditureNon-network opexNon-network opexnominal</t>
  </si>
  <si>
    <t>2029AMP2019Operating ExpenditureNon-network opexNon-network opexnominal</t>
  </si>
  <si>
    <t>2029AMP2021Operating ExpenditureNon-network opexNon-network opexnominal</t>
  </si>
  <si>
    <t>2029AMP2021Operating ExpenditureResearch and developmentResearch and developmentconstant</t>
  </si>
  <si>
    <t>2029AMP2019Operating ExpenditureResearch and developmentResearch and developmentconstant</t>
  </si>
  <si>
    <t>2029AMP2020Operating ExpenditureResearch and developmentResearch and developmentconstant</t>
  </si>
  <si>
    <t>2029AMP2020Operating ExpenditureRoutine and corrective maintenance and inspectionRoutine and corrective maintenance and inspectionconstant</t>
  </si>
  <si>
    <t>2029AMP2021Operating ExpenditureRoutine and corrective maintenance and inspectionRoutine and corrective maintenance and inspectionconstant</t>
  </si>
  <si>
    <t>2029AMP2019Operating ExpenditureRoutine and corrective maintenance and inspectionRoutine and corrective maintenance and inspectionconstant</t>
  </si>
  <si>
    <t>2029AMP2021Operating ExpenditureRoutine and corrective maintenance and inspectionRoutine and corrective maintenance and inspectionnominal</t>
  </si>
  <si>
    <t>2029AMP2019Operating ExpenditureRoutine and corrective maintenance and inspectionRoutine and corrective maintenance and inspectionnominal</t>
  </si>
  <si>
    <t>2029AMP2020Operating ExpenditureRoutine and corrective maintenance and inspectionRoutine and corrective maintenance and inspectionnominal</t>
  </si>
  <si>
    <t>2029AMP2019Operating ExpenditureService interruptions, incidents and emergenciesService interruptions, incidents and emergenciesconstant</t>
  </si>
  <si>
    <t>2029AMP2020Operating ExpenditureService interruptions, incidents and emergenciesService interruptions, incidents and emergenciesconstant</t>
  </si>
  <si>
    <t>2029AMP2021Operating ExpenditureService interruptions, incidents and emergenciesService interruptions, incidents and emergenciesconstant</t>
  </si>
  <si>
    <t>2029AMP2021Operating ExpenditureService interruptions, incidents and emergenciesService interruptions, incidents and emergenciesnominal</t>
  </si>
  <si>
    <t>2029AMP2020Operating ExpenditureService interruptions, incidents and emergenciesService interruptions, incidents and emergenciesnominal</t>
  </si>
  <si>
    <t>2029AMP2019Operating ExpenditureService interruptions, incidents and emergenciesService interruptions, incidents and emergenciesnominal</t>
  </si>
  <si>
    <t>2029AMP2019Operating ExpenditureSystem operations and network supportSystem operations and network supportconstant</t>
  </si>
  <si>
    <t>2029AMP2021Operating ExpenditureSystem operations and network supportSystem operations and network supportconstant</t>
  </si>
  <si>
    <t>2029AMP2020Operating ExpenditureSystem operations and network supportSystem operations and network supportconstant</t>
  </si>
  <si>
    <t>2029AMP2020Operating ExpenditureSystem operations and network supportSystem operations and network supportnominal</t>
  </si>
  <si>
    <t>2029AMP2021Operating ExpenditureSystem operations and network supportSystem operations and network supportnominal</t>
  </si>
  <si>
    <t>2029AMP2019Operating ExpenditureSystem operations and network supportSystem operations and network supportnominal</t>
  </si>
  <si>
    <t>2029AMP2021Operating ExpenditureTotal opexOperational expenditureconstant</t>
  </si>
  <si>
    <t>2029AMP2020Operating ExpenditureTotal opexOperational expenditureconstant</t>
  </si>
  <si>
    <t>2029AMP2019Operating ExpenditureTotal opexOperational expenditureconstant</t>
  </si>
  <si>
    <t>2029AMP2020Operating ExpenditureTotal opexOperational expenditurenominal</t>
  </si>
  <si>
    <t>2029AMP2019Operating ExpenditureTotal opexOperational expenditurenominal</t>
  </si>
  <si>
    <t>2029AMP2021Operating ExpenditureTotal opexOperational expenditurenominal</t>
  </si>
  <si>
    <t>2030AMP2020Capital ExpenditureAll assetsExpenditure on assetsconstant</t>
  </si>
  <si>
    <t>2030AMP2021Capital ExpenditureAll assetsExpenditure on assetsconstant</t>
  </si>
  <si>
    <t>2030AMP2020Capital ExpenditureAll assetsExpenditure on assetsnominal</t>
  </si>
  <si>
    <t>2030AMP2021Capital ExpenditureAll assetsExpenditure on assetsnominal</t>
  </si>
  <si>
    <t>2030AMP2020Capital ExpenditureAsset relocationsAsset relocationsconstant</t>
  </si>
  <si>
    <t>2030AMP2021Capital ExpenditureAsset relocationsAsset relocationsconstant</t>
  </si>
  <si>
    <t>2030AMP2020Capital ExpenditureAsset relocationsAsset relocationsnominal</t>
  </si>
  <si>
    <t>2030AMP2021Capital ExpenditureAsset relocationsAsset relocationsnominal</t>
  </si>
  <si>
    <t>2030AMP2020Capital ExpenditureAsset replacement and renewalAsset replacement and renewalconstant</t>
  </si>
  <si>
    <t>2030AMP2021Capital ExpenditureAsset replacement and renewalAsset replacement and renewalconstant</t>
  </si>
  <si>
    <t>2030AMP2020Capital ExpenditureAsset replacement and renewalAsset replacement and renewalnominal</t>
  </si>
  <si>
    <t>2030AMP2021Capital ExpenditureAsset replacement and renewalAsset replacement and renewalnominal</t>
  </si>
  <si>
    <t>2030AMP2020Capital ExpenditureAssets commissionedAssets commissionednominal</t>
  </si>
  <si>
    <t>2030AMP2021Capital ExpenditureAssets commissionedAssets commissionednominal</t>
  </si>
  <si>
    <t>2030AMP2020Capital ExpenditureCapital expenditure forecastCapital expenditure forecastnominal</t>
  </si>
  <si>
    <t>2030AMP2021Capital ExpenditureCapital expenditure forecastCapital expenditure forecastnominal</t>
  </si>
  <si>
    <t>2030AMP2021Capital ExpenditureConsumer connectionConsumer connectionconstant</t>
  </si>
  <si>
    <t>2030AMP2020Capital ExpenditureConsumer connectionConsumer connectionconstant</t>
  </si>
  <si>
    <t>2030AMP2020Capital ExpenditureConsumer connectionConsumer connectionnominal</t>
  </si>
  <si>
    <t>2030AMP2021Capital ExpenditureConsumer connectionConsumer connectionnominal</t>
  </si>
  <si>
    <t>2030AMP2020Capital ExpenditureCost of financingCost of financingnominal</t>
  </si>
  <si>
    <t>2030AMP2021Capital ExpenditureCost of financingCost of financingnominal</t>
  </si>
  <si>
    <t>2030AMP2021Capital ExpenditureExpenditure on subcomponentsResearch and developmentconstant</t>
  </si>
  <si>
    <t>2030AMP2020Capital ExpenditureExpenditure on subcomponentsResearch and developmentconstant</t>
  </si>
  <si>
    <t>2030AMP2021Capital ExpenditureNetwork assetsExpenditure on network assetsconstant</t>
  </si>
  <si>
    <t>2030AMP2020Capital ExpenditureNetwork assetsExpenditure on network assetsconstant</t>
  </si>
  <si>
    <t>2030AMP2020Capital ExpenditureNetwork assetsExpenditure on network assetsnominal</t>
  </si>
  <si>
    <t>2030AMP2021Capital ExpenditureNetwork assetsExpenditure on network assetsnominal</t>
  </si>
  <si>
    <t>2030AMP2020Capital ExpenditureNon-network assetsNon-network assetsconstant</t>
  </si>
  <si>
    <t>2030AMP2021Capital ExpenditureNon-network assetsNon-network assetsconstant</t>
  </si>
  <si>
    <t>2030AMP2020Capital ExpenditureNon-network assetsNon-network assetsnominal</t>
  </si>
  <si>
    <t>2030AMP2021Capital ExpenditureNon-network assetsNon-network assetsnominal</t>
  </si>
  <si>
    <t>2030AMP2020Capital ExpenditureReliability, safety and environmentLegislative and regulatoryconstant</t>
  </si>
  <si>
    <t>2030AMP2021Capital ExpenditureReliability, safety and environmentLegislative and regulatoryconstant</t>
  </si>
  <si>
    <t>2030AMP2020Capital ExpenditureReliability, safety and environmentLegislative and regulatorynominal</t>
  </si>
  <si>
    <t>2030AMP2021Capital ExpenditureReliability, safety and environmentLegislative and regulatorynominal</t>
  </si>
  <si>
    <t>2030AMP2020Capital ExpenditureReliability, safety and environmentOther reliability, safety and environmentconstant</t>
  </si>
  <si>
    <t>2030AMP2021Capital ExpenditureReliability, safety and environmentOther reliability, safety and environmentconstant</t>
  </si>
  <si>
    <t>2030AMP2021Capital ExpenditureReliability, safety and environmentOther reliability, safety and environmentnominal</t>
  </si>
  <si>
    <t>2030AMP2020Capital ExpenditureReliability, safety and environmentOther reliability, safety and environmentnominal</t>
  </si>
  <si>
    <t>2030AMP2021Capital ExpenditureReliability, safety and environmentQuality of supplyconstant</t>
  </si>
  <si>
    <t>2030AMP2020Capital ExpenditureReliability, safety and environmentQuality of supplyconstant</t>
  </si>
  <si>
    <t>2030AMP2020Capital ExpenditureReliability, safety and environmentQuality of supplynominal</t>
  </si>
  <si>
    <t>2030AMP2021Capital ExpenditureReliability, safety and environmentQuality of supplynominal</t>
  </si>
  <si>
    <t>2030AMP2021Capital ExpenditureReliability, safety and environmentTotal reliability, safety and environmentconstant</t>
  </si>
  <si>
    <t>2030AMP2020Capital ExpenditureReliability, safety and environmentTotal reliability, safety and environmentconstant</t>
  </si>
  <si>
    <t>2030AMP2020Capital ExpenditureReliability, safety and environmentTotal reliability, safety and environmentnominal</t>
  </si>
  <si>
    <t>2030AMP2021Capital ExpenditureReliability, safety and environmentTotal reliability, safety and environmentnominal</t>
  </si>
  <si>
    <t>2030AMP2021Capital ExpenditureSystem growthSystem growthconstant</t>
  </si>
  <si>
    <t>2030AMP2020Capital ExpenditureSystem growthSystem growthconstant</t>
  </si>
  <si>
    <t>2030AMP2020Capital ExpenditureSystem growthSystem growthnominal</t>
  </si>
  <si>
    <t>2030AMP2021Capital ExpenditureSystem growthSystem growthnominal</t>
  </si>
  <si>
    <t>2030AMP2020Capital ExpenditureValue of capital contributionsValue of capital contributionsnominal</t>
  </si>
  <si>
    <t>2030AMP2021Capital ExpenditureValue of capital contributionsValue of capital contributionsnominal</t>
  </si>
  <si>
    <t>2030AMP2020Capital ExpenditureValue of vested assetsValue of vested assetsnominal</t>
  </si>
  <si>
    <t>2030AMP2021Capital ExpenditureValue of vested assetsValue of vested assetsnominal</t>
  </si>
  <si>
    <t>2030AMP2021Operating ExpenditureAsset replacement and renewalAsset replacement and renewalconstant</t>
  </si>
  <si>
    <t>2030AMP2020Operating ExpenditureAsset replacement and renewalAsset replacement and renewalconstant</t>
  </si>
  <si>
    <t>2030AMP2020Operating ExpenditureAsset replacement and renewalAsset replacement and renewalnominal</t>
  </si>
  <si>
    <t>2030AMP2021Operating ExpenditureAsset replacement and renewalAsset replacement and renewalnominal</t>
  </si>
  <si>
    <t>2030AMP2020Operating ExpenditureBusiness supportBusiness supportconstant</t>
  </si>
  <si>
    <t>2030AMP2021Operating ExpenditureBusiness supportBusiness supportconstant</t>
  </si>
  <si>
    <t>2030AMP2020Operating ExpenditureBusiness supportBusiness supportnominal</t>
  </si>
  <si>
    <t>2030AMP2021Operating ExpenditureBusiness supportBusiness supportnominal</t>
  </si>
  <si>
    <t>2030AMP2020Operating ExpenditureExpenditure on subcomponentsInsuranceconstant</t>
  </si>
  <si>
    <t>2030AMP2021Operating ExpenditureExpenditure on subcomponentsInsuranceconstant</t>
  </si>
  <si>
    <t>2030AMP2020Operating ExpenditureExpenditure on subcomponentsResearch and developmentconstant</t>
  </si>
  <si>
    <t>2030AMP2021Operating ExpenditureExpenditure on subcomponentsResearch and developmentconstant</t>
  </si>
  <si>
    <t>2030AMP2021Operating ExpenditureNetwork opexNetwork opexconstant</t>
  </si>
  <si>
    <t>2030AMP2020Operating ExpenditureNetwork opexNetwork opexconstant</t>
  </si>
  <si>
    <t>2030AMP2021Operating ExpenditureNetwork opexNetwork opexnominal</t>
  </si>
  <si>
    <t>2030AMP2020Operating ExpenditureNetwork opexNetwork opexnominal</t>
  </si>
  <si>
    <t>2030AMP2020Operating ExpenditureNon-network opexNon-network opexconstant</t>
  </si>
  <si>
    <t>2030AMP2021Operating ExpenditureNon-network opexNon-network opexconstant</t>
  </si>
  <si>
    <t>2030AMP2021Operating ExpenditureNon-network opexNon-network opexnominal</t>
  </si>
  <si>
    <t>2030AMP2020Operating ExpenditureNon-network opexNon-network opexnominal</t>
  </si>
  <si>
    <t>2030AMP2020Operating ExpenditureResearch and developmentResearch and developmentconstant</t>
  </si>
  <si>
    <t>2030AMP2021Operating ExpenditureResearch and developmentResearch and developmentconstant</t>
  </si>
  <si>
    <t>2030AMP2020Operating ExpenditureRoutine and corrective maintenance and inspectionRoutine and corrective maintenance and inspectionconstant</t>
  </si>
  <si>
    <t>2030AMP2021Operating ExpenditureRoutine and corrective maintenance and inspectionRoutine and corrective maintenance and inspectionconstant</t>
  </si>
  <si>
    <t>2030AMP2020Operating ExpenditureRoutine and corrective maintenance and inspectionRoutine and corrective maintenance and inspectionnominal</t>
  </si>
  <si>
    <t>2030AMP2021Operating ExpenditureRoutine and corrective maintenance and inspectionRoutine and corrective maintenance and inspectionnominal</t>
  </si>
  <si>
    <t>2030AMP2020Operating ExpenditureService interruptions, incidents and emergenciesService interruptions, incidents and emergenciesconstant</t>
  </si>
  <si>
    <t>2030AMP2021Operating ExpenditureService interruptions, incidents and emergenciesService interruptions, incidents and emergenciesconstant</t>
  </si>
  <si>
    <t>2030AMP2020Operating ExpenditureService interruptions, incidents and emergenciesService interruptions, incidents and emergenciesnominal</t>
  </si>
  <si>
    <t>2030AMP2021Operating ExpenditureService interruptions, incidents and emergenciesService interruptions, incidents and emergenciesnominal</t>
  </si>
  <si>
    <t>2030AMP2020Operating ExpenditureSystem operations and network supportSystem operations and network supportconstant</t>
  </si>
  <si>
    <t>2030AMP2021Operating ExpenditureSystem operations and network supportSystem operations and network supportconstant</t>
  </si>
  <si>
    <t>2030AMP2021Operating ExpenditureSystem operations and network supportSystem operations and network supportnominal</t>
  </si>
  <si>
    <t>2030AMP2020Operating ExpenditureSystem operations and network supportSystem operations and network supportnominal</t>
  </si>
  <si>
    <t>2030AMP2020Operating ExpenditureTotal opexOperational expenditureconstant</t>
  </si>
  <si>
    <t>2030AMP2021Operating ExpenditureTotal opexOperational expenditureconstant</t>
  </si>
  <si>
    <t>2030AMP2021Operating ExpenditureTotal opexOperational expenditurenominal</t>
  </si>
  <si>
    <t>2030AMP2020Operating ExpenditureTotal opexOperational expenditurenominal</t>
  </si>
  <si>
    <t>2031AMP2021Capital ExpenditureAll assetsExpenditure on assetsconstant</t>
  </si>
  <si>
    <t>2031AMP2021Capital ExpenditureAll assetsExpenditure on assetsnominal</t>
  </si>
  <si>
    <t>2031AMP2021Capital ExpenditureAsset relocationsAsset relocationsconstant</t>
  </si>
  <si>
    <t>2031AMP2021Capital ExpenditureAsset relocationsAsset relocationsnominal</t>
  </si>
  <si>
    <t>2031AMP2021Capital ExpenditureAsset replacement and renewalAsset replacement and renewalconstant</t>
  </si>
  <si>
    <t>2031AMP2021Capital ExpenditureAsset replacement and renewalAsset replacement and renewalnominal</t>
  </si>
  <si>
    <t>2031AMP2021Capital ExpenditureAssets commissionedAssets commissionednominal</t>
  </si>
  <si>
    <t>2031AMP2021Capital ExpenditureCapital expenditure forecastCapital expenditure forecastnominal</t>
  </si>
  <si>
    <t>2031AMP2021Capital ExpenditureConsumer connectionConsumer connectionconstant</t>
  </si>
  <si>
    <t>2031AMP2021Capital ExpenditureConsumer connectionConsumer connectionnominal</t>
  </si>
  <si>
    <t>2031AMP2021Capital ExpenditureCost of financingCost of financingnominal</t>
  </si>
  <si>
    <t>2031AMP2021Capital ExpenditureExpenditure on subcomponentsResearch and developmentconstant</t>
  </si>
  <si>
    <t>2031AMP2021Capital ExpenditureNetwork assetsExpenditure on network assetsconstant</t>
  </si>
  <si>
    <t>2031AMP2021Capital ExpenditureNetwork assetsExpenditure on network assetsnominal</t>
  </si>
  <si>
    <t>2031AMP2021Capital ExpenditureNon-network assetsNon-network assetsconstant</t>
  </si>
  <si>
    <t>2031AMP2021Capital ExpenditureNon-network assetsNon-network assetsnominal</t>
  </si>
  <si>
    <t>2031AMP2021Capital ExpenditureReliability, safety and environmentLegislative and regulatoryconstant</t>
  </si>
  <si>
    <t>2031AMP2021Capital ExpenditureReliability, safety and environmentLegislative and regulatorynominal</t>
  </si>
  <si>
    <t>2031AMP2021Capital ExpenditureReliability, safety and environmentOther reliability, safety and environmentconstant</t>
  </si>
  <si>
    <t>2031AMP2021Capital ExpenditureReliability, safety and environmentOther reliability, safety and environmentnominal</t>
  </si>
  <si>
    <t>2031AMP2021Capital ExpenditureReliability, safety and environmentQuality of supplyconstant</t>
  </si>
  <si>
    <t>2031AMP2021Capital ExpenditureReliability, safety and environmentQuality of supplynominal</t>
  </si>
  <si>
    <t>2031AMP2021Capital ExpenditureReliability, safety and environmentTotal reliability, safety and environmentconstant</t>
  </si>
  <si>
    <t>2031AMP2021Capital ExpenditureReliability, safety and environmentTotal reliability, safety and environmentnominal</t>
  </si>
  <si>
    <t>2031AMP2021Capital ExpenditureSystem growthSystem growthconstant</t>
  </si>
  <si>
    <t>2031AMP2021Capital ExpenditureSystem growthSystem growthnominal</t>
  </si>
  <si>
    <t>2031AMP2021Capital ExpenditureValue of capital contributionsValue of capital contributionsnominal</t>
  </si>
  <si>
    <t>2031AMP2021Capital ExpenditureValue of vested assetsValue of vested assetsnominal</t>
  </si>
  <si>
    <t>2031AMP2021Operating ExpenditureAsset replacement and renewalAsset replacement and renewalconstant</t>
  </si>
  <si>
    <t>2031AMP2021Operating ExpenditureAsset replacement and renewalAsset replacement and renewalnominal</t>
  </si>
  <si>
    <t>2031AMP2021Operating ExpenditureBusiness supportBusiness supportconstant</t>
  </si>
  <si>
    <t>2031AMP2021Operating ExpenditureBusiness supportBusiness supportnominal</t>
  </si>
  <si>
    <t>2031AMP2021Operating ExpenditureExpenditure on subcomponentsInsuranceconstant</t>
  </si>
  <si>
    <t>2031AMP2021Operating ExpenditureExpenditure on subcomponentsResearch and developmentconstant</t>
  </si>
  <si>
    <t>2031AMP2021Operating ExpenditureNetwork opexNetwork opexconstant</t>
  </si>
  <si>
    <t>2031AMP2021Operating ExpenditureNetwork opexNetwork opexnominal</t>
  </si>
  <si>
    <t>2031AMP2021Operating ExpenditureNon-network opexNon-network opexconstant</t>
  </si>
  <si>
    <t>2031AMP2021Operating ExpenditureNon-network opexNon-network opexnominal</t>
  </si>
  <si>
    <t>2031AMP2021Operating ExpenditureResearch and developmentResearch and developmentconstant</t>
  </si>
  <si>
    <t>2031AMP2021Operating ExpenditureRoutine and corrective maintenance and inspectionRoutine and corrective maintenance and inspectionconstant</t>
  </si>
  <si>
    <t>2031AMP2021Operating ExpenditureRoutine and corrective maintenance and inspectionRoutine and corrective maintenance and inspectionnominal</t>
  </si>
  <si>
    <t>2031AMP2021Operating ExpenditureService interruptions, incidents and emergenciesService interruptions, incidents and emergenciesconstant</t>
  </si>
  <si>
    <t>2031AMP2021Operating ExpenditureService interruptions, incidents and emergenciesService interruptions, incidents and emergenciesnominal</t>
  </si>
  <si>
    <t>2031AMP2021Operating ExpenditureSystem operations and network supportSystem operations and network supportconstant</t>
  </si>
  <si>
    <t>2031AMP2021Operating ExpenditureSystem operations and network supportSystem operations and network supportnominal</t>
  </si>
  <si>
    <t>2031AMP2021Operating ExpenditureTotal opexOperational expenditureconstant</t>
  </si>
  <si>
    <t>2031AMP2021Operating ExpenditureTotal opexOperational expenditurenominal</t>
  </si>
  <si>
    <t>Asset category</t>
  </si>
  <si>
    <t>All</t>
  </si>
  <si>
    <t>Intermediate Pressure</t>
  </si>
  <si>
    <t>Low Pressure</t>
  </si>
  <si>
    <t>Medium Pressure</t>
  </si>
  <si>
    <t>Asset class</t>
  </si>
  <si>
    <t>Cathodic protection</t>
  </si>
  <si>
    <t>Remote terminal units</t>
  </si>
  <si>
    <t>IP PE main pipe</t>
  </si>
  <si>
    <t>IP PE service pipe</t>
  </si>
  <si>
    <t>IP crossings</t>
  </si>
  <si>
    <t>IP line valves</t>
  </si>
  <si>
    <t>IP other main pipe</t>
  </si>
  <si>
    <t>IP other service pipe</t>
  </si>
  <si>
    <t>IP steel main pipe</t>
  </si>
  <si>
    <t>IP steel service pipe</t>
  </si>
  <si>
    <t>Intermediate pressure DRS</t>
  </si>
  <si>
    <t>LP  PE service pipe</t>
  </si>
  <si>
    <t>LP  other main pipe</t>
  </si>
  <si>
    <t>LP  other service pipe</t>
  </si>
  <si>
    <t>LP  steel main pipe</t>
  </si>
  <si>
    <t>LP  steel service pipe</t>
  </si>
  <si>
    <t>LP PE main pipe</t>
  </si>
  <si>
    <t>LP line valves</t>
  </si>
  <si>
    <t>LP special crossings</t>
  </si>
  <si>
    <t>MP PE main pipe</t>
  </si>
  <si>
    <t>MP PE service pipe</t>
  </si>
  <si>
    <t>MP line valves</t>
  </si>
  <si>
    <t>MP other main pipe</t>
  </si>
  <si>
    <t>MP other service pipe</t>
  </si>
  <si>
    <t>MP special crossings</t>
  </si>
  <si>
    <t>MP steel main pipe</t>
  </si>
  <si>
    <t>MP steel service pipe</t>
  </si>
  <si>
    <t>Medium pressure DRS</t>
  </si>
  <si>
    <t>Quantity end</t>
  </si>
  <si>
    <t>Five-year replacement</t>
  </si>
  <si>
    <t>Grade unknown (proportion)</t>
  </si>
  <si>
    <t>Year unknown</t>
  </si>
  <si>
    <t>Age</t>
  </si>
  <si>
    <t>Charge</t>
  </si>
  <si>
    <t>2013Delivery</t>
  </si>
  <si>
    <t>2013Fixed</t>
  </si>
  <si>
    <t>2014Delivery</t>
  </si>
  <si>
    <t>2014Fixed</t>
  </si>
  <si>
    <t>2015Delivery</t>
  </si>
  <si>
    <t>2015Fixed</t>
  </si>
  <si>
    <t>2016Delivery</t>
  </si>
  <si>
    <t>2016Fixed</t>
  </si>
  <si>
    <t>2017Delivery</t>
  </si>
  <si>
    <t>2017Fixed</t>
  </si>
  <si>
    <t>2018Delivery</t>
  </si>
  <si>
    <t>2018Fixed</t>
  </si>
  <si>
    <t>2019Delivery</t>
  </si>
  <si>
    <t>2019Fixed</t>
  </si>
  <si>
    <t>2020Delivery</t>
  </si>
  <si>
    <t>2020Fixed</t>
  </si>
  <si>
    <t>2021Delivery</t>
  </si>
  <si>
    <t>2021Fixed</t>
  </si>
  <si>
    <t>schedule</t>
  </si>
  <si>
    <t>Sub-category</t>
  </si>
  <si>
    <t>Vector Region</t>
  </si>
  <si>
    <t>First Gas Regions</t>
  </si>
  <si>
    <t>North Island regions</t>
  </si>
  <si>
    <t>Wanganui, Marton, Bulls, Flockhouse &amp; Waitotara</t>
  </si>
  <si>
    <t>Wanganui, Marton, Bulls, Flockhouse, Waitotara</t>
  </si>
  <si>
    <t>Whanganui, Marton, Bulls, Flockhouse, Waitotara</t>
  </si>
  <si>
    <t>All networks</t>
  </si>
  <si>
    <t>Hawke's Bay</t>
  </si>
  <si>
    <t>Hutt Valley and Porirua</t>
  </si>
  <si>
    <t>Manawatu &amp; Horowhenua</t>
  </si>
  <si>
    <t>Taranaki</t>
  </si>
  <si>
    <t>Wellington</t>
  </si>
  <si>
    <t>Auckland Region</t>
  </si>
  <si>
    <t>Vector network</t>
  </si>
  <si>
    <t>3 year ratios</t>
  </si>
  <si>
    <t>Other Network Assets</t>
  </si>
  <si>
    <t>0800 347 784</t>
  </si>
  <si>
    <t>Number of confirmed public reported gas escapes per system length (escapes/1000 km)</t>
  </si>
  <si>
    <t>Network integrity</t>
  </si>
  <si>
    <t>Number of leaks detected by routine survey per system length (leaks/1000 km)</t>
  </si>
  <si>
    <t>Number of poor pressure events due to network causes</t>
  </si>
  <si>
    <t>System reliability and integrity</t>
  </si>
  <si>
    <t>Confirmed public-reported gas escapes</t>
  </si>
  <si>
    <t>Consumer connections</t>
  </si>
  <si>
    <t>8-10 Cooks Street, Whanganui</t>
  </si>
  <si>
    <t>9a</t>
  </si>
  <si>
    <t>main</t>
  </si>
  <si>
    <t>service</t>
  </si>
  <si>
    <t>rounds up</t>
  </si>
  <si>
    <t>round up</t>
  </si>
  <si>
    <t>Igneo Infrastructure Partners</t>
  </si>
  <si>
    <t>AMP2022</t>
  </si>
  <si>
    <t>2022AMP2022Capital ExpenditureAll assetsExpenditure on assetsconstant</t>
  </si>
  <si>
    <t>2022AMP2022Capital ExpenditureAll assetsExpenditure on assetsnominal</t>
  </si>
  <si>
    <t>2022AMP2022Capital ExpenditureAsset relocationsAsset relocationsconstant</t>
  </si>
  <si>
    <t>2022AMP2022Capital ExpenditureAsset relocationsAsset relocationsnominal</t>
  </si>
  <si>
    <t>2022AMP2022Capital ExpenditureAsset replacement and renewalAsset replacement and renewalconstant</t>
  </si>
  <si>
    <t>2022AMP2022Capital ExpenditureAsset replacement and renewalAsset replacement and renewalnominal</t>
  </si>
  <si>
    <t>2022AMP2022Capital ExpenditureAssets commissionedAssets commissionednominal</t>
  </si>
  <si>
    <t>2022AMP2022Capital ExpenditureCapital expenditure forecastCapital expenditure forecastnominal</t>
  </si>
  <si>
    <t>2022AMP2022Capital ExpenditureConsumer connectionConsumer connectionconstant</t>
  </si>
  <si>
    <t>2022AMP2022Capital ExpenditureConsumer connectionConsumer connectionnominal</t>
  </si>
  <si>
    <t>2022AMP2022Capital ExpenditureCost of financingCost of financingnominal</t>
  </si>
  <si>
    <t>2022AMP2022Capital ExpenditureExpenditure on subcomponentsResearch and developmentconstant</t>
  </si>
  <si>
    <t>2022AMP2022Capital ExpenditureNetwork assetsExpenditure on network assetsconstant</t>
  </si>
  <si>
    <t>2022AMP2022Capital ExpenditureNetwork assetsExpenditure on network assetsnominal</t>
  </si>
  <si>
    <t>2022AMP2022Capital ExpenditureNon-network assetsNon-network assetsconstant</t>
  </si>
  <si>
    <t>2022AMP2022Capital ExpenditureNon-network assetsNon-network assetsnominal</t>
  </si>
  <si>
    <t>2022AMP2022Capital ExpenditureReliability, safety and environmentLegislative and regulatoryconstant</t>
  </si>
  <si>
    <t>2022AMP2022Capital ExpenditureReliability, safety and environmentLegislative and regulatorynominal</t>
  </si>
  <si>
    <t>2022AMP2022Capital ExpenditureReliability, safety and environmentOther reliability, safety and environmentconstant</t>
  </si>
  <si>
    <t>2022AMP2022Capital ExpenditureReliability, safety and environmentOther reliability, safety and environmentnominal</t>
  </si>
  <si>
    <t>2022AMP2022Capital ExpenditureReliability, safety and environmentQuality of supplyconstant</t>
  </si>
  <si>
    <t>2022AMP2022Capital ExpenditureReliability, safety and environmentQuality of supplynominal</t>
  </si>
  <si>
    <t>2022AMP2022Capital ExpenditureReliability, safety and environmentTotal reliability, safety and environmentconstant</t>
  </si>
  <si>
    <t>2022AMP2022Capital ExpenditureReliability, safety and environmentTotal reliability, safety and environmentnominal</t>
  </si>
  <si>
    <t>2022AMP2022Capital ExpenditureSystem growthSystem growthconstant</t>
  </si>
  <si>
    <t>2022AMP2022Capital ExpenditureSystem growthSystem growthnominal</t>
  </si>
  <si>
    <t>2022AMP2022Capital ExpenditureValue of capital contributionsValue of capital contributionsnominal</t>
  </si>
  <si>
    <t>2022AMP2022Capital ExpenditureValue of commissioned assetsValue of commissioned assetsnominal</t>
  </si>
  <si>
    <t>2022AMP2022Capital ExpenditureValue of vested assetsValue of vested assetsnominal</t>
  </si>
  <si>
    <t>2022AMP2022Capital ExpenditureAsset replacement and renewalAsset replacement and renewal expenditure - Asset replacement and renewal expenditureconstant</t>
  </si>
  <si>
    <t>2022AMP2022Capital ExpenditureAsset replacement and renewalAsset replacement and renewal expenditure - Capital contributions funding asset replacement and renewalconstant</t>
  </si>
  <si>
    <t>2022AMP2022Capital ExpenditureAsset replacement and renewalAsset replacement and renewal less capital contributions - Asset replacement and renewal less capital contributionsconstant</t>
  </si>
  <si>
    <t>2022AMP2022Capital ExpenditureAsset replacement and renewalIntermediate pressure - Intermediate Pressure totalconstant</t>
  </si>
  <si>
    <t>2022AMP2022Capital ExpenditureAsset replacement and renewalIntermediate pressure - Line valveconstant</t>
  </si>
  <si>
    <t>2022AMP2022Capital ExpenditureAsset replacement and renewalIntermediate pressure - Main pipeconstant</t>
  </si>
  <si>
    <t>2022AMP2022Capital ExpenditureAsset replacement and renewalIntermediate pressure - Service pipeconstant</t>
  </si>
  <si>
    <t>2022AMP2022Capital ExpenditureAsset replacement and renewalIntermediate pressure - Special crossingsconstant</t>
  </si>
  <si>
    <t>2022AMP2022Capital ExpenditureAsset replacement and renewalIntermediate pressure - Stationsconstant</t>
  </si>
  <si>
    <t>2022AMP2022Capital ExpenditureAsset replacement and renewalLow Pressure - Line valveconstant</t>
  </si>
  <si>
    <t>2022AMP2022Capital ExpenditureAsset replacement and renewalLow Pressure - Low Pressure totalconstant</t>
  </si>
  <si>
    <t>2022AMP2022Capital ExpenditureAsset replacement and renewalLow Pressure - Main pipeconstant</t>
  </si>
  <si>
    <t>2022AMP2022Capital ExpenditureAsset replacement and renewalLow Pressure - Service pipeconstant</t>
  </si>
  <si>
    <t>2022AMP2022Capital ExpenditureAsset replacement and renewalLow Pressure - Special crossingsconstant</t>
  </si>
  <si>
    <t>2022AMP2022Capital ExpenditureAsset replacement and renewalMedium pressure - Line valveconstant</t>
  </si>
  <si>
    <t>2022AMP2022Capital ExpenditureAsset replacement and renewalMedium pressure - Main pipeconstant</t>
  </si>
  <si>
    <t>2022AMP2022Capital ExpenditureAsset replacement and renewalMedium pressure - Medium Pressure totalconstant</t>
  </si>
  <si>
    <t>2022AMP2022Capital ExpenditureAsset replacement and renewalMedium pressure - Service pipeconstant</t>
  </si>
  <si>
    <t>2022AMP2022Capital ExpenditureAsset replacement and renewalMedium pressure - Special crossingsconstant</t>
  </si>
  <si>
    <t>2022AMP2022Capital ExpenditureAsset replacement and renewalMedium pressure - Stationconstant</t>
  </si>
  <si>
    <t>2022AMP2022Capital ExpenditureAsset replacement and renewalOther assets - Cathodic protection systemsconstant</t>
  </si>
  <si>
    <t>2022AMP2022Capital ExpenditureAsset replacement and renewalOther assets - Monitoring and control systemsconstant</t>
  </si>
  <si>
    <t>2022AMP2022Capital ExpenditureAsset replacement and renewalOther assets - Other assets (other than above)constant</t>
  </si>
  <si>
    <t>2022AMP2022Capital ExpenditureAsset replacement and renewalOther assets - Other totalconstant</t>
  </si>
  <si>
    <t>2022AMP2022Capital ExpenditureAsset replacement and renewalOther network assets - Cathodic protection systemsconstant</t>
  </si>
  <si>
    <t>2022AMP2022Capital ExpenditureAsset replacement and renewalOther network assets - Monitoring and control systemsconstant</t>
  </si>
  <si>
    <t>2022AMP2022Capital ExpenditureAsset replacement and renewalOther network assets - Other assets (other than above)constant</t>
  </si>
  <si>
    <t>2022AMP2022Capital ExpenditureAsset replacement and renewalOther network assets - Other network assets totalconstant</t>
  </si>
  <si>
    <t>2022IDCapital ExpenditureAll assetsExpenditure on assetsconstant</t>
  </si>
  <si>
    <t>2022IDCapital ExpenditureAll assetsExpenditure on assetsnominal</t>
  </si>
  <si>
    <t>2022IDCapital ExpenditureAsset relocationsAsset relocationsconstant</t>
  </si>
  <si>
    <t>2022IDCapital ExpenditureAsset relocationsAsset relocationsnominal</t>
  </si>
  <si>
    <t>2022IDCapital ExpenditureAsset replacement and renewalAsset replacement and renewalconstant</t>
  </si>
  <si>
    <t>2022IDCapital ExpenditureAsset replacement and renewalAsset replacement and renewalnominal</t>
  </si>
  <si>
    <t>2022IDCapital ExpenditureCapital expenditureCapital expenditureconstant</t>
  </si>
  <si>
    <t>2022IDCapital ExpenditureCapital expenditureCapital expenditurenominal</t>
  </si>
  <si>
    <t>2022IDCapital ExpenditureConsumer connectionConsumer connectionconstant</t>
  </si>
  <si>
    <t>2022IDCapital ExpenditureConsumer connectionConsumer connectionnominal</t>
  </si>
  <si>
    <t>2022IDCapital ExpenditureCost of financingCost of financingconstant</t>
  </si>
  <si>
    <t>2022IDCapital ExpenditureCost of financingCost of financingnominal</t>
  </si>
  <si>
    <t>2022IDCapital ExpenditureNetwork assetsExpenditure on network assetsconstant</t>
  </si>
  <si>
    <t>2022IDCapital ExpenditureNetwork assetsExpenditure on network assetsnominal</t>
  </si>
  <si>
    <t>2022IDCapital ExpenditureNon-network assetsNon-network assetsconstant</t>
  </si>
  <si>
    <t>2022IDCapital ExpenditureNon-network assetsNon-network assetsnominal</t>
  </si>
  <si>
    <t>2022IDCapital ExpenditureReliability, safety and environmentLegislative and regulatoryconstant</t>
  </si>
  <si>
    <t>2022IDCapital ExpenditureReliability, safety and environmentLegislative and regulatorynominal</t>
  </si>
  <si>
    <t>2022IDCapital ExpenditureReliability, safety and environmentOther reliability, safety and environmentconstant</t>
  </si>
  <si>
    <t>2022IDCapital ExpenditureReliability, safety and environmentOther reliability, safety and environmentnominal</t>
  </si>
  <si>
    <t>2022IDCapital ExpenditureReliability, safety and environmentQuality of supplyconstant</t>
  </si>
  <si>
    <t>2022IDCapital ExpenditureReliability, safety and environmentQuality of supplynominal</t>
  </si>
  <si>
    <t>2022IDCapital ExpenditureReliability, safety and environmentTotal reliability, safety and environmentconstant</t>
  </si>
  <si>
    <t>2022IDCapital ExpenditureReliability, safety and environmentTotal reliability, safety and environmentnominal</t>
  </si>
  <si>
    <t>2022IDCapital ExpenditureSystem growthSystem growthconstant</t>
  </si>
  <si>
    <t>2022IDCapital ExpenditureSystem growthSystem growthnominal</t>
  </si>
  <si>
    <t>2022IDCapital ExpenditureValue of capital contributionsValue of capital contributionsconstant</t>
  </si>
  <si>
    <t>2022IDCapital ExpenditureValue of capital contributionsValue of capital contributionsnominal</t>
  </si>
  <si>
    <t>2022IDCapital ExpenditureValue of vested assetsValue of vested assetsconstant</t>
  </si>
  <si>
    <t>2022IDCapital ExpenditureValue of vested assetsValue of vested assetsnominal</t>
  </si>
  <si>
    <t>2022IDCapital ExpenditureAsset Replacement and RenewalAsset replacement and renewal expenditureconstant</t>
  </si>
  <si>
    <t>2022IDCapital ExpenditureAsset Replacement and RenewalAsset replacement and renewal expenditurenominal</t>
  </si>
  <si>
    <t>2022IDCapital ExpenditureAsset Replacement and RenewalAsset replacement and renewal less capital contributionsconstant</t>
  </si>
  <si>
    <t>2022IDCapital ExpenditureAsset Replacement and RenewalAsset replacement and renewal less capital contributionsnominal</t>
  </si>
  <si>
    <t>2022IDCapital ExpenditureAsset Replacement and RenewalCapital contributions funding asset replacement and renewalconstant</t>
  </si>
  <si>
    <t>2022IDCapital ExpenditureAsset Replacement and RenewalCapital contributions funding asset replacement and renewalnominal</t>
  </si>
  <si>
    <t>2022IDCapital ExpenditureAsset Replacement and RenewalIntermediate pressure - Line valveconstant</t>
  </si>
  <si>
    <t>2022IDCapital ExpenditureAsset Replacement and RenewalIntermediate pressure - Line valvenominal</t>
  </si>
  <si>
    <t>2022IDCapital ExpenditureAsset Replacement and RenewalIntermediate pressure - Main pipeconstant</t>
  </si>
  <si>
    <t>2022IDCapital ExpenditureAsset Replacement and RenewalIntermediate pressure - Main pipenominal</t>
  </si>
  <si>
    <t>2022IDCapital ExpenditureAsset Replacement and RenewalIntermediate pressure - Service pipeconstant</t>
  </si>
  <si>
    <t>2022IDCapital ExpenditureAsset Replacement and RenewalIntermediate pressure - Service pipenominal</t>
  </si>
  <si>
    <t>2022IDCapital ExpenditureAsset Replacement and RenewalIntermediate pressure - Special crossingsconstant</t>
  </si>
  <si>
    <t>2022IDCapital ExpenditureAsset Replacement and RenewalIntermediate pressure - Special crossingsnominal</t>
  </si>
  <si>
    <t>2022IDCapital ExpenditureAsset Replacement and RenewalIntermediate pressure - Stationsconstant</t>
  </si>
  <si>
    <t>2022IDCapital ExpenditureAsset Replacement and RenewalIntermediate pressure - Stationsnominal</t>
  </si>
  <si>
    <t>2022IDCapital ExpenditureAsset Replacement and RenewalIntermediate pressure -totalconstant</t>
  </si>
  <si>
    <t>2022IDCapital ExpenditureAsset Replacement and RenewalIntermediate pressure -totalnominal</t>
  </si>
  <si>
    <t>2022IDCapital ExpenditureAsset Replacement and RenewalLow pressure - Line valveconstant</t>
  </si>
  <si>
    <t>2022IDCapital ExpenditureAsset Replacement and RenewalLow pressure - Line valvenominal</t>
  </si>
  <si>
    <t>2022IDCapital ExpenditureAsset Replacement and RenewalLow pressure - Main pipeconstant</t>
  </si>
  <si>
    <t>2022IDCapital ExpenditureAsset Replacement and RenewalLow pressure - Main pipenominal</t>
  </si>
  <si>
    <t>2022IDCapital ExpenditureAsset Replacement and RenewalLow pressure - Service pipeconstant</t>
  </si>
  <si>
    <t>2022IDCapital ExpenditureAsset Replacement and RenewalLow pressure - Service pipenominal</t>
  </si>
  <si>
    <t>2022IDCapital ExpenditureAsset Replacement and RenewalLow pressure - Special crossingsconstant</t>
  </si>
  <si>
    <t>2022IDCapital ExpenditureAsset Replacement and RenewalLow pressure - Special crossingsnominal</t>
  </si>
  <si>
    <t>2022IDCapital ExpenditureAsset Replacement and RenewalLow pressure - totalconstant</t>
  </si>
  <si>
    <t>2022IDCapital ExpenditureAsset Replacement and RenewalLow pressure - totalnominal</t>
  </si>
  <si>
    <t>2022IDCapital ExpenditureAsset Replacement and RenewalMedium pressure - Line valveconstant</t>
  </si>
  <si>
    <t>2022IDCapital ExpenditureAsset Replacement and RenewalMedium pressure - Line valvenominal</t>
  </si>
  <si>
    <t>2022IDCapital ExpenditureAsset Replacement and RenewalMedium pressure - Main pipeconstant</t>
  </si>
  <si>
    <t>2022IDCapital ExpenditureAsset Replacement and RenewalMedium pressure - Main pipenominal</t>
  </si>
  <si>
    <t>2022IDCapital ExpenditureAsset Replacement and RenewalMedium pressure - Service pipeconstant</t>
  </si>
  <si>
    <t>2022IDCapital ExpenditureAsset Replacement and RenewalMedium pressure - Service pipenominal</t>
  </si>
  <si>
    <t>2022IDCapital ExpenditureAsset Replacement and RenewalMedium pressure - Special crossingsconstant</t>
  </si>
  <si>
    <t>2022IDCapital ExpenditureAsset Replacement and RenewalMedium pressure - Special crossingsnominal</t>
  </si>
  <si>
    <t>2022IDCapital ExpenditureAsset Replacement and RenewalMedium pressure - Stationsconstant</t>
  </si>
  <si>
    <t>2022IDCapital ExpenditureAsset Replacement and RenewalMedium pressure - Stationsnominal</t>
  </si>
  <si>
    <t>2022IDCapital ExpenditureAsset Replacement and RenewalMedium pressure - totalconstant</t>
  </si>
  <si>
    <t>2022IDCapital ExpenditureAsset Replacement and RenewalMedium pressure - totalnominal</t>
  </si>
  <si>
    <t>2022IDCapital ExpenditureAsset Replacement and RenewalOther network assets - Cathodic protection systemsconstant</t>
  </si>
  <si>
    <t>2022IDCapital ExpenditureAsset Replacement and RenewalOther network assets - Cathodic protection systemsnominal</t>
  </si>
  <si>
    <t>2022IDCapital ExpenditureAsset Replacement and RenewalOther network assets - Monitoring and control systemsconstant</t>
  </si>
  <si>
    <t>2022IDCapital ExpenditureAsset Replacement and RenewalOther network assets - Monitoring and control systemsnominal</t>
  </si>
  <si>
    <t>2022IDCapital ExpenditureAsset Replacement and RenewalOther network assets - Other assets (other than above)constant</t>
  </si>
  <si>
    <t>2022IDCapital ExpenditureAsset Replacement and RenewalOther network assets - Other assets (other than above)nominal</t>
  </si>
  <si>
    <t>2022IDCapital ExpenditureAsset Replacement and RenewalOther network assets - totalconstant</t>
  </si>
  <si>
    <t>2022IDCapital ExpenditureAsset Replacement and RenewalOther network assets - totalnominal</t>
  </si>
  <si>
    <t>2022IDCapital ExpenditureSystem GrowthCapital contributions funding system growthconstant</t>
  </si>
  <si>
    <t>2022IDCapital ExpenditureSystem GrowthCapital contributions funding system growthnominal</t>
  </si>
  <si>
    <t>2022IDCapital ExpenditureSystem GrowthIntermediate pressure - Line valveconstant</t>
  </si>
  <si>
    <t>2022IDCapital ExpenditureSystem GrowthIntermediate pressure - Line valvenominal</t>
  </si>
  <si>
    <t>2022IDCapital ExpenditureSystem GrowthIntermediate pressure - Main pipeconstant</t>
  </si>
  <si>
    <t>2022IDCapital ExpenditureSystem GrowthIntermediate pressure - Main pipenominal</t>
  </si>
  <si>
    <t>2022IDCapital ExpenditureSystem GrowthIntermediate pressure - Service pipeconstant</t>
  </si>
  <si>
    <t>2022IDCapital ExpenditureSystem GrowthIntermediate pressure - Service pipenominal</t>
  </si>
  <si>
    <t>2022IDCapital ExpenditureSystem GrowthIntermediate pressure - Special crossingsconstant</t>
  </si>
  <si>
    <t>2022IDCapital ExpenditureSystem GrowthIntermediate pressure - Special crossingsnominal</t>
  </si>
  <si>
    <t>2022IDCapital ExpenditureSystem GrowthIntermediate pressure - Stationsconstant</t>
  </si>
  <si>
    <t>2022IDCapital ExpenditureSystem GrowthIntermediate pressure - Stationsnominal</t>
  </si>
  <si>
    <t>2022IDCapital ExpenditureSystem GrowthIntermediate pressure -totalconstant</t>
  </si>
  <si>
    <t>2022IDCapital ExpenditureSystem GrowthIntermediate pressure -totalnominal</t>
  </si>
  <si>
    <t>2022IDCapital ExpenditureSystem GrowthLow pressure - Line valveconstant</t>
  </si>
  <si>
    <t>2022IDCapital ExpenditureSystem GrowthLow pressure - Line valvenominal</t>
  </si>
  <si>
    <t>2022IDCapital ExpenditureSystem GrowthLow pressure - Main pipeconstant</t>
  </si>
  <si>
    <t>2022IDCapital ExpenditureSystem GrowthLow pressure - Main pipenominal</t>
  </si>
  <si>
    <t>2022IDCapital ExpenditureSystem GrowthLow pressure - Service pipeconstant</t>
  </si>
  <si>
    <t>2022IDCapital ExpenditureSystem GrowthLow pressure - Service pipenominal</t>
  </si>
  <si>
    <t>2022IDCapital ExpenditureSystem GrowthLow pressure - Special crossingsconstant</t>
  </si>
  <si>
    <t>2022IDCapital ExpenditureSystem GrowthLow pressure - Special crossingsnominal</t>
  </si>
  <si>
    <t>2022IDCapital ExpenditureSystem GrowthLow pressure - totalconstant</t>
  </si>
  <si>
    <t>2022IDCapital ExpenditureSystem GrowthLow pressure - totalnominal</t>
  </si>
  <si>
    <t>2022IDCapital ExpenditureSystem GrowthMedium pressure - Line valveconstant</t>
  </si>
  <si>
    <t>2022IDCapital ExpenditureSystem GrowthMedium pressure - Line valvenominal</t>
  </si>
  <si>
    <t>2022IDCapital ExpenditureSystem GrowthMedium pressure - Main pipeconstant</t>
  </si>
  <si>
    <t>2022IDCapital ExpenditureSystem GrowthMedium pressure - Main pipenominal</t>
  </si>
  <si>
    <t>2022IDCapital ExpenditureSystem GrowthMedium pressure - Service pipeconstant</t>
  </si>
  <si>
    <t>2022IDCapital ExpenditureSystem GrowthMedium pressure - Service pipenominal</t>
  </si>
  <si>
    <t>2022IDCapital ExpenditureSystem GrowthMedium pressure - Special crossingsconstant</t>
  </si>
  <si>
    <t>2022IDCapital ExpenditureSystem GrowthMedium pressure - Special crossingsnominal</t>
  </si>
  <si>
    <t>2022IDCapital ExpenditureSystem GrowthMedium pressure - Stationsconstant</t>
  </si>
  <si>
    <t>2022IDCapital ExpenditureSystem GrowthMedium pressure - Stationsnominal</t>
  </si>
  <si>
    <t>2022IDCapital ExpenditureSystem GrowthMedium pressure - totalconstant</t>
  </si>
  <si>
    <t>2022IDCapital ExpenditureSystem GrowthMedium pressure - totalnominal</t>
  </si>
  <si>
    <t>2022IDCapital ExpenditureSystem GrowthOther network assets - Cathodic protection systemsconstant</t>
  </si>
  <si>
    <t>2022IDCapital ExpenditureSystem GrowthOther network assets - Cathodic protection systemsnominal</t>
  </si>
  <si>
    <t>2022IDCapital ExpenditureSystem GrowthOther network assets - Monitoring and control systemsconstant</t>
  </si>
  <si>
    <t>2022IDCapital ExpenditureSystem GrowthOther network assets - Monitoring and control systemsnominal</t>
  </si>
  <si>
    <t>2022IDCapital ExpenditureSystem GrowthOther network assets - Other assets (other than above)constant</t>
  </si>
  <si>
    <t>2022IDCapital ExpenditureSystem GrowthOther network assets - Other assets (other than above)nominal</t>
  </si>
  <si>
    <t>2022IDCapital ExpenditureSystem GrowthOther network assets - totalconstant</t>
  </si>
  <si>
    <t>2022IDCapital ExpenditureSystem GrowthOther network assets - totalnominal</t>
  </si>
  <si>
    <t>2022IDCapital ExpenditureSystem GrowthSystem growth expenditureconstant</t>
  </si>
  <si>
    <t>2022IDCapital ExpenditureSystem GrowthSystem growth expenditurenominal</t>
  </si>
  <si>
    <t>2022IDCapital ExpenditureSystem GrowthSystem growth less capital contributionsconstant</t>
  </si>
  <si>
    <t>2022IDCapital ExpenditureSystem GrowthSystem growth less capital contributionsnominal</t>
  </si>
  <si>
    <t>2022IDNetwork and DemandSystem lengthSystem lengthNA</t>
  </si>
  <si>
    <t>2022IDNetwork and DemandCustomer numbersNumber of ICPs at year endNA</t>
  </si>
  <si>
    <t>2022IDNetwork and DemandGas deliveredAverage daily deliveryNA</t>
  </si>
  <si>
    <t>2022IDNetwork and DemandGas deliveredLoad factorNA</t>
  </si>
  <si>
    <t>2022IDNetwork and DemandGas deliveredMaximum daily loadNA</t>
  </si>
  <si>
    <t>2022IDNetwork and DemandGas deliveredMaximum monthly loadNA</t>
  </si>
  <si>
    <t>2022IDNetwork and DemandGas deliveredNumber of directly billed ICPsNA</t>
  </si>
  <si>
    <t>2022IDNetwork and DemandGas deliveredTotal gas conveyedNA</t>
  </si>
  <si>
    <t>2022AMP2022Operating ExpenditureAsset replacement and renewalAsset replacement and renewalconstant</t>
  </si>
  <si>
    <t>2022AMP2022Operating ExpenditureAsset replacement and renewalAsset replacement and renewalnominal</t>
  </si>
  <si>
    <t>2022AMP2022Operating ExpenditureBusiness supportBusiness supportconstant</t>
  </si>
  <si>
    <t>2022AMP2022Operating ExpenditureBusiness supportBusiness supportnominal</t>
  </si>
  <si>
    <t>2022AMP2022Operating ExpenditureExpenditure on subcomponentsInsuranceconstant</t>
  </si>
  <si>
    <t>2022AMP2022Operating ExpenditureExpenditure on subcomponentsResearch and developmentconstant</t>
  </si>
  <si>
    <t>2022AMP2022Operating ExpenditureNetwork opexNetwork opexconstant</t>
  </si>
  <si>
    <t>2022AMP2022Operating ExpenditureNetwork opexNetwork opexnominal</t>
  </si>
  <si>
    <t>2022AMP2022Operating ExpenditureNon-network opexNon-network opexconstant</t>
  </si>
  <si>
    <t>2022AMP2022Operating ExpenditureNon-network opexNon-network opexnominal</t>
  </si>
  <si>
    <t>2022AMP2022Operating ExpenditureResearch and developmentResearch and developmentconstant</t>
  </si>
  <si>
    <t>2022AMP2022Operating ExpenditureRoutine and corrective maintenance and inspectionRoutine and corrective maintenance and inspectionconstant</t>
  </si>
  <si>
    <t>2022AMP2022Operating ExpenditureRoutine and corrective maintenance and inspectionRoutine and corrective maintenance and inspectionnominal</t>
  </si>
  <si>
    <t>2022AMP2022Operating ExpenditureService interruptions, incidents and emergenciesService interruptions, incidents and emergenciesconstant</t>
  </si>
  <si>
    <t>2022AMP2022Operating ExpenditureService interruptions, incidents and emergenciesService interruptions, incidents and emergenciesnominal</t>
  </si>
  <si>
    <t>2022AMP2022Operating ExpenditureSystem operations and network supportSystem operations and network supportconstant</t>
  </si>
  <si>
    <t>2022AMP2022Operating ExpenditureSystem operations and network supportSystem operations and network supportnominal</t>
  </si>
  <si>
    <t>2022AMP2022Operating ExpenditureTotal opexOperational expenditureconstant</t>
  </si>
  <si>
    <t>2022AMP2022Operating ExpenditureTotal opexOperational expenditurenominal</t>
  </si>
  <si>
    <t>2022IDOperating ExpenditureAsset replacement and renewalAsset replacement and renewalconstant</t>
  </si>
  <si>
    <t>2022IDOperating ExpenditureAsset replacement and renewalAsset replacement and renewalnominal</t>
  </si>
  <si>
    <t>2022IDOperating ExpenditureBusiness supportBusiness supportconstant</t>
  </si>
  <si>
    <t>2022IDOperating ExpenditureBusiness supportBusiness supportnominal</t>
  </si>
  <si>
    <t>2022IDOperating ExpenditureNetwork opexNetwork opexconstant</t>
  </si>
  <si>
    <t>2022IDOperating ExpenditureNetwork opexNetwork opexnominal</t>
  </si>
  <si>
    <t>2022IDOperating ExpenditureNon-network opexNon-network opexconstant</t>
  </si>
  <si>
    <t>2022IDOperating ExpenditureNon-network opexNon-network opexnominal</t>
  </si>
  <si>
    <t>2022IDOperating ExpenditureRoutine and corrective maintenance and inspectionRoutine and corrective maintenance and inspectionconstant</t>
  </si>
  <si>
    <t>2022IDOperating ExpenditureRoutine and corrective maintenance and inspectionRoutine and corrective maintenance and inspectionnominal</t>
  </si>
  <si>
    <t>2022IDOperating ExpenditureService interruptions, incidents and emergenciesService interruptions, incidents and emergenciesconstant</t>
  </si>
  <si>
    <t>2022IDOperating ExpenditureService interruptions, incidents and emergenciesService interruptions, incidents and emergenciesnominal</t>
  </si>
  <si>
    <t>2022IDOperating ExpenditureSystem operations and network supportSystem operations and network supportconstant</t>
  </si>
  <si>
    <t>2022IDOperating ExpenditureSystem operations and network supportSystem operations and network supportnominal</t>
  </si>
  <si>
    <t>2022IDOperating ExpenditureTotal opexOperational expenditureconstant</t>
  </si>
  <si>
    <t>2022IDOperating ExpenditureTotal opexOperational expenditurenominal</t>
  </si>
  <si>
    <t>2022IDOther dataRelated party transactionsAsset relocationsconstant</t>
  </si>
  <si>
    <t>2022IDOther dataRelated party transactionsAsset relocationsnominal</t>
  </si>
  <si>
    <t>2022IDOther dataRelated party transactionsAsset replacement and renewal (capex)constant</t>
  </si>
  <si>
    <t>2022IDOther dataRelated party transactionsAsset replacement and renewal (capex)nominal</t>
  </si>
  <si>
    <t>2022IDOther dataRelated party transactionsAsset replacement and renewal (opex)constant</t>
  </si>
  <si>
    <t>2022IDOther dataRelated party transactionsAsset replacement and renewal (opex)nominal</t>
  </si>
  <si>
    <t>2022IDOther dataRelated party transactionsBusiness supportconstant</t>
  </si>
  <si>
    <t>2022IDOther dataRelated party transactionsBusiness supportnominal</t>
  </si>
  <si>
    <t>2022IDOther dataRelated party transactionsCapital expenditureconstant</t>
  </si>
  <si>
    <t>2022IDOther dataRelated party transactionsCapital expenditurenominal</t>
  </si>
  <si>
    <t>2022IDOther dataRelated party transactionsConsumer connectionconstant</t>
  </si>
  <si>
    <t>2022IDOther dataRelated party transactionsConsumer connectionnominal</t>
  </si>
  <si>
    <t>2022IDOther dataRelated party transactionsCost of financingconstant</t>
  </si>
  <si>
    <t>2022IDOther dataRelated party transactionsCost of financingnominal</t>
  </si>
  <si>
    <t>2022IDOther dataRelated party transactionsExpenditure on assetsconstant</t>
  </si>
  <si>
    <t>2022IDOther dataRelated party transactionsExpenditure on assetsnominal</t>
  </si>
  <si>
    <t>2022IDOther dataRelated party transactionsLegislative and regulatoryconstant</t>
  </si>
  <si>
    <t>2022IDOther dataRelated party transactionsLegislative and regulatorynominal</t>
  </si>
  <si>
    <t>2022IDOther dataRelated party transactionsMarket value of asset disposalsconstant</t>
  </si>
  <si>
    <t>2022IDOther dataRelated party transactionsMarket value of asset disposalsnominal</t>
  </si>
  <si>
    <t>2022IDOther dataRelated party transactionsNetwork opexconstant</t>
  </si>
  <si>
    <t>2022IDOther dataRelated party transactionsNetwork opexnominal</t>
  </si>
  <si>
    <t>2022IDOther dataRelated party transactionsNon-network assetsconstant</t>
  </si>
  <si>
    <t>2022IDOther dataRelated party transactionsNon-network assetsnominal</t>
  </si>
  <si>
    <t>2022IDOther dataRelated party transactionsOperational expenditureconstant</t>
  </si>
  <si>
    <t>2022IDOther dataRelated party transactionsOperational expenditurenominal</t>
  </si>
  <si>
    <t>2022IDOther dataRelated party transactionsOther related party transactionsconstant</t>
  </si>
  <si>
    <t>2022IDOther dataRelated party transactionsOther related party transactionsnominal</t>
  </si>
  <si>
    <t>2022IDOther dataRelated party transactionsOther reliability, safety and environmentconstant</t>
  </si>
  <si>
    <t>2022IDOther dataRelated party transactionsOther reliability, safety and environmentnominal</t>
  </si>
  <si>
    <t>2022IDOther dataRelated party transactionsQuality of supplyconstant</t>
  </si>
  <si>
    <t>2022IDOther dataRelated party transactionsQuality of supplynominal</t>
  </si>
  <si>
    <t>2022IDOther dataRelated party transactionsRoutine and corrective maintenance and inspectionconstant</t>
  </si>
  <si>
    <t>2022IDOther dataRelated party transactionsRoutine and corrective maintenance and inspectionnominal</t>
  </si>
  <si>
    <t>2022IDOther dataRelated party transactionsService interruptions, incidents and emergenciesconstant</t>
  </si>
  <si>
    <t>2022IDOther dataRelated party transactionsService interruptions, incidents and emergenciesnominal</t>
  </si>
  <si>
    <t>2022IDOther dataRelated party transactionsSystem growthconstant</t>
  </si>
  <si>
    <t>2022IDOther dataRelated party transactionsSystem growthnominal</t>
  </si>
  <si>
    <t>2022IDOther dataRelated party transactionsSystem operations and network supportconstant</t>
  </si>
  <si>
    <t>2022IDOther dataRelated party transactionsSystem operations and network supportnominal</t>
  </si>
  <si>
    <t>2022IDOther dataRelated party transactionsTotal expenditureconstant</t>
  </si>
  <si>
    <t>2022IDOther dataRelated party transactionsTotal expenditurenominal</t>
  </si>
  <si>
    <t>2022IDOther dataRelated party transactionsTotal regulatory incomeconstant</t>
  </si>
  <si>
    <t>2022IDOther dataRelated party transactionsTotal regulatory incomenominal</t>
  </si>
  <si>
    <t>2022IDOther dataRelated party transactionsValue of capital contributionsconstant</t>
  </si>
  <si>
    <t>2022IDOther dataRelated party transactionsValue of capital contributionsnominal</t>
  </si>
  <si>
    <t>2022IDOther dataRelated party transactionsValue of vested assetsconstant</t>
  </si>
  <si>
    <t>2022IDOther dataRelated party transactionsValue of vested assetsnominal</t>
  </si>
  <si>
    <t>2022IDRAB valueTotal closing RAB valueIntermediate pressure main pipelinesconstant</t>
  </si>
  <si>
    <t>2022IDRAB valueTotal closing RAB valueLine valveconstant</t>
  </si>
  <si>
    <t>2022IDRAB valueTotal closing RAB valueLow pressure main pipelinesconstant</t>
  </si>
  <si>
    <t>2022IDRAB valueTotal closing RAB valueMedium pressure main pipelinesconstant</t>
  </si>
  <si>
    <t>2022IDRAB valueTotal closing RAB valueOther network assetsconstant</t>
  </si>
  <si>
    <t>2022IDRAB valueTotal closing RAB valueService pipeconstant</t>
  </si>
  <si>
    <t>2022IDRAB valueTotal closing RAB valueSpecial crossingsconstant</t>
  </si>
  <si>
    <t>2022IDRAB valueTotal closing RAB valueStationsconstant</t>
  </si>
  <si>
    <t>2022IDRAB valueTotal closing RAB valueTotalconstant</t>
  </si>
  <si>
    <t>2022IDReliabilityInterruption rateInterruptions per 100 circuit kmNA</t>
  </si>
  <si>
    <t>2022IDReliabilityInterruptionsClass BNA</t>
  </si>
  <si>
    <t>2022IDReliabilityInterruptionsClass CNA</t>
  </si>
  <si>
    <t>2022IDReliabilityCAIDIAll interruptionsNA</t>
  </si>
  <si>
    <t>2022IDReliabilityCAIDIClass INA</t>
  </si>
  <si>
    <t>2022IDReliabilitySAIDIAll interruptionsNA</t>
  </si>
  <si>
    <t>2022IDReliabilitySAIDIClass INA</t>
  </si>
  <si>
    <t>2022IDReliabilitySAIFIAll interruptionsNA</t>
  </si>
  <si>
    <t>2022IDReliabilitySAIFIClass INA</t>
  </si>
  <si>
    <t>2022IDRevenue and ProfitabilityReturn on investmentReturn on Investment (post tax)NA</t>
  </si>
  <si>
    <t>2022IDRevenue and ProfitabilityReturn on investmentReturn on Investment (vanilla)NA</t>
  </si>
  <si>
    <t>2022IDRevenue and ProfitabilityExpensesOperational expenditureconstant</t>
  </si>
  <si>
    <t>2022IDRevenue and ProfitabilityExpensesOperational expenditurenominal</t>
  </si>
  <si>
    <t>2022IDRevenue and ProfitabilityExpensesPass-through and recoverable costsconstant</t>
  </si>
  <si>
    <t>2022IDRevenue and ProfitabilityExpensesPass-through and recoverable costsnominal</t>
  </si>
  <si>
    <t>2022IDRevenue and ProfitabilityOperating surplus / (deficit)Operating surplus / (deficit)constant</t>
  </si>
  <si>
    <t>2022IDRevenue and ProfitabilityOperating surplus / (deficit)Operating surplus / (deficit)nominal</t>
  </si>
  <si>
    <t>2022IDRevenue and ProfitabilityRegulatory profit / (loss)Regulatory profit / (loss)constant</t>
  </si>
  <si>
    <t>2022IDRevenue and ProfitabilityRegulatory profit / (loss)Regulatory profit / (loss)nominal</t>
  </si>
  <si>
    <t>2022IDRevenue and ProfitabilityRegulatory profit / (loss) before taxRegulatory profit / (loss) before taxconstant</t>
  </si>
  <si>
    <t>2022IDRevenue and ProfitabilityRegulatory profit / (loss) before taxRegulatory profit / (loss) before taxnominal</t>
  </si>
  <si>
    <t>2022IDRevenue and ProfitabilityTaxRegulatory tax allowanceconstant</t>
  </si>
  <si>
    <t>2022IDRevenue and ProfitabilityTaxRegulatory tax allowancenominal</t>
  </si>
  <si>
    <t>2022IDRevenue and ProfitabilityTerm credit spread differentialTerm credit spread differential allowanceconstant</t>
  </si>
  <si>
    <t>2022IDRevenue and ProfitabilityTerm credit spread differentialTerm credit spread differential allowancenominal</t>
  </si>
  <si>
    <t>2022IDRevenue and ProfitabilityTotal regulatory incomeGains / (losses) on asset disposalsconstant</t>
  </si>
  <si>
    <t>2022IDRevenue and ProfitabilityTotal regulatory incomeGains / (losses) on asset disposalsnominal</t>
  </si>
  <si>
    <t>2022IDRevenue and ProfitabilityTotal regulatory incomeLine charge revenueconstant</t>
  </si>
  <si>
    <t>2022IDRevenue and ProfitabilityTotal regulatory incomeLine charge revenuenominal</t>
  </si>
  <si>
    <t>2022IDRevenue and ProfitabilityTotal regulatory incomeOther regulatory incomeconstant</t>
  </si>
  <si>
    <t>2022IDRevenue and ProfitabilityTotal regulatory incomeOther regulatory incomenominal</t>
  </si>
  <si>
    <t>2022IDRevenue and ProfitabilityTotal regulatory incomeTotal regulatory incomeconstant</t>
  </si>
  <si>
    <t>2022IDRevenue and ProfitabilityTotal regulatory incomeTotal regulatory incomenominal</t>
  </si>
  <si>
    <t>2022IDRevenue and ProfitabilityAdjustment resulting from asset allocationAdjustment resulting from asset allocationconstant</t>
  </si>
  <si>
    <t>2022IDRevenue and ProfitabilityAdjustment resulting from asset allocationAdjustment resulting from asset allocationnominal</t>
  </si>
  <si>
    <t>2022IDRevenue and ProfitabilityAsset disposalsAsset disposalsconstant</t>
  </si>
  <si>
    <t>2022IDRevenue and ProfitabilityAsset disposalsAsset disposalsnominal</t>
  </si>
  <si>
    <t>2022IDRevenue and ProfitabilityAsset valueTotal depreciationconstant</t>
  </si>
  <si>
    <t>2022IDRevenue and ProfitabilityAsset valueTotal depreciationnominal</t>
  </si>
  <si>
    <t>2022IDRevenue and ProfitabilityAsset valueTotal revaluationsconstant</t>
  </si>
  <si>
    <t>2022IDRevenue and ProfitabilityAsset valueTotal revaluationsnominal</t>
  </si>
  <si>
    <t>2022IDRevenue and ProfitabilityAssets commissionedAssets commissionedconstant</t>
  </si>
  <si>
    <t>2022IDRevenue and ProfitabilityAssets commissionedAssets commissionednominal</t>
  </si>
  <si>
    <t>2022IDRevenue and ProfitabilityLost and found assets adjustmentLost and found assets adjustmentconstant</t>
  </si>
  <si>
    <t>2022IDRevenue and ProfitabilityLost and found assets adjustmentLost and found assets adjustmentnominal</t>
  </si>
  <si>
    <t>2022IDRevenue and ProfitabilityTotal closing RAB valueTotal closing RAB valueconstant</t>
  </si>
  <si>
    <t>2022IDRevenue and ProfitabilityTotal closing RAB valueTotal closing RAB valuenominal</t>
  </si>
  <si>
    <t>2022IDRevenue and ProfitabilityTotal opening RAB valueTotal opening RAB valueconstant</t>
  </si>
  <si>
    <t>2022IDRevenue and ProfitabilityTotal opening RAB valueTotal opening RAB valuenominal</t>
  </si>
  <si>
    <t>2023AMP2022Capital ExpenditureAll assetsExpenditure on assetsconstant</t>
  </si>
  <si>
    <t>2023AMP2022Capital ExpenditureAll assetsExpenditure on assetsnominal</t>
  </si>
  <si>
    <t>2023AMP2022Capital ExpenditureAsset relocationsAsset relocationsconstant</t>
  </si>
  <si>
    <t>2023AMP2022Capital ExpenditureAsset relocationsAsset relocationsnominal</t>
  </si>
  <si>
    <t>2023AMP2022Capital ExpenditureAsset replacement and renewalAsset replacement and renewalconstant</t>
  </si>
  <si>
    <t>2023AMP2022Capital ExpenditureAsset replacement and renewalAsset replacement and renewalnominal</t>
  </si>
  <si>
    <t>2023AMP2022Capital ExpenditureAssets commissionedAssets commissionednominal</t>
  </si>
  <si>
    <t>2023AMP2022Capital ExpenditureCapital expenditure forecastCapital expenditure forecastnominal</t>
  </si>
  <si>
    <t>2023AMP2022Capital ExpenditureConsumer connectionConsumer connectionconstant</t>
  </si>
  <si>
    <t>2023AMP2022Capital ExpenditureConsumer connectionConsumer connectionnominal</t>
  </si>
  <si>
    <t>2023AMP2022Capital ExpenditureCost of financingCost of financingnominal</t>
  </si>
  <si>
    <t>2023AMP2022Capital ExpenditureExpenditure on subcomponentsResearch and developmentconstant</t>
  </si>
  <si>
    <t>2023AMP2022Capital ExpenditureNetwork assetsExpenditure on network assetsconstant</t>
  </si>
  <si>
    <t>2023AMP2022Capital ExpenditureNetwork assetsExpenditure on network assetsnominal</t>
  </si>
  <si>
    <t>2023AMP2022Capital ExpenditureNon-network assetsNon-network assetsconstant</t>
  </si>
  <si>
    <t>2023AMP2022Capital ExpenditureNon-network assetsNon-network assetsnominal</t>
  </si>
  <si>
    <t>2023AMP2022Capital ExpenditureReliability, safety and environmentLegislative and regulatoryconstant</t>
  </si>
  <si>
    <t>2023AMP2022Capital ExpenditureReliability, safety and environmentLegislative and regulatorynominal</t>
  </si>
  <si>
    <t>2023AMP2022Capital ExpenditureReliability, safety and environmentOther reliability, safety and environmentconstant</t>
  </si>
  <si>
    <t>2023AMP2022Capital ExpenditureReliability, safety and environmentOther reliability, safety and environmentnominal</t>
  </si>
  <si>
    <t>2023AMP2022Capital ExpenditureReliability, safety and environmentQuality of supplyconstant</t>
  </si>
  <si>
    <t>2023AMP2022Capital ExpenditureReliability, safety and environmentQuality of supplynominal</t>
  </si>
  <si>
    <t>2023AMP2022Capital ExpenditureReliability, safety and environmentTotal reliability, safety and environmentconstant</t>
  </si>
  <si>
    <t>2023AMP2022Capital ExpenditureReliability, safety and environmentTotal reliability, safety and environmentnominal</t>
  </si>
  <si>
    <t>2023AMP2022Capital ExpenditureSystem growthSystem growthconstant</t>
  </si>
  <si>
    <t>2023AMP2022Capital ExpenditureSystem growthSystem growthnominal</t>
  </si>
  <si>
    <t>2023AMP2022Capital ExpenditureValue of capital contributionsValue of capital contributionsnominal</t>
  </si>
  <si>
    <t>2023AMP2022Capital ExpenditureValue of commissioned assetsValue of commissioned assetsnominal</t>
  </si>
  <si>
    <t>2023AMP2022Capital ExpenditureValue of vested assetsValue of vested assetsnominal</t>
  </si>
  <si>
    <t>2023AMP2022Capital ExpenditureAsset replacement and renewalAsset replacement and renewal expenditure - Asset replacement and renewal expenditureconstant</t>
  </si>
  <si>
    <t>2023AMP2022Capital ExpenditureAsset replacement and renewalAsset replacement and renewal expenditure - Capital contributions funding asset replacement and renewalconstant</t>
  </si>
  <si>
    <t>2023AMP2022Capital ExpenditureAsset replacement and renewalAsset replacement and renewal less capital contributions - Asset replacement and renewal less capital contributionsconstant</t>
  </si>
  <si>
    <t>2023AMP2022Capital ExpenditureAsset replacement and renewalIntermediate pressure - Intermediate Pressure totalconstant</t>
  </si>
  <si>
    <t>2023AMP2022Capital ExpenditureAsset replacement and renewalIntermediate pressure - Line valveconstant</t>
  </si>
  <si>
    <t>2023AMP2022Capital ExpenditureAsset replacement and renewalIntermediate pressure - Main pipeconstant</t>
  </si>
  <si>
    <t>2023AMP2022Capital ExpenditureAsset replacement and renewalIntermediate pressure - Service pipeconstant</t>
  </si>
  <si>
    <t>2023AMP2022Capital ExpenditureAsset replacement and renewalIntermediate pressure - Special crossingsconstant</t>
  </si>
  <si>
    <t>2023AMP2022Capital ExpenditureAsset replacement and renewalIntermediate pressure - Stationsconstant</t>
  </si>
  <si>
    <t>2023AMP2022Capital ExpenditureAsset replacement and renewalLow Pressure - Line valveconstant</t>
  </si>
  <si>
    <t>2023AMP2022Capital ExpenditureAsset replacement and renewalLow Pressure - Low Pressure totalconstant</t>
  </si>
  <si>
    <t>2023AMP2022Capital ExpenditureAsset replacement and renewalLow Pressure - Main pipeconstant</t>
  </si>
  <si>
    <t>2023AMP2022Capital ExpenditureAsset replacement and renewalLow Pressure - Service pipeconstant</t>
  </si>
  <si>
    <t>2023AMP2022Capital ExpenditureAsset replacement and renewalLow Pressure - Special crossingsconstant</t>
  </si>
  <si>
    <t>2023AMP2022Capital ExpenditureAsset replacement and renewalMedium pressure - Line valveconstant</t>
  </si>
  <si>
    <t>2023AMP2022Capital ExpenditureAsset replacement and renewalMedium pressure - Main pipeconstant</t>
  </si>
  <si>
    <t>2023AMP2022Capital ExpenditureAsset replacement and renewalMedium pressure - Medium Pressure totalconstant</t>
  </si>
  <si>
    <t>2023AMP2022Capital ExpenditureAsset replacement and renewalMedium pressure - Service pipeconstant</t>
  </si>
  <si>
    <t>2023AMP2022Capital ExpenditureAsset replacement and renewalMedium pressure - Special crossingsconstant</t>
  </si>
  <si>
    <t>2023AMP2022Capital ExpenditureAsset replacement and renewalMedium pressure - Stationconstant</t>
  </si>
  <si>
    <t>2023AMP2022Capital ExpenditureAsset replacement and renewalOther assets - Cathodic protection systemsconstant</t>
  </si>
  <si>
    <t>2023AMP2022Capital ExpenditureAsset replacement and renewalOther assets - Monitoring and control systemsconstant</t>
  </si>
  <si>
    <t>2023AMP2022Capital ExpenditureAsset replacement and renewalOther assets - Other assets (other than above)constant</t>
  </si>
  <si>
    <t>2023AMP2022Capital ExpenditureAsset replacement and renewalOther assets - Other totalconstant</t>
  </si>
  <si>
    <t>2023AMP2022Capital ExpenditureAsset replacement and renewalOther network assets - Cathodic protection systemsconstant</t>
  </si>
  <si>
    <t>2023AMP2022Capital ExpenditureAsset replacement and renewalOther network assets - Monitoring and control systemsconstant</t>
  </si>
  <si>
    <t>2023AMP2022Capital ExpenditureAsset replacement and renewalOther network assets - Other assets (other than above)constant</t>
  </si>
  <si>
    <t>2023AMP2022Capital ExpenditureAsset replacement and renewalOther network assets - Other network assets totalconstant</t>
  </si>
  <si>
    <t>2023AMP2022Operating ExpenditureAsset replacement and renewalAsset replacement and renewalconstant</t>
  </si>
  <si>
    <t>2023AMP2022Operating ExpenditureAsset replacement and renewalAsset replacement and renewalnominal</t>
  </si>
  <si>
    <t>2023AMP2022Operating ExpenditureBusiness supportBusiness supportconstant</t>
  </si>
  <si>
    <t>2023AMP2022Operating ExpenditureBusiness supportBusiness supportnominal</t>
  </si>
  <si>
    <t>2023AMP2022Operating ExpenditureExpenditure on subcomponentsInsuranceconstant</t>
  </si>
  <si>
    <t>2023AMP2022Operating ExpenditureExpenditure on subcomponentsResearch and developmentconstant</t>
  </si>
  <si>
    <t>2023AMP2022Operating ExpenditureNetwork opexNetwork opexconstant</t>
  </si>
  <si>
    <t>2023AMP2022Operating ExpenditureNetwork opexNetwork opexnominal</t>
  </si>
  <si>
    <t>2023AMP2022Operating ExpenditureNon-network opexNon-network opexconstant</t>
  </si>
  <si>
    <t>2023AMP2022Operating ExpenditureNon-network opexNon-network opexnominal</t>
  </si>
  <si>
    <t>2023AMP2022Operating ExpenditureResearch and developmentResearch and developmentconstant</t>
  </si>
  <si>
    <t>2023AMP2022Operating ExpenditureRoutine and corrective maintenance and inspectionRoutine and corrective maintenance and inspectionconstant</t>
  </si>
  <si>
    <t>2023AMP2022Operating ExpenditureRoutine and corrective maintenance and inspectionRoutine and corrective maintenance and inspectionnominal</t>
  </si>
  <si>
    <t>2023AMP2022Operating ExpenditureService interruptions, incidents and emergenciesService interruptions, incidents and emergenciesconstant</t>
  </si>
  <si>
    <t>2023AMP2022Operating ExpenditureService interruptions, incidents and emergenciesService interruptions, incidents and emergenciesnominal</t>
  </si>
  <si>
    <t>2023AMP2022Operating ExpenditureSystem operations and network supportSystem operations and network supportconstant</t>
  </si>
  <si>
    <t>2023AMP2022Operating ExpenditureSystem operations and network supportSystem operations and network supportnominal</t>
  </si>
  <si>
    <t>2023AMP2022Operating ExpenditureTotal opexOperational expenditureconstant</t>
  </si>
  <si>
    <t>2023AMP2022Operating ExpenditureTotal opexOperational expenditurenominal</t>
  </si>
  <si>
    <t>2024AMP2022Capital ExpenditureAll assetsExpenditure on assetsconstant</t>
  </si>
  <si>
    <t>2024AMP2022Capital ExpenditureAll assetsExpenditure on assetsnominal</t>
  </si>
  <si>
    <t>2024AMP2022Capital ExpenditureAsset relocationsAsset relocationsconstant</t>
  </si>
  <si>
    <t>2024AMP2022Capital ExpenditureAsset relocationsAsset relocationsnominal</t>
  </si>
  <si>
    <t>2024AMP2022Capital ExpenditureAsset replacement and renewalAsset replacement and renewalconstant</t>
  </si>
  <si>
    <t>2024AMP2022Capital ExpenditureAsset replacement and renewalAsset replacement and renewalnominal</t>
  </si>
  <si>
    <t>2024AMP2022Capital ExpenditureAssets commissionedAssets commissionednominal</t>
  </si>
  <si>
    <t>2024AMP2022Capital ExpenditureCapital expenditure forecastCapital expenditure forecastnominal</t>
  </si>
  <si>
    <t>2024AMP2022Capital ExpenditureConsumer connectionConsumer connectionconstant</t>
  </si>
  <si>
    <t>2024AMP2022Capital ExpenditureConsumer connectionConsumer connectionnominal</t>
  </si>
  <si>
    <t>2024AMP2022Capital ExpenditureCost of financingCost of financingnominal</t>
  </si>
  <si>
    <t>2024AMP2022Capital ExpenditureExpenditure on subcomponentsResearch and developmentconstant</t>
  </si>
  <si>
    <t>2024AMP2022Capital ExpenditureNetwork assetsExpenditure on network assetsconstant</t>
  </si>
  <si>
    <t>2024AMP2022Capital ExpenditureNetwork assetsExpenditure on network assetsnominal</t>
  </si>
  <si>
    <t>2024AMP2022Capital ExpenditureNon-network assetsNon-network assetsconstant</t>
  </si>
  <si>
    <t>2024AMP2022Capital ExpenditureNon-network assetsNon-network assetsnominal</t>
  </si>
  <si>
    <t>2024AMP2022Capital ExpenditureReliability, safety and environmentLegislative and regulatoryconstant</t>
  </si>
  <si>
    <t>2024AMP2022Capital ExpenditureReliability, safety and environmentLegislative and regulatorynominal</t>
  </si>
  <si>
    <t>2024AMP2022Capital ExpenditureReliability, safety and environmentOther reliability, safety and environmentconstant</t>
  </si>
  <si>
    <t>2024AMP2022Capital ExpenditureReliability, safety and environmentOther reliability, safety and environmentnominal</t>
  </si>
  <si>
    <t>2024AMP2022Capital ExpenditureReliability, safety and environmentQuality of supplyconstant</t>
  </si>
  <si>
    <t>2024AMP2022Capital ExpenditureReliability, safety and environmentQuality of supplynominal</t>
  </si>
  <si>
    <t>2024AMP2022Capital ExpenditureReliability, safety and environmentTotal reliability, safety and environmentconstant</t>
  </si>
  <si>
    <t>2024AMP2022Capital ExpenditureReliability, safety and environmentTotal reliability, safety and environmentnominal</t>
  </si>
  <si>
    <t>2024AMP2022Capital ExpenditureSystem growthSystem growthconstant</t>
  </si>
  <si>
    <t>2024AMP2022Capital ExpenditureSystem growthSystem growthnominal</t>
  </si>
  <si>
    <t>2024AMP2022Capital ExpenditureValue of capital contributionsValue of capital contributionsnominal</t>
  </si>
  <si>
    <t>2024AMP2022Capital ExpenditureValue of commissioned assetsValue of commissioned assetsnominal</t>
  </si>
  <si>
    <t>2024AMP2022Capital ExpenditureValue of vested assetsValue of vested assetsnominal</t>
  </si>
  <si>
    <t>2024AMP2022Capital ExpenditureAsset replacement and renewalAsset replacement and renewal expenditure - Asset replacement and renewal expenditureconstant</t>
  </si>
  <si>
    <t>2024AMP2022Capital ExpenditureAsset replacement and renewalAsset replacement and renewal expenditure - Capital contributions funding asset replacement and renewalconstant</t>
  </si>
  <si>
    <t>2024AMP2022Capital ExpenditureAsset replacement and renewalAsset replacement and renewal less capital contributions - Asset replacement and renewal less capital contributionsconstant</t>
  </si>
  <si>
    <t>2024AMP2022Capital ExpenditureAsset replacement and renewalIntermediate pressure - Intermediate Pressure totalconstant</t>
  </si>
  <si>
    <t>2024AMP2022Capital ExpenditureAsset replacement and renewalIntermediate pressure - Line valveconstant</t>
  </si>
  <si>
    <t>2024AMP2022Capital ExpenditureAsset replacement and renewalIntermediate pressure - Main pipeconstant</t>
  </si>
  <si>
    <t>2024AMP2022Capital ExpenditureAsset replacement and renewalIntermediate pressure - Service pipeconstant</t>
  </si>
  <si>
    <t>2024AMP2022Capital ExpenditureAsset replacement and renewalIntermediate pressure - Special crossingsconstant</t>
  </si>
  <si>
    <t>2024AMP2022Capital ExpenditureAsset replacement and renewalIntermediate pressure - Stationsconstant</t>
  </si>
  <si>
    <t>2024AMP2022Capital ExpenditureAsset replacement and renewalLow Pressure - Line valveconstant</t>
  </si>
  <si>
    <t>2024AMP2022Capital ExpenditureAsset replacement and renewalLow Pressure - Low Pressure totalconstant</t>
  </si>
  <si>
    <t>2024AMP2022Capital ExpenditureAsset replacement and renewalLow Pressure - Main pipeconstant</t>
  </si>
  <si>
    <t>2024AMP2022Capital ExpenditureAsset replacement and renewalLow Pressure - Service pipeconstant</t>
  </si>
  <si>
    <t>2024AMP2022Capital ExpenditureAsset replacement and renewalLow Pressure - Special crossingsconstant</t>
  </si>
  <si>
    <t>2024AMP2022Capital ExpenditureAsset replacement and renewalMedium pressure - Line valveconstant</t>
  </si>
  <si>
    <t>2024AMP2022Capital ExpenditureAsset replacement and renewalMedium pressure - Main pipeconstant</t>
  </si>
  <si>
    <t>2024AMP2022Capital ExpenditureAsset replacement and renewalMedium pressure - Medium Pressure totalconstant</t>
  </si>
  <si>
    <t>2024AMP2022Capital ExpenditureAsset replacement and renewalMedium pressure - Service pipeconstant</t>
  </si>
  <si>
    <t>2024AMP2022Capital ExpenditureAsset replacement and renewalMedium pressure - Special crossingsconstant</t>
  </si>
  <si>
    <t>2024AMP2022Capital ExpenditureAsset replacement and renewalMedium pressure - Stationconstant</t>
  </si>
  <si>
    <t>2024AMP2022Capital ExpenditureAsset replacement and renewalOther assets - Cathodic protection systemsconstant</t>
  </si>
  <si>
    <t>2024AMP2022Capital ExpenditureAsset replacement and renewalOther assets - Monitoring and control systemsconstant</t>
  </si>
  <si>
    <t>2024AMP2022Capital ExpenditureAsset replacement and renewalOther assets - Other assets (other than above)constant</t>
  </si>
  <si>
    <t>2024AMP2022Capital ExpenditureAsset replacement and renewalOther assets - Other totalconstant</t>
  </si>
  <si>
    <t>2024AMP2022Capital ExpenditureAsset replacement and renewalOther network assets - Cathodic protection systemsconstant</t>
  </si>
  <si>
    <t>2024AMP2022Capital ExpenditureAsset replacement and renewalOther network assets - Monitoring and control systemsconstant</t>
  </si>
  <si>
    <t>2024AMP2022Capital ExpenditureAsset replacement and renewalOther network assets - Other assets (other than above)constant</t>
  </si>
  <si>
    <t>2024AMP2022Capital ExpenditureAsset replacement and renewalOther network assets - Other network assets totalconstant</t>
  </si>
  <si>
    <t>2024AMP2022Operating ExpenditureAsset replacement and renewalAsset replacement and renewalconstant</t>
  </si>
  <si>
    <t>2024AMP2022Operating ExpenditureAsset replacement and renewalAsset replacement and renewalnominal</t>
  </si>
  <si>
    <t>2024AMP2022Operating ExpenditureBusiness supportBusiness supportconstant</t>
  </si>
  <si>
    <t>2024AMP2022Operating ExpenditureBusiness supportBusiness supportnominal</t>
  </si>
  <si>
    <t>2024AMP2022Operating ExpenditureExpenditure on subcomponentsInsuranceconstant</t>
  </si>
  <si>
    <t>2024AMP2022Operating ExpenditureExpenditure on subcomponentsResearch and developmentconstant</t>
  </si>
  <si>
    <t>2024AMP2022Operating ExpenditureNetwork opexNetwork opexconstant</t>
  </si>
  <si>
    <t>2024AMP2022Operating ExpenditureNetwork opexNetwork opexnominal</t>
  </si>
  <si>
    <t>2024AMP2022Operating ExpenditureNon-network opexNon-network opexconstant</t>
  </si>
  <si>
    <t>2024AMP2022Operating ExpenditureNon-network opexNon-network opexnominal</t>
  </si>
  <si>
    <t>2024AMP2022Operating ExpenditureResearch and developmentResearch and developmentconstant</t>
  </si>
  <si>
    <t>2024AMP2022Operating ExpenditureRoutine and corrective maintenance and inspectionRoutine and corrective maintenance and inspectionconstant</t>
  </si>
  <si>
    <t>2024AMP2022Operating ExpenditureRoutine and corrective maintenance and inspectionRoutine and corrective maintenance and inspectionnominal</t>
  </si>
  <si>
    <t>2024AMP2022Operating ExpenditureService interruptions, incidents and emergenciesService interruptions, incidents and emergenciesconstant</t>
  </si>
  <si>
    <t>2024AMP2022Operating ExpenditureService interruptions, incidents and emergenciesService interruptions, incidents and emergenciesnominal</t>
  </si>
  <si>
    <t>2024AMP2022Operating ExpenditureSystem operations and network supportSystem operations and network supportconstant</t>
  </si>
  <si>
    <t>2024AMP2022Operating ExpenditureSystem operations and network supportSystem operations and network supportnominal</t>
  </si>
  <si>
    <t>2024AMP2022Operating ExpenditureTotal opexOperational expenditureconstant</t>
  </si>
  <si>
    <t>2024AMP2022Operating ExpenditureTotal opexOperational expenditurenominal</t>
  </si>
  <si>
    <t>2025AMP2022Capital ExpenditureAll assetsExpenditure on assetsconstant</t>
  </si>
  <si>
    <t>2025AMP2022Capital ExpenditureAll assetsExpenditure on assetsnominal</t>
  </si>
  <si>
    <t>2025AMP2022Capital ExpenditureAsset relocationsAsset relocationsconstant</t>
  </si>
  <si>
    <t>2025AMP2022Capital ExpenditureAsset relocationsAsset relocationsnominal</t>
  </si>
  <si>
    <t>2025AMP2022Capital ExpenditureAsset replacement and renewalAsset replacement and renewalconstant</t>
  </si>
  <si>
    <t>2025AMP2022Capital ExpenditureAsset replacement and renewalAsset replacement and renewalnominal</t>
  </si>
  <si>
    <t>2025AMP2022Capital ExpenditureAssets commissionedAssets commissionednominal</t>
  </si>
  <si>
    <t>2025AMP2022Capital ExpenditureCapital expenditure forecastCapital expenditure forecastnominal</t>
  </si>
  <si>
    <t>2025AMP2022Capital ExpenditureConsumer connectionConsumer connectionconstant</t>
  </si>
  <si>
    <t>2025AMP2022Capital ExpenditureConsumer connectionConsumer connectionnominal</t>
  </si>
  <si>
    <t>2025AMP2022Capital ExpenditureCost of financingCost of financingnominal</t>
  </si>
  <si>
    <t>2025AMP2022Capital ExpenditureExpenditure on subcomponentsResearch and developmentconstant</t>
  </si>
  <si>
    <t>2025AMP2022Capital ExpenditureNetwork assetsExpenditure on network assetsconstant</t>
  </si>
  <si>
    <t>2025AMP2022Capital ExpenditureNetwork assetsExpenditure on network assetsnominal</t>
  </si>
  <si>
    <t>2025AMP2022Capital ExpenditureNon-network assetsNon-network assetsconstant</t>
  </si>
  <si>
    <t>2025AMP2022Capital ExpenditureNon-network assetsNon-network assetsnominal</t>
  </si>
  <si>
    <t>2025AMP2022Capital ExpenditureReliability, safety and environmentLegislative and regulatoryconstant</t>
  </si>
  <si>
    <t>2025AMP2022Capital ExpenditureReliability, safety and environmentLegislative and regulatorynominal</t>
  </si>
  <si>
    <t>2025AMP2022Capital ExpenditureReliability, safety and environmentOther reliability, safety and environmentconstant</t>
  </si>
  <si>
    <t>2025AMP2022Capital ExpenditureReliability, safety and environmentOther reliability, safety and environmentnominal</t>
  </si>
  <si>
    <t>2025AMP2022Capital ExpenditureReliability, safety and environmentQuality of supplyconstant</t>
  </si>
  <si>
    <t>2025AMP2022Capital ExpenditureReliability, safety and environmentQuality of supplynominal</t>
  </si>
  <si>
    <t>2025AMP2022Capital ExpenditureReliability, safety and environmentTotal reliability, safety and environmentconstant</t>
  </si>
  <si>
    <t>2025AMP2022Capital ExpenditureReliability, safety and environmentTotal reliability, safety and environmentnominal</t>
  </si>
  <si>
    <t>2025AMP2022Capital ExpenditureSystem growthSystem growthconstant</t>
  </si>
  <si>
    <t>2025AMP2022Capital ExpenditureSystem growthSystem growthnominal</t>
  </si>
  <si>
    <t>2025AMP2022Capital ExpenditureValue of capital contributionsValue of capital contributionsnominal</t>
  </si>
  <si>
    <t>2025AMP2022Capital ExpenditureValue of commissioned assetsValue of commissioned assetsnominal</t>
  </si>
  <si>
    <t>2025AMP2022Capital ExpenditureValue of vested assetsValue of vested assetsnominal</t>
  </si>
  <si>
    <t>2025AMP2022Capital ExpenditureAsset replacement and renewalAsset replacement and renewal expenditure - Asset replacement and renewal expenditureconstant</t>
  </si>
  <si>
    <t>2025AMP2022Capital ExpenditureAsset replacement and renewalAsset replacement and renewal expenditure - Capital contributions funding asset replacement and renewalconstant</t>
  </si>
  <si>
    <t>2025AMP2022Capital ExpenditureAsset replacement and renewalAsset replacement and renewal less capital contributions - Asset replacement and renewal less capital contributionsconstant</t>
  </si>
  <si>
    <t>2025AMP2022Capital ExpenditureAsset replacement and renewalIntermediate pressure - Intermediate Pressure totalconstant</t>
  </si>
  <si>
    <t>2025AMP2022Capital ExpenditureAsset replacement and renewalIntermediate pressure - Line valveconstant</t>
  </si>
  <si>
    <t>2025AMP2022Capital ExpenditureAsset replacement and renewalIntermediate pressure - Main pipeconstant</t>
  </si>
  <si>
    <t>2025AMP2022Capital ExpenditureAsset replacement and renewalIntermediate pressure - Service pipeconstant</t>
  </si>
  <si>
    <t>2025AMP2022Capital ExpenditureAsset replacement and renewalIntermediate pressure - Special crossingsconstant</t>
  </si>
  <si>
    <t>2025AMP2022Capital ExpenditureAsset replacement and renewalIntermediate pressure - Stationsconstant</t>
  </si>
  <si>
    <t>2025AMP2022Capital ExpenditureAsset replacement and renewalLow Pressure - Line valveconstant</t>
  </si>
  <si>
    <t>2025AMP2022Capital ExpenditureAsset replacement and renewalLow Pressure - Low Pressure totalconstant</t>
  </si>
  <si>
    <t>2025AMP2022Capital ExpenditureAsset replacement and renewalLow Pressure - Main pipeconstant</t>
  </si>
  <si>
    <t>2025AMP2022Capital ExpenditureAsset replacement and renewalLow Pressure - Service pipeconstant</t>
  </si>
  <si>
    <t>2025AMP2022Capital ExpenditureAsset replacement and renewalLow Pressure - Special crossingsconstant</t>
  </si>
  <si>
    <t>2025AMP2022Capital ExpenditureAsset replacement and renewalMedium pressure - Line valveconstant</t>
  </si>
  <si>
    <t>2025AMP2022Capital ExpenditureAsset replacement and renewalMedium pressure - Main pipeconstant</t>
  </si>
  <si>
    <t>2025AMP2022Capital ExpenditureAsset replacement and renewalMedium pressure - Medium Pressure totalconstant</t>
  </si>
  <si>
    <t>2025AMP2022Capital ExpenditureAsset replacement and renewalMedium pressure - Service pipeconstant</t>
  </si>
  <si>
    <t>2025AMP2022Capital ExpenditureAsset replacement and renewalMedium pressure - Special crossingsconstant</t>
  </si>
  <si>
    <t>2025AMP2022Capital ExpenditureAsset replacement and renewalMedium pressure - Stationconstant</t>
  </si>
  <si>
    <t>2025AMP2022Capital ExpenditureAsset replacement and renewalOther assets - Cathodic protection systemsconstant</t>
  </si>
  <si>
    <t>2025AMP2022Capital ExpenditureAsset replacement and renewalOther assets - Monitoring and control systemsconstant</t>
  </si>
  <si>
    <t>2025AMP2022Capital ExpenditureAsset replacement and renewalOther assets - Other assets (other than above)constant</t>
  </si>
  <si>
    <t>2025AMP2022Capital ExpenditureAsset replacement and renewalOther assets - Other totalconstant</t>
  </si>
  <si>
    <t>2025AMP2022Capital ExpenditureAsset replacement and renewalOther network assets - Cathodic protection systemsconstant</t>
  </si>
  <si>
    <t>2025AMP2022Capital ExpenditureAsset replacement and renewalOther network assets - Monitoring and control systemsconstant</t>
  </si>
  <si>
    <t>2025AMP2022Capital ExpenditureAsset replacement and renewalOther network assets - Other assets (other than above)constant</t>
  </si>
  <si>
    <t>2025AMP2022Capital ExpenditureAsset replacement and renewalOther network assets - Other network assets totalconstant</t>
  </si>
  <si>
    <t>2025AMP2022Operating ExpenditureAsset replacement and renewalAsset replacement and renewalconstant</t>
  </si>
  <si>
    <t>2025AMP2022Operating ExpenditureAsset replacement and renewalAsset replacement and renewalnominal</t>
  </si>
  <si>
    <t>2025AMP2022Operating ExpenditureBusiness supportBusiness supportconstant</t>
  </si>
  <si>
    <t>2025AMP2022Operating ExpenditureBusiness supportBusiness supportnominal</t>
  </si>
  <si>
    <t>2025AMP2022Operating ExpenditureExpenditure on subcomponentsInsuranceconstant</t>
  </si>
  <si>
    <t>2025AMP2022Operating ExpenditureExpenditure on subcomponentsResearch and developmentconstant</t>
  </si>
  <si>
    <t>2025AMP2022Operating ExpenditureNetwork opexNetwork opexconstant</t>
  </si>
  <si>
    <t>2025AMP2022Operating ExpenditureNetwork opexNetwork opexnominal</t>
  </si>
  <si>
    <t>2025AMP2022Operating ExpenditureNon-network opexNon-network opexconstant</t>
  </si>
  <si>
    <t>2025AMP2022Operating ExpenditureNon-network opexNon-network opexnominal</t>
  </si>
  <si>
    <t>2025AMP2022Operating ExpenditureResearch and developmentResearch and developmentconstant</t>
  </si>
  <si>
    <t>2025AMP2022Operating ExpenditureRoutine and corrective maintenance and inspectionRoutine and corrective maintenance and inspectionconstant</t>
  </si>
  <si>
    <t>2025AMP2022Operating ExpenditureRoutine and corrective maintenance and inspectionRoutine and corrective maintenance and inspectionnominal</t>
  </si>
  <si>
    <t>2025AMP2022Operating ExpenditureService interruptions, incidents and emergenciesService interruptions, incidents and emergenciesconstant</t>
  </si>
  <si>
    <t>2025AMP2022Operating ExpenditureService interruptions, incidents and emergenciesService interruptions, incidents and emergenciesnominal</t>
  </si>
  <si>
    <t>2025AMP2022Operating ExpenditureSystem operations and network supportSystem operations and network supportconstant</t>
  </si>
  <si>
    <t>2025AMP2022Operating ExpenditureSystem operations and network supportSystem operations and network supportnominal</t>
  </si>
  <si>
    <t>2025AMP2022Operating ExpenditureTotal opexOperational expenditureconstant</t>
  </si>
  <si>
    <t>2025AMP2022Operating ExpenditureTotal opexOperational expenditurenominal</t>
  </si>
  <si>
    <t>2026AMP2022Capital ExpenditureAll assetsExpenditure on assetsconstant</t>
  </si>
  <si>
    <t>2026AMP2022Capital ExpenditureAll assetsExpenditure on assetsnominal</t>
  </si>
  <si>
    <t>2026AMP2022Capital ExpenditureAsset relocationsAsset relocationsconstant</t>
  </si>
  <si>
    <t>2026AMP2022Capital ExpenditureAsset relocationsAsset relocationsnominal</t>
  </si>
  <si>
    <t>2026AMP2022Capital ExpenditureAsset replacement and renewalAsset replacement and renewalconstant</t>
  </si>
  <si>
    <t>2026AMP2022Capital ExpenditureAsset replacement and renewalAsset replacement and renewalnominal</t>
  </si>
  <si>
    <t>2026AMP2022Capital ExpenditureAssets commissionedAssets commissionednominal</t>
  </si>
  <si>
    <t>2026AMP2022Capital ExpenditureCapital expenditure forecastCapital expenditure forecastnominal</t>
  </si>
  <si>
    <t>2026AMP2022Capital ExpenditureConsumer connectionConsumer connectionconstant</t>
  </si>
  <si>
    <t>2026AMP2022Capital ExpenditureConsumer connectionConsumer connectionnominal</t>
  </si>
  <si>
    <t>2026AMP2022Capital ExpenditureCost of financingCost of financingnominal</t>
  </si>
  <si>
    <t>2026AMP2022Capital ExpenditureExpenditure on subcomponentsResearch and developmentconstant</t>
  </si>
  <si>
    <t>2026AMP2022Capital ExpenditureNetwork assetsExpenditure on network assetsconstant</t>
  </si>
  <si>
    <t>2026AMP2022Capital ExpenditureNetwork assetsExpenditure on network assetsnominal</t>
  </si>
  <si>
    <t>2026AMP2022Capital ExpenditureNon-network assetsNon-network assetsconstant</t>
  </si>
  <si>
    <t>2026AMP2022Capital ExpenditureNon-network assetsNon-network assetsnominal</t>
  </si>
  <si>
    <t>2026AMP2022Capital ExpenditureReliability, safety and environmentLegislative and regulatoryconstant</t>
  </si>
  <si>
    <t>2026AMP2022Capital ExpenditureReliability, safety and environmentLegislative and regulatorynominal</t>
  </si>
  <si>
    <t>2026AMP2022Capital ExpenditureReliability, safety and environmentOther reliability, safety and environmentconstant</t>
  </si>
  <si>
    <t>2026AMP2022Capital ExpenditureReliability, safety and environmentOther reliability, safety and environmentnominal</t>
  </si>
  <si>
    <t>2026AMP2022Capital ExpenditureReliability, safety and environmentQuality of supplyconstant</t>
  </si>
  <si>
    <t>2026AMP2022Capital ExpenditureReliability, safety and environmentQuality of supplynominal</t>
  </si>
  <si>
    <t>2026AMP2022Capital ExpenditureReliability, safety and environmentTotal reliability, safety and environmentconstant</t>
  </si>
  <si>
    <t>2026AMP2022Capital ExpenditureReliability, safety and environmentTotal reliability, safety and environmentnominal</t>
  </si>
  <si>
    <t>2026AMP2022Capital ExpenditureSystem growthSystem growthconstant</t>
  </si>
  <si>
    <t>2026AMP2022Capital ExpenditureSystem growthSystem growthnominal</t>
  </si>
  <si>
    <t>2026AMP2022Capital ExpenditureValue of capital contributionsValue of capital contributionsnominal</t>
  </si>
  <si>
    <t>2026AMP2022Capital ExpenditureValue of commissioned assetsValue of commissioned assetsnominal</t>
  </si>
  <si>
    <t>2026AMP2022Capital ExpenditureValue of vested assetsValue of vested assetsnominal</t>
  </si>
  <si>
    <t>2026AMP2022Capital ExpenditureAsset replacement and renewalAsset replacement and renewal expenditure - Asset replacement and renewal expenditureconstant</t>
  </si>
  <si>
    <t>2026AMP2022Capital ExpenditureAsset replacement and renewalAsset replacement and renewal expenditure - Capital contributions funding asset replacement and renewalconstant</t>
  </si>
  <si>
    <t>2026AMP2022Capital ExpenditureAsset replacement and renewalAsset replacement and renewal less capital contributions - Asset replacement and renewal less capital contributionsconstant</t>
  </si>
  <si>
    <t>2026AMP2022Capital ExpenditureAsset replacement and renewalIntermediate pressure - Intermediate Pressure totalconstant</t>
  </si>
  <si>
    <t>2026AMP2022Capital ExpenditureAsset replacement and renewalIntermediate pressure - Line valveconstant</t>
  </si>
  <si>
    <t>2026AMP2022Capital ExpenditureAsset replacement and renewalIntermediate pressure - Main pipeconstant</t>
  </si>
  <si>
    <t>2026AMP2022Capital ExpenditureAsset replacement and renewalIntermediate pressure - Service pipeconstant</t>
  </si>
  <si>
    <t>2026AMP2022Capital ExpenditureAsset replacement and renewalIntermediate pressure - Special crossingsconstant</t>
  </si>
  <si>
    <t>2026AMP2022Capital ExpenditureAsset replacement and renewalIntermediate pressure - Stationsconstant</t>
  </si>
  <si>
    <t>2026AMP2022Capital ExpenditureAsset replacement and renewalLow Pressure - Line valveconstant</t>
  </si>
  <si>
    <t>2026AMP2022Capital ExpenditureAsset replacement and renewalLow Pressure - Low Pressure totalconstant</t>
  </si>
  <si>
    <t>2026AMP2022Capital ExpenditureAsset replacement and renewalLow Pressure - Main pipeconstant</t>
  </si>
  <si>
    <t>2026AMP2022Capital ExpenditureAsset replacement and renewalLow Pressure - Service pipeconstant</t>
  </si>
  <si>
    <t>2026AMP2022Capital ExpenditureAsset replacement and renewalLow Pressure - Special crossingsconstant</t>
  </si>
  <si>
    <t>2026AMP2022Capital ExpenditureAsset replacement and renewalMedium pressure - Line valveconstant</t>
  </si>
  <si>
    <t>2026AMP2022Capital ExpenditureAsset replacement and renewalMedium pressure - Main pipeconstant</t>
  </si>
  <si>
    <t>2026AMP2022Capital ExpenditureAsset replacement and renewalMedium pressure - Medium Pressure totalconstant</t>
  </si>
  <si>
    <t>2026AMP2022Capital ExpenditureAsset replacement and renewalMedium pressure - Service pipeconstant</t>
  </si>
  <si>
    <t>2026AMP2022Capital ExpenditureAsset replacement and renewalMedium pressure - Special crossingsconstant</t>
  </si>
  <si>
    <t>2026AMP2022Capital ExpenditureAsset replacement and renewalMedium pressure - Stationconstant</t>
  </si>
  <si>
    <t>2026AMP2022Capital ExpenditureAsset replacement and renewalOther assets - Cathodic protection systemsconstant</t>
  </si>
  <si>
    <t>2026AMP2022Capital ExpenditureAsset replacement and renewalOther assets - Monitoring and control systemsconstant</t>
  </si>
  <si>
    <t>2026AMP2022Capital ExpenditureAsset replacement and renewalOther assets - Other assets (other than above)constant</t>
  </si>
  <si>
    <t>2026AMP2022Capital ExpenditureAsset replacement and renewalOther assets - Other totalconstant</t>
  </si>
  <si>
    <t>2026AMP2022Capital ExpenditureAsset replacement and renewalOther network assets - Cathodic protection systemsconstant</t>
  </si>
  <si>
    <t>2026AMP2022Capital ExpenditureAsset replacement and renewalOther network assets - Monitoring and control systemsconstant</t>
  </si>
  <si>
    <t>2026AMP2022Capital ExpenditureAsset replacement and renewalOther network assets - Other assets (other than above)constant</t>
  </si>
  <si>
    <t>2026AMP2022Capital ExpenditureAsset replacement and renewalOther network assets - Other network assets totalconstant</t>
  </si>
  <si>
    <t>2026AMP2022Operating ExpenditureAsset replacement and renewalAsset replacement and renewalconstant</t>
  </si>
  <si>
    <t>2026AMP2022Operating ExpenditureAsset replacement and renewalAsset replacement and renewalnominal</t>
  </si>
  <si>
    <t>2026AMP2022Operating ExpenditureBusiness supportBusiness supportconstant</t>
  </si>
  <si>
    <t>2026AMP2022Operating ExpenditureBusiness supportBusiness supportnominal</t>
  </si>
  <si>
    <t>2026AMP2022Operating ExpenditureExpenditure on subcomponentsInsuranceconstant</t>
  </si>
  <si>
    <t>2026AMP2022Operating ExpenditureExpenditure on subcomponentsResearch and developmentconstant</t>
  </si>
  <si>
    <t>2026AMP2022Operating ExpenditureNetwork opexNetwork opexconstant</t>
  </si>
  <si>
    <t>2026AMP2022Operating ExpenditureNetwork opexNetwork opexnominal</t>
  </si>
  <si>
    <t>2026AMP2022Operating ExpenditureNon-network opexNon-network opexconstant</t>
  </si>
  <si>
    <t>2026AMP2022Operating ExpenditureNon-network opexNon-network opexnominal</t>
  </si>
  <si>
    <t>2026AMP2022Operating ExpenditureResearch and developmentResearch and developmentconstant</t>
  </si>
  <si>
    <t>2026AMP2022Operating ExpenditureRoutine and corrective maintenance and inspectionRoutine and corrective maintenance and inspectionconstant</t>
  </si>
  <si>
    <t>2026AMP2022Operating ExpenditureRoutine and corrective maintenance and inspectionRoutine and corrective maintenance and inspectionnominal</t>
  </si>
  <si>
    <t>2026AMP2022Operating ExpenditureService interruptions, incidents and emergenciesService interruptions, incidents and emergenciesconstant</t>
  </si>
  <si>
    <t>2026AMP2022Operating ExpenditureService interruptions, incidents and emergenciesService interruptions, incidents and emergenciesnominal</t>
  </si>
  <si>
    <t>2026AMP2022Operating ExpenditureSystem operations and network supportSystem operations and network supportconstant</t>
  </si>
  <si>
    <t>2026AMP2022Operating ExpenditureSystem operations and network supportSystem operations and network supportnominal</t>
  </si>
  <si>
    <t>2026AMP2022Operating ExpenditureTotal opexOperational expenditureconstant</t>
  </si>
  <si>
    <t>2026AMP2022Operating ExpenditureTotal opexOperational expenditurenominal</t>
  </si>
  <si>
    <t>2027AMP2022Capital ExpenditureAll assetsExpenditure on assetsconstant</t>
  </si>
  <si>
    <t>2027AMP2022Capital ExpenditureAll assetsExpenditure on assetsnominal</t>
  </si>
  <si>
    <t>2027AMP2022Capital ExpenditureAsset relocationsAsset relocationsconstant</t>
  </si>
  <si>
    <t>2027AMP2022Capital ExpenditureAsset relocationsAsset relocationsnominal</t>
  </si>
  <si>
    <t>2027AMP2022Capital ExpenditureAsset replacement and renewalAsset replacement and renewalconstant</t>
  </si>
  <si>
    <t>2027AMP2022Capital ExpenditureAsset replacement and renewalAsset replacement and renewalnominal</t>
  </si>
  <si>
    <t>2027AMP2022Capital ExpenditureAssets commissionedAssets commissionednominal</t>
  </si>
  <si>
    <t>2027AMP2022Capital ExpenditureCapital expenditure forecastCapital expenditure forecastnominal</t>
  </si>
  <si>
    <t>2027AMP2022Capital ExpenditureConsumer connectionConsumer connectionconstant</t>
  </si>
  <si>
    <t>2027AMP2022Capital ExpenditureConsumer connectionConsumer connectionnominal</t>
  </si>
  <si>
    <t>2027AMP2022Capital ExpenditureCost of financingCost of financingnominal</t>
  </si>
  <si>
    <t>2027AMP2022Capital ExpenditureExpenditure on subcomponentsResearch and developmentconstant</t>
  </si>
  <si>
    <t>2027AMP2022Capital ExpenditureNetwork assetsExpenditure on network assetsconstant</t>
  </si>
  <si>
    <t>2027AMP2022Capital ExpenditureNetwork assetsExpenditure on network assetsnominal</t>
  </si>
  <si>
    <t>2027AMP2022Capital ExpenditureNon-network assetsNon-network assetsconstant</t>
  </si>
  <si>
    <t>2027AMP2022Capital ExpenditureNon-network assetsNon-network assetsnominal</t>
  </si>
  <si>
    <t>2027AMP2022Capital ExpenditureReliability, safety and environmentLegislative and regulatoryconstant</t>
  </si>
  <si>
    <t>2027AMP2022Capital ExpenditureReliability, safety and environmentLegislative and regulatorynominal</t>
  </si>
  <si>
    <t>2027AMP2022Capital ExpenditureReliability, safety and environmentOther reliability, safety and environmentconstant</t>
  </si>
  <si>
    <t>2027AMP2022Capital ExpenditureReliability, safety and environmentOther reliability, safety and environmentnominal</t>
  </si>
  <si>
    <t>2027AMP2022Capital ExpenditureReliability, safety and environmentQuality of supplyconstant</t>
  </si>
  <si>
    <t>2027AMP2022Capital ExpenditureReliability, safety and environmentQuality of supplynominal</t>
  </si>
  <si>
    <t>2027AMP2022Capital ExpenditureReliability, safety and environmentTotal reliability, safety and environmentconstant</t>
  </si>
  <si>
    <t>2027AMP2022Capital ExpenditureReliability, safety and environmentTotal reliability, safety and environmentnominal</t>
  </si>
  <si>
    <t>2027AMP2022Capital ExpenditureSystem growthSystem growthconstant</t>
  </si>
  <si>
    <t>2027AMP2022Capital ExpenditureSystem growthSystem growthnominal</t>
  </si>
  <si>
    <t>2027AMP2022Capital ExpenditureValue of capital contributionsValue of capital contributionsnominal</t>
  </si>
  <si>
    <t>2027AMP2022Capital ExpenditureValue of commissioned assetsValue of commissioned assetsnominal</t>
  </si>
  <si>
    <t>2027AMP2022Capital ExpenditureValue of vested assetsValue of vested assetsnominal</t>
  </si>
  <si>
    <t>2027AMP2022Capital ExpenditureAsset replacement and renewalAsset replacement and renewal expenditure - Asset replacement and renewal expenditureconstant</t>
  </si>
  <si>
    <t>2027AMP2022Capital ExpenditureAsset replacement and renewalAsset replacement and renewal expenditure - Capital contributions funding asset replacement and renewalconstant</t>
  </si>
  <si>
    <t>2027AMP2022Capital ExpenditureAsset replacement and renewalAsset replacement and renewal less capital contributions - Asset replacement and renewal less capital contributionsconstant</t>
  </si>
  <si>
    <t>2027AMP2022Capital ExpenditureAsset replacement and renewalIntermediate pressure - Intermediate Pressure totalconstant</t>
  </si>
  <si>
    <t>2027AMP2022Capital ExpenditureAsset replacement and renewalIntermediate pressure - Line valveconstant</t>
  </si>
  <si>
    <t>2027AMP2022Capital ExpenditureAsset replacement and renewalIntermediate pressure - Main pipeconstant</t>
  </si>
  <si>
    <t>2027AMP2022Capital ExpenditureAsset replacement and renewalIntermediate pressure - Service pipeconstant</t>
  </si>
  <si>
    <t>2027AMP2022Capital ExpenditureAsset replacement and renewalIntermediate pressure - Special crossingsconstant</t>
  </si>
  <si>
    <t>2027AMP2022Capital ExpenditureAsset replacement and renewalIntermediate pressure - Stationsconstant</t>
  </si>
  <si>
    <t>2027AMP2022Capital ExpenditureAsset replacement and renewalLow Pressure - Line valveconstant</t>
  </si>
  <si>
    <t>2027AMP2022Capital ExpenditureAsset replacement and renewalLow Pressure - Low Pressure totalconstant</t>
  </si>
  <si>
    <t>2027AMP2022Capital ExpenditureAsset replacement and renewalLow Pressure - Main pipeconstant</t>
  </si>
  <si>
    <t>2027AMP2022Capital ExpenditureAsset replacement and renewalLow Pressure - Service pipeconstant</t>
  </si>
  <si>
    <t>2027AMP2022Capital ExpenditureAsset replacement and renewalLow Pressure - Special crossingsconstant</t>
  </si>
  <si>
    <t>2027AMP2022Capital ExpenditureAsset replacement and renewalMedium pressure - Line valveconstant</t>
  </si>
  <si>
    <t>2027AMP2022Capital ExpenditureAsset replacement and renewalMedium pressure - Main pipeconstant</t>
  </si>
  <si>
    <t>2027AMP2022Capital ExpenditureAsset replacement and renewalMedium pressure - Medium Pressure totalconstant</t>
  </si>
  <si>
    <t>2027AMP2022Capital ExpenditureAsset replacement and renewalMedium pressure - Service pipeconstant</t>
  </si>
  <si>
    <t>2027AMP2022Capital ExpenditureAsset replacement and renewalMedium pressure - Special crossingsconstant</t>
  </si>
  <si>
    <t>2027AMP2022Capital ExpenditureAsset replacement and renewalMedium pressure - Stationconstant</t>
  </si>
  <si>
    <t>2027AMP2022Capital ExpenditureAsset replacement and renewalOther assets - Cathodic protection systemsconstant</t>
  </si>
  <si>
    <t>2027AMP2022Capital ExpenditureAsset replacement and renewalOther assets - Monitoring and control systemsconstant</t>
  </si>
  <si>
    <t>2027AMP2022Capital ExpenditureAsset replacement and renewalOther assets - Other assets (other than above)constant</t>
  </si>
  <si>
    <t>2027AMP2022Capital ExpenditureAsset replacement and renewalOther assets - Other totalconstant</t>
  </si>
  <si>
    <t>2027AMP2022Capital ExpenditureAsset replacement and renewalOther network assets - Cathodic protection systemsconstant</t>
  </si>
  <si>
    <t>2027AMP2022Capital ExpenditureAsset replacement and renewalOther network assets - Monitoring and control systemsconstant</t>
  </si>
  <si>
    <t>2027AMP2022Capital ExpenditureAsset replacement and renewalOther network assets - Other assets (other than above)constant</t>
  </si>
  <si>
    <t>2027AMP2022Capital ExpenditureAsset replacement and renewalOther network assets - Other network assets totalconstant</t>
  </si>
  <si>
    <t>2027AMP2022Operating ExpenditureAsset replacement and renewalAsset replacement and renewalconstant</t>
  </si>
  <si>
    <t>2027AMP2022Operating ExpenditureAsset replacement and renewalAsset replacement and renewalnominal</t>
  </si>
  <si>
    <t>2027AMP2022Operating ExpenditureBusiness supportBusiness supportconstant</t>
  </si>
  <si>
    <t>2027AMP2022Operating ExpenditureBusiness supportBusiness supportnominal</t>
  </si>
  <si>
    <t>2027AMP2022Operating ExpenditureExpenditure on subcomponentsInsuranceconstant</t>
  </si>
  <si>
    <t>2027AMP2022Operating ExpenditureExpenditure on subcomponentsResearch and developmentconstant</t>
  </si>
  <si>
    <t>2027AMP2022Operating ExpenditureNetwork opexNetwork opexconstant</t>
  </si>
  <si>
    <t>2027AMP2022Operating ExpenditureNetwork opexNetwork opexnominal</t>
  </si>
  <si>
    <t>2027AMP2022Operating ExpenditureNon-network opexNon-network opexconstant</t>
  </si>
  <si>
    <t>2027AMP2022Operating ExpenditureNon-network opexNon-network opexnominal</t>
  </si>
  <si>
    <t>2027AMP2022Operating ExpenditureResearch and developmentResearch and developmentconstant</t>
  </si>
  <si>
    <t>2027AMP2022Operating ExpenditureRoutine and corrective maintenance and inspectionRoutine and corrective maintenance and inspectionconstant</t>
  </si>
  <si>
    <t>2027AMP2022Operating ExpenditureRoutine and corrective maintenance and inspectionRoutine and corrective maintenance and inspectionnominal</t>
  </si>
  <si>
    <t>2027AMP2022Operating ExpenditureService interruptions, incidents and emergenciesService interruptions, incidents and emergenciesconstant</t>
  </si>
  <si>
    <t>2027AMP2022Operating ExpenditureService interruptions, incidents and emergenciesService interruptions, incidents and emergenciesnominal</t>
  </si>
  <si>
    <t>2027AMP2022Operating ExpenditureSystem operations and network supportSystem operations and network supportconstant</t>
  </si>
  <si>
    <t>2027AMP2022Operating ExpenditureSystem operations and network supportSystem operations and network supportnominal</t>
  </si>
  <si>
    <t>2027AMP2022Operating ExpenditureTotal opexOperational expenditureconstant</t>
  </si>
  <si>
    <t>2027AMP2022Operating ExpenditureTotal opexOperational expenditurenominal</t>
  </si>
  <si>
    <t>2028AMP2022Capital ExpenditureAll assetsExpenditure on assetsconstant</t>
  </si>
  <si>
    <t>2028AMP2022Capital ExpenditureAll assetsExpenditure on assetsnominal</t>
  </si>
  <si>
    <t>2028AMP2022Capital ExpenditureAsset relocationsAsset relocationsconstant</t>
  </si>
  <si>
    <t>2028AMP2022Capital ExpenditureAsset relocationsAsset relocationsnominal</t>
  </si>
  <si>
    <t>2028AMP2022Capital ExpenditureAsset replacement and renewalAsset replacement and renewalconstant</t>
  </si>
  <si>
    <t>2028AMP2022Capital ExpenditureAsset replacement and renewalAsset replacement and renewalnominal</t>
  </si>
  <si>
    <t>2028AMP2022Capital ExpenditureAssets commissionedAssets commissionednominal</t>
  </si>
  <si>
    <t>2028AMP2022Capital ExpenditureCapital expenditure forecastCapital expenditure forecastnominal</t>
  </si>
  <si>
    <t>2028AMP2022Capital ExpenditureConsumer connectionConsumer connectionconstant</t>
  </si>
  <si>
    <t>2028AMP2022Capital ExpenditureConsumer connectionConsumer connectionnominal</t>
  </si>
  <si>
    <t>2028AMP2022Capital ExpenditureCost of financingCost of financingnominal</t>
  </si>
  <si>
    <t>2028AMP2022Capital ExpenditureExpenditure on subcomponentsResearch and developmentconstant</t>
  </si>
  <si>
    <t>2028AMP2022Capital ExpenditureNetwork assetsExpenditure on network assetsconstant</t>
  </si>
  <si>
    <t>2028AMP2022Capital ExpenditureNetwork assetsExpenditure on network assetsnominal</t>
  </si>
  <si>
    <t>2028AMP2022Capital ExpenditureNon-network assetsNon-network assetsconstant</t>
  </si>
  <si>
    <t>2028AMP2022Capital ExpenditureNon-network assetsNon-network assetsnominal</t>
  </si>
  <si>
    <t>2028AMP2022Capital ExpenditureReliability, safety and environmentLegislative and regulatoryconstant</t>
  </si>
  <si>
    <t>2028AMP2022Capital ExpenditureReliability, safety and environmentLegislative and regulatorynominal</t>
  </si>
  <si>
    <t>2028AMP2022Capital ExpenditureReliability, safety and environmentOther reliability, safety and environmentconstant</t>
  </si>
  <si>
    <t>2028AMP2022Capital ExpenditureReliability, safety and environmentOther reliability, safety and environmentnominal</t>
  </si>
  <si>
    <t>2028AMP2022Capital ExpenditureReliability, safety and environmentQuality of supplyconstant</t>
  </si>
  <si>
    <t>2028AMP2022Capital ExpenditureReliability, safety and environmentQuality of supplynominal</t>
  </si>
  <si>
    <t>2028AMP2022Capital ExpenditureReliability, safety and environmentTotal reliability, safety and environmentconstant</t>
  </si>
  <si>
    <t>2028AMP2022Capital ExpenditureReliability, safety and environmentTotal reliability, safety and environmentnominal</t>
  </si>
  <si>
    <t>2028AMP2022Capital ExpenditureSystem growthSystem growthconstant</t>
  </si>
  <si>
    <t>2028AMP2022Capital ExpenditureSystem growthSystem growthnominal</t>
  </si>
  <si>
    <t>2028AMP2022Capital ExpenditureValue of capital contributionsValue of capital contributionsnominal</t>
  </si>
  <si>
    <t>2028AMP2022Capital ExpenditureValue of commissioned assetsValue of commissioned assetsnominal</t>
  </si>
  <si>
    <t>2028AMP2022Capital ExpenditureValue of vested assetsValue of vested assetsnominal</t>
  </si>
  <si>
    <t>2028AMP2022Operating ExpenditureAsset replacement and renewalAsset replacement and renewalconstant</t>
  </si>
  <si>
    <t>2028AMP2022Operating ExpenditureAsset replacement and renewalAsset replacement and renewalnominal</t>
  </si>
  <si>
    <t>2028AMP2022Operating ExpenditureBusiness supportBusiness supportconstant</t>
  </si>
  <si>
    <t>2028AMP2022Operating ExpenditureBusiness supportBusiness supportnominal</t>
  </si>
  <si>
    <t>2028AMP2022Operating ExpenditureExpenditure on subcomponentsInsuranceconstant</t>
  </si>
  <si>
    <t>2028AMP2022Operating ExpenditureExpenditure on subcomponentsResearch and developmentconstant</t>
  </si>
  <si>
    <t>2028AMP2022Operating ExpenditureNetwork opexNetwork opexconstant</t>
  </si>
  <si>
    <t>2028AMP2022Operating ExpenditureNetwork opexNetwork opexnominal</t>
  </si>
  <si>
    <t>2028AMP2022Operating ExpenditureNon-network opexNon-network opexconstant</t>
  </si>
  <si>
    <t>2028AMP2022Operating ExpenditureNon-network opexNon-network opexnominal</t>
  </si>
  <si>
    <t>2028AMP2022Operating ExpenditureResearch and developmentResearch and developmentconstant</t>
  </si>
  <si>
    <t>2028AMP2022Operating ExpenditureRoutine and corrective maintenance and inspectionRoutine and corrective maintenance and inspectionconstant</t>
  </si>
  <si>
    <t>2028AMP2022Operating ExpenditureRoutine and corrective maintenance and inspectionRoutine and corrective maintenance and inspectionnominal</t>
  </si>
  <si>
    <t>2028AMP2022Operating ExpenditureService interruptions, incidents and emergenciesService interruptions, incidents and emergenciesconstant</t>
  </si>
  <si>
    <t>2028AMP2022Operating ExpenditureService interruptions, incidents and emergenciesService interruptions, incidents and emergenciesnominal</t>
  </si>
  <si>
    <t>2028AMP2022Operating ExpenditureSystem operations and network supportSystem operations and network supportconstant</t>
  </si>
  <si>
    <t>2028AMP2022Operating ExpenditureSystem operations and network supportSystem operations and network supportnominal</t>
  </si>
  <si>
    <t>2028AMP2022Operating ExpenditureTotal opexOperational expenditureconstant</t>
  </si>
  <si>
    <t>2028AMP2022Operating ExpenditureTotal opexOperational expenditurenominal</t>
  </si>
  <si>
    <t>2029AMP2022Capital ExpenditureAll assetsExpenditure on assetsconstant</t>
  </si>
  <si>
    <t>2029AMP2022Capital ExpenditureAll assetsExpenditure on assetsnominal</t>
  </si>
  <si>
    <t>2029AMP2022Capital ExpenditureAsset relocationsAsset relocationsconstant</t>
  </si>
  <si>
    <t>2029AMP2022Capital ExpenditureAsset relocationsAsset relocationsnominal</t>
  </si>
  <si>
    <t>2029AMP2022Capital ExpenditureAsset replacement and renewalAsset replacement and renewalconstant</t>
  </si>
  <si>
    <t>2029AMP2022Capital ExpenditureAsset replacement and renewalAsset replacement and renewalnominal</t>
  </si>
  <si>
    <t>2029AMP2022Capital ExpenditureAssets commissionedAssets commissionednominal</t>
  </si>
  <si>
    <t>2029AMP2022Capital ExpenditureCapital expenditure forecastCapital expenditure forecastnominal</t>
  </si>
  <si>
    <t>2029AMP2022Capital ExpenditureConsumer connectionConsumer connectionconstant</t>
  </si>
  <si>
    <t>2029AMP2022Capital ExpenditureConsumer connectionConsumer connectionnominal</t>
  </si>
  <si>
    <t>2029AMP2022Capital ExpenditureCost of financingCost of financingnominal</t>
  </si>
  <si>
    <t>2029AMP2022Capital ExpenditureExpenditure on subcomponentsResearch and developmentconstant</t>
  </si>
  <si>
    <t>2029AMP2022Capital ExpenditureNetwork assetsExpenditure on network assetsconstant</t>
  </si>
  <si>
    <t>2029AMP2022Capital ExpenditureNetwork assetsExpenditure on network assetsnominal</t>
  </si>
  <si>
    <t>2029AMP2022Capital ExpenditureNon-network assetsNon-network assetsconstant</t>
  </si>
  <si>
    <t>2029AMP2022Capital ExpenditureNon-network assetsNon-network assetsnominal</t>
  </si>
  <si>
    <t>2029AMP2022Capital ExpenditureReliability, safety and environmentLegislative and regulatoryconstant</t>
  </si>
  <si>
    <t>2029AMP2022Capital ExpenditureReliability, safety and environmentLegislative and regulatorynominal</t>
  </si>
  <si>
    <t>2029AMP2022Capital ExpenditureReliability, safety and environmentOther reliability, safety and environmentconstant</t>
  </si>
  <si>
    <t>2029AMP2022Capital ExpenditureReliability, safety and environmentOther reliability, safety and environmentnominal</t>
  </si>
  <si>
    <t>2029AMP2022Capital ExpenditureReliability, safety and environmentQuality of supplyconstant</t>
  </si>
  <si>
    <t>2029AMP2022Capital ExpenditureReliability, safety and environmentQuality of supplynominal</t>
  </si>
  <si>
    <t>2029AMP2022Capital ExpenditureReliability, safety and environmentTotal reliability, safety and environmentconstant</t>
  </si>
  <si>
    <t>2029AMP2022Capital ExpenditureReliability, safety and environmentTotal reliability, safety and environmentnominal</t>
  </si>
  <si>
    <t>2029AMP2022Capital ExpenditureSystem growthSystem growthconstant</t>
  </si>
  <si>
    <t>2029AMP2022Capital ExpenditureSystem growthSystem growthnominal</t>
  </si>
  <si>
    <t>2029AMP2022Capital ExpenditureValue of capital contributionsValue of capital contributionsnominal</t>
  </si>
  <si>
    <t>2029AMP2022Capital ExpenditureValue of commissioned assetsValue of commissioned assetsnominal</t>
  </si>
  <si>
    <t>2029AMP2022Capital ExpenditureValue of vested assetsValue of vested assetsnominal</t>
  </si>
  <si>
    <t>2029AMP2022Operating ExpenditureAsset replacement and renewalAsset replacement and renewalconstant</t>
  </si>
  <si>
    <t>2029AMP2022Operating ExpenditureAsset replacement and renewalAsset replacement and renewalnominal</t>
  </si>
  <si>
    <t>2029AMP2022Operating ExpenditureBusiness supportBusiness supportconstant</t>
  </si>
  <si>
    <t>2029AMP2022Operating ExpenditureBusiness supportBusiness supportnominal</t>
  </si>
  <si>
    <t>2029AMP2022Operating ExpenditureExpenditure on subcomponentsInsuranceconstant</t>
  </si>
  <si>
    <t>2029AMP2022Operating ExpenditureExpenditure on subcomponentsResearch and developmentconstant</t>
  </si>
  <si>
    <t>2029AMP2022Operating ExpenditureNetwork opexNetwork opexconstant</t>
  </si>
  <si>
    <t>2029AMP2022Operating ExpenditureNetwork opexNetwork opexnominal</t>
  </si>
  <si>
    <t>2029AMP2022Operating ExpenditureNon-network opexNon-network opexconstant</t>
  </si>
  <si>
    <t>2029AMP2022Operating ExpenditureNon-network opexNon-network opexnominal</t>
  </si>
  <si>
    <t>2029AMP2022Operating ExpenditureResearch and developmentResearch and developmentconstant</t>
  </si>
  <si>
    <t>2029AMP2022Operating ExpenditureRoutine and corrective maintenance and inspectionRoutine and corrective maintenance and inspectionconstant</t>
  </si>
  <si>
    <t>2029AMP2022Operating ExpenditureRoutine and corrective maintenance and inspectionRoutine and corrective maintenance and inspectionnominal</t>
  </si>
  <si>
    <t>2029AMP2022Operating ExpenditureService interruptions, incidents and emergenciesService interruptions, incidents and emergenciesconstant</t>
  </si>
  <si>
    <t>2029AMP2022Operating ExpenditureService interruptions, incidents and emergenciesService interruptions, incidents and emergenciesnominal</t>
  </si>
  <si>
    <t>2029AMP2022Operating ExpenditureSystem operations and network supportSystem operations and network supportconstant</t>
  </si>
  <si>
    <t>2029AMP2022Operating ExpenditureSystem operations and network supportSystem operations and network supportnominal</t>
  </si>
  <si>
    <t>2029AMP2022Operating ExpenditureTotal opexOperational expenditureconstant</t>
  </si>
  <si>
    <t>2029AMP2022Operating ExpenditureTotal opexOperational expenditurenominal</t>
  </si>
  <si>
    <t>2030AMP2022Capital ExpenditureAll assetsExpenditure on assetsconstant</t>
  </si>
  <si>
    <t>2030AMP2022Capital ExpenditureAll assetsExpenditure on assetsnominal</t>
  </si>
  <si>
    <t>2030AMP2022Capital ExpenditureAsset relocationsAsset relocationsconstant</t>
  </si>
  <si>
    <t>2030AMP2022Capital ExpenditureAsset relocationsAsset relocationsnominal</t>
  </si>
  <si>
    <t>2030AMP2022Capital ExpenditureAsset replacement and renewalAsset replacement and renewalconstant</t>
  </si>
  <si>
    <t>2030AMP2022Capital ExpenditureAsset replacement and renewalAsset replacement and renewalnominal</t>
  </si>
  <si>
    <t>2030AMP2022Capital ExpenditureAssets commissionedAssets commissionednominal</t>
  </si>
  <si>
    <t>2030AMP2022Capital ExpenditureCapital expenditure forecastCapital expenditure forecastnominal</t>
  </si>
  <si>
    <t>2030AMP2022Capital ExpenditureConsumer connectionConsumer connectionconstant</t>
  </si>
  <si>
    <t>2030AMP2022Capital ExpenditureConsumer connectionConsumer connectionnominal</t>
  </si>
  <si>
    <t>2030AMP2022Capital ExpenditureCost of financingCost of financingnominal</t>
  </si>
  <si>
    <t>2030AMP2022Capital ExpenditureExpenditure on subcomponentsResearch and developmentconstant</t>
  </si>
  <si>
    <t>2030AMP2022Capital ExpenditureNetwork assetsExpenditure on network assetsconstant</t>
  </si>
  <si>
    <t>2030AMP2022Capital ExpenditureNetwork assetsExpenditure on network assetsnominal</t>
  </si>
  <si>
    <t>2030AMP2022Capital ExpenditureNon-network assetsNon-network assetsconstant</t>
  </si>
  <si>
    <t>2030AMP2022Capital ExpenditureNon-network assetsNon-network assetsnominal</t>
  </si>
  <si>
    <t>2030AMP2022Capital ExpenditureReliability, safety and environmentLegislative and regulatoryconstant</t>
  </si>
  <si>
    <t>2030AMP2022Capital ExpenditureReliability, safety and environmentLegislative and regulatorynominal</t>
  </si>
  <si>
    <t>2030AMP2022Capital ExpenditureReliability, safety and environmentOther reliability, safety and environmentconstant</t>
  </si>
  <si>
    <t>2030AMP2022Capital ExpenditureReliability, safety and environmentOther reliability, safety and environmentnominal</t>
  </si>
  <si>
    <t>2030AMP2022Capital ExpenditureReliability, safety and environmentQuality of supplyconstant</t>
  </si>
  <si>
    <t>2030AMP2022Capital ExpenditureReliability, safety and environmentQuality of supplynominal</t>
  </si>
  <si>
    <t>2030AMP2022Capital ExpenditureReliability, safety and environmentTotal reliability, safety and environmentconstant</t>
  </si>
  <si>
    <t>2030AMP2022Capital ExpenditureReliability, safety and environmentTotal reliability, safety and environmentnominal</t>
  </si>
  <si>
    <t>2030AMP2022Capital ExpenditureSystem growthSystem growthconstant</t>
  </si>
  <si>
    <t>2030AMP2022Capital ExpenditureSystem growthSystem growthnominal</t>
  </si>
  <si>
    <t>2030AMP2022Capital ExpenditureValue of capital contributionsValue of capital contributionsnominal</t>
  </si>
  <si>
    <t>2030AMP2022Capital ExpenditureValue of commissioned assetsValue of commissioned assetsnominal</t>
  </si>
  <si>
    <t>2030AMP2022Capital ExpenditureValue of vested assetsValue of vested assetsnominal</t>
  </si>
  <si>
    <t>2030AMP2022Operating ExpenditureAsset replacement and renewalAsset replacement and renewalconstant</t>
  </si>
  <si>
    <t>2030AMP2022Operating ExpenditureAsset replacement and renewalAsset replacement and renewalnominal</t>
  </si>
  <si>
    <t>2030AMP2022Operating ExpenditureBusiness supportBusiness supportconstant</t>
  </si>
  <si>
    <t>2030AMP2022Operating ExpenditureBusiness supportBusiness supportnominal</t>
  </si>
  <si>
    <t>2030AMP2022Operating ExpenditureExpenditure on subcomponentsInsuranceconstant</t>
  </si>
  <si>
    <t>2030AMP2022Operating ExpenditureExpenditure on subcomponentsResearch and developmentconstant</t>
  </si>
  <si>
    <t>2030AMP2022Operating ExpenditureNetwork opexNetwork opexconstant</t>
  </si>
  <si>
    <t>2030AMP2022Operating ExpenditureNetwork opexNetwork opexnominal</t>
  </si>
  <si>
    <t>2030AMP2022Operating ExpenditureNon-network opexNon-network opexconstant</t>
  </si>
  <si>
    <t>2030AMP2022Operating ExpenditureNon-network opexNon-network opexnominal</t>
  </si>
  <si>
    <t>2030AMP2022Operating ExpenditureResearch and developmentResearch and developmentconstant</t>
  </si>
  <si>
    <t>2030AMP2022Operating ExpenditureRoutine and corrective maintenance and inspectionRoutine and corrective maintenance and inspectionconstant</t>
  </si>
  <si>
    <t>2030AMP2022Operating ExpenditureRoutine and corrective maintenance and inspectionRoutine and corrective maintenance and inspectionnominal</t>
  </si>
  <si>
    <t>2030AMP2022Operating ExpenditureService interruptions, incidents and emergenciesService interruptions, incidents and emergenciesconstant</t>
  </si>
  <si>
    <t>2030AMP2022Operating ExpenditureService interruptions, incidents and emergenciesService interruptions, incidents and emergenciesnominal</t>
  </si>
  <si>
    <t>2030AMP2022Operating ExpenditureSystem operations and network supportSystem operations and network supportconstant</t>
  </si>
  <si>
    <t>2030AMP2022Operating ExpenditureSystem operations and network supportSystem operations and network supportnominal</t>
  </si>
  <si>
    <t>2030AMP2022Operating ExpenditureTotal opexOperational expenditureconstant</t>
  </si>
  <si>
    <t>2030AMP2022Operating ExpenditureTotal opexOperational expenditurenominal</t>
  </si>
  <si>
    <t>2031AMP2022Capital ExpenditureAll assetsExpenditure on assetsconstant</t>
  </si>
  <si>
    <t>2031AMP2022Capital ExpenditureAll assetsExpenditure on assetsnominal</t>
  </si>
  <si>
    <t>2031AMP2022Capital ExpenditureAsset relocationsAsset relocationsconstant</t>
  </si>
  <si>
    <t>2031AMP2022Capital ExpenditureAsset relocationsAsset relocationsnominal</t>
  </si>
  <si>
    <t>2031AMP2022Capital ExpenditureAsset replacement and renewalAsset replacement and renewalconstant</t>
  </si>
  <si>
    <t>2031AMP2022Capital ExpenditureAsset replacement and renewalAsset replacement and renewalnominal</t>
  </si>
  <si>
    <t>2031AMP2022Capital ExpenditureAssets commissionedAssets commissionednominal</t>
  </si>
  <si>
    <t>2031AMP2022Capital ExpenditureCapital expenditure forecastCapital expenditure forecastnominal</t>
  </si>
  <si>
    <t>2031AMP2022Capital ExpenditureConsumer connectionConsumer connectionconstant</t>
  </si>
  <si>
    <t>2031AMP2022Capital ExpenditureConsumer connectionConsumer connectionnominal</t>
  </si>
  <si>
    <t>2031AMP2022Capital ExpenditureCost of financingCost of financingnominal</t>
  </si>
  <si>
    <t>2031AMP2022Capital ExpenditureExpenditure on subcomponentsResearch and developmentconstant</t>
  </si>
  <si>
    <t>2031AMP2022Capital ExpenditureNetwork assetsExpenditure on network assetsconstant</t>
  </si>
  <si>
    <t>2031AMP2022Capital ExpenditureNetwork assetsExpenditure on network assetsnominal</t>
  </si>
  <si>
    <t>2031AMP2022Capital ExpenditureNon-network assetsNon-network assetsconstant</t>
  </si>
  <si>
    <t>2031AMP2022Capital ExpenditureNon-network assetsNon-network assetsnominal</t>
  </si>
  <si>
    <t>2031AMP2022Capital ExpenditureReliability, safety and environmentLegislative and regulatoryconstant</t>
  </si>
  <si>
    <t>2031AMP2022Capital ExpenditureReliability, safety and environmentLegislative and regulatorynominal</t>
  </si>
  <si>
    <t>2031AMP2022Capital ExpenditureReliability, safety and environmentOther reliability, safety and environmentconstant</t>
  </si>
  <si>
    <t>2031AMP2022Capital ExpenditureReliability, safety and environmentOther reliability, safety and environmentnominal</t>
  </si>
  <si>
    <t>2031AMP2022Capital ExpenditureReliability, safety and environmentQuality of supplyconstant</t>
  </si>
  <si>
    <t>2031AMP2022Capital ExpenditureReliability, safety and environmentQuality of supplynominal</t>
  </si>
  <si>
    <t>2031AMP2022Capital ExpenditureReliability, safety and environmentTotal reliability, safety and environmentconstant</t>
  </si>
  <si>
    <t>2031AMP2022Capital ExpenditureReliability, safety and environmentTotal reliability, safety and environmentnominal</t>
  </si>
  <si>
    <t>2031AMP2022Capital ExpenditureSystem growthSystem growthconstant</t>
  </si>
  <si>
    <t>2031AMP2022Capital ExpenditureSystem growthSystem growthnominal</t>
  </si>
  <si>
    <t>2031AMP2022Capital ExpenditureValue of capital contributionsValue of capital contributionsnominal</t>
  </si>
  <si>
    <t>2031AMP2022Capital ExpenditureValue of commissioned assetsValue of commissioned assetsnominal</t>
  </si>
  <si>
    <t>2031AMP2022Capital ExpenditureValue of vested assetsValue of vested assetsnominal</t>
  </si>
  <si>
    <t>2031AMP2022Operating ExpenditureAsset replacement and renewalAsset replacement and renewalconstant</t>
  </si>
  <si>
    <t>2031AMP2022Operating ExpenditureAsset replacement and renewalAsset replacement and renewalnominal</t>
  </si>
  <si>
    <t>2031AMP2022Operating ExpenditureBusiness supportBusiness supportconstant</t>
  </si>
  <si>
    <t>2031AMP2022Operating ExpenditureBusiness supportBusiness supportnominal</t>
  </si>
  <si>
    <t>2031AMP2022Operating ExpenditureExpenditure on subcomponentsInsuranceconstant</t>
  </si>
  <si>
    <t>2031AMP2022Operating ExpenditureExpenditure on subcomponentsResearch and developmentconstant</t>
  </si>
  <si>
    <t>2031AMP2022Operating ExpenditureNetwork opexNetwork opexconstant</t>
  </si>
  <si>
    <t>2031AMP2022Operating ExpenditureNetwork opexNetwork opexnominal</t>
  </si>
  <si>
    <t>2031AMP2022Operating ExpenditureNon-network opexNon-network opexconstant</t>
  </si>
  <si>
    <t>2031AMP2022Operating ExpenditureNon-network opexNon-network opexnominal</t>
  </si>
  <si>
    <t>2031AMP2022Operating ExpenditureResearch and developmentResearch and developmentconstant</t>
  </si>
  <si>
    <t>2031AMP2022Operating ExpenditureRoutine and corrective maintenance and inspectionRoutine and corrective maintenance and inspectionconstant</t>
  </si>
  <si>
    <t>2031AMP2022Operating ExpenditureRoutine and corrective maintenance and inspectionRoutine and corrective maintenance and inspectionnominal</t>
  </si>
  <si>
    <t>2031AMP2022Operating ExpenditureService interruptions, incidents and emergenciesService interruptions, incidents and emergenciesconstant</t>
  </si>
  <si>
    <t>2031AMP2022Operating ExpenditureService interruptions, incidents and emergenciesService interruptions, incidents and emergenciesnominal</t>
  </si>
  <si>
    <t>2031AMP2022Operating ExpenditureSystem operations and network supportSystem operations and network supportconstant</t>
  </si>
  <si>
    <t>2031AMP2022Operating ExpenditureSystem operations and network supportSystem operations and network supportnominal</t>
  </si>
  <si>
    <t>2031AMP2022Operating ExpenditureTotal opexOperational expenditureconstant</t>
  </si>
  <si>
    <t>2031AMP2022Operating ExpenditureTotal opexOperational expenditurenominal</t>
  </si>
  <si>
    <t>2032AMP2022Capital ExpenditureAll assetsExpenditure on assetsconstant</t>
  </si>
  <si>
    <t>2032AMP2022Capital ExpenditureAll assetsExpenditure on assetsnominal</t>
  </si>
  <si>
    <t>2032AMP2022Capital ExpenditureAsset relocationsAsset relocationsconstant</t>
  </si>
  <si>
    <t>2032AMP2022Capital ExpenditureAsset relocationsAsset relocationsnominal</t>
  </si>
  <si>
    <t>2032AMP2022Capital ExpenditureAsset replacement and renewalAsset replacement and renewalconstant</t>
  </si>
  <si>
    <t>2032AMP2022Capital ExpenditureAsset replacement and renewalAsset replacement and renewalnominal</t>
  </si>
  <si>
    <t>2032AMP2022Capital ExpenditureAssets commissionedAssets commissionednominal</t>
  </si>
  <si>
    <t>2032AMP2022Capital ExpenditureCapital expenditure forecastCapital expenditure forecastnominal</t>
  </si>
  <si>
    <t>2032AMP2022Capital ExpenditureConsumer connectionConsumer connectionconstant</t>
  </si>
  <si>
    <t>2032AMP2022Capital ExpenditureConsumer connectionConsumer connectionnominal</t>
  </si>
  <si>
    <t>2032AMP2022Capital ExpenditureCost of financingCost of financingnominal</t>
  </si>
  <si>
    <t>2032AMP2022Capital ExpenditureExpenditure on subcomponentsResearch and developmentconstant</t>
  </si>
  <si>
    <t>2032AMP2022Capital ExpenditureNetwork assetsExpenditure on network assetsconstant</t>
  </si>
  <si>
    <t>2032AMP2022Capital ExpenditureNetwork assetsExpenditure on network assetsnominal</t>
  </si>
  <si>
    <t>2032AMP2022Capital ExpenditureNon-network assetsNon-network assetsconstant</t>
  </si>
  <si>
    <t>2032AMP2022Capital ExpenditureNon-network assetsNon-network assetsnominal</t>
  </si>
  <si>
    <t>2032AMP2022Capital ExpenditureReliability, safety and environmentLegislative and regulatoryconstant</t>
  </si>
  <si>
    <t>2032AMP2022Capital ExpenditureReliability, safety and environmentLegislative and regulatorynominal</t>
  </si>
  <si>
    <t>2032AMP2022Capital ExpenditureReliability, safety and environmentOther reliability, safety and environmentconstant</t>
  </si>
  <si>
    <t>2032AMP2022Capital ExpenditureReliability, safety and environmentOther reliability, safety and environmentnominal</t>
  </si>
  <si>
    <t>2032AMP2022Capital ExpenditureReliability, safety and environmentQuality of supplyconstant</t>
  </si>
  <si>
    <t>2032AMP2022Capital ExpenditureReliability, safety and environmentQuality of supplynominal</t>
  </si>
  <si>
    <t>2032AMP2022Capital ExpenditureReliability, safety and environmentTotal reliability, safety and environmentconstant</t>
  </si>
  <si>
    <t>2032AMP2022Capital ExpenditureReliability, safety and environmentTotal reliability, safety and environmentnominal</t>
  </si>
  <si>
    <t>2032AMP2022Capital ExpenditureSystem growthSystem growthconstant</t>
  </si>
  <si>
    <t>2032AMP2022Capital ExpenditureSystem growthSystem growthnominal</t>
  </si>
  <si>
    <t>2032AMP2022Capital ExpenditureValue of capital contributionsValue of capital contributionsnominal</t>
  </si>
  <si>
    <t>2032AMP2022Capital ExpenditureValue of commissioned assetsValue of commissioned assetsnominal</t>
  </si>
  <si>
    <t>2032AMP2022Capital ExpenditureValue of vested assetsValue of vested assetsnominal</t>
  </si>
  <si>
    <t>2032AMP2022Operating ExpenditureAsset replacement and renewalAsset replacement and renewalconstant</t>
  </si>
  <si>
    <t>2032AMP2022Operating ExpenditureAsset replacement and renewalAsset replacement and renewalnominal</t>
  </si>
  <si>
    <t>2032AMP2022Operating ExpenditureBusiness supportBusiness supportconstant</t>
  </si>
  <si>
    <t>2032AMP2022Operating ExpenditureBusiness supportBusiness supportnominal</t>
  </si>
  <si>
    <t>2032AMP2022Operating ExpenditureExpenditure on subcomponentsInsuranceconstant</t>
  </si>
  <si>
    <t>2032AMP2022Operating ExpenditureExpenditure on subcomponentsResearch and developmentconstant</t>
  </si>
  <si>
    <t>2032AMP2022Operating ExpenditureNetwork opexNetwork opexconstant</t>
  </si>
  <si>
    <t>2032AMP2022Operating ExpenditureNetwork opexNetwork opexnominal</t>
  </si>
  <si>
    <t>2032AMP2022Operating ExpenditureNon-network opexNon-network opexconstant</t>
  </si>
  <si>
    <t>2032AMP2022Operating ExpenditureNon-network opexNon-network opexnominal</t>
  </si>
  <si>
    <t>2032AMP2022Operating ExpenditureResearch and developmentResearch and developmentconstant</t>
  </si>
  <si>
    <t>2032AMP2022Operating ExpenditureRoutine and corrective maintenance and inspectionRoutine and corrective maintenance and inspectionconstant</t>
  </si>
  <si>
    <t>2032AMP2022Operating ExpenditureRoutine and corrective maintenance and inspectionRoutine and corrective maintenance and inspectionnominal</t>
  </si>
  <si>
    <t>2032AMP2022Operating ExpenditureService interruptions, incidents and emergenciesService interruptions, incidents and emergenciesconstant</t>
  </si>
  <si>
    <t>2032AMP2022Operating ExpenditureService interruptions, incidents and emergenciesService interruptions, incidents and emergenciesnominal</t>
  </si>
  <si>
    <t>2032AMP2022Operating ExpenditureSystem operations and network supportSystem operations and network supportconstant</t>
  </si>
  <si>
    <t>2032AMP2022Operating ExpenditureSystem operations and network supportSystem operations and network supportnominal</t>
  </si>
  <si>
    <t>2032AMP2022Operating ExpenditureTotal opexOperational expenditureconstant</t>
  </si>
  <si>
    <t>2032AMP2022Operating ExpenditureTotal opexOperational expenditurenominal</t>
  </si>
  <si>
    <t>2022Delivery</t>
  </si>
  <si>
    <t>2022Fixed</t>
  </si>
  <si>
    <t>2022</t>
  </si>
  <si>
    <t>35 Junction St, New Plymouth</t>
  </si>
  <si>
    <t>0508 832 867</t>
  </si>
  <si>
    <t>110 Carlton Gore Road, Auckland</t>
  </si>
  <si>
    <t>Geoff Evans</t>
  </si>
  <si>
    <t>The summaries are designed to promote a better understanding of each company's performance by providing high-level statistics on measures such as profitability, capital and operating expenditure, asset condition, line charge revenue, network reliability and service, on one page.
The information compiled for the one-page summaries is derived from publicly available data. Most of the data has either been audited and/or certified by the directors of the businesses. However, we cannot guarantee that there are no errors in the data provided. The 2022 one-page performance summaries cover the period ending either 30 June or 30 September 2022. Apart from when stated otherwise, all data and values refer to 2022.
The data we have highlighted presents a snapshot in time and is not intended to represent a thorough picture of performance. However, it does suggest some differences between the performance of different companies, such as the health of assets including pipes, district regulator stations and line valves in some companies. In cases of apparent poor performance, we will follow up with the companies to better understand their circumstances and we are likely to undertake further detailed analysis in the future.
All four individual gas distribution businesses have been aggregated to provide a snapshot of the industry. Generally sums or weighted averages are used. However, for reliability and service measures the simple average of the distributors has been used.
An explanatory document which accompanies these one-page performance summaries provides more context of the measures that we have used.</t>
  </si>
  <si>
    <r>
      <t xml:space="preserve">Version 1.0 </t>
    </r>
    <r>
      <rPr>
        <b/>
        <sz val="10"/>
        <color theme="1"/>
        <rFont val="Calibri"/>
        <family val="2"/>
      </rPr>
      <t xml:space="preserve">—  30 November </t>
    </r>
    <r>
      <rPr>
        <b/>
        <sz val="10"/>
        <color theme="1"/>
        <rFont val="Cambria"/>
        <family val="1"/>
        <scheme val="major"/>
      </rPr>
      <t>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</si>
</sst>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164" formatCode="_(* #,##0.00_);_(* \(#,##0.00\);_(* &quot;-&quot;??_);_(@_)"/>
    <numFmt numFmtId="165" formatCode="_(&quot;$&quot;* #,##0_);_(&quot;$&quot;* \(#,##0\);_(&quot;$&quot;* &quot;-&quot;_);_(@_)"/>
    <numFmt numFmtId="166" formatCode="_(* #,##0_);_(* \(#,##0\);_(* &quot;-&quot;_);_(@_)"/>
    <numFmt numFmtId="167" formatCode="_(&quot;$&quot;* #,##0.00_);_(&quot;$&quot;* \(#,##0.00\);_(&quot;$&quot;* &quot;-&quot;??_);_(@_)"/>
    <numFmt numFmtId="168" formatCode="_(@_)"/>
    <numFmt numFmtId="169" formatCode="_(* #,##0.0_);_(* \(#,##0.0\);_(* &quot;–&quot;???_);_(* @_)"/>
    <numFmt numFmtId="170" formatCode="_(* #,##0.00_);_(* \(#,##0.00\);_(* &quot;–&quot;???_);_(* @_)"/>
    <numFmt numFmtId="171" formatCode="_(* #,##0.0000_);_(* \(#,##0.0000\);_(* &quot;–&quot;??_);_(* @_)"/>
    <numFmt numFmtId="172" formatCode="[$-1409]d\ mmm\ yy;@"/>
    <numFmt numFmtId="173" formatCode="_(* #,##0%_);_(* \(#,##0%\);_(* &quot;–&quot;???_);_(* @_)"/>
    <numFmt numFmtId="174" formatCode="_(* #,##0.0%_);_(* \(#,##0.0%\);_(* &quot;–&quot;??_);_(* @_)"/>
    <numFmt numFmtId="175" formatCode="_(* #,##0.00%_);_(* \(#,##0.00%\);_(* &quot;–&quot;???_);_(* @_)"/>
    <numFmt numFmtId="176" formatCode="_(* #,##0.000%_);_(* \(#,##0.000%\);_(* &quot;–&quot;???_);_(* @_)"/>
    <numFmt numFmtId="177" formatCode="_(* #,##0%_);_(* \(#,##0%\);_(* &quot;–&quot;??_);_(* @_)"/>
    <numFmt numFmtId="178" formatCode="_(* 0_);_(* \(0\);_(* &quot;–&quot;??_);_(@_)"/>
    <numFmt numFmtId="179" formatCode="_(* #,##0_);_(* \(#,##0\);_(* &quot;–&quot;???_);_(* @_)"/>
    <numFmt numFmtId="180" formatCode="0.0\ &quot;m&quot;"/>
    <numFmt numFmtId="181" formatCode="&quot;$&quot;#,##0.00"/>
    <numFmt numFmtId="182" formatCode="_-* #,##0_-;\-* #,##0_-;_-* &quot;-&quot;??_-;_-@_-"/>
    <numFmt numFmtId="183" formatCode="dd\-mmm\-yy"/>
    <numFmt numFmtId="184" formatCode="_(* #,##0.000_);_(* \(#,##0.000\);_(* &quot;–&quot;???_);_(* @_)"/>
    <numFmt numFmtId="185" formatCode="_(* #,##0.000_);_(* \(#,##0.000\);_(* &quot;-&quot;??_);_(@_)"/>
    <numFmt numFmtId="186" formatCode="_(* #,##0.00%_);_(* \(#,##0.00%\);_(* &quot;–&quot;??_);_(* @_)"/>
    <numFmt numFmtId="187" formatCode="0.0%"/>
    <numFmt numFmtId="188" formatCode="0.000"/>
    <numFmt numFmtId="189" formatCode="_(* #,##0.00000_);_(* \(#,##0.00000\);_(* &quot;–&quot;???_);_(* @_)"/>
    <numFmt numFmtId="190" formatCode="_(* #,##0.0000000_);_(* \(#,##0.0000000\);_(* &quot;–&quot;???_);_(* @_)"/>
    <numFmt numFmtId="191" formatCode="#,##0\ ;\(#,##0\);\-"/>
    <numFmt numFmtId="192" formatCode="#,##0.000\ ;\(#,##0.000\);\-"/>
    <numFmt numFmtId="193" formatCode="#,##0.0000\ ;\(#,##0.0000\);\-"/>
    <numFmt numFmtId="194" formatCode="#,##0.000"/>
  </numFmts>
  <fonts count="64" x14ac:knownFonts="1">
    <font>
      <sz val="11"/>
      <color theme="1"/>
      <name val="Calibri"/>
      <family val="2"/>
      <scheme val="minor"/>
    </font>
    <font>
      <sz val="11"/>
      <color theme="1"/>
      <name val="Calibri"/>
      <family val="2"/>
      <scheme val="minor"/>
    </font>
    <font>
      <b/>
      <sz val="11"/>
      <color theme="1"/>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1"/>
      <name val="Calibri"/>
      <family val="2"/>
      <scheme val="minor"/>
    </font>
    <font>
      <b/>
      <sz val="18"/>
      <name val="Calibri"/>
      <family val="2"/>
      <scheme val="minor"/>
    </font>
    <font>
      <b/>
      <sz val="16"/>
      <name val="Calibri"/>
      <family val="2"/>
      <scheme val="minor"/>
    </font>
    <font>
      <b/>
      <sz val="14"/>
      <name val="Calibri"/>
      <family val="2"/>
      <scheme val="minor"/>
    </font>
    <font>
      <u/>
      <sz val="10"/>
      <color theme="10"/>
      <name val="Arial"/>
      <family val="2"/>
    </font>
    <font>
      <sz val="11"/>
      <color theme="2"/>
      <name val="Calibri"/>
      <family val="2"/>
      <scheme val="minor"/>
    </font>
    <font>
      <b/>
      <sz val="10"/>
      <name val="Calibri"/>
      <family val="4"/>
      <scheme val="minor"/>
    </font>
    <font>
      <sz val="11"/>
      <color theme="9"/>
      <name val="Calibri"/>
      <family val="2"/>
      <scheme val="minor"/>
    </font>
    <font>
      <b/>
      <sz val="20"/>
      <color theme="2"/>
      <name val="Calibri"/>
      <family val="2"/>
      <scheme val="minor"/>
    </font>
    <font>
      <sz val="11"/>
      <name val="Calibri"/>
      <family val="2"/>
    </font>
    <font>
      <sz val="11"/>
      <color theme="1"/>
      <name val="Calibri"/>
      <family val="2"/>
    </font>
    <font>
      <i/>
      <sz val="10"/>
      <name val="Calibri"/>
      <family val="4"/>
      <scheme val="minor"/>
    </font>
    <font>
      <sz val="12"/>
      <color theme="1"/>
      <name val="Calibri"/>
      <family val="2"/>
      <scheme val="minor"/>
    </font>
    <font>
      <b/>
      <sz val="24"/>
      <color theme="2"/>
      <name val="Calibri"/>
      <family val="2"/>
      <scheme val="minor"/>
    </font>
    <font>
      <b/>
      <sz val="12"/>
      <color theme="1"/>
      <name val="Calibri"/>
      <family val="2"/>
      <scheme val="minor"/>
    </font>
    <font>
      <sz val="10"/>
      <color theme="1"/>
      <name val="Calibri"/>
      <family val="2"/>
      <scheme val="minor"/>
    </font>
    <font>
      <sz val="10"/>
      <color theme="1"/>
      <name val="Calibri"/>
      <family val="4"/>
      <scheme val="minor"/>
    </font>
    <font>
      <b/>
      <sz val="10"/>
      <color theme="1"/>
      <name val="Calibri"/>
      <family val="4"/>
      <scheme val="minor"/>
    </font>
    <font>
      <b/>
      <sz val="10"/>
      <color theme="1"/>
      <name val="Calibri"/>
      <family val="2"/>
      <scheme val="minor"/>
    </font>
    <font>
      <sz val="9"/>
      <color theme="1"/>
      <name val="Calibri"/>
      <family val="2"/>
      <scheme val="minor"/>
    </font>
    <font>
      <sz val="10"/>
      <color rgb="FF000000"/>
      <name val="Arial"/>
      <family val="2"/>
    </font>
    <font>
      <b/>
      <u/>
      <sz val="12"/>
      <name val="Calibri"/>
      <family val="2"/>
      <scheme val="minor"/>
    </font>
    <font>
      <b/>
      <sz val="10"/>
      <color theme="0"/>
      <name val="Calibri"/>
      <family val="2"/>
      <scheme val="minor"/>
    </font>
    <font>
      <b/>
      <sz val="10"/>
      <name val="Calibri"/>
      <family val="2"/>
      <scheme val="minor"/>
    </font>
    <font>
      <b/>
      <sz val="9"/>
      <color theme="1"/>
      <name val="Calibri"/>
      <family val="2"/>
      <scheme val="minor"/>
    </font>
    <font>
      <b/>
      <i/>
      <sz val="8"/>
      <color theme="1"/>
      <name val="Calibri"/>
      <family val="2"/>
      <scheme val="minor"/>
    </font>
    <font>
      <i/>
      <sz val="8"/>
      <color theme="1"/>
      <name val="Calibri"/>
      <family val="2"/>
      <scheme val="minor"/>
    </font>
    <font>
      <b/>
      <u/>
      <sz val="14"/>
      <color theme="2"/>
      <name val="Calibri"/>
      <family val="2"/>
      <scheme val="minor"/>
    </font>
    <font>
      <b/>
      <sz val="24"/>
      <name val="Calibri"/>
      <family val="2"/>
      <scheme val="minor"/>
    </font>
    <font>
      <sz val="10"/>
      <color rgb="FF333333"/>
      <name val="Verdana"/>
      <family val="2"/>
    </font>
    <font>
      <i/>
      <sz val="9"/>
      <color theme="1"/>
      <name val="Calibri"/>
      <family val="2"/>
      <scheme val="minor"/>
    </font>
    <font>
      <b/>
      <sz val="22"/>
      <color theme="1"/>
      <name val="Cambria"/>
      <family val="1"/>
      <scheme val="major"/>
    </font>
    <font>
      <b/>
      <sz val="18"/>
      <color theme="1"/>
      <name val="Cambria"/>
      <family val="1"/>
      <scheme val="major"/>
    </font>
    <font>
      <b/>
      <sz val="16"/>
      <color theme="1"/>
      <name val="Cambria"/>
      <family val="1"/>
      <scheme val="major"/>
    </font>
    <font>
      <b/>
      <sz val="10"/>
      <color theme="1"/>
      <name val="Cambria"/>
      <family val="1"/>
      <scheme val="major"/>
    </font>
    <font>
      <b/>
      <sz val="20"/>
      <color rgb="FFC00000"/>
      <name val="Calibri"/>
      <family val="2"/>
      <scheme val="minor"/>
    </font>
    <font>
      <sz val="12"/>
      <color theme="0"/>
      <name val="Calibri"/>
      <family val="2"/>
      <scheme val="minor"/>
    </font>
    <font>
      <sz val="9"/>
      <color theme="0"/>
      <name val="Calibri"/>
      <family val="2"/>
      <scheme val="minor"/>
    </font>
    <font>
      <sz val="10"/>
      <color theme="0"/>
      <name val="Calibri"/>
      <family val="2"/>
      <scheme val="minor"/>
    </font>
    <font>
      <u/>
      <sz val="9"/>
      <color theme="10"/>
      <name val="Calibri"/>
      <family val="2"/>
      <scheme val="minor"/>
    </font>
    <font>
      <u/>
      <sz val="10"/>
      <color theme="10"/>
      <name val="Calibri"/>
      <family val="2"/>
      <scheme val="minor"/>
    </font>
    <font>
      <b/>
      <sz val="10"/>
      <color theme="1"/>
      <name val="Calibri"/>
      <family val="2"/>
    </font>
    <font>
      <b/>
      <sz val="9"/>
      <name val="Calibri"/>
      <family val="2"/>
      <scheme val="minor"/>
    </font>
    <font>
      <b/>
      <sz val="8"/>
      <color theme="1"/>
      <name val="Calibri"/>
      <family val="2"/>
      <scheme val="minor"/>
    </font>
    <font>
      <sz val="8"/>
      <color theme="1"/>
      <name val="Calibri"/>
      <family val="2"/>
      <scheme val="minor"/>
    </font>
    <font>
      <sz val="10"/>
      <name val="Calibri"/>
      <family val="2"/>
    </font>
    <font>
      <b/>
      <u/>
      <sz val="11"/>
      <color theme="1"/>
      <name val="Calibri"/>
      <family val="2"/>
      <scheme val="minor"/>
    </font>
    <font>
      <b/>
      <sz val="11"/>
      <color rgb="FF0070C0"/>
      <name val="Calibri"/>
      <family val="2"/>
      <scheme val="minor"/>
    </font>
    <font>
      <sz val="8"/>
      <name val="Calibri"/>
      <family val="2"/>
      <scheme val="minor"/>
    </font>
    <font>
      <sz val="11"/>
      <name val="Calibri"/>
      <family val="2"/>
    </font>
    <font>
      <sz val="11"/>
      <name val="Calibri"/>
      <family val="2"/>
    </font>
    <font>
      <sz val="10"/>
      <color indexed="30"/>
      <name val="Calibri"/>
      <family val="4"/>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5117038483843"/>
        <bgColor indexed="65"/>
      </patternFill>
    </fill>
    <fill>
      <patternFill patternType="solid">
        <fgColor theme="4" tint="0.59996337778862885"/>
        <bgColor indexed="65"/>
      </patternFill>
    </fill>
    <fill>
      <patternFill patternType="solid">
        <fgColor theme="4" tint="0.39997558519241921"/>
        <bgColor indexed="65"/>
      </patternFill>
    </fill>
    <fill>
      <patternFill patternType="solid">
        <fgColor theme="5"/>
      </patternFill>
    </fill>
    <fill>
      <patternFill patternType="solid">
        <fgColor theme="5" tint="0.79995117038483843"/>
        <bgColor indexed="65"/>
      </patternFill>
    </fill>
    <fill>
      <patternFill patternType="solid">
        <fgColor theme="5" tint="0.59996337778862885"/>
        <bgColor indexed="65"/>
      </patternFill>
    </fill>
    <fill>
      <patternFill patternType="solid">
        <fgColor theme="5" tint="0.39997558519241921"/>
        <bgColor indexed="65"/>
      </patternFill>
    </fill>
    <fill>
      <patternFill patternType="solid">
        <fgColor theme="6"/>
      </patternFill>
    </fill>
    <fill>
      <patternFill patternType="solid">
        <fgColor theme="6" tint="0.79995117038483843"/>
        <bgColor indexed="65"/>
      </patternFill>
    </fill>
    <fill>
      <patternFill patternType="solid">
        <fgColor theme="6" tint="0.59996337778862885"/>
        <bgColor indexed="65"/>
      </patternFill>
    </fill>
    <fill>
      <patternFill patternType="solid">
        <fgColor theme="6" tint="0.39997558519241921"/>
        <bgColor indexed="65"/>
      </patternFill>
    </fill>
    <fill>
      <patternFill patternType="solid">
        <fgColor theme="7"/>
      </patternFill>
    </fill>
    <fill>
      <patternFill patternType="solid">
        <fgColor theme="7" tint="0.79995117038483843"/>
        <bgColor indexed="65"/>
      </patternFill>
    </fill>
    <fill>
      <patternFill patternType="solid">
        <fgColor theme="7" tint="0.59996337778862885"/>
        <bgColor indexed="65"/>
      </patternFill>
    </fill>
    <fill>
      <patternFill patternType="solid">
        <fgColor theme="7" tint="0.39997558519241921"/>
        <bgColor indexed="65"/>
      </patternFill>
    </fill>
    <fill>
      <patternFill patternType="solid">
        <fgColor theme="8"/>
      </patternFill>
    </fill>
    <fill>
      <patternFill patternType="solid">
        <fgColor theme="8" tint="0.79995117038483843"/>
        <bgColor indexed="65"/>
      </patternFill>
    </fill>
    <fill>
      <patternFill patternType="solid">
        <fgColor theme="8" tint="0.59996337778862885"/>
        <bgColor indexed="65"/>
      </patternFill>
    </fill>
    <fill>
      <patternFill patternType="solid">
        <fgColor theme="8" tint="0.39997558519241921"/>
        <bgColor indexed="65"/>
      </patternFill>
    </fill>
    <fill>
      <patternFill patternType="solid">
        <fgColor theme="9"/>
      </patternFill>
    </fill>
    <fill>
      <patternFill patternType="solid">
        <fgColor theme="9" tint="0.79995117038483843"/>
        <bgColor indexed="65"/>
      </patternFill>
    </fill>
    <fill>
      <patternFill patternType="solid">
        <fgColor theme="9" tint="0.59996337778862885"/>
        <bgColor indexed="65"/>
      </patternFill>
    </fill>
    <fill>
      <patternFill patternType="solid">
        <fgColor theme="9" tint="0.39997558519241921"/>
        <bgColor indexed="65"/>
      </patternFill>
    </fill>
    <fill>
      <patternFill patternType="solid">
        <fgColor theme="0"/>
        <bgColor indexed="64"/>
      </patternFill>
    </fill>
    <fill>
      <patternFill patternType="solid">
        <fgColor indexed="43"/>
        <bgColor indexed="64"/>
      </patternFill>
    </fill>
    <fill>
      <patternFill patternType="solid">
        <fgColor theme="4"/>
        <bgColor indexed="64"/>
      </patternFill>
    </fill>
    <fill>
      <patternFill patternType="solid">
        <fgColor theme="6"/>
        <bgColor indexed="64"/>
      </patternFill>
    </fill>
    <fill>
      <patternFill patternType="solid">
        <fgColor theme="3"/>
        <bgColor indexed="64"/>
      </patternFill>
    </fill>
    <fill>
      <patternFill patternType="solid">
        <fgColor theme="6" tint="0.59996337778862885"/>
        <bgColor indexed="64"/>
      </patternFill>
    </fill>
    <fill>
      <patternFill patternType="solid">
        <fgColor rgb="FFA0C1C4"/>
        <bgColor indexed="64"/>
      </patternFill>
    </fill>
    <fill>
      <patternFill patternType="solid">
        <fgColor rgb="FFB1D9DD"/>
        <bgColor indexed="64"/>
      </patternFill>
    </fill>
    <fill>
      <patternFill patternType="solid">
        <fgColor rgb="FFFFFF99"/>
        <bgColor indexed="64"/>
      </patternFill>
    </fill>
    <fill>
      <patternFill patternType="solid">
        <fgColor rgb="FF92D050"/>
        <bgColor indexed="64"/>
      </patternFill>
    </fill>
  </fills>
  <borders count="29">
    <border>
      <left/>
      <right/>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7"/>
      </top>
      <bottom style="thin">
        <color theme="7"/>
      </bottom>
      <diagonal/>
    </border>
    <border>
      <left/>
      <right style="thin">
        <color theme="7"/>
      </right>
      <top style="thin">
        <color theme="7"/>
      </top>
      <bottom style="thin">
        <color theme="7"/>
      </bottom>
      <diagonal/>
    </border>
    <border>
      <left style="thin">
        <color indexed="64"/>
      </left>
      <right style="thin">
        <color indexed="64"/>
      </right>
      <top style="thin">
        <color indexed="64"/>
      </top>
      <bottom style="thin">
        <color indexed="64"/>
      </bottom>
      <diagonal/>
    </border>
    <border>
      <left/>
      <right/>
      <top/>
      <bottom style="thin">
        <color theme="5"/>
      </bottom>
      <diagonal/>
    </border>
    <border>
      <left/>
      <right/>
      <top style="thin">
        <color theme="5"/>
      </top>
      <bottom style="thin">
        <color theme="5"/>
      </bottom>
      <diagonal/>
    </border>
    <border>
      <left/>
      <right/>
      <top style="thin">
        <color theme="5"/>
      </top>
      <bottom/>
      <diagonal/>
    </border>
    <border>
      <left style="thin">
        <color rgb="FF499CA5"/>
      </left>
      <right/>
      <top/>
      <bottom style="thin">
        <color rgb="FF499CA5"/>
      </bottom>
      <diagonal/>
    </border>
    <border>
      <left/>
      <right/>
      <top/>
      <bottom style="thin">
        <color rgb="FF499CA5"/>
      </bottom>
      <diagonal/>
    </border>
    <border>
      <left/>
      <right style="thin">
        <color rgb="FF499CA5"/>
      </right>
      <top/>
      <bottom style="thin">
        <color rgb="FF499CA5"/>
      </bottom>
      <diagonal/>
    </border>
    <border>
      <left style="thin">
        <color rgb="FF499CA5"/>
      </left>
      <right/>
      <top style="thin">
        <color rgb="FF499CA5"/>
      </top>
      <bottom style="thin">
        <color rgb="FF499CA5"/>
      </bottom>
      <diagonal/>
    </border>
    <border>
      <left/>
      <right/>
      <top style="thin">
        <color rgb="FF499CA5"/>
      </top>
      <bottom style="thin">
        <color rgb="FF499CA5"/>
      </bottom>
      <diagonal/>
    </border>
    <border>
      <left/>
      <right style="thin">
        <color rgb="FF499CA5"/>
      </right>
      <top style="thin">
        <color rgb="FF499CA5"/>
      </top>
      <bottom style="thin">
        <color rgb="FF499CA5"/>
      </bottom>
      <diagonal/>
    </border>
    <border>
      <left/>
      <right/>
      <top/>
      <bottom style="thin">
        <color theme="7"/>
      </bottom>
      <diagonal/>
    </border>
    <border>
      <left/>
      <right/>
      <top style="thin">
        <color theme="5"/>
      </top>
      <bottom style="thin">
        <color theme="7"/>
      </bottom>
      <diagonal/>
    </border>
    <border>
      <left/>
      <right/>
      <top style="thin">
        <color theme="7"/>
      </top>
      <bottom/>
      <diagonal/>
    </border>
    <border>
      <left style="thin">
        <color rgb="FF499CA5"/>
      </left>
      <right style="thin">
        <color rgb="FF499CA5"/>
      </right>
      <top style="thin">
        <color rgb="FF499CA5"/>
      </top>
      <bottom style="thin">
        <color rgb="FF499CA5"/>
      </bottom>
      <diagonal/>
    </border>
    <border>
      <left style="thin">
        <color rgb="FF499CA5"/>
      </left>
      <right style="thin">
        <color rgb="FF499CA5"/>
      </right>
      <top style="thin">
        <color rgb="FF499CA5"/>
      </top>
      <bottom/>
      <diagonal/>
    </border>
    <border>
      <left style="medium">
        <color indexed="64"/>
      </left>
      <right style="medium">
        <color indexed="64"/>
      </right>
      <top style="medium">
        <color indexed="64"/>
      </top>
      <bottom style="medium">
        <color indexed="64"/>
      </bottom>
      <diagonal/>
    </border>
    <border>
      <left/>
      <right/>
      <top style="thin">
        <color auto="1"/>
      </top>
      <bottom/>
      <diagonal/>
    </border>
    <border>
      <left/>
      <right/>
      <top/>
      <bottom style="thin">
        <color auto="1"/>
      </bottom>
      <diagonal/>
    </border>
    <border>
      <left style="thin">
        <color indexed="8"/>
      </left>
      <right style="thin">
        <color indexed="8"/>
      </right>
      <top style="thin">
        <color indexed="8"/>
      </top>
      <bottom style="thin">
        <color indexed="8"/>
      </bottom>
      <diagonal/>
    </border>
    <border>
      <left/>
      <right/>
      <top style="thin">
        <color rgb="FF499CA5"/>
      </top>
      <bottom/>
      <diagonal/>
    </border>
    <border>
      <left/>
      <right/>
      <top/>
      <bottom style="thin">
        <color theme="6"/>
      </bottom>
      <diagonal/>
    </border>
  </borders>
  <cellStyleXfs count="74">
    <xf numFmtId="0" fontId="0" fillId="0" borderId="0"/>
    <xf numFmtId="164" fontId="1" fillId="0" borderId="0" applyFont="0" applyFill="0" applyBorder="0" applyAlignment="0" applyProtection="0"/>
    <xf numFmtId="179" fontId="12"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49" fontId="20" fillId="0" borderId="0" applyFill="0" applyAlignment="0"/>
    <xf numFmtId="49" fontId="13" fillId="0" borderId="0" applyFill="0" applyAlignment="0"/>
    <xf numFmtId="49" fontId="14" fillId="0" borderId="0" applyFill="0" applyAlignment="0"/>
    <xf numFmtId="49" fontId="15" fillId="33" borderId="0" applyFill="0" applyBorder="0">
      <alignment horizontal="left"/>
    </xf>
    <xf numFmtId="0" fontId="3" fillId="0" borderId="0" applyNumberFormat="0" applyFill="0" applyBorder="0" applyAlignment="0" applyProtection="0"/>
    <xf numFmtId="0" fontId="4" fillId="2" borderId="0" applyNumberFormat="0" applyBorder="0" applyAlignment="0" applyProtection="0"/>
    <xf numFmtId="0" fontId="5" fillId="3" borderId="0" applyNumberFormat="0" applyBorder="0" applyAlignment="0" applyProtection="0"/>
    <xf numFmtId="0" fontId="6" fillId="4" borderId="0" applyNumberFormat="0" applyBorder="0" applyAlignment="0" applyProtection="0"/>
    <xf numFmtId="0" fontId="17" fillId="34" borderId="6" applyNumberFormat="0" applyFill="0" applyAlignment="0">
      <protection locked="0"/>
    </xf>
    <xf numFmtId="0" fontId="1" fillId="36" borderId="6" applyNumberFormat="0" applyFill="0" applyAlignment="0"/>
    <xf numFmtId="0" fontId="7" fillId="5" borderId="1" applyNumberFormat="0" applyAlignment="0" applyProtection="0"/>
    <xf numFmtId="0" fontId="8" fillId="0" borderId="2" applyNumberFormat="0" applyFill="0" applyAlignment="0" applyProtection="0"/>
    <xf numFmtId="0" fontId="9" fillId="6" borderId="3" applyNumberFormat="0" applyAlignment="0" applyProtection="0"/>
    <xf numFmtId="0" fontId="10" fillId="0" borderId="0" applyNumberFormat="0" applyFill="0" applyBorder="0" applyAlignment="0" applyProtection="0"/>
    <xf numFmtId="0" fontId="1" fillId="7" borderId="4" applyNumberFormat="0" applyFont="0" applyAlignment="0" applyProtection="0"/>
    <xf numFmtId="49" fontId="23" fillId="0" borderId="0" applyFill="0" applyProtection="0">
      <alignment horizontal="left" indent="1"/>
    </xf>
    <xf numFmtId="0" fontId="2" fillId="0" borderId="5" applyNumberFormat="0" applyFill="0" applyAlignment="0" applyProtection="0"/>
    <xf numFmtId="0" fontId="1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1" fillId="31" borderId="0" applyNumberFormat="0" applyBorder="0" applyAlignment="0" applyProtection="0"/>
    <xf numFmtId="178" fontId="21" fillId="0" borderId="0" applyFont="0" applyFill="0" applyBorder="0" applyAlignment="0" applyProtection="0">
      <alignment horizontal="left"/>
      <protection locked="0"/>
    </xf>
    <xf numFmtId="166" fontId="1" fillId="36" borderId="7" applyNumberFormat="0" applyFont="0" applyFill="0" applyAlignment="0" applyProtection="0"/>
    <xf numFmtId="176" fontId="12" fillId="32" borderId="0" applyFont="0" applyBorder="0"/>
    <xf numFmtId="175" fontId="21" fillId="0" borderId="0" applyFont="0" applyFill="0" applyBorder="0" applyAlignment="0" applyProtection="0">
      <protection locked="0"/>
    </xf>
    <xf numFmtId="174" fontId="12" fillId="0" borderId="0" applyFont="0" applyFill="0" applyBorder="0" applyAlignment="0" applyProtection="0">
      <alignment horizontal="center" vertical="top" wrapText="1"/>
    </xf>
    <xf numFmtId="173" fontId="19" fillId="34" borderId="6" applyNumberFormat="0" applyAlignment="0"/>
    <xf numFmtId="0" fontId="18" fillId="35" borderId="6" applyNumberFormat="0" applyFill="0">
      <alignment horizontal="centerContinuous" wrapText="1"/>
    </xf>
    <xf numFmtId="172" fontId="21" fillId="0" borderId="0" applyFont="0" applyFill="0" applyBorder="0" applyAlignment="0" applyProtection="0">
      <alignment wrapText="1"/>
    </xf>
    <xf numFmtId="171" fontId="21" fillId="0" borderId="0" applyFont="0" applyFill="0" applyBorder="0" applyAlignment="0" applyProtection="0"/>
    <xf numFmtId="170" fontId="21" fillId="0" borderId="0" applyFont="0" applyFill="0" applyBorder="0" applyAlignment="0" applyProtection="0">
      <protection locked="0"/>
    </xf>
    <xf numFmtId="168" fontId="22" fillId="0" borderId="0" applyFont="0" applyFill="0" applyBorder="0" applyAlignment="0" applyProtection="0">
      <alignment horizontal="left"/>
      <protection locked="0"/>
    </xf>
    <xf numFmtId="169" fontId="21" fillId="0" borderId="0" applyFont="0" applyFill="0" applyBorder="0" applyAlignment="0" applyProtection="0">
      <protection locked="0"/>
    </xf>
    <xf numFmtId="0" fontId="16" fillId="0" borderId="0" applyNumberFormat="0" applyFill="0" applyBorder="0" applyAlignment="0" applyProtection="0">
      <alignment vertical="top"/>
      <protection locked="0"/>
    </xf>
    <xf numFmtId="9" fontId="1" fillId="0" borderId="0" applyFont="0" applyFill="0" applyBorder="0" applyAlignment="0" applyProtection="0"/>
    <xf numFmtId="177" fontId="1" fillId="0" borderId="0" applyFont="0" applyFill="0" applyBorder="0" applyAlignment="0" applyProtection="0"/>
    <xf numFmtId="0" fontId="28" fillId="0" borderId="0">
      <alignment horizontal="right"/>
    </xf>
    <xf numFmtId="0" fontId="29" fillId="37" borderId="8" applyNumberFormat="0">
      <alignment horizontal="left" indent="1"/>
    </xf>
    <xf numFmtId="0" fontId="18" fillId="35" borderId="6" applyFill="0">
      <alignment horizontal="right" wrapText="1" indent="1"/>
    </xf>
    <xf numFmtId="182" fontId="19" fillId="38" borderId="6" applyNumberFormat="0" applyFont="0" applyAlignment="0" applyProtection="0"/>
    <xf numFmtId="0" fontId="12" fillId="0" borderId="0" applyFont="0"/>
    <xf numFmtId="49" fontId="13" fillId="0" borderId="0" applyFill="0" applyAlignment="0"/>
    <xf numFmtId="0" fontId="1" fillId="0" borderId="0"/>
    <xf numFmtId="0" fontId="1" fillId="0" borderId="0"/>
    <xf numFmtId="49" fontId="47" fillId="0" borderId="0" applyFill="0" applyAlignment="0"/>
    <xf numFmtId="0" fontId="57" fillId="40" borderId="23" applyNumberFormat="0" applyFont="0" applyAlignment="0"/>
    <xf numFmtId="0" fontId="61" fillId="0" borderId="0"/>
    <xf numFmtId="0" fontId="62" fillId="0" borderId="0"/>
    <xf numFmtId="0" fontId="21" fillId="0" borderId="0"/>
  </cellStyleXfs>
  <cellXfs count="261">
    <xf numFmtId="0" fontId="0" fillId="0" borderId="0" xfId="0"/>
    <xf numFmtId="49" fontId="25" fillId="0" borderId="0" xfId="5" applyFont="1" applyFill="1" applyAlignment="1"/>
    <xf numFmtId="0" fontId="26" fillId="0" borderId="0" xfId="0" applyFont="1"/>
    <xf numFmtId="0" fontId="28" fillId="0" borderId="0" xfId="61" applyAlignment="1"/>
    <xf numFmtId="0" fontId="18" fillId="0" borderId="6" xfId="52" applyFill="1">
      <alignment horizontal="centerContinuous" wrapText="1"/>
    </xf>
    <xf numFmtId="0" fontId="17" fillId="0" borderId="6" xfId="13" applyFill="1">
      <protection locked="0"/>
    </xf>
    <xf numFmtId="170" fontId="17" fillId="0" borderId="6" xfId="13" applyNumberFormat="1" applyFill="1">
      <protection locked="0"/>
    </xf>
    <xf numFmtId="0" fontId="27" fillId="0" borderId="0" xfId="0" applyFont="1"/>
    <xf numFmtId="177" fontId="0" fillId="0" borderId="0" xfId="0" applyNumberFormat="1"/>
    <xf numFmtId="174" fontId="1" fillId="0" borderId="6" xfId="14" applyNumberFormat="1" applyFill="1" applyAlignment="1"/>
    <xf numFmtId="0" fontId="1" fillId="0" borderId="6" xfId="14" applyFill="1"/>
    <xf numFmtId="177" fontId="1" fillId="0" borderId="6" xfId="14" applyNumberFormat="1" applyFill="1"/>
    <xf numFmtId="170" fontId="1" fillId="0" borderId="6" xfId="14" applyNumberFormat="1" applyFill="1"/>
    <xf numFmtId="175" fontId="1" fillId="0" borderId="6" xfId="14" applyNumberFormat="1" applyFill="1"/>
    <xf numFmtId="170" fontId="1" fillId="0" borderId="6" xfId="55" applyFont="1" applyFill="1" applyBorder="1" applyProtection="1"/>
    <xf numFmtId="177" fontId="17" fillId="0" borderId="6" xfId="13" applyNumberFormat="1" applyFill="1">
      <protection locked="0"/>
    </xf>
    <xf numFmtId="0" fontId="0" fillId="0" borderId="0" xfId="0" applyAlignment="1">
      <alignment horizontal="left"/>
    </xf>
    <xf numFmtId="49" fontId="14" fillId="0" borderId="0" xfId="7" applyAlignment="1">
      <alignment horizontal="left"/>
    </xf>
    <xf numFmtId="0" fontId="18" fillId="0" borderId="6" xfId="52" applyFill="1" applyAlignment="1">
      <alignment horizontal="left" wrapText="1"/>
    </xf>
    <xf numFmtId="49" fontId="15" fillId="0" borderId="0" xfId="8" applyFill="1" applyBorder="1">
      <alignment horizontal="left"/>
    </xf>
    <xf numFmtId="171" fontId="1" fillId="0" borderId="6" xfId="54" applyFont="1" applyFill="1" applyBorder="1"/>
    <xf numFmtId="0" fontId="32" fillId="0" borderId="0" xfId="0" applyFont="1"/>
    <xf numFmtId="0" fontId="16" fillId="0" borderId="0" xfId="58" applyAlignment="1" applyProtection="1"/>
    <xf numFmtId="14" fontId="0" fillId="0" borderId="0" xfId="0" applyNumberFormat="1"/>
    <xf numFmtId="179" fontId="0" fillId="0" borderId="0" xfId="55" applyNumberFormat="1" applyFont="1" applyProtection="1"/>
    <xf numFmtId="180" fontId="31" fillId="0" borderId="0" xfId="0" applyNumberFormat="1" applyFont="1" applyAlignment="1">
      <alignment horizontal="right"/>
    </xf>
    <xf numFmtId="0" fontId="0" fillId="0" borderId="0" xfId="0" applyAlignment="1">
      <alignment vertical="center"/>
    </xf>
    <xf numFmtId="0" fontId="27" fillId="0" borderId="0" xfId="0" applyFont="1" applyAlignment="1">
      <alignment horizontal="right"/>
    </xf>
    <xf numFmtId="0" fontId="36" fillId="0" borderId="0" xfId="0" applyFont="1"/>
    <xf numFmtId="0" fontId="36" fillId="0" borderId="0" xfId="0" applyFont="1" applyAlignment="1">
      <alignment horizontal="right"/>
    </xf>
    <xf numFmtId="0" fontId="31" fillId="0" borderId="0" xfId="0" applyFont="1"/>
    <xf numFmtId="0" fontId="31" fillId="0" borderId="0" xfId="0" applyFont="1" applyAlignment="1">
      <alignment horizontal="right"/>
    </xf>
    <xf numFmtId="0" fontId="31" fillId="0" borderId="0" xfId="0" applyFont="1" applyAlignment="1">
      <alignment vertical="center"/>
    </xf>
    <xf numFmtId="179" fontId="1" fillId="0" borderId="6" xfId="14" applyNumberFormat="1" applyFill="1"/>
    <xf numFmtId="169" fontId="1" fillId="0" borderId="6" xfId="57" applyFont="1" applyFill="1" applyBorder="1" applyProtection="1"/>
    <xf numFmtId="0" fontId="18" fillId="0" borderId="6" xfId="52" applyFill="1" applyAlignment="1">
      <alignment horizontal="left"/>
    </xf>
    <xf numFmtId="0" fontId="24" fillId="0" borderId="0" xfId="0" applyFont="1"/>
    <xf numFmtId="10" fontId="31" fillId="0" borderId="0" xfId="0" quotePrefix="1" applyNumberFormat="1" applyFont="1" applyAlignment="1">
      <alignment horizontal="right"/>
    </xf>
    <xf numFmtId="49" fontId="33" fillId="0" borderId="0" xfId="8" applyFont="1" applyFill="1" applyBorder="1" applyAlignment="1"/>
    <xf numFmtId="0" fontId="24" fillId="0" borderId="0" xfId="0" applyFont="1" applyAlignment="1">
      <alignment vertical="top"/>
    </xf>
    <xf numFmtId="0" fontId="31" fillId="0" borderId="0" xfId="0" applyFont="1" applyAlignment="1">
      <alignment vertical="top"/>
    </xf>
    <xf numFmtId="0" fontId="38" fillId="0" borderId="0" xfId="0" applyFont="1" applyAlignment="1">
      <alignment horizontal="right" vertical="top"/>
    </xf>
    <xf numFmtId="0" fontId="36" fillId="0" borderId="0" xfId="0" applyFont="1" applyAlignment="1">
      <alignment horizontal="left" vertical="center"/>
    </xf>
    <xf numFmtId="0" fontId="36" fillId="0" borderId="0" xfId="0" applyFont="1" applyAlignment="1">
      <alignment horizontal="right" vertical="center"/>
    </xf>
    <xf numFmtId="0" fontId="37" fillId="0" borderId="0" xfId="0" applyFont="1" applyAlignment="1">
      <alignment horizontal="right" vertical="top"/>
    </xf>
    <xf numFmtId="0" fontId="39" fillId="0" borderId="0" xfId="0" applyFont="1"/>
    <xf numFmtId="0" fontId="27" fillId="0" borderId="9" xfId="0" applyFont="1" applyBorder="1" applyAlignment="1">
      <alignment horizontal="right"/>
    </xf>
    <xf numFmtId="0" fontId="27" fillId="0" borderId="9" xfId="0" applyFont="1" applyBorder="1"/>
    <xf numFmtId="0" fontId="31" fillId="0" borderId="9" xfId="0" applyFont="1" applyBorder="1"/>
    <xf numFmtId="0" fontId="0" fillId="0" borderId="9" xfId="0" applyBorder="1"/>
    <xf numFmtId="0" fontId="31" fillId="0" borderId="9" xfId="0" applyFont="1" applyBorder="1" applyAlignment="1">
      <alignment horizontal="right"/>
    </xf>
    <xf numFmtId="180" fontId="31" fillId="0" borderId="9" xfId="0" applyNumberFormat="1" applyFont="1" applyBorder="1" applyAlignment="1">
      <alignment horizontal="right"/>
    </xf>
    <xf numFmtId="10" fontId="31" fillId="0" borderId="9" xfId="0" quotePrefix="1" applyNumberFormat="1" applyFont="1" applyBorder="1" applyAlignment="1">
      <alignment horizontal="right"/>
    </xf>
    <xf numFmtId="0" fontId="31" fillId="0" borderId="10" xfId="0" applyFont="1" applyBorder="1"/>
    <xf numFmtId="0" fontId="31" fillId="0" borderId="10" xfId="0" applyFont="1" applyBorder="1" applyAlignment="1">
      <alignment horizontal="right"/>
    </xf>
    <xf numFmtId="49" fontId="35" fillId="0" borderId="0" xfId="5" applyFont="1" applyFill="1" applyAlignment="1">
      <alignment horizontal="right" vertical="center"/>
    </xf>
    <xf numFmtId="179" fontId="17" fillId="0" borderId="6" xfId="13" applyNumberFormat="1" applyFill="1" applyAlignment="1">
      <protection locked="0"/>
    </xf>
    <xf numFmtId="164" fontId="1" fillId="0" borderId="6" xfId="14" applyNumberFormat="1" applyFill="1"/>
    <xf numFmtId="179" fontId="17" fillId="0" borderId="6" xfId="2" applyFont="1" applyFill="1" applyBorder="1" applyProtection="1">
      <protection locked="0"/>
    </xf>
    <xf numFmtId="170" fontId="17" fillId="0" borderId="6" xfId="55" applyFont="1" applyFill="1" applyBorder="1">
      <protection locked="0"/>
    </xf>
    <xf numFmtId="174" fontId="1" fillId="0" borderId="6" xfId="50" applyFont="1" applyFill="1" applyBorder="1" applyAlignment="1"/>
    <xf numFmtId="177" fontId="1" fillId="0" borderId="6" xfId="60" applyFill="1" applyBorder="1"/>
    <xf numFmtId="170" fontId="1" fillId="0" borderId="6" xfId="55" applyFont="1" applyFill="1" applyBorder="1" applyAlignment="1" applyProtection="1"/>
    <xf numFmtId="0" fontId="27" fillId="0" borderId="0" xfId="0" applyFont="1" applyAlignment="1">
      <alignment vertical="top"/>
    </xf>
    <xf numFmtId="0" fontId="31" fillId="0" borderId="9" xfId="0" applyFont="1" applyBorder="1" applyAlignment="1">
      <alignment horizontal="center"/>
    </xf>
    <xf numFmtId="0" fontId="41" fillId="0" borderId="0" xfId="0" applyFont="1"/>
    <xf numFmtId="0" fontId="12" fillId="0" borderId="0" xfId="65"/>
    <xf numFmtId="0" fontId="43" fillId="0" borderId="0" xfId="65" applyFont="1" applyAlignment="1">
      <alignment horizontal="centerContinuous"/>
    </xf>
    <xf numFmtId="0" fontId="12" fillId="0" borderId="0" xfId="65" applyAlignment="1">
      <alignment horizontal="centerContinuous"/>
    </xf>
    <xf numFmtId="0" fontId="44" fillId="0" borderId="0" xfId="65" applyFont="1" applyAlignment="1">
      <alignment horizontal="centerContinuous"/>
    </xf>
    <xf numFmtId="0" fontId="45" fillId="0" borderId="0" xfId="65" applyFont="1" applyAlignment="1">
      <alignment horizontal="centerContinuous"/>
    </xf>
    <xf numFmtId="0" fontId="46" fillId="0" borderId="0" xfId="65" applyFont="1" applyAlignment="1">
      <alignment horizontal="centerContinuous"/>
    </xf>
    <xf numFmtId="49" fontId="40" fillId="0" borderId="0" xfId="5" applyFont="1" applyFill="1" applyAlignment="1">
      <alignment horizontal="left" vertical="top"/>
    </xf>
    <xf numFmtId="0" fontId="16" fillId="0" borderId="0" xfId="58" applyFill="1" applyBorder="1" applyAlignment="1" applyProtection="1">
      <alignment horizontal="left" vertical="center"/>
    </xf>
    <xf numFmtId="49" fontId="40" fillId="0" borderId="0" xfId="5" applyFont="1" applyFill="1" applyAlignment="1">
      <alignment horizontal="right" vertical="top"/>
    </xf>
    <xf numFmtId="49" fontId="20" fillId="0" borderId="0" xfId="5" applyAlignment="1"/>
    <xf numFmtId="170" fontId="1" fillId="0" borderId="0" xfId="55" applyFont="1" applyFill="1" applyBorder="1" applyProtection="1"/>
    <xf numFmtId="184" fontId="1" fillId="0" borderId="6" xfId="55" applyNumberFormat="1" applyFont="1" applyFill="1" applyBorder="1" applyProtection="1"/>
    <xf numFmtId="180" fontId="31" fillId="39" borderId="16" xfId="0" applyNumberFormat="1" applyFont="1" applyFill="1" applyBorder="1" applyAlignment="1">
      <alignment horizontal="right"/>
    </xf>
    <xf numFmtId="0" fontId="31" fillId="39" borderId="16" xfId="0" applyFont="1" applyFill="1" applyBorder="1"/>
    <xf numFmtId="10" fontId="31" fillId="39" borderId="17" xfId="0" quotePrefix="1" applyNumberFormat="1" applyFont="1" applyFill="1" applyBorder="1" applyAlignment="1">
      <alignment horizontal="right"/>
    </xf>
    <xf numFmtId="0" fontId="31" fillId="0" borderId="10" xfId="0" applyFont="1" applyBorder="1" applyAlignment="1">
      <alignment horizontal="center"/>
    </xf>
    <xf numFmtId="0" fontId="31" fillId="0" borderId="0" xfId="0" applyFont="1" applyAlignment="1">
      <alignment horizontal="center"/>
    </xf>
    <xf numFmtId="0" fontId="18" fillId="0" borderId="6" xfId="52" applyFill="1" applyAlignment="1">
      <alignment horizontal="right" wrapText="1"/>
    </xf>
    <xf numFmtId="9" fontId="17" fillId="0" borderId="6" xfId="13" applyNumberFormat="1" applyFill="1">
      <protection locked="0"/>
    </xf>
    <xf numFmtId="169" fontId="17" fillId="0" borderId="6" xfId="57" applyFont="1" applyFill="1" applyBorder="1">
      <protection locked="0"/>
    </xf>
    <xf numFmtId="0" fontId="31" fillId="0" borderId="18" xfId="0" applyFont="1" applyBorder="1"/>
    <xf numFmtId="0" fontId="31" fillId="0" borderId="18" xfId="0" applyFont="1" applyBorder="1" applyAlignment="1">
      <alignment horizontal="right"/>
    </xf>
    <xf numFmtId="181" fontId="31" fillId="0" borderId="18" xfId="0" applyNumberFormat="1" applyFont="1" applyBorder="1"/>
    <xf numFmtId="9" fontId="31" fillId="0" borderId="18" xfId="0" applyNumberFormat="1" applyFont="1" applyBorder="1"/>
    <xf numFmtId="180" fontId="31" fillId="0" borderId="18" xfId="0" applyNumberFormat="1" applyFont="1" applyBorder="1" applyAlignment="1">
      <alignment horizontal="right"/>
    </xf>
    <xf numFmtId="0" fontId="31" fillId="0" borderId="18" xfId="0" applyFont="1" applyBorder="1" applyAlignment="1">
      <alignment horizontal="center"/>
    </xf>
    <xf numFmtId="0" fontId="0" fillId="0" borderId="18" xfId="0" applyBorder="1"/>
    <xf numFmtId="0" fontId="36" fillId="0" borderId="18" xfId="0" applyFont="1" applyBorder="1" applyAlignment="1">
      <alignment horizontal="right"/>
    </xf>
    <xf numFmtId="0" fontId="31" fillId="0" borderId="19" xfId="0" applyFont="1" applyBorder="1"/>
    <xf numFmtId="0" fontId="42" fillId="0" borderId="19" xfId="0" applyFont="1" applyBorder="1"/>
    <xf numFmtId="0" fontId="31" fillId="0" borderId="19" xfId="0" applyFont="1" applyBorder="1" applyAlignment="1">
      <alignment horizontal="right"/>
    </xf>
    <xf numFmtId="0" fontId="31" fillId="0" borderId="19" xfId="0" applyFont="1" applyBorder="1" applyAlignment="1">
      <alignment horizontal="center"/>
    </xf>
    <xf numFmtId="10" fontId="31" fillId="0" borderId="19" xfId="0" quotePrefix="1" applyNumberFormat="1" applyFont="1" applyBorder="1" applyAlignment="1">
      <alignment horizontal="right"/>
    </xf>
    <xf numFmtId="0" fontId="2" fillId="0" borderId="0" xfId="0" applyFont="1"/>
    <xf numFmtId="185" fontId="1" fillId="0" borderId="6" xfId="14" applyNumberFormat="1" applyFill="1"/>
    <xf numFmtId="164" fontId="0" fillId="0" borderId="0" xfId="0" applyNumberFormat="1"/>
    <xf numFmtId="0" fontId="48" fillId="0" borderId="0" xfId="0" applyFont="1"/>
    <xf numFmtId="0" fontId="0" fillId="0" borderId="0" xfId="0" quotePrefix="1"/>
    <xf numFmtId="0" fontId="18" fillId="0" borderId="20" xfId="52" applyFill="1" applyBorder="1" applyAlignment="1">
      <alignment horizontal="left" wrapText="1"/>
    </xf>
    <xf numFmtId="179" fontId="1" fillId="0" borderId="20" xfId="14" applyNumberFormat="1" applyFill="1" applyBorder="1"/>
    <xf numFmtId="49" fontId="15" fillId="0" borderId="18" xfId="8" applyFill="1" applyBorder="1">
      <alignment horizontal="left"/>
    </xf>
    <xf numFmtId="0" fontId="1" fillId="0" borderId="20" xfId="14" applyFill="1" applyBorder="1"/>
    <xf numFmtId="0" fontId="1" fillId="0" borderId="18" xfId="14" applyFill="1" applyBorder="1"/>
    <xf numFmtId="0" fontId="39" fillId="0" borderId="18" xfId="0" applyFont="1" applyBorder="1"/>
    <xf numFmtId="0" fontId="31" fillId="0" borderId="20" xfId="0" applyFont="1" applyBorder="1"/>
    <xf numFmtId="0" fontId="36" fillId="0" borderId="20" xfId="0" applyFont="1" applyBorder="1" applyAlignment="1">
      <alignment horizontal="right"/>
    </xf>
    <xf numFmtId="0" fontId="0" fillId="0" borderId="20" xfId="0" applyBorder="1"/>
    <xf numFmtId="180" fontId="31" fillId="0" borderId="20" xfId="0" applyNumberFormat="1" applyFont="1" applyBorder="1" applyAlignment="1">
      <alignment horizontal="right"/>
    </xf>
    <xf numFmtId="183" fontId="38" fillId="0" borderId="0" xfId="0" applyNumberFormat="1" applyFont="1" applyAlignment="1">
      <alignment horizontal="left" vertical="top"/>
    </xf>
    <xf numFmtId="0" fontId="31" fillId="0" borderId="0" xfId="0" applyFont="1" applyAlignment="1">
      <alignment horizontal="left"/>
    </xf>
    <xf numFmtId="0" fontId="31" fillId="0" borderId="18" xfId="0" applyFont="1" applyBorder="1" applyAlignment="1">
      <alignment horizontal="center" vertical="center"/>
    </xf>
    <xf numFmtId="0" fontId="36" fillId="0" borderId="0" xfId="0" applyFont="1" applyAlignment="1">
      <alignment horizontal="left"/>
    </xf>
    <xf numFmtId="0" fontId="31" fillId="0" borderId="9" xfId="0" applyFont="1" applyBorder="1" applyAlignment="1">
      <alignment horizontal="center" vertical="center"/>
    </xf>
    <xf numFmtId="0" fontId="31" fillId="0" borderId="0" xfId="0" applyFont="1" applyAlignment="1">
      <alignment horizontal="center" vertical="center"/>
    </xf>
    <xf numFmtId="0" fontId="34" fillId="0" borderId="0" xfId="0" applyFont="1"/>
    <xf numFmtId="0" fontId="35" fillId="0" borderId="0" xfId="0" applyFont="1" applyAlignment="1">
      <alignment horizontal="right"/>
    </xf>
    <xf numFmtId="0" fontId="35" fillId="0" borderId="0" xfId="0" applyFont="1" applyAlignment="1">
      <alignment wrapText="1"/>
    </xf>
    <xf numFmtId="0" fontId="27" fillId="0" borderId="20" xfId="0" applyFont="1" applyBorder="1"/>
    <xf numFmtId="0" fontId="27" fillId="0" borderId="20" xfId="0" applyFont="1" applyBorder="1" applyAlignment="1">
      <alignment horizontal="right"/>
    </xf>
    <xf numFmtId="0" fontId="27" fillId="0" borderId="11" xfId="0" applyFont="1" applyBorder="1"/>
    <xf numFmtId="0" fontId="27" fillId="0" borderId="11" xfId="0" applyFont="1" applyBorder="1" applyAlignment="1">
      <alignment horizontal="right"/>
    </xf>
    <xf numFmtId="0" fontId="0" fillId="0" borderId="11" xfId="0" applyBorder="1"/>
    <xf numFmtId="0" fontId="27" fillId="0" borderId="18" xfId="0" applyFont="1" applyBorder="1"/>
    <xf numFmtId="0" fontId="27" fillId="0" borderId="18" xfId="0" applyFont="1" applyBorder="1" applyAlignment="1">
      <alignment horizontal="right"/>
    </xf>
    <xf numFmtId="0" fontId="50" fillId="0" borderId="20" xfId="0" applyFont="1" applyBorder="1" applyAlignment="1">
      <alignment horizontal="right"/>
    </xf>
    <xf numFmtId="0" fontId="50" fillId="0" borderId="20" xfId="0" applyFont="1" applyBorder="1"/>
    <xf numFmtId="170" fontId="50" fillId="0" borderId="20" xfId="55" applyFont="1" applyFill="1" applyBorder="1" applyAlignment="1" applyProtection="1">
      <alignment horizontal="right"/>
    </xf>
    <xf numFmtId="0" fontId="50" fillId="0" borderId="20" xfId="0" applyFont="1" applyBorder="1" applyAlignment="1">
      <alignment horizontal="center"/>
    </xf>
    <xf numFmtId="0" fontId="49" fillId="0" borderId="0" xfId="0" applyFont="1"/>
    <xf numFmtId="0" fontId="31" fillId="0" borderId="20" xfId="0" applyFont="1" applyBorder="1" applyAlignment="1">
      <alignment horizontal="right"/>
    </xf>
    <xf numFmtId="10" fontId="31" fillId="0" borderId="10" xfId="0" quotePrefix="1" applyNumberFormat="1" applyFont="1" applyBorder="1" applyAlignment="1">
      <alignment horizontal="right"/>
    </xf>
    <xf numFmtId="0" fontId="0" fillId="0" borderId="18" xfId="0" applyBorder="1" applyAlignment="1">
      <alignment vertical="center"/>
    </xf>
    <xf numFmtId="0" fontId="31" fillId="0" borderId="20" xfId="0" applyFont="1" applyBorder="1" applyAlignment="1">
      <alignment horizontal="center"/>
    </xf>
    <xf numFmtId="0" fontId="31" fillId="0" borderId="11" xfId="0" applyFont="1" applyBorder="1"/>
    <xf numFmtId="0" fontId="31" fillId="0" borderId="0" xfId="0" applyFont="1" applyAlignment="1">
      <alignment horizontal="centerContinuous"/>
    </xf>
    <xf numFmtId="0" fontId="0" fillId="0" borderId="0" xfId="0" applyAlignment="1">
      <alignment horizontal="centerContinuous"/>
    </xf>
    <xf numFmtId="0" fontId="11" fillId="0" borderId="18" xfId="0" applyFont="1" applyBorder="1"/>
    <xf numFmtId="0" fontId="31" fillId="0" borderId="18" xfId="0" applyFont="1" applyBorder="1" applyAlignment="1">
      <alignment vertical="center"/>
    </xf>
    <xf numFmtId="0" fontId="31" fillId="0" borderId="11" xfId="0" applyFont="1" applyBorder="1" applyAlignment="1">
      <alignment horizontal="centerContinuous"/>
    </xf>
    <xf numFmtId="0" fontId="0" fillId="0" borderId="11" xfId="0" applyBorder="1" applyAlignment="1">
      <alignment horizontal="centerContinuous"/>
    </xf>
    <xf numFmtId="10" fontId="31" fillId="0" borderId="20" xfId="0" quotePrefix="1" applyNumberFormat="1" applyFont="1" applyBorder="1" applyAlignment="1">
      <alignment horizontal="right"/>
    </xf>
    <xf numFmtId="10" fontId="31" fillId="0" borderId="18" xfId="0" quotePrefix="1" applyNumberFormat="1" applyFont="1" applyBorder="1" applyAlignment="1">
      <alignment horizontal="right"/>
    </xf>
    <xf numFmtId="0" fontId="0" fillId="0" borderId="10" xfId="0" applyBorder="1"/>
    <xf numFmtId="0" fontId="0" fillId="0" borderId="19" xfId="0" applyBorder="1"/>
    <xf numFmtId="0" fontId="36" fillId="39" borderId="15" xfId="0" applyFont="1" applyFill="1" applyBorder="1"/>
    <xf numFmtId="10" fontId="31" fillId="39" borderId="16" xfId="0" quotePrefix="1" applyNumberFormat="1" applyFont="1" applyFill="1" applyBorder="1" applyAlignment="1">
      <alignment horizontal="right"/>
    </xf>
    <xf numFmtId="181" fontId="31" fillId="39" borderId="12" xfId="0" applyNumberFormat="1" applyFont="1" applyFill="1" applyBorder="1" applyAlignment="1">
      <alignment horizontal="centerContinuous" vertical="top"/>
    </xf>
    <xf numFmtId="181" fontId="31" fillId="39" borderId="13" xfId="0" applyNumberFormat="1" applyFont="1" applyFill="1" applyBorder="1" applyAlignment="1">
      <alignment horizontal="centerContinuous" vertical="top"/>
    </xf>
    <xf numFmtId="0" fontId="31" fillId="39" borderId="13" xfId="0" applyFont="1" applyFill="1" applyBorder="1" applyAlignment="1">
      <alignment horizontal="centerContinuous" vertical="top"/>
    </xf>
    <xf numFmtId="0" fontId="31" fillId="39" borderId="14" xfId="0" applyFont="1" applyFill="1" applyBorder="1" applyAlignment="1">
      <alignment horizontal="centerContinuous" vertical="top"/>
    </xf>
    <xf numFmtId="0" fontId="36" fillId="0" borderId="20" xfId="0" applyFont="1" applyBorder="1" applyAlignment="1">
      <alignment horizontal="left"/>
    </xf>
    <xf numFmtId="16" fontId="0" fillId="0" borderId="0" xfId="0" applyNumberFormat="1"/>
    <xf numFmtId="170" fontId="0" fillId="0" borderId="0" xfId="0" applyNumberFormat="1"/>
    <xf numFmtId="169" fontId="1" fillId="0" borderId="6" xfId="55" applyNumberFormat="1" applyFont="1" applyFill="1" applyBorder="1" applyProtection="1"/>
    <xf numFmtId="186" fontId="1" fillId="0" borderId="0" xfId="14" applyNumberFormat="1" applyFill="1" applyBorder="1" applyAlignment="1"/>
    <xf numFmtId="0" fontId="51" fillId="0" borderId="0" xfId="58" applyFont="1" applyFill="1" applyBorder="1" applyAlignment="1" applyProtection="1">
      <alignment horizontal="left"/>
    </xf>
    <xf numFmtId="49" fontId="13" fillId="0" borderId="0" xfId="66"/>
    <xf numFmtId="0" fontId="0" fillId="0" borderId="0" xfId="0" applyAlignment="1">
      <alignment horizontal="left" indent="1"/>
    </xf>
    <xf numFmtId="0" fontId="18" fillId="0" borderId="6" xfId="52" applyFill="1" applyAlignment="1">
      <alignment horizontal="left" wrapText="1" indent="1"/>
    </xf>
    <xf numFmtId="0" fontId="18" fillId="0" borderId="6" xfId="52" applyFill="1" applyAlignment="1">
      <alignment horizontal="centerContinuous"/>
    </xf>
    <xf numFmtId="187" fontId="0" fillId="0" borderId="0" xfId="0" applyNumberFormat="1"/>
    <xf numFmtId="174" fontId="0" fillId="0" borderId="0" xfId="0" applyNumberFormat="1"/>
    <xf numFmtId="188" fontId="0" fillId="0" borderId="0" xfId="0" applyNumberFormat="1"/>
    <xf numFmtId="0" fontId="16" fillId="0" borderId="0" xfId="58" applyFill="1" applyBorder="1" applyAlignment="1" applyProtection="1">
      <alignment horizontal="left"/>
    </xf>
    <xf numFmtId="0" fontId="56" fillId="0" borderId="18" xfId="0" applyFont="1" applyBorder="1"/>
    <xf numFmtId="0" fontId="56" fillId="0" borderId="0" xfId="0" applyFont="1"/>
    <xf numFmtId="15" fontId="0" fillId="0" borderId="0" xfId="0" applyNumberFormat="1"/>
    <xf numFmtId="0" fontId="0" fillId="0" borderId="24" xfId="0" applyBorder="1"/>
    <xf numFmtId="15" fontId="0" fillId="0" borderId="24" xfId="0" applyNumberFormat="1" applyBorder="1"/>
    <xf numFmtId="0" fontId="0" fillId="0" borderId="25" xfId="0" applyBorder="1" applyAlignment="1">
      <alignment wrapText="1"/>
    </xf>
    <xf numFmtId="0" fontId="0" fillId="0" borderId="23" xfId="0" applyBorder="1"/>
    <xf numFmtId="0" fontId="58" fillId="0" borderId="0" xfId="0" applyFont="1" applyAlignment="1">
      <alignment vertical="top"/>
    </xf>
    <xf numFmtId="0" fontId="0" fillId="0" borderId="25" xfId="0" applyBorder="1"/>
    <xf numFmtId="0" fontId="52" fillId="0" borderId="0" xfId="58" applyFont="1" applyFill="1" applyBorder="1" applyAlignment="1" applyProtection="1">
      <alignment vertical="center"/>
    </xf>
    <xf numFmtId="49" fontId="47" fillId="0" borderId="0" xfId="69"/>
    <xf numFmtId="0" fontId="1" fillId="0" borderId="0" xfId="68"/>
    <xf numFmtId="0" fontId="1" fillId="0" borderId="0" xfId="68" applyAlignment="1">
      <alignment wrapText="1"/>
    </xf>
    <xf numFmtId="0" fontId="0" fillId="0" borderId="0" xfId="68" applyFont="1" applyAlignment="1">
      <alignment wrapText="1"/>
    </xf>
    <xf numFmtId="0" fontId="0" fillId="0" borderId="0" xfId="68" applyFont="1" applyAlignment="1">
      <alignment horizontal="left" wrapText="1" indent="1"/>
    </xf>
    <xf numFmtId="0" fontId="28" fillId="0" borderId="0" xfId="61">
      <alignment horizontal="right"/>
    </xf>
    <xf numFmtId="179" fontId="0" fillId="0" borderId="0" xfId="0" applyNumberFormat="1"/>
    <xf numFmtId="1" fontId="0" fillId="0" borderId="0" xfId="0" applyNumberFormat="1"/>
    <xf numFmtId="0" fontId="16" fillId="0" borderId="0" xfId="58" applyFill="1" applyBorder="1" applyAlignment="1" applyProtection="1">
      <alignment vertical="center"/>
    </xf>
    <xf numFmtId="49" fontId="14" fillId="0" borderId="0" xfId="7" applyFill="1" applyAlignment="1">
      <alignment horizontal="left"/>
    </xf>
    <xf numFmtId="1" fontId="61" fillId="0" borderId="0" xfId="71" applyNumberFormat="1"/>
    <xf numFmtId="0" fontId="1" fillId="0" borderId="6" xfId="50" applyNumberFormat="1" applyFont="1" applyFill="1" applyBorder="1" applyAlignment="1"/>
    <xf numFmtId="189" fontId="17" fillId="0" borderId="6" xfId="55" applyNumberFormat="1" applyFont="1" applyFill="1" applyBorder="1">
      <protection locked="0"/>
    </xf>
    <xf numFmtId="0" fontId="31" fillId="0" borderId="0" xfId="0" applyFont="1" applyAlignment="1">
      <alignment horizontal="right" vertical="center"/>
    </xf>
    <xf numFmtId="0" fontId="31" fillId="0" borderId="18" xfId="0" applyFont="1" applyBorder="1" applyAlignment="1">
      <alignment horizontal="right" vertical="center"/>
    </xf>
    <xf numFmtId="190" fontId="17" fillId="0" borderId="6" xfId="13" applyNumberFormat="1" applyFill="1">
      <protection locked="0"/>
    </xf>
    <xf numFmtId="0" fontId="16" fillId="0" borderId="0" xfId="58" applyFill="1" applyBorder="1" applyAlignment="1" applyProtection="1"/>
    <xf numFmtId="0" fontId="16" fillId="0" borderId="0" xfId="58" applyFill="1" applyAlignment="1" applyProtection="1"/>
    <xf numFmtId="0" fontId="61" fillId="0" borderId="0" xfId="71"/>
    <xf numFmtId="0" fontId="21" fillId="0" borderId="0" xfId="71" applyFont="1"/>
    <xf numFmtId="0" fontId="10" fillId="0" borderId="0" xfId="0" applyFont="1"/>
    <xf numFmtId="191" fontId="63" fillId="0" borderId="26" xfId="2" applyNumberFormat="1" applyFont="1" applyFill="1" applyBorder="1" applyAlignment="1" applyProtection="1">
      <protection locked="0"/>
    </xf>
    <xf numFmtId="191" fontId="63" fillId="0" borderId="26" xfId="2" applyNumberFormat="1" applyFont="1" applyFill="1" applyBorder="1" applyAlignment="1" applyProtection="1">
      <alignment horizontal="right"/>
      <protection locked="0"/>
    </xf>
    <xf numFmtId="192" fontId="2" fillId="0" borderId="0" xfId="0" applyNumberFormat="1" applyFont="1"/>
    <xf numFmtId="193" fontId="2" fillId="41" borderId="0" xfId="0" applyNumberFormat="1" applyFont="1" applyFill="1"/>
    <xf numFmtId="194" fontId="0" fillId="0" borderId="0" xfId="0" applyNumberFormat="1"/>
    <xf numFmtId="192" fontId="0" fillId="0" borderId="0" xfId="0" applyNumberFormat="1"/>
    <xf numFmtId="0" fontId="0" fillId="0" borderId="0" xfId="0" applyAlignment="1">
      <alignment vertical="top"/>
    </xf>
    <xf numFmtId="181" fontId="31" fillId="0" borderId="0" xfId="0" applyNumberFormat="1" applyFont="1"/>
    <xf numFmtId="9" fontId="31" fillId="0" borderId="0" xfId="0" applyNumberFormat="1" applyFont="1"/>
    <xf numFmtId="0" fontId="31" fillId="0" borderId="28" xfId="0" applyFont="1" applyBorder="1"/>
    <xf numFmtId="0" fontId="31" fillId="0" borderId="28" xfId="0" applyFont="1" applyBorder="1" applyAlignment="1">
      <alignment horizontal="centerContinuous"/>
    </xf>
    <xf numFmtId="0" fontId="0" fillId="0" borderId="28" xfId="0" applyBorder="1" applyAlignment="1">
      <alignment horizontal="centerContinuous"/>
    </xf>
    <xf numFmtId="0" fontId="27" fillId="0" borderId="11" xfId="0" applyFont="1" applyBorder="1" applyAlignment="1">
      <alignment horizontal="center"/>
    </xf>
    <xf numFmtId="0" fontId="0" fillId="0" borderId="11" xfId="0" applyBorder="1" applyAlignment="1">
      <alignment horizontal="center"/>
    </xf>
    <xf numFmtId="0" fontId="27" fillId="0" borderId="0" xfId="0" applyFont="1" applyAlignment="1">
      <alignment horizontal="center"/>
    </xf>
    <xf numFmtId="0" fontId="0" fillId="0" borderId="0" xfId="0" applyAlignment="1">
      <alignment horizontal="center"/>
    </xf>
    <xf numFmtId="0" fontId="27" fillId="0" borderId="9" xfId="0" applyFont="1" applyBorder="1" applyAlignment="1">
      <alignment horizontal="center"/>
    </xf>
    <xf numFmtId="0" fontId="0" fillId="0" borderId="9" xfId="0" applyBorder="1" applyAlignment="1">
      <alignment horizontal="center"/>
    </xf>
    <xf numFmtId="170" fontId="27" fillId="0" borderId="11" xfId="55" applyFont="1" applyFill="1" applyBorder="1" applyAlignment="1" applyProtection="1">
      <alignment horizontal="right"/>
    </xf>
    <xf numFmtId="0" fontId="0" fillId="0" borderId="11" xfId="0" applyBorder="1" applyAlignment="1">
      <alignment horizontal="right"/>
    </xf>
    <xf numFmtId="170" fontId="27" fillId="0" borderId="9" xfId="55" applyFont="1" applyFill="1" applyBorder="1" applyAlignment="1" applyProtection="1">
      <alignment horizontal="right"/>
    </xf>
    <xf numFmtId="0" fontId="0" fillId="0" borderId="9" xfId="0" applyBorder="1" applyAlignment="1">
      <alignment horizontal="right"/>
    </xf>
    <xf numFmtId="170" fontId="27" fillId="0" borderId="20" xfId="55" applyFont="1" applyFill="1" applyBorder="1" applyAlignment="1" applyProtection="1">
      <alignment horizontal="right"/>
    </xf>
    <xf numFmtId="0" fontId="0" fillId="0" borderId="20" xfId="0" applyBorder="1" applyAlignment="1">
      <alignment horizontal="right"/>
    </xf>
    <xf numFmtId="170" fontId="27" fillId="0" borderId="0" xfId="55" applyFont="1" applyFill="1" applyBorder="1" applyAlignment="1" applyProtection="1">
      <alignment horizontal="right"/>
    </xf>
    <xf numFmtId="0" fontId="0" fillId="0" borderId="0" xfId="0" applyAlignment="1">
      <alignment horizontal="right"/>
    </xf>
    <xf numFmtId="49" fontId="40" fillId="0" borderId="0" xfId="5" applyFont="1" applyFill="1" applyAlignment="1">
      <alignment horizontal="right" vertical="top"/>
    </xf>
    <xf numFmtId="0" fontId="31" fillId="0" borderId="0" xfId="0" applyFont="1" applyAlignment="1">
      <alignment horizontal="center"/>
    </xf>
    <xf numFmtId="0" fontId="0" fillId="0" borderId="0" xfId="0"/>
    <xf numFmtId="0" fontId="27" fillId="0" borderId="18" xfId="0" applyFont="1" applyBorder="1" applyAlignment="1">
      <alignment horizontal="center"/>
    </xf>
    <xf numFmtId="0" fontId="0" fillId="0" borderId="18" xfId="0" applyBorder="1" applyAlignment="1">
      <alignment horizontal="center"/>
    </xf>
    <xf numFmtId="170" fontId="27" fillId="0" borderId="18" xfId="55" applyFont="1" applyFill="1" applyBorder="1" applyAlignment="1" applyProtection="1">
      <alignment horizontal="right"/>
    </xf>
    <xf numFmtId="0" fontId="0" fillId="0" borderId="18" xfId="0" applyBorder="1" applyAlignment="1">
      <alignment horizontal="right"/>
    </xf>
    <xf numFmtId="0" fontId="35" fillId="0" borderId="0" xfId="0" applyFont="1" applyAlignment="1">
      <alignment horizontal="center" wrapText="1"/>
    </xf>
    <xf numFmtId="0" fontId="0" fillId="0" borderId="0" xfId="0" applyAlignment="1">
      <alignment horizontal="center" wrapText="1"/>
    </xf>
    <xf numFmtId="0" fontId="30" fillId="0" borderId="0" xfId="0" applyFont="1" applyAlignment="1">
      <alignment horizontal="center" wrapText="1"/>
    </xf>
    <xf numFmtId="0" fontId="31" fillId="0" borderId="0" xfId="0" applyFont="1" applyAlignment="1">
      <alignment vertical="top" wrapText="1"/>
    </xf>
    <xf numFmtId="0" fontId="0" fillId="0" borderId="0" xfId="0" applyAlignment="1">
      <alignment vertical="top" wrapText="1"/>
    </xf>
    <xf numFmtId="0" fontId="0" fillId="0" borderId="0" xfId="0" applyAlignment="1">
      <alignment vertical="top"/>
    </xf>
    <xf numFmtId="0" fontId="36" fillId="0" borderId="0" xfId="0" applyFont="1" applyAlignment="1">
      <alignment horizontal="right" vertical="top"/>
    </xf>
    <xf numFmtId="49" fontId="40" fillId="0" borderId="0" xfId="5" applyFont="1" applyFill="1" applyAlignment="1">
      <alignment horizontal="left" vertical="top"/>
    </xf>
    <xf numFmtId="0" fontId="27" fillId="0" borderId="20" xfId="0" applyFont="1" applyBorder="1" applyAlignment="1">
      <alignment horizontal="center"/>
    </xf>
    <xf numFmtId="0" fontId="0" fillId="0" borderId="20" xfId="0" applyBorder="1" applyAlignment="1">
      <alignment horizontal="center"/>
    </xf>
    <xf numFmtId="0" fontId="31" fillId="39" borderId="21" xfId="0" applyFont="1" applyFill="1" applyBorder="1" applyAlignment="1">
      <alignment horizontal="center" vertical="center" wrapText="1"/>
    </xf>
    <xf numFmtId="0" fontId="0" fillId="0" borderId="21" xfId="0" applyBorder="1" applyAlignment="1">
      <alignment horizontal="center" vertical="center" wrapText="1"/>
    </xf>
    <xf numFmtId="0" fontId="0" fillId="0" borderId="22" xfId="0" applyBorder="1" applyAlignment="1">
      <alignment horizontal="center" vertical="center" wrapText="1"/>
    </xf>
    <xf numFmtId="0" fontId="36" fillId="0" borderId="0" xfId="0" applyFont="1" applyAlignment="1">
      <alignment horizontal="left" wrapText="1"/>
    </xf>
    <xf numFmtId="0" fontId="31" fillId="0" borderId="0" xfId="0" applyFont="1" applyAlignment="1">
      <alignment horizontal="left" vertical="center" wrapText="1"/>
    </xf>
    <xf numFmtId="0" fontId="36" fillId="0" borderId="0" xfId="0" applyFont="1" applyAlignment="1">
      <alignment horizontal="center" vertical="center" wrapText="1"/>
    </xf>
    <xf numFmtId="0" fontId="36" fillId="0" borderId="18" xfId="0" applyFont="1" applyBorder="1" applyAlignment="1">
      <alignment horizontal="center" vertical="center" wrapText="1"/>
    </xf>
    <xf numFmtId="0" fontId="36" fillId="0" borderId="0" xfId="0" applyFont="1" applyAlignment="1">
      <alignment horizontal="center" wrapText="1"/>
    </xf>
    <xf numFmtId="0" fontId="36" fillId="0" borderId="18" xfId="0" applyFont="1" applyBorder="1" applyAlignment="1">
      <alignment horizontal="center" wrapText="1"/>
    </xf>
    <xf numFmtId="0" fontId="55" fillId="0" borderId="0" xfId="0" applyFont="1" applyAlignment="1">
      <alignment horizontal="left" wrapText="1"/>
    </xf>
    <xf numFmtId="0" fontId="31" fillId="0" borderId="20" xfId="0" applyFont="1" applyBorder="1" applyAlignment="1">
      <alignment horizontal="center" vertical="center"/>
    </xf>
    <xf numFmtId="0" fontId="31" fillId="0" borderId="0" xfId="0" applyFont="1" applyAlignment="1">
      <alignment horizontal="center" vertical="center"/>
    </xf>
    <xf numFmtId="0" fontId="36" fillId="0" borderId="27" xfId="0" applyFont="1" applyBorder="1" applyAlignment="1">
      <alignment horizontal="right" wrapText="1"/>
    </xf>
    <xf numFmtId="0" fontId="36" fillId="0" borderId="18" xfId="0" applyFont="1" applyBorder="1" applyAlignment="1">
      <alignment horizontal="right" wrapText="1"/>
    </xf>
    <xf numFmtId="0" fontId="54" fillId="0" borderId="0" xfId="0" applyFont="1" applyAlignment="1">
      <alignment horizontal="center" wrapText="1"/>
    </xf>
    <xf numFmtId="10" fontId="36" fillId="0" borderId="0" xfId="0" quotePrefix="1" applyNumberFormat="1" applyFont="1" applyAlignment="1">
      <alignment horizontal="right" wrapText="1"/>
    </xf>
    <xf numFmtId="0" fontId="36" fillId="0" borderId="0" xfId="0" applyFont="1" applyAlignment="1">
      <alignment horizontal="right" wrapText="1"/>
    </xf>
  </cellXfs>
  <cellStyles count="74">
    <cellStyle name="20% - Accent1" xfId="23" builtinId="30" hidden="1"/>
    <cellStyle name="20% - Accent2" xfId="27" builtinId="34" hidden="1"/>
    <cellStyle name="20% - Accent3" xfId="31" builtinId="38" hidden="1"/>
    <cellStyle name="20% - Accent4" xfId="35" builtinId="42" hidden="1"/>
    <cellStyle name="20% - Accent5" xfId="39" builtinId="46" hidden="1"/>
    <cellStyle name="20% - Accent6" xfId="43" builtinId="50" hidden="1"/>
    <cellStyle name="40% - Accent1" xfId="24" builtinId="31" hidden="1"/>
    <cellStyle name="40% - Accent2" xfId="28" builtinId="35" hidden="1"/>
    <cellStyle name="40% - Accent3" xfId="32" builtinId="39" hidden="1"/>
    <cellStyle name="40% - Accent4" xfId="36" builtinId="43" hidden="1"/>
    <cellStyle name="40% - Accent5" xfId="40" builtinId="47" hidden="1"/>
    <cellStyle name="40% - Accent6" xfId="44" builtinId="51" hidden="1"/>
    <cellStyle name="60% - Accent1" xfId="25" builtinId="32" hidden="1"/>
    <cellStyle name="60% - Accent2" xfId="29" builtinId="36" hidden="1"/>
    <cellStyle name="60% - Accent3" xfId="33" builtinId="40" hidden="1"/>
    <cellStyle name="60% - Accent4" xfId="37" builtinId="44" hidden="1"/>
    <cellStyle name="60% - Accent5" xfId="41" builtinId="48" hidden="1"/>
    <cellStyle name="60% - Accent6" xfId="45" builtinId="52" hidden="1"/>
    <cellStyle name="Accent1" xfId="22" builtinId="29" hidden="1"/>
    <cellStyle name="Accent2" xfId="26" builtinId="33" hidden="1"/>
    <cellStyle name="Accent3" xfId="30" builtinId="37" hidden="1"/>
    <cellStyle name="Accent4" xfId="34" builtinId="41" hidden="1"/>
    <cellStyle name="Accent5" xfId="38" builtinId="45" hidden="1"/>
    <cellStyle name="Accent6" xfId="42" builtinId="49" hidden="1"/>
    <cellStyle name="Bad" xfId="11" builtinId="27" hidden="1"/>
    <cellStyle name="Calculation" xfId="15" builtinId="22" hidden="1"/>
    <cellStyle name="Check Cell" xfId="17" builtinId="23" hidden="1"/>
    <cellStyle name="Comma" xfId="1" builtinId="3" hidden="1"/>
    <cellStyle name="Comma [0]" xfId="2" builtinId="6" customBuiltin="1"/>
    <cellStyle name="Comma [1]" xfId="57" xr:uid="{00000000-0005-0000-0000-00001D000000}"/>
    <cellStyle name="Comma [2]" xfId="55" xr:uid="{00000000-0005-0000-0000-00001E000000}"/>
    <cellStyle name="Comma [4]" xfId="54" xr:uid="{00000000-0005-0000-0000-00001F000000}"/>
    <cellStyle name="Currency" xfId="3" builtinId="4" hidden="1"/>
    <cellStyle name="Currency [0]" xfId="4" builtinId="7" hidden="1"/>
    <cellStyle name="Date (short)" xfId="53" xr:uid="{00000000-0005-0000-0000-000022000000}"/>
    <cellStyle name="Drop down" xfId="62" xr:uid="{00000000-0005-0000-0000-000023000000}"/>
    <cellStyle name="Explanatory Text" xfId="20" builtinId="53" customBuiltin="1"/>
    <cellStyle name="Good" xfId="10" builtinId="26" hidden="1"/>
    <cellStyle name="Header" xfId="63" xr:uid="{00000000-0005-0000-0000-000026000000}"/>
    <cellStyle name="Heading 1" xfId="6" builtinId="16" customBuiltin="1"/>
    <cellStyle name="Heading 1 2" xfId="66" xr:uid="{00000000-0005-0000-0000-000028000000}"/>
    <cellStyle name="Heading 2" xfId="7" builtinId="17" customBuiltin="1"/>
    <cellStyle name="Heading 3" xfId="8" builtinId="18" customBuiltin="1"/>
    <cellStyle name="Heading 4" xfId="9" builtinId="19" hidden="1"/>
    <cellStyle name="Heavy Box 2" xfId="70" xr:uid="{00000000-0005-0000-0000-00002C000000}"/>
    <cellStyle name="Hyperlink" xfId="58" builtinId="8" customBuiltin="1"/>
    <cellStyle name="Input" xfId="13" builtinId="20" customBuiltin="1"/>
    <cellStyle name="Label" xfId="52" xr:uid="{00000000-0005-0000-0000-00002F000000}"/>
    <cellStyle name="Link" xfId="51" xr:uid="{00000000-0005-0000-0000-000030000000}"/>
    <cellStyle name="Linked Cell" xfId="16" builtinId="24" hidden="1"/>
    <cellStyle name="Neutral" xfId="12" builtinId="28" hidden="1"/>
    <cellStyle name="Normal" xfId="0" builtinId="0" customBuiltin="1"/>
    <cellStyle name="Normal 2" xfId="61" xr:uid="{00000000-0005-0000-0000-000034000000}"/>
    <cellStyle name="Normal 2 2" xfId="73" xr:uid="{301D7505-E209-4B5B-98D8-FCA21ECDF287}"/>
    <cellStyle name="Normal 3" xfId="67" xr:uid="{00000000-0005-0000-0000-000035000000}"/>
    <cellStyle name="Normal 4" xfId="65" xr:uid="{00000000-0005-0000-0000-000036000000}"/>
    <cellStyle name="Normal 5" xfId="71" xr:uid="{F82AB35C-C8C8-4919-A498-D9F53D9ECD0B}"/>
    <cellStyle name="Normal 6" xfId="72" xr:uid="{2B6D68B8-3BF0-4FC3-9420-256DA91409EE}"/>
    <cellStyle name="Normal 7" xfId="68" xr:uid="{00000000-0005-0000-0000-000037000000}"/>
    <cellStyle name="Note" xfId="19" builtinId="10" hidden="1"/>
    <cellStyle name="Output" xfId="14" builtinId="21" customBuiltin="1"/>
    <cellStyle name="Percent" xfId="59" builtinId="5" hidden="1" customBuiltin="1"/>
    <cellStyle name="Percent [0]" xfId="60" xr:uid="{00000000-0005-0000-0000-00003B000000}"/>
    <cellStyle name="Percent [1]" xfId="50" xr:uid="{00000000-0005-0000-0000-00003C000000}"/>
    <cellStyle name="Percent [2]" xfId="49" xr:uid="{00000000-0005-0000-0000-00003D000000}"/>
    <cellStyle name="Percent [3]" xfId="48" xr:uid="{00000000-0005-0000-0000-00003E000000}"/>
    <cellStyle name="Rt border" xfId="47" xr:uid="{00000000-0005-0000-0000-00003F000000}"/>
    <cellStyle name="Style 1" xfId="64" xr:uid="{00000000-0005-0000-0000-000040000000}"/>
    <cellStyle name="Text" xfId="56" xr:uid="{00000000-0005-0000-0000-000041000000}"/>
    <cellStyle name="Title" xfId="5" builtinId="15" customBuiltin="1"/>
    <cellStyle name="Title 2" xfId="69" xr:uid="{00000000-0005-0000-0000-000043000000}"/>
    <cellStyle name="Total" xfId="21" builtinId="25" hidden="1"/>
    <cellStyle name="Warning Text" xfId="18" builtinId="11" hidden="1"/>
    <cellStyle name="Year" xfId="46" xr:uid="{00000000-0005-0000-0000-000046000000}"/>
  </cellStyles>
  <dxfs count="5">
    <dxf>
      <fill>
        <patternFill>
          <bgColor rgb="FFBCE292"/>
        </patternFill>
      </fill>
    </dxf>
    <dxf>
      <fill>
        <patternFill>
          <bgColor theme="2" tint="0.79995117038483843"/>
        </patternFill>
      </fill>
    </dxf>
    <dxf>
      <fill>
        <patternFill>
          <bgColor rgb="FFBCE292"/>
        </patternFill>
      </fill>
    </dxf>
    <dxf>
      <fill>
        <patternFill>
          <bgColor theme="2" tint="0.79995117038483843"/>
        </patternFill>
      </fill>
    </dxf>
    <dxf>
      <border>
        <left style="thin">
          <color theme="2" tint="0.59996337778862885"/>
        </left>
        <right style="thin">
          <color theme="2" tint="0.59996337778862885"/>
        </right>
        <top style="thin">
          <color theme="2" tint="0.59996337778862885"/>
        </top>
        <bottom style="thin">
          <color theme="2" tint="0.59996337778862885"/>
        </bottom>
        <vertical/>
        <horizontal/>
      </border>
    </dxf>
  </dxfs>
  <tableStyles count="0" defaultTableStyle="TableStyleMedium2" defaultPivotStyle="PivotStyleLight16"/>
  <colors>
    <mruColors>
      <color rgb="FFCCFFCC"/>
      <color rgb="FFFFFF99"/>
      <color rgb="FFFF6699"/>
      <color rgb="FFFF5050"/>
      <color rgb="FFBCE292"/>
      <color rgb="FFFF8C6D"/>
      <color rgb="FF499CA5"/>
      <color rgb="FFB1D9DD"/>
      <color rgb="FF8AC6CC"/>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worksheet" Target="worksheets/sheet13.xml" Id="rId13" /><Relationship Type="http://schemas.openxmlformats.org/officeDocument/2006/relationships/calcChain" Target="calcChain.xml" Id="rId18" /><Relationship Type="http://schemas.openxmlformats.org/officeDocument/2006/relationships/worksheet" Target="worksheets/sheet3.xml" Id="rId3" /><Relationship Type="http://schemas.openxmlformats.org/officeDocument/2006/relationships/worksheet" Target="worksheets/sheet7.xml" Id="rId7" /><Relationship Type="http://schemas.openxmlformats.org/officeDocument/2006/relationships/worksheet" Target="worksheets/sheet12.xml" Id="rId12" /><Relationship Type="http://schemas.openxmlformats.org/officeDocument/2006/relationships/sheetMetadata" Target="metadata.xml" Id="rId17" /><Relationship Type="http://schemas.openxmlformats.org/officeDocument/2006/relationships/worksheet" Target="worksheets/sheet2.xml" Id="rId2" /><Relationship Type="http://schemas.openxmlformats.org/officeDocument/2006/relationships/sharedStrings" Target="sharedStrings.xml" Id="rId16"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11.xml" Id="rId11" /><Relationship Type="http://schemas.openxmlformats.org/officeDocument/2006/relationships/worksheet" Target="worksheets/sheet5.xml" Id="rId5" /><Relationship Type="http://schemas.openxmlformats.org/officeDocument/2006/relationships/styles" Target="styles.xml" Id="rId15" /><Relationship Type="http://schemas.openxmlformats.org/officeDocument/2006/relationships/worksheet" Target="worksheets/sheet10.xml" Id="rId10"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theme" Target="theme/theme1.xml" Id="rId14" /><Relationship Type="http://schemas.openxmlformats.org/officeDocument/2006/relationships/customXml" Target="/customXML/item.xml" Id="imanage.xml" /></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5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293963254593176E-2"/>
          <c:y val="6.5119027799447893E-2"/>
          <c:w val="0.87487270341207346"/>
          <c:h val="0.75397928791644042"/>
        </c:manualLayout>
      </c:layout>
      <c:lineChart>
        <c:grouping val="standard"/>
        <c:varyColors val="0"/>
        <c:ser>
          <c:idx val="0"/>
          <c:order val="0"/>
          <c:spPr>
            <a:ln>
              <a:solidFill>
                <a:schemeClr val="accent5"/>
              </a:solidFill>
            </a:ln>
          </c:spPr>
          <c:marker>
            <c:symbol val="none"/>
          </c:marker>
          <c:cat>
            <c:strRef>
              <c:f>Calculations!$C$3:$Q$3</c:f>
              <c:strCache>
                <c:ptCount val="15"/>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strCache>
            </c:strRef>
          </c:cat>
          <c:val>
            <c:numRef>
              <c:f>Calculations!$C$27:$Q$27</c:f>
              <c:numCache>
                <c:formatCode>_(* #,##0.00_);_(* \(#,##0.00\);_(* "–"???_);_(* @_)</c:formatCode>
                <c:ptCount val="15"/>
                <c:pt idx="0">
                  <c:v>62.557820312499999</c:v>
                </c:pt>
                <c:pt idx="1">
                  <c:v>63.44437109375</c:v>
                </c:pt>
                <c:pt idx="2">
                  <c:v>56.150101562499998</c:v>
                </c:pt>
                <c:pt idx="3">
                  <c:v>60.988468750000003</c:v>
                </c:pt>
                <c:pt idx="4">
                  <c:v>61.467656249999997</c:v>
                </c:pt>
              </c:numCache>
            </c:numRef>
          </c:val>
          <c:smooth val="0"/>
          <c:extLst>
            <c:ext xmlns:c16="http://schemas.microsoft.com/office/drawing/2014/chart" uri="{C3380CC4-5D6E-409C-BE32-E72D297353CC}">
              <c16:uniqueId val="{00000000-39DE-4A7B-BEAE-2D403A1D8051}"/>
            </c:ext>
          </c:extLst>
        </c:ser>
        <c:ser>
          <c:idx val="1"/>
          <c:order val="1"/>
          <c:spPr>
            <a:ln>
              <a:solidFill>
                <a:schemeClr val="accent5"/>
              </a:solidFill>
              <a:prstDash val="sysDash"/>
            </a:ln>
          </c:spPr>
          <c:marker>
            <c:symbol val="none"/>
          </c:marker>
          <c:cat>
            <c:strRef>
              <c:f>Calculations!$C$3:$Q$3</c:f>
              <c:strCache>
                <c:ptCount val="15"/>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strCache>
            </c:strRef>
          </c:cat>
          <c:val>
            <c:numRef>
              <c:f>Calculations!$C$28:$Q$28</c:f>
              <c:numCache>
                <c:formatCode>General</c:formatCode>
                <c:ptCount val="15"/>
                <c:pt idx="5" formatCode="_(* #,##0.00_);_(* \(#,##0.00\);_(* &quot;–&quot;???_);_(* @_)">
                  <c:v>62.697687500000001</c:v>
                </c:pt>
                <c:pt idx="6" formatCode="_(* #,##0.00_);_(* \(#,##0.00\);_(* &quot;–&quot;???_);_(* @_)">
                  <c:v>58.428246093749998</c:v>
                </c:pt>
                <c:pt idx="7" formatCode="_(* #,##0.00_);_(* \(#,##0.00\);_(* &quot;–&quot;???_);_(* @_)">
                  <c:v>60.048371093749999</c:v>
                </c:pt>
                <c:pt idx="8" formatCode="_(* #,##0.00_);_(* \(#,##0.00\);_(* &quot;–&quot;???_);_(* @_)">
                  <c:v>60.425867187500003</c:v>
                </c:pt>
                <c:pt idx="9" formatCode="_(* #,##0.00_);_(* \(#,##0.00\);_(* &quot;–&quot;???_);_(* @_)">
                  <c:v>60.149242187500001</c:v>
                </c:pt>
                <c:pt idx="10" formatCode="_(* #,##0.00_);_(* \(#,##0.00\);_(* &quot;–&quot;???_);_(* @_)">
                  <c:v>60.470968749999997</c:v>
                </c:pt>
                <c:pt idx="11" formatCode="_(* #,##0.00_);_(* \(#,##0.00\);_(* &quot;–&quot;???_);_(* @_)">
                  <c:v>57.011492187499996</c:v>
                </c:pt>
                <c:pt idx="12" formatCode="_(* #,##0.00_);_(* \(#,##0.00\);_(* &quot;–&quot;???_);_(* @_)">
                  <c:v>57.305425781250001</c:v>
                </c:pt>
                <c:pt idx="13" formatCode="_(* #,##0.00_);_(* \(#,##0.00\);_(* &quot;–&quot;???_);_(* @_)">
                  <c:v>55.476328125000002</c:v>
                </c:pt>
                <c:pt idx="14" formatCode="_(* #,##0.00_);_(* \(#,##0.00\);_(* &quot;–&quot;???_);_(* @_)">
                  <c:v>55.209539062499999</c:v>
                </c:pt>
              </c:numCache>
            </c:numRef>
          </c:val>
          <c:smooth val="0"/>
          <c:extLst>
            <c:ext xmlns:c16="http://schemas.microsoft.com/office/drawing/2014/chart" uri="{C3380CC4-5D6E-409C-BE32-E72D297353CC}">
              <c16:uniqueId val="{00000001-39DE-4A7B-BEAE-2D403A1D8051}"/>
            </c:ext>
          </c:extLst>
        </c:ser>
        <c:ser>
          <c:idx val="2"/>
          <c:order val="2"/>
          <c:tx>
            <c:v>y-1 forecast</c:v>
          </c:tx>
          <c:spPr>
            <a:ln>
              <a:noFill/>
            </a:ln>
          </c:spPr>
          <c:marker>
            <c:symbol val="diamond"/>
            <c:size val="5"/>
            <c:spPr>
              <a:solidFill>
                <a:schemeClr val="tx1"/>
              </a:solidFill>
              <a:ln>
                <a:solidFill>
                  <a:schemeClr val="tx1"/>
                </a:solidFill>
              </a:ln>
            </c:spPr>
          </c:marker>
          <c:cat>
            <c:strRef>
              <c:f>Calculations!$C$3:$Q$3</c:f>
              <c:strCache>
                <c:ptCount val="15"/>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strCache>
            </c:strRef>
          </c:cat>
          <c:val>
            <c:numRef>
              <c:f>Calculations!$C$29:$Q$29</c:f>
              <c:numCache>
                <c:formatCode>_(* #,##0.00_);_(* \(#,##0.00\);_(* "–"???_);_(* @_)</c:formatCode>
                <c:ptCount val="15"/>
                <c:pt idx="0">
                  <c:v>61.606312500000001</c:v>
                </c:pt>
                <c:pt idx="1">
                  <c:v>62.55196484375</c:v>
                </c:pt>
                <c:pt idx="2">
                  <c:v>66.697453124999996</c:v>
                </c:pt>
                <c:pt idx="3">
                  <c:v>65.478382812500001</c:v>
                </c:pt>
                <c:pt idx="4">
                  <c:v>77.075859374999993</c:v>
                </c:pt>
              </c:numCache>
            </c:numRef>
          </c:val>
          <c:smooth val="0"/>
          <c:extLst>
            <c:ext xmlns:c16="http://schemas.microsoft.com/office/drawing/2014/chart" uri="{C3380CC4-5D6E-409C-BE32-E72D297353CC}">
              <c16:uniqueId val="{00000002-39DE-4A7B-BEAE-2D403A1D8051}"/>
            </c:ext>
          </c:extLst>
        </c:ser>
        <c:ser>
          <c:idx val="3"/>
          <c:order val="3"/>
          <c:tx>
            <c:v>y-2 forecast</c:v>
          </c:tx>
          <c:spPr>
            <a:ln>
              <a:noFill/>
            </a:ln>
          </c:spPr>
          <c:marker>
            <c:symbol val="circle"/>
            <c:size val="4"/>
            <c:spPr>
              <a:solidFill>
                <a:schemeClr val="tx1"/>
              </a:solidFill>
              <a:ln>
                <a:solidFill>
                  <a:schemeClr val="tx1"/>
                </a:solidFill>
              </a:ln>
            </c:spPr>
          </c:marker>
          <c:cat>
            <c:strRef>
              <c:f>Calculations!$C$3:$Q$3</c:f>
              <c:strCache>
                <c:ptCount val="15"/>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strCache>
            </c:strRef>
          </c:cat>
          <c:val>
            <c:numRef>
              <c:f>Calculations!$C$30:$Q$30</c:f>
              <c:numCache>
                <c:formatCode>_(* #,##0.00_);_(* \(#,##0.00\);_(* "–"???_);_(* @_)</c:formatCode>
                <c:ptCount val="15"/>
                <c:pt idx="0">
                  <c:v>51.718929687500001</c:v>
                </c:pt>
                <c:pt idx="1">
                  <c:v>54.299062499999998</c:v>
                </c:pt>
                <c:pt idx="2">
                  <c:v>63.589160156250003</c:v>
                </c:pt>
                <c:pt idx="3">
                  <c:v>70.146062499999999</c:v>
                </c:pt>
                <c:pt idx="4">
                  <c:v>66.373249999999999</c:v>
                </c:pt>
              </c:numCache>
            </c:numRef>
          </c:val>
          <c:smooth val="0"/>
          <c:extLst>
            <c:ext xmlns:c16="http://schemas.microsoft.com/office/drawing/2014/chart" uri="{C3380CC4-5D6E-409C-BE32-E72D297353CC}">
              <c16:uniqueId val="{00000003-39DE-4A7B-BEAE-2D403A1D8051}"/>
            </c:ext>
          </c:extLst>
        </c:ser>
        <c:dLbls>
          <c:showLegendKey val="0"/>
          <c:showVal val="0"/>
          <c:showCatName val="0"/>
          <c:showSerName val="0"/>
          <c:showPercent val="0"/>
          <c:showBubbleSize val="0"/>
        </c:dLbls>
        <c:smooth val="0"/>
        <c:axId val="342936960"/>
        <c:axId val="130064768"/>
      </c:lineChart>
      <c:catAx>
        <c:axId val="342936960"/>
        <c:scaling>
          <c:orientation val="minMax"/>
        </c:scaling>
        <c:delete val="0"/>
        <c:axPos val="b"/>
        <c:numFmt formatCode="00##" sourceLinked="0"/>
        <c:majorTickMark val="out"/>
        <c:minorTickMark val="none"/>
        <c:tickLblPos val="nextTo"/>
        <c:txPr>
          <a:bodyPr/>
          <a:lstStyle/>
          <a:p>
            <a:pPr>
              <a:defRPr sz="800"/>
            </a:pPr>
            <a:endParaRPr lang="en-US"/>
          </a:p>
        </c:txPr>
        <c:crossAx val="130064768"/>
        <c:crosses val="autoZero"/>
        <c:auto val="1"/>
        <c:lblAlgn val="ctr"/>
        <c:lblOffset val="100"/>
        <c:noMultiLvlLbl val="0"/>
      </c:catAx>
      <c:valAx>
        <c:axId val="130064768"/>
        <c:scaling>
          <c:orientation val="minMax"/>
          <c:min val="0"/>
        </c:scaling>
        <c:delete val="0"/>
        <c:axPos val="l"/>
        <c:majorGridlines>
          <c:spPr>
            <a:ln>
              <a:solidFill>
                <a:schemeClr val="bg1">
                  <a:lumMod val="85000"/>
                </a:schemeClr>
              </a:solidFill>
            </a:ln>
          </c:spPr>
        </c:majorGridlines>
        <c:numFmt formatCode="#0&quot;m&quot;" sourceLinked="0"/>
        <c:majorTickMark val="out"/>
        <c:minorTickMark val="none"/>
        <c:tickLblPos val="nextTo"/>
        <c:spPr>
          <a:ln>
            <a:noFill/>
          </a:ln>
        </c:spPr>
        <c:txPr>
          <a:bodyPr/>
          <a:lstStyle/>
          <a:p>
            <a:pPr>
              <a:defRPr sz="800"/>
            </a:pPr>
            <a:endParaRPr lang="en-US"/>
          </a:p>
        </c:txPr>
        <c:crossAx val="342936960"/>
        <c:crosses val="autoZero"/>
        <c:crossBetween val="midCat"/>
      </c:valAx>
      <c:spPr>
        <a:noFill/>
      </c:spPr>
    </c:plotArea>
    <c:legend>
      <c:legendPos val="r"/>
      <c:legendEntry>
        <c:idx val="0"/>
        <c:delete val="1"/>
      </c:legendEntry>
      <c:legendEntry>
        <c:idx val="1"/>
        <c:delete val="1"/>
      </c:legendEntry>
      <c:layout>
        <c:manualLayout>
          <c:xMode val="edge"/>
          <c:yMode val="edge"/>
          <c:x val="0.80106726579520693"/>
          <c:y val="0.55701875000000001"/>
          <c:w val="0.19724567274358543"/>
          <c:h val="0.25113611919939144"/>
        </c:manualLayout>
      </c:layout>
      <c:overlay val="1"/>
      <c:txPr>
        <a:bodyPr/>
        <a:lstStyle/>
        <a:p>
          <a:pPr>
            <a:defRPr sz="8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Calculations!$C$18:$G$18</c:f>
              <c:numCache>
                <c:formatCode>_(* #,##0.00_);_(* \(#,##0.00\);_(* "–"???_);_(* @_)</c:formatCode>
                <c:ptCount val="5"/>
                <c:pt idx="0">
                  <c:v>62.557820312499999</c:v>
                </c:pt>
                <c:pt idx="1">
                  <c:v>63.44437109375</c:v>
                </c:pt>
                <c:pt idx="2">
                  <c:v>56.150101562499998</c:v>
                </c:pt>
                <c:pt idx="3">
                  <c:v>60.988468750000003</c:v>
                </c:pt>
                <c:pt idx="4">
                  <c:v>61.467656249999997</c:v>
                </c:pt>
              </c:numCache>
            </c:numRef>
          </c:val>
          <c:smooth val="0"/>
          <c:extLst>
            <c:ext xmlns:c16="http://schemas.microsoft.com/office/drawing/2014/chart" uri="{C3380CC4-5D6E-409C-BE32-E72D297353CC}">
              <c16:uniqueId val="{00000000-173F-4CA7-81B0-9DD838695A40}"/>
            </c:ext>
          </c:extLst>
        </c:ser>
        <c:dLbls>
          <c:showLegendKey val="0"/>
          <c:showVal val="0"/>
          <c:showCatName val="0"/>
          <c:showSerName val="0"/>
          <c:showPercent val="0"/>
          <c:showBubbleSize val="0"/>
        </c:dLbls>
        <c:smooth val="0"/>
        <c:axId val="133434368"/>
        <c:axId val="133448448"/>
      </c:lineChart>
      <c:catAx>
        <c:axId val="133434368"/>
        <c:scaling>
          <c:orientation val="minMax"/>
        </c:scaling>
        <c:delete val="1"/>
        <c:axPos val="b"/>
        <c:majorTickMark val="out"/>
        <c:minorTickMark val="none"/>
        <c:tickLblPos val="nextTo"/>
        <c:crossAx val="133448448"/>
        <c:crosses val="autoZero"/>
        <c:auto val="1"/>
        <c:lblAlgn val="ctr"/>
        <c:lblOffset val="100"/>
        <c:noMultiLvlLbl val="0"/>
      </c:catAx>
      <c:valAx>
        <c:axId val="133448448"/>
        <c:scaling>
          <c:orientation val="minMax"/>
          <c:min val="0"/>
        </c:scaling>
        <c:delete val="1"/>
        <c:axPos val="l"/>
        <c:numFmt formatCode="_(* #,##0.00_);_(* \(#,##0.00\);_(* &quot;–&quot;???_);_(* @_)" sourceLinked="1"/>
        <c:majorTickMark val="out"/>
        <c:minorTickMark val="none"/>
        <c:tickLblPos val="nextTo"/>
        <c:crossAx val="133434368"/>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Calculations!$C$19:$G$19</c:f>
              <c:numCache>
                <c:formatCode>_(* #,##0.00_);_(* \(#,##0.00\);_(* "–"???_);_(* @_)</c:formatCode>
                <c:ptCount val="5"/>
                <c:pt idx="0">
                  <c:v>38.052234374999998</c:v>
                </c:pt>
                <c:pt idx="1">
                  <c:v>37.854132812499998</c:v>
                </c:pt>
                <c:pt idx="2">
                  <c:v>41.713871093750001</c:v>
                </c:pt>
                <c:pt idx="3">
                  <c:v>43.393222656250003</c:v>
                </c:pt>
                <c:pt idx="4">
                  <c:v>44.906222656250002</c:v>
                </c:pt>
              </c:numCache>
            </c:numRef>
          </c:val>
          <c:smooth val="0"/>
          <c:extLst>
            <c:ext xmlns:c16="http://schemas.microsoft.com/office/drawing/2014/chart" uri="{C3380CC4-5D6E-409C-BE32-E72D297353CC}">
              <c16:uniqueId val="{00000000-26E7-4BAE-96F0-87FA4CF3EC1D}"/>
            </c:ext>
          </c:extLst>
        </c:ser>
        <c:dLbls>
          <c:showLegendKey val="0"/>
          <c:showVal val="0"/>
          <c:showCatName val="0"/>
          <c:showSerName val="0"/>
          <c:showPercent val="0"/>
          <c:showBubbleSize val="0"/>
        </c:dLbls>
        <c:smooth val="0"/>
        <c:axId val="133484544"/>
        <c:axId val="133486080"/>
      </c:lineChart>
      <c:catAx>
        <c:axId val="133484544"/>
        <c:scaling>
          <c:orientation val="minMax"/>
        </c:scaling>
        <c:delete val="1"/>
        <c:axPos val="b"/>
        <c:majorTickMark val="out"/>
        <c:minorTickMark val="none"/>
        <c:tickLblPos val="nextTo"/>
        <c:crossAx val="133486080"/>
        <c:crosses val="autoZero"/>
        <c:auto val="1"/>
        <c:lblAlgn val="ctr"/>
        <c:lblOffset val="100"/>
        <c:noMultiLvlLbl val="0"/>
      </c:catAx>
      <c:valAx>
        <c:axId val="133486080"/>
        <c:scaling>
          <c:orientation val="minMax"/>
          <c:min val="0"/>
        </c:scaling>
        <c:delete val="1"/>
        <c:axPos val="l"/>
        <c:numFmt formatCode="_(* #,##0.00_);_(* \(#,##0.00\);_(* &quot;–&quot;???_);_(* @_)" sourceLinked="1"/>
        <c:majorTickMark val="out"/>
        <c:minorTickMark val="none"/>
        <c:tickLblPos val="nextTo"/>
        <c:crossAx val="133484544"/>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Calculations!#REF!</c:f>
              <c:numCache>
                <c:formatCode>General</c:formatCode>
                <c:ptCount val="1"/>
                <c:pt idx="0">
                  <c:v>1</c:v>
                </c:pt>
              </c:numCache>
            </c:numRef>
          </c:val>
          <c:smooth val="0"/>
          <c:extLst>
            <c:ext xmlns:c16="http://schemas.microsoft.com/office/drawing/2014/chart" uri="{C3380CC4-5D6E-409C-BE32-E72D297353CC}">
              <c16:uniqueId val="{00000000-8DEE-438A-AA07-8FEDCE9538CF}"/>
            </c:ext>
          </c:extLst>
        </c:ser>
        <c:dLbls>
          <c:showLegendKey val="0"/>
          <c:showVal val="0"/>
          <c:showCatName val="0"/>
          <c:showSerName val="0"/>
          <c:showPercent val="0"/>
          <c:showBubbleSize val="0"/>
        </c:dLbls>
        <c:smooth val="0"/>
        <c:axId val="133575424"/>
        <c:axId val="133576960"/>
      </c:lineChart>
      <c:catAx>
        <c:axId val="133575424"/>
        <c:scaling>
          <c:orientation val="minMax"/>
        </c:scaling>
        <c:delete val="1"/>
        <c:axPos val="b"/>
        <c:majorTickMark val="out"/>
        <c:minorTickMark val="none"/>
        <c:tickLblPos val="nextTo"/>
        <c:crossAx val="133576960"/>
        <c:crosses val="autoZero"/>
        <c:auto val="1"/>
        <c:lblAlgn val="ctr"/>
        <c:lblOffset val="100"/>
        <c:noMultiLvlLbl val="0"/>
      </c:catAx>
      <c:valAx>
        <c:axId val="133576960"/>
        <c:scaling>
          <c:orientation val="minMax"/>
          <c:min val="0"/>
        </c:scaling>
        <c:delete val="1"/>
        <c:axPos val="l"/>
        <c:numFmt formatCode="General" sourceLinked="1"/>
        <c:majorTickMark val="out"/>
        <c:minorTickMark val="none"/>
        <c:tickLblPos val="nextTo"/>
        <c:crossAx val="133575424"/>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Calculations!$C$22:$G$22</c:f>
              <c:numCache>
                <c:formatCode>_(* #,##0.00_);_(* \(#,##0.00\);_(* "–"???_);_(* @_)</c:formatCode>
                <c:ptCount val="5"/>
                <c:pt idx="0">
                  <c:v>18044.34765625</c:v>
                </c:pt>
                <c:pt idx="1">
                  <c:v>18260.974609375</c:v>
                </c:pt>
                <c:pt idx="2">
                  <c:v>18419.23046875</c:v>
                </c:pt>
                <c:pt idx="3">
                  <c:v>18579.42578125</c:v>
                </c:pt>
                <c:pt idx="4">
                  <c:v>18854.630859375</c:v>
                </c:pt>
              </c:numCache>
            </c:numRef>
          </c:val>
          <c:smooth val="0"/>
          <c:extLst>
            <c:ext xmlns:c16="http://schemas.microsoft.com/office/drawing/2014/chart" uri="{C3380CC4-5D6E-409C-BE32-E72D297353CC}">
              <c16:uniqueId val="{00000000-A688-4761-8407-CBACD0529F00}"/>
            </c:ext>
          </c:extLst>
        </c:ser>
        <c:dLbls>
          <c:showLegendKey val="0"/>
          <c:showVal val="0"/>
          <c:showCatName val="0"/>
          <c:showSerName val="0"/>
          <c:showPercent val="0"/>
          <c:showBubbleSize val="0"/>
        </c:dLbls>
        <c:smooth val="0"/>
        <c:axId val="133613056"/>
        <c:axId val="133614592"/>
      </c:lineChart>
      <c:catAx>
        <c:axId val="133613056"/>
        <c:scaling>
          <c:orientation val="minMax"/>
        </c:scaling>
        <c:delete val="1"/>
        <c:axPos val="b"/>
        <c:majorTickMark val="out"/>
        <c:minorTickMark val="none"/>
        <c:tickLblPos val="nextTo"/>
        <c:crossAx val="133614592"/>
        <c:crosses val="autoZero"/>
        <c:auto val="1"/>
        <c:lblAlgn val="ctr"/>
        <c:lblOffset val="100"/>
        <c:noMultiLvlLbl val="0"/>
      </c:catAx>
      <c:valAx>
        <c:axId val="133614592"/>
        <c:scaling>
          <c:orientation val="minMax"/>
          <c:min val="0"/>
        </c:scaling>
        <c:delete val="1"/>
        <c:axPos val="l"/>
        <c:numFmt formatCode="_(* #,##0.00_);_(* \(#,##0.00\);_(* &quot;–&quot;???_);_(* @_)" sourceLinked="1"/>
        <c:majorTickMark val="out"/>
        <c:minorTickMark val="none"/>
        <c:tickLblPos val="nextTo"/>
        <c:crossAx val="13361305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Calculations!$C$7:$G$7</c:f>
              <c:numCache>
                <c:formatCode>_(* #,##0.00_);_(* \(#,##0.00\);_(* "–"???_);_(* @_)</c:formatCode>
                <c:ptCount val="5"/>
                <c:pt idx="0">
                  <c:v>952.68593750000002</c:v>
                </c:pt>
                <c:pt idx="1">
                  <c:v>995.48625000000004</c:v>
                </c:pt>
                <c:pt idx="2">
                  <c:v>1021.5801875</c:v>
                </c:pt>
                <c:pt idx="3">
                  <c:v>1064.12175</c:v>
                </c:pt>
                <c:pt idx="4">
                  <c:v>1159.2874999999999</c:v>
                </c:pt>
              </c:numCache>
            </c:numRef>
          </c:val>
          <c:smooth val="0"/>
          <c:extLst>
            <c:ext xmlns:c16="http://schemas.microsoft.com/office/drawing/2014/chart" uri="{C3380CC4-5D6E-409C-BE32-E72D297353CC}">
              <c16:uniqueId val="{00000000-8F75-44F5-BBEF-C35537DE3411}"/>
            </c:ext>
          </c:extLst>
        </c:ser>
        <c:ser>
          <c:idx val="1"/>
          <c:order val="1"/>
          <c:spPr>
            <a:ln>
              <a:noFill/>
            </a:ln>
          </c:spPr>
          <c:marker>
            <c:symbol val="none"/>
          </c:marker>
          <c:val>
            <c:numRef>
              <c:f>Calculations!$C$23:$G$23</c:f>
              <c:numCache>
                <c:formatCode>General</c:formatCode>
                <c:ptCount val="5"/>
              </c:numCache>
            </c:numRef>
          </c:val>
          <c:smooth val="0"/>
          <c:extLst>
            <c:ext xmlns:c16="http://schemas.microsoft.com/office/drawing/2014/chart" uri="{C3380CC4-5D6E-409C-BE32-E72D297353CC}">
              <c16:uniqueId val="{00000001-8F75-44F5-BBEF-C35537DE3411}"/>
            </c:ext>
          </c:extLst>
        </c:ser>
        <c:dLbls>
          <c:showLegendKey val="0"/>
          <c:showVal val="0"/>
          <c:showCatName val="0"/>
          <c:showSerName val="0"/>
          <c:showPercent val="0"/>
          <c:showBubbleSize val="0"/>
        </c:dLbls>
        <c:smooth val="0"/>
        <c:axId val="133622784"/>
        <c:axId val="133645056"/>
      </c:lineChart>
      <c:catAx>
        <c:axId val="133622784"/>
        <c:scaling>
          <c:orientation val="minMax"/>
        </c:scaling>
        <c:delete val="1"/>
        <c:axPos val="b"/>
        <c:majorTickMark val="out"/>
        <c:minorTickMark val="none"/>
        <c:tickLblPos val="nextTo"/>
        <c:crossAx val="133645056"/>
        <c:crosses val="autoZero"/>
        <c:auto val="1"/>
        <c:lblAlgn val="ctr"/>
        <c:lblOffset val="100"/>
        <c:noMultiLvlLbl val="0"/>
      </c:catAx>
      <c:valAx>
        <c:axId val="133645056"/>
        <c:scaling>
          <c:orientation val="minMax"/>
          <c:min val="0"/>
        </c:scaling>
        <c:delete val="1"/>
        <c:axPos val="l"/>
        <c:numFmt formatCode="_(* #,##0.00_);_(* \(#,##0.00\);_(* &quot;–&quot;???_);_(* @_)" sourceLinked="1"/>
        <c:majorTickMark val="out"/>
        <c:minorTickMark val="none"/>
        <c:tickLblPos val="nextTo"/>
        <c:crossAx val="133622784"/>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293963254593176E-2"/>
          <c:y val="7.6188948732319725E-2"/>
          <c:w val="0.87487270341207346"/>
          <c:h val="0.74290936698356858"/>
        </c:manualLayout>
      </c:layout>
      <c:lineChart>
        <c:grouping val="standard"/>
        <c:varyColors val="0"/>
        <c:ser>
          <c:idx val="0"/>
          <c:order val="0"/>
          <c:spPr>
            <a:ln>
              <a:solidFill>
                <a:schemeClr val="accent5"/>
              </a:solidFill>
            </a:ln>
          </c:spPr>
          <c:marker>
            <c:symbol val="none"/>
          </c:marker>
          <c:cat>
            <c:strRef>
              <c:f>Calculations!$C$3:$Q$3</c:f>
              <c:strCache>
                <c:ptCount val="15"/>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strCache>
            </c:strRef>
          </c:cat>
          <c:val>
            <c:numRef>
              <c:f>Calculations!$C$50:$Q$50</c:f>
              <c:numCache>
                <c:formatCode>_(* #,##0.00_);_(* \(#,##0.00\);_(* "–"???_);_(* @_)</c:formatCode>
                <c:ptCount val="15"/>
                <c:pt idx="0">
                  <c:v>38.052234374999998</c:v>
                </c:pt>
                <c:pt idx="1">
                  <c:v>37.854132812499998</c:v>
                </c:pt>
                <c:pt idx="2">
                  <c:v>41.713871093750001</c:v>
                </c:pt>
                <c:pt idx="3">
                  <c:v>43.393222656250003</c:v>
                </c:pt>
                <c:pt idx="4">
                  <c:v>44.906222656250002</c:v>
                </c:pt>
              </c:numCache>
            </c:numRef>
          </c:val>
          <c:smooth val="0"/>
          <c:extLst>
            <c:ext xmlns:c16="http://schemas.microsoft.com/office/drawing/2014/chart" uri="{C3380CC4-5D6E-409C-BE32-E72D297353CC}">
              <c16:uniqueId val="{00000000-EF97-4A3D-8AB6-15141A6D92BB}"/>
            </c:ext>
          </c:extLst>
        </c:ser>
        <c:ser>
          <c:idx val="1"/>
          <c:order val="1"/>
          <c:spPr>
            <a:ln>
              <a:solidFill>
                <a:schemeClr val="accent5"/>
              </a:solidFill>
              <a:prstDash val="sysDash"/>
            </a:ln>
          </c:spPr>
          <c:marker>
            <c:symbol val="none"/>
          </c:marker>
          <c:cat>
            <c:strRef>
              <c:f>Calculations!$C$3:$Q$3</c:f>
              <c:strCache>
                <c:ptCount val="15"/>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strCache>
            </c:strRef>
          </c:cat>
          <c:val>
            <c:numRef>
              <c:f>Calculations!$C$51:$Q$51</c:f>
              <c:numCache>
                <c:formatCode>General</c:formatCode>
                <c:ptCount val="15"/>
                <c:pt idx="5" formatCode="_(* #,##0.00_);_(* \(#,##0.00\);_(* &quot;–&quot;???_);_(* @_)">
                  <c:v>47.785699218749997</c:v>
                </c:pt>
                <c:pt idx="6" formatCode="_(* #,##0.00_);_(* \(#,##0.00\);_(* &quot;–&quot;???_);_(* @_)">
                  <c:v>49.281476562500004</c:v>
                </c:pt>
                <c:pt idx="7" formatCode="_(* #,##0.00_);_(* \(#,##0.00\);_(* &quot;–&quot;???_);_(* @_)">
                  <c:v>50.348433593750002</c:v>
                </c:pt>
                <c:pt idx="8" formatCode="_(* #,##0.00_);_(* \(#,##0.00\);_(* &quot;–&quot;???_);_(* @_)">
                  <c:v>51.777292968749997</c:v>
                </c:pt>
                <c:pt idx="9" formatCode="_(* #,##0.00_);_(* \(#,##0.00\);_(* &quot;–&quot;???_);_(* @_)">
                  <c:v>53.199652343750003</c:v>
                </c:pt>
                <c:pt idx="10" formatCode="_(* #,##0.00_);_(* \(#,##0.00\);_(* &quot;–&quot;???_);_(* @_)">
                  <c:v>54.463222656249997</c:v>
                </c:pt>
                <c:pt idx="11" formatCode="_(* #,##0.00_);_(* \(#,##0.00\);_(* &quot;–&quot;???_);_(* @_)">
                  <c:v>55.525523437499999</c:v>
                </c:pt>
                <c:pt idx="12" formatCode="_(* #,##0.00_);_(* \(#,##0.00\);_(* &quot;–&quot;???_);_(* @_)">
                  <c:v>56.70821875</c:v>
                </c:pt>
                <c:pt idx="13" formatCode="_(* #,##0.00_);_(* \(#,##0.00\);_(* &quot;–&quot;???_);_(* @_)">
                  <c:v>57.974148437499998</c:v>
                </c:pt>
                <c:pt idx="14" formatCode="_(* #,##0.00_);_(* \(#,##0.00\);_(* &quot;–&quot;???_);_(* @_)">
                  <c:v>59.228832031250001</c:v>
                </c:pt>
              </c:numCache>
            </c:numRef>
          </c:val>
          <c:smooth val="0"/>
          <c:extLst>
            <c:ext xmlns:c16="http://schemas.microsoft.com/office/drawing/2014/chart" uri="{C3380CC4-5D6E-409C-BE32-E72D297353CC}">
              <c16:uniqueId val="{00000001-EF97-4A3D-8AB6-15141A6D92BB}"/>
            </c:ext>
          </c:extLst>
        </c:ser>
        <c:ser>
          <c:idx val="2"/>
          <c:order val="2"/>
          <c:tx>
            <c:v>y-1 forecast</c:v>
          </c:tx>
          <c:spPr>
            <a:ln>
              <a:noFill/>
            </a:ln>
          </c:spPr>
          <c:marker>
            <c:symbol val="diamond"/>
            <c:size val="5"/>
            <c:spPr>
              <a:solidFill>
                <a:schemeClr val="tx1"/>
              </a:solidFill>
              <a:ln>
                <a:solidFill>
                  <a:schemeClr val="tx1"/>
                </a:solidFill>
              </a:ln>
            </c:spPr>
          </c:marker>
          <c:cat>
            <c:strRef>
              <c:f>Calculations!$C$3:$Q$3</c:f>
              <c:strCache>
                <c:ptCount val="15"/>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strCache>
            </c:strRef>
          </c:cat>
          <c:val>
            <c:numRef>
              <c:f>Calculations!$C$52:$Q$52</c:f>
              <c:numCache>
                <c:formatCode>_(* #,##0.00_);_(* \(#,##0.00\);_(* "–"???_);_(* @_)</c:formatCode>
                <c:ptCount val="15"/>
                <c:pt idx="0">
                  <c:v>38.38382421875</c:v>
                </c:pt>
                <c:pt idx="1">
                  <c:v>39.387441406249998</c:v>
                </c:pt>
                <c:pt idx="2">
                  <c:v>40.426703125000003</c:v>
                </c:pt>
                <c:pt idx="3">
                  <c:v>43.536800781250001</c:v>
                </c:pt>
                <c:pt idx="4">
                  <c:v>45.130882812499998</c:v>
                </c:pt>
              </c:numCache>
            </c:numRef>
          </c:val>
          <c:smooth val="0"/>
          <c:extLst>
            <c:ext xmlns:c16="http://schemas.microsoft.com/office/drawing/2014/chart" uri="{C3380CC4-5D6E-409C-BE32-E72D297353CC}">
              <c16:uniqueId val="{00000002-EF97-4A3D-8AB6-15141A6D92BB}"/>
            </c:ext>
          </c:extLst>
        </c:ser>
        <c:ser>
          <c:idx val="3"/>
          <c:order val="3"/>
          <c:tx>
            <c:v>y-2 forecast</c:v>
          </c:tx>
          <c:spPr>
            <a:ln>
              <a:noFill/>
            </a:ln>
          </c:spPr>
          <c:marker>
            <c:symbol val="circle"/>
            <c:size val="4"/>
            <c:spPr>
              <a:solidFill>
                <a:schemeClr val="tx1"/>
              </a:solidFill>
              <a:ln>
                <a:solidFill>
                  <a:schemeClr val="tx1"/>
                </a:solidFill>
              </a:ln>
            </c:spPr>
          </c:marker>
          <c:cat>
            <c:strRef>
              <c:f>Calculations!$C$3:$Q$3</c:f>
              <c:strCache>
                <c:ptCount val="15"/>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strCache>
            </c:strRef>
          </c:cat>
          <c:val>
            <c:numRef>
              <c:f>Calculations!$C$53:$G$53</c:f>
              <c:numCache>
                <c:formatCode>_(* #,##0.00_);_(* \(#,##0.00\);_(* "–"???_);_(* @_)</c:formatCode>
                <c:ptCount val="5"/>
                <c:pt idx="0">
                  <c:v>37.945671875000002</c:v>
                </c:pt>
                <c:pt idx="1">
                  <c:v>39.150800781249998</c:v>
                </c:pt>
                <c:pt idx="2">
                  <c:v>39.787574218750002</c:v>
                </c:pt>
                <c:pt idx="3">
                  <c:v>40.960828124999999</c:v>
                </c:pt>
                <c:pt idx="4">
                  <c:v>44.294609375</c:v>
                </c:pt>
              </c:numCache>
            </c:numRef>
          </c:val>
          <c:smooth val="0"/>
          <c:extLst>
            <c:ext xmlns:c16="http://schemas.microsoft.com/office/drawing/2014/chart" uri="{C3380CC4-5D6E-409C-BE32-E72D297353CC}">
              <c16:uniqueId val="{00000003-EF97-4A3D-8AB6-15141A6D92BB}"/>
            </c:ext>
          </c:extLst>
        </c:ser>
        <c:dLbls>
          <c:showLegendKey val="0"/>
          <c:showVal val="0"/>
          <c:showCatName val="0"/>
          <c:showSerName val="0"/>
          <c:showPercent val="0"/>
          <c:showBubbleSize val="0"/>
        </c:dLbls>
        <c:smooth val="0"/>
        <c:axId val="133670784"/>
        <c:axId val="133672960"/>
      </c:lineChart>
      <c:catAx>
        <c:axId val="133670784"/>
        <c:scaling>
          <c:orientation val="minMax"/>
        </c:scaling>
        <c:delete val="0"/>
        <c:axPos val="b"/>
        <c:numFmt formatCode="00##" sourceLinked="0"/>
        <c:majorTickMark val="out"/>
        <c:minorTickMark val="none"/>
        <c:tickLblPos val="nextTo"/>
        <c:txPr>
          <a:bodyPr/>
          <a:lstStyle/>
          <a:p>
            <a:pPr>
              <a:defRPr sz="800"/>
            </a:pPr>
            <a:endParaRPr lang="en-US"/>
          </a:p>
        </c:txPr>
        <c:crossAx val="133672960"/>
        <c:crosses val="autoZero"/>
        <c:auto val="1"/>
        <c:lblAlgn val="ctr"/>
        <c:lblOffset val="100"/>
        <c:noMultiLvlLbl val="0"/>
      </c:catAx>
      <c:valAx>
        <c:axId val="133672960"/>
        <c:scaling>
          <c:orientation val="minMax"/>
          <c:min val="0"/>
        </c:scaling>
        <c:delete val="0"/>
        <c:axPos val="l"/>
        <c:majorGridlines>
          <c:spPr>
            <a:ln>
              <a:solidFill>
                <a:schemeClr val="bg1">
                  <a:lumMod val="85000"/>
                </a:schemeClr>
              </a:solidFill>
            </a:ln>
          </c:spPr>
        </c:majorGridlines>
        <c:numFmt formatCode="#0&quot;m&quot;" sourceLinked="0"/>
        <c:majorTickMark val="out"/>
        <c:minorTickMark val="none"/>
        <c:tickLblPos val="nextTo"/>
        <c:spPr>
          <a:ln>
            <a:noFill/>
          </a:ln>
        </c:spPr>
        <c:txPr>
          <a:bodyPr/>
          <a:lstStyle/>
          <a:p>
            <a:pPr>
              <a:defRPr sz="800"/>
            </a:pPr>
            <a:endParaRPr lang="en-US"/>
          </a:p>
        </c:txPr>
        <c:crossAx val="133670784"/>
        <c:crosses val="autoZero"/>
        <c:crossBetween val="midCat"/>
      </c:valAx>
      <c:spPr>
        <a:noFill/>
      </c:spPr>
    </c:plotArea>
    <c:legend>
      <c:legendPos val="r"/>
      <c:legendEntry>
        <c:idx val="0"/>
        <c:delete val="1"/>
      </c:legendEntry>
      <c:legendEntry>
        <c:idx val="1"/>
        <c:delete val="1"/>
      </c:legendEntry>
      <c:layout>
        <c:manualLayout>
          <c:xMode val="edge"/>
          <c:yMode val="edge"/>
          <c:x val="0.8041492374727669"/>
          <c:y val="0.5775380140781039"/>
          <c:w val="0.19585083453038282"/>
          <c:h val="0.23563180399255004"/>
        </c:manualLayout>
      </c:layout>
      <c:overlay val="1"/>
      <c:txPr>
        <a:bodyPr/>
        <a:lstStyle/>
        <a:p>
          <a:pPr>
            <a:defRPr sz="8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Calculations!$C$32:$G$32</c:f>
              <c:numCache>
                <c:formatCode>_(* #,##0.00_);_(* \(#,##0.00\);_(* "–"???_);_(* @_)</c:formatCode>
                <c:ptCount val="5"/>
                <c:pt idx="0">
                  <c:v>36.347015624999997</c:v>
                </c:pt>
                <c:pt idx="1">
                  <c:v>31.884460937499998</c:v>
                </c:pt>
                <c:pt idx="2">
                  <c:v>31.153230468749999</c:v>
                </c:pt>
                <c:pt idx="3">
                  <c:v>32.27514453125</c:v>
                </c:pt>
                <c:pt idx="4">
                  <c:v>27.643898437499999</c:v>
                </c:pt>
              </c:numCache>
            </c:numRef>
          </c:val>
          <c:smooth val="0"/>
          <c:extLst>
            <c:ext xmlns:c16="http://schemas.microsoft.com/office/drawing/2014/chart" uri="{C3380CC4-5D6E-409C-BE32-E72D297353CC}">
              <c16:uniqueId val="{00000000-1C6E-4C94-8318-77777714ADD2}"/>
            </c:ext>
          </c:extLst>
        </c:ser>
        <c:dLbls>
          <c:showLegendKey val="0"/>
          <c:showVal val="0"/>
          <c:showCatName val="0"/>
          <c:showSerName val="0"/>
          <c:showPercent val="0"/>
          <c:showBubbleSize val="0"/>
        </c:dLbls>
        <c:smooth val="0"/>
        <c:axId val="133772032"/>
        <c:axId val="133773568"/>
      </c:lineChart>
      <c:catAx>
        <c:axId val="133772032"/>
        <c:scaling>
          <c:orientation val="minMax"/>
        </c:scaling>
        <c:delete val="1"/>
        <c:axPos val="b"/>
        <c:majorTickMark val="out"/>
        <c:minorTickMark val="none"/>
        <c:tickLblPos val="nextTo"/>
        <c:crossAx val="133773568"/>
        <c:crosses val="autoZero"/>
        <c:auto val="1"/>
        <c:lblAlgn val="ctr"/>
        <c:lblOffset val="100"/>
        <c:noMultiLvlLbl val="0"/>
      </c:catAx>
      <c:valAx>
        <c:axId val="133773568"/>
        <c:scaling>
          <c:orientation val="minMax"/>
          <c:min val="0"/>
        </c:scaling>
        <c:delete val="1"/>
        <c:axPos val="l"/>
        <c:numFmt formatCode="_(* #,##0.00_);_(* \(#,##0.00\);_(* &quot;–&quot;???_);_(* @_)" sourceLinked="1"/>
        <c:majorTickMark val="out"/>
        <c:minorTickMark val="none"/>
        <c:tickLblPos val="nextTo"/>
        <c:crossAx val="13377203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Calculations!$C$33:$G$33</c:f>
              <c:numCache>
                <c:formatCode>_(* #,##0.00_);_(* \(#,##0.00\);_(* "–"???_);_(* @_)</c:formatCode>
                <c:ptCount val="5"/>
                <c:pt idx="0">
                  <c:v>5.3034345703124997</c:v>
                </c:pt>
                <c:pt idx="1">
                  <c:v>6.5582065429687502</c:v>
                </c:pt>
                <c:pt idx="2">
                  <c:v>9.8726259765624995</c:v>
                </c:pt>
                <c:pt idx="3">
                  <c:v>9.9403642578125009</c:v>
                </c:pt>
                <c:pt idx="4">
                  <c:v>14.41997265625</c:v>
                </c:pt>
              </c:numCache>
            </c:numRef>
          </c:val>
          <c:smooth val="0"/>
          <c:extLst>
            <c:ext xmlns:c16="http://schemas.microsoft.com/office/drawing/2014/chart" uri="{C3380CC4-5D6E-409C-BE32-E72D297353CC}">
              <c16:uniqueId val="{00000000-3331-4819-89F8-F19D121E53C2}"/>
            </c:ext>
          </c:extLst>
        </c:ser>
        <c:dLbls>
          <c:showLegendKey val="0"/>
          <c:showVal val="0"/>
          <c:showCatName val="0"/>
          <c:showSerName val="0"/>
          <c:showPercent val="0"/>
          <c:showBubbleSize val="0"/>
        </c:dLbls>
        <c:smooth val="0"/>
        <c:axId val="133789184"/>
        <c:axId val="133790720"/>
      </c:lineChart>
      <c:catAx>
        <c:axId val="133789184"/>
        <c:scaling>
          <c:orientation val="minMax"/>
        </c:scaling>
        <c:delete val="1"/>
        <c:axPos val="b"/>
        <c:majorTickMark val="out"/>
        <c:minorTickMark val="none"/>
        <c:tickLblPos val="nextTo"/>
        <c:crossAx val="133790720"/>
        <c:crosses val="autoZero"/>
        <c:auto val="1"/>
        <c:lblAlgn val="ctr"/>
        <c:lblOffset val="100"/>
        <c:noMultiLvlLbl val="0"/>
      </c:catAx>
      <c:valAx>
        <c:axId val="133790720"/>
        <c:scaling>
          <c:orientation val="minMax"/>
          <c:min val="0"/>
        </c:scaling>
        <c:delete val="1"/>
        <c:axPos val="l"/>
        <c:numFmt formatCode="_(* #,##0.00_);_(* \(#,##0.00\);_(* &quot;–&quot;???_);_(* @_)" sourceLinked="1"/>
        <c:majorTickMark val="out"/>
        <c:minorTickMark val="none"/>
        <c:tickLblPos val="nextTo"/>
        <c:crossAx val="133789184"/>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Calculations!$C$34:$G$34</c:f>
              <c:numCache>
                <c:formatCode>_(* #,##0.00_);_(* \(#,##0.00\);_(* "–"???_);_(* @_)</c:formatCode>
                <c:ptCount val="5"/>
                <c:pt idx="0">
                  <c:v>4.8493554687499998</c:v>
                </c:pt>
                <c:pt idx="1">
                  <c:v>8.1382509765624995</c:v>
                </c:pt>
                <c:pt idx="2">
                  <c:v>3.3474306640624998</c:v>
                </c:pt>
                <c:pt idx="3">
                  <c:v>6.9780825195312497</c:v>
                </c:pt>
                <c:pt idx="4">
                  <c:v>7.1558691406249997</c:v>
                </c:pt>
              </c:numCache>
            </c:numRef>
          </c:val>
          <c:smooth val="0"/>
          <c:extLst>
            <c:ext xmlns:c16="http://schemas.microsoft.com/office/drawing/2014/chart" uri="{C3380CC4-5D6E-409C-BE32-E72D297353CC}">
              <c16:uniqueId val="{00000000-C1D5-4435-84FA-53D0B8F1162F}"/>
            </c:ext>
          </c:extLst>
        </c:ser>
        <c:dLbls>
          <c:showLegendKey val="0"/>
          <c:showVal val="0"/>
          <c:showCatName val="0"/>
          <c:showSerName val="0"/>
          <c:showPercent val="0"/>
          <c:showBubbleSize val="0"/>
        </c:dLbls>
        <c:smooth val="0"/>
        <c:axId val="133916928"/>
        <c:axId val="133918720"/>
      </c:lineChart>
      <c:catAx>
        <c:axId val="133916928"/>
        <c:scaling>
          <c:orientation val="minMax"/>
        </c:scaling>
        <c:delete val="1"/>
        <c:axPos val="b"/>
        <c:majorTickMark val="out"/>
        <c:minorTickMark val="none"/>
        <c:tickLblPos val="nextTo"/>
        <c:crossAx val="133918720"/>
        <c:crosses val="autoZero"/>
        <c:auto val="1"/>
        <c:lblAlgn val="ctr"/>
        <c:lblOffset val="100"/>
        <c:noMultiLvlLbl val="0"/>
      </c:catAx>
      <c:valAx>
        <c:axId val="133918720"/>
        <c:scaling>
          <c:orientation val="minMax"/>
          <c:min val="0"/>
        </c:scaling>
        <c:delete val="1"/>
        <c:axPos val="l"/>
        <c:numFmt formatCode="_(* #,##0.00_);_(* \(#,##0.00\);_(* &quot;–&quot;???_);_(* @_)" sourceLinked="1"/>
        <c:majorTickMark val="out"/>
        <c:minorTickMark val="none"/>
        <c:tickLblPos val="nextTo"/>
        <c:crossAx val="133916928"/>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Calculations!$C$35:$G$35</c:f>
              <c:numCache>
                <c:formatCode>_(* #,##0.00_);_(* \(#,##0.00\);_(* "–"???_);_(* @_)</c:formatCode>
                <c:ptCount val="5"/>
                <c:pt idx="0">
                  <c:v>6.0734204101562499</c:v>
                </c:pt>
                <c:pt idx="1">
                  <c:v>7.5929824218749999</c:v>
                </c:pt>
                <c:pt idx="2">
                  <c:v>4.1269863281249997</c:v>
                </c:pt>
                <c:pt idx="3">
                  <c:v>4.3223867187499998</c:v>
                </c:pt>
                <c:pt idx="4">
                  <c:v>4.8147558593750004</c:v>
                </c:pt>
              </c:numCache>
            </c:numRef>
          </c:val>
          <c:smooth val="0"/>
          <c:extLst>
            <c:ext xmlns:c16="http://schemas.microsoft.com/office/drawing/2014/chart" uri="{C3380CC4-5D6E-409C-BE32-E72D297353CC}">
              <c16:uniqueId val="{00000000-C65F-4EB0-AB79-06AB00CA14E2}"/>
            </c:ext>
          </c:extLst>
        </c:ser>
        <c:dLbls>
          <c:showLegendKey val="0"/>
          <c:showVal val="0"/>
          <c:showCatName val="0"/>
          <c:showSerName val="0"/>
          <c:showPercent val="0"/>
          <c:showBubbleSize val="0"/>
        </c:dLbls>
        <c:smooth val="0"/>
        <c:axId val="133934080"/>
        <c:axId val="133948160"/>
      </c:lineChart>
      <c:catAx>
        <c:axId val="133934080"/>
        <c:scaling>
          <c:orientation val="minMax"/>
        </c:scaling>
        <c:delete val="1"/>
        <c:axPos val="b"/>
        <c:majorTickMark val="out"/>
        <c:minorTickMark val="none"/>
        <c:tickLblPos val="nextTo"/>
        <c:crossAx val="133948160"/>
        <c:crosses val="autoZero"/>
        <c:auto val="1"/>
        <c:lblAlgn val="ctr"/>
        <c:lblOffset val="100"/>
        <c:noMultiLvlLbl val="0"/>
      </c:catAx>
      <c:valAx>
        <c:axId val="133948160"/>
        <c:scaling>
          <c:orientation val="minMax"/>
          <c:min val="0"/>
        </c:scaling>
        <c:delete val="1"/>
        <c:axPos val="l"/>
        <c:numFmt formatCode="_(* #,##0.00_);_(* \(#,##0.00\);_(* &quot;–&quot;???_);_(* @_)" sourceLinked="1"/>
        <c:majorTickMark val="out"/>
        <c:minorTickMark val="none"/>
        <c:tickLblPos val="nextTo"/>
        <c:crossAx val="13393408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Calculations!$C$8:$G$8</c:f>
              <c:numCache>
                <c:formatCode>_(* #,##0.00_);_(* \(#,##0.00\);_(* "–"???_);_(* @_)</c:formatCode>
                <c:ptCount val="5"/>
                <c:pt idx="0">
                  <c:v>54.702406250000003</c:v>
                </c:pt>
                <c:pt idx="1">
                  <c:v>53.913214843749998</c:v>
                </c:pt>
                <c:pt idx="2">
                  <c:v>49.129531249999999</c:v>
                </c:pt>
                <c:pt idx="3">
                  <c:v>77.393984375000002</c:v>
                </c:pt>
                <c:pt idx="4">
                  <c:v>110.48021875000001</c:v>
                </c:pt>
              </c:numCache>
            </c:numRef>
          </c:val>
          <c:smooth val="0"/>
          <c:extLst>
            <c:ext xmlns:c16="http://schemas.microsoft.com/office/drawing/2014/chart" uri="{C3380CC4-5D6E-409C-BE32-E72D297353CC}">
              <c16:uniqueId val="{00000000-B147-4B99-B713-9575A2EBC7A6}"/>
            </c:ext>
          </c:extLst>
        </c:ser>
        <c:dLbls>
          <c:showLegendKey val="0"/>
          <c:showVal val="0"/>
          <c:showCatName val="0"/>
          <c:showSerName val="0"/>
          <c:showPercent val="0"/>
          <c:showBubbleSize val="0"/>
        </c:dLbls>
        <c:smooth val="0"/>
        <c:axId val="132600576"/>
        <c:axId val="132602112"/>
      </c:lineChart>
      <c:catAx>
        <c:axId val="132600576"/>
        <c:scaling>
          <c:orientation val="minMax"/>
        </c:scaling>
        <c:delete val="1"/>
        <c:axPos val="b"/>
        <c:majorTickMark val="out"/>
        <c:minorTickMark val="none"/>
        <c:tickLblPos val="nextTo"/>
        <c:crossAx val="132602112"/>
        <c:crosses val="autoZero"/>
        <c:auto val="1"/>
        <c:lblAlgn val="ctr"/>
        <c:lblOffset val="100"/>
        <c:noMultiLvlLbl val="0"/>
      </c:catAx>
      <c:valAx>
        <c:axId val="132602112"/>
        <c:scaling>
          <c:orientation val="minMax"/>
          <c:min val="0"/>
        </c:scaling>
        <c:delete val="1"/>
        <c:axPos val="l"/>
        <c:numFmt formatCode="_(* #,##0.00_);_(* \(#,##0.00\);_(* &quot;–&quot;???_);_(* @_)" sourceLinked="1"/>
        <c:majorTickMark val="out"/>
        <c:minorTickMark val="none"/>
        <c:tickLblPos val="nextTo"/>
        <c:crossAx val="13260057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Calculations!$C$36:$G$36</c:f>
              <c:numCache>
                <c:formatCode>_(* #,##0.00_);_(* \(#,##0.00\);_(* "–"???_);_(* @_)</c:formatCode>
                <c:ptCount val="5"/>
                <c:pt idx="0">
                  <c:v>4.2532954101562499</c:v>
                </c:pt>
                <c:pt idx="1">
                  <c:v>5.65293212890625</c:v>
                </c:pt>
                <c:pt idx="2">
                  <c:v>4.3047543945312503</c:v>
                </c:pt>
                <c:pt idx="3">
                  <c:v>3.7829999999999999</c:v>
                </c:pt>
                <c:pt idx="4">
                  <c:v>3.3023486328125</c:v>
                </c:pt>
              </c:numCache>
            </c:numRef>
          </c:val>
          <c:smooth val="0"/>
          <c:extLst>
            <c:ext xmlns:c16="http://schemas.microsoft.com/office/drawing/2014/chart" uri="{C3380CC4-5D6E-409C-BE32-E72D297353CC}">
              <c16:uniqueId val="{00000000-B1AD-4845-BE9F-2F8257A7754E}"/>
            </c:ext>
          </c:extLst>
        </c:ser>
        <c:dLbls>
          <c:showLegendKey val="0"/>
          <c:showVal val="0"/>
          <c:showCatName val="0"/>
          <c:showSerName val="0"/>
          <c:showPercent val="0"/>
          <c:showBubbleSize val="0"/>
        </c:dLbls>
        <c:smooth val="0"/>
        <c:axId val="133971968"/>
        <c:axId val="133973504"/>
      </c:lineChart>
      <c:catAx>
        <c:axId val="133971968"/>
        <c:scaling>
          <c:orientation val="minMax"/>
        </c:scaling>
        <c:delete val="1"/>
        <c:axPos val="b"/>
        <c:majorTickMark val="out"/>
        <c:minorTickMark val="none"/>
        <c:tickLblPos val="nextTo"/>
        <c:crossAx val="133973504"/>
        <c:crosses val="autoZero"/>
        <c:auto val="1"/>
        <c:lblAlgn val="ctr"/>
        <c:lblOffset val="100"/>
        <c:noMultiLvlLbl val="0"/>
      </c:catAx>
      <c:valAx>
        <c:axId val="133973504"/>
        <c:scaling>
          <c:orientation val="minMax"/>
          <c:min val="0"/>
        </c:scaling>
        <c:delete val="1"/>
        <c:axPos val="l"/>
        <c:numFmt formatCode="_(* #,##0.00_);_(* \(#,##0.00\);_(* &quot;–&quot;???_);_(* @_)" sourceLinked="1"/>
        <c:majorTickMark val="out"/>
        <c:minorTickMark val="none"/>
        <c:tickLblPos val="nextTo"/>
        <c:crossAx val="133971968"/>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Calculations!$C$37:$G$37</c:f>
              <c:numCache>
                <c:formatCode>_(* #,##0.00_);_(* \(#,##0.00\);_(* "–"???_);_(* @_)</c:formatCode>
                <c:ptCount val="5"/>
                <c:pt idx="0">
                  <c:v>5.7312988281250004</c:v>
                </c:pt>
                <c:pt idx="1">
                  <c:v>3.6175400390624999</c:v>
                </c:pt>
                <c:pt idx="2">
                  <c:v>3.3450759277343751</c:v>
                </c:pt>
                <c:pt idx="3">
                  <c:v>3.6894892578124998</c:v>
                </c:pt>
                <c:pt idx="4">
                  <c:v>4.1308125000000002</c:v>
                </c:pt>
              </c:numCache>
            </c:numRef>
          </c:val>
          <c:smooth val="0"/>
          <c:extLst>
            <c:ext xmlns:c16="http://schemas.microsoft.com/office/drawing/2014/chart" uri="{C3380CC4-5D6E-409C-BE32-E72D297353CC}">
              <c16:uniqueId val="{00000000-C2BD-4D9D-B0CE-468D641EBFBC}"/>
            </c:ext>
          </c:extLst>
        </c:ser>
        <c:dLbls>
          <c:showLegendKey val="0"/>
          <c:showVal val="0"/>
          <c:showCatName val="0"/>
          <c:showSerName val="0"/>
          <c:showPercent val="0"/>
          <c:showBubbleSize val="0"/>
        </c:dLbls>
        <c:smooth val="0"/>
        <c:axId val="134009984"/>
        <c:axId val="134011520"/>
      </c:lineChart>
      <c:catAx>
        <c:axId val="134009984"/>
        <c:scaling>
          <c:orientation val="minMax"/>
        </c:scaling>
        <c:delete val="1"/>
        <c:axPos val="b"/>
        <c:majorTickMark val="out"/>
        <c:minorTickMark val="none"/>
        <c:tickLblPos val="nextTo"/>
        <c:crossAx val="134011520"/>
        <c:crosses val="autoZero"/>
        <c:auto val="1"/>
        <c:lblAlgn val="ctr"/>
        <c:lblOffset val="100"/>
        <c:noMultiLvlLbl val="0"/>
      </c:catAx>
      <c:valAx>
        <c:axId val="134011520"/>
        <c:scaling>
          <c:orientation val="minMax"/>
          <c:min val="0"/>
        </c:scaling>
        <c:delete val="1"/>
        <c:axPos val="l"/>
        <c:numFmt formatCode="_(* #,##0.00_);_(* \(#,##0.00\);_(* &quot;–&quot;???_);_(* @_)" sourceLinked="1"/>
        <c:majorTickMark val="out"/>
        <c:minorTickMark val="none"/>
        <c:tickLblPos val="nextTo"/>
        <c:crossAx val="134009984"/>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Calculations!$C$18:$G$18</c:f>
              <c:numCache>
                <c:formatCode>_(* #,##0.00_);_(* \(#,##0.00\);_(* "–"???_);_(* @_)</c:formatCode>
                <c:ptCount val="5"/>
                <c:pt idx="0">
                  <c:v>62.557820312499999</c:v>
                </c:pt>
                <c:pt idx="1">
                  <c:v>63.44437109375</c:v>
                </c:pt>
                <c:pt idx="2">
                  <c:v>56.150101562499998</c:v>
                </c:pt>
                <c:pt idx="3">
                  <c:v>60.988468750000003</c:v>
                </c:pt>
                <c:pt idx="4">
                  <c:v>61.467656249999997</c:v>
                </c:pt>
              </c:numCache>
            </c:numRef>
          </c:val>
          <c:smooth val="0"/>
          <c:extLst>
            <c:ext xmlns:c16="http://schemas.microsoft.com/office/drawing/2014/chart" uri="{C3380CC4-5D6E-409C-BE32-E72D297353CC}">
              <c16:uniqueId val="{00000000-32C8-42E1-A747-3D03229EF61B}"/>
            </c:ext>
          </c:extLst>
        </c:ser>
        <c:dLbls>
          <c:showLegendKey val="0"/>
          <c:showVal val="0"/>
          <c:showCatName val="0"/>
          <c:showSerName val="0"/>
          <c:showPercent val="0"/>
          <c:showBubbleSize val="0"/>
        </c:dLbls>
        <c:smooth val="0"/>
        <c:axId val="134113152"/>
        <c:axId val="134114688"/>
      </c:lineChart>
      <c:catAx>
        <c:axId val="134113152"/>
        <c:scaling>
          <c:orientation val="minMax"/>
        </c:scaling>
        <c:delete val="1"/>
        <c:axPos val="b"/>
        <c:majorTickMark val="out"/>
        <c:minorTickMark val="none"/>
        <c:tickLblPos val="nextTo"/>
        <c:crossAx val="134114688"/>
        <c:crosses val="autoZero"/>
        <c:auto val="1"/>
        <c:lblAlgn val="ctr"/>
        <c:lblOffset val="100"/>
        <c:noMultiLvlLbl val="0"/>
      </c:catAx>
      <c:valAx>
        <c:axId val="134114688"/>
        <c:scaling>
          <c:orientation val="minMax"/>
          <c:min val="0"/>
        </c:scaling>
        <c:delete val="1"/>
        <c:axPos val="l"/>
        <c:numFmt formatCode="_(* #,##0.00_);_(* \(#,##0.00\);_(* &quot;–&quot;???_);_(* @_)" sourceLinked="1"/>
        <c:majorTickMark val="out"/>
        <c:minorTickMark val="none"/>
        <c:tickLblPos val="nextTo"/>
        <c:crossAx val="13411315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Calculations!$C$20:$G$20</c:f>
              <c:numCache>
                <c:formatCode>_(* #,##0.00_);_(* \(#,##0.00\);_(* "–"???_);_(* @_)</c:formatCode>
                <c:ptCount val="5"/>
                <c:pt idx="0">
                  <c:v>9.1623388671875006</c:v>
                </c:pt>
                <c:pt idx="1">
                  <c:v>8.4523613281250007</c:v>
                </c:pt>
                <c:pt idx="2">
                  <c:v>7.4371289062499999</c:v>
                </c:pt>
                <c:pt idx="3">
                  <c:v>10.755618164062501</c:v>
                </c:pt>
                <c:pt idx="4">
                  <c:v>16.298087890624998</c:v>
                </c:pt>
              </c:numCache>
            </c:numRef>
          </c:val>
          <c:smooth val="0"/>
          <c:extLst>
            <c:ext xmlns:c16="http://schemas.microsoft.com/office/drawing/2014/chart" uri="{C3380CC4-5D6E-409C-BE32-E72D297353CC}">
              <c16:uniqueId val="{00000000-2593-4961-A259-5818DB29A084}"/>
            </c:ext>
          </c:extLst>
        </c:ser>
        <c:dLbls>
          <c:showLegendKey val="0"/>
          <c:showVal val="0"/>
          <c:showCatName val="0"/>
          <c:showSerName val="0"/>
          <c:showPercent val="0"/>
          <c:showBubbleSize val="0"/>
        </c:dLbls>
        <c:smooth val="0"/>
        <c:axId val="134150784"/>
        <c:axId val="134152576"/>
      </c:lineChart>
      <c:catAx>
        <c:axId val="134150784"/>
        <c:scaling>
          <c:orientation val="minMax"/>
        </c:scaling>
        <c:delete val="1"/>
        <c:axPos val="b"/>
        <c:majorTickMark val="out"/>
        <c:minorTickMark val="none"/>
        <c:tickLblPos val="nextTo"/>
        <c:crossAx val="134152576"/>
        <c:crosses val="autoZero"/>
        <c:auto val="1"/>
        <c:lblAlgn val="ctr"/>
        <c:lblOffset val="100"/>
        <c:noMultiLvlLbl val="0"/>
      </c:catAx>
      <c:valAx>
        <c:axId val="134152576"/>
        <c:scaling>
          <c:orientation val="minMax"/>
          <c:min val="0"/>
        </c:scaling>
        <c:delete val="1"/>
        <c:axPos val="l"/>
        <c:numFmt formatCode="_(* #,##0.00_);_(* \(#,##0.00\);_(* &quot;–&quot;???_);_(* @_)" sourceLinked="1"/>
        <c:majorTickMark val="out"/>
        <c:minorTickMark val="none"/>
        <c:tickLblPos val="nextTo"/>
        <c:crossAx val="134150784"/>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0.91867314814814816"/>
          <c:h val="1"/>
        </c:manualLayout>
      </c:layout>
      <c:doughnutChart>
        <c:varyColors val="1"/>
        <c:ser>
          <c:idx val="0"/>
          <c:order val="0"/>
          <c:dPt>
            <c:idx val="0"/>
            <c:bubble3D val="0"/>
            <c:spPr>
              <a:solidFill>
                <a:srgbClr val="92D050"/>
              </a:solidFill>
            </c:spPr>
            <c:extLst>
              <c:ext xmlns:c16="http://schemas.microsoft.com/office/drawing/2014/chart" uri="{C3380CC4-5D6E-409C-BE32-E72D297353CC}">
                <c16:uniqueId val="{00000001-01D8-484B-AC10-93D590943816}"/>
              </c:ext>
            </c:extLst>
          </c:dPt>
          <c:dPt>
            <c:idx val="1"/>
            <c:bubble3D val="0"/>
            <c:spPr>
              <a:solidFill>
                <a:srgbClr val="DAE63A"/>
              </a:solidFill>
            </c:spPr>
            <c:extLst>
              <c:ext xmlns:c16="http://schemas.microsoft.com/office/drawing/2014/chart" uri="{C3380CC4-5D6E-409C-BE32-E72D297353CC}">
                <c16:uniqueId val="{00000003-01D8-484B-AC10-93D590943816}"/>
              </c:ext>
            </c:extLst>
          </c:dPt>
          <c:dPt>
            <c:idx val="2"/>
            <c:bubble3D val="0"/>
            <c:spPr>
              <a:solidFill>
                <a:srgbClr val="FF5050"/>
              </a:solidFill>
            </c:spPr>
            <c:extLst>
              <c:ext xmlns:c16="http://schemas.microsoft.com/office/drawing/2014/chart" uri="{C3380CC4-5D6E-409C-BE32-E72D297353CC}">
                <c16:uniqueId val="{00000005-01D8-484B-AC10-93D590943816}"/>
              </c:ext>
            </c:extLst>
          </c:dPt>
          <c:dPt>
            <c:idx val="3"/>
            <c:bubble3D val="0"/>
            <c:spPr>
              <a:noFill/>
            </c:spPr>
            <c:extLst>
              <c:ext xmlns:c16="http://schemas.microsoft.com/office/drawing/2014/chart" uri="{C3380CC4-5D6E-409C-BE32-E72D297353CC}">
                <c16:uniqueId val="{00000007-01D8-484B-AC10-93D590943816}"/>
              </c:ext>
            </c:extLst>
          </c:dPt>
          <c:val>
            <c:numRef>
              <c:f>Calculations!$B$113:$E$113</c:f>
              <c:numCache>
                <c:formatCode>General</c:formatCode>
                <c:ptCount val="4"/>
                <c:pt idx="0" formatCode="_(* #,##0.00_);_(* \(#,##0.00\);_(* &quot;-&quot;??_);_(@_)">
                  <c:v>0.375</c:v>
                </c:pt>
                <c:pt idx="1">
                  <c:v>0.22499999999999998</c:v>
                </c:pt>
                <c:pt idx="2">
                  <c:v>0.15000000000000002</c:v>
                </c:pt>
                <c:pt idx="3" formatCode="_(* #,##0.00_);_(* \(#,##0.00\);_(* &quot;–&quot;???_);_(* @_)">
                  <c:v>0.75</c:v>
                </c:pt>
              </c:numCache>
            </c:numRef>
          </c:val>
          <c:extLst>
            <c:ext xmlns:c16="http://schemas.microsoft.com/office/drawing/2014/chart" uri="{C3380CC4-5D6E-409C-BE32-E72D297353CC}">
              <c16:uniqueId val="{00000008-01D8-484B-AC10-93D590943816}"/>
            </c:ext>
          </c:extLst>
        </c:ser>
        <c:dLbls>
          <c:showLegendKey val="0"/>
          <c:showVal val="0"/>
          <c:showCatName val="0"/>
          <c:showSerName val="0"/>
          <c:showPercent val="0"/>
          <c:showBubbleSize val="0"/>
          <c:showLeaderLines val="1"/>
        </c:dLbls>
        <c:firstSliceAng val="270"/>
        <c:holeSize val="50"/>
      </c:doughnutChart>
      <c:pieChart>
        <c:varyColors val="1"/>
        <c:ser>
          <c:idx val="1"/>
          <c:order val="1"/>
          <c:dPt>
            <c:idx val="0"/>
            <c:bubble3D val="0"/>
            <c:spPr>
              <a:noFill/>
            </c:spPr>
            <c:extLst>
              <c:ext xmlns:c16="http://schemas.microsoft.com/office/drawing/2014/chart" uri="{C3380CC4-5D6E-409C-BE32-E72D297353CC}">
                <c16:uniqueId val="{0000000A-01D8-484B-AC10-93D590943816}"/>
              </c:ext>
            </c:extLst>
          </c:dPt>
          <c:dPt>
            <c:idx val="1"/>
            <c:bubble3D val="0"/>
            <c:spPr>
              <a:solidFill>
                <a:schemeClr val="tx1"/>
              </a:solidFill>
            </c:spPr>
            <c:extLst>
              <c:ext xmlns:c16="http://schemas.microsoft.com/office/drawing/2014/chart" uri="{C3380CC4-5D6E-409C-BE32-E72D297353CC}">
                <c16:uniqueId val="{0000000C-01D8-484B-AC10-93D590943816}"/>
              </c:ext>
            </c:extLst>
          </c:dPt>
          <c:dPt>
            <c:idx val="2"/>
            <c:bubble3D val="0"/>
            <c:spPr>
              <a:noFill/>
            </c:spPr>
            <c:extLst>
              <c:ext xmlns:c16="http://schemas.microsoft.com/office/drawing/2014/chart" uri="{C3380CC4-5D6E-409C-BE32-E72D297353CC}">
                <c16:uniqueId val="{0000000E-01D8-484B-AC10-93D590943816}"/>
              </c:ext>
            </c:extLst>
          </c:dPt>
          <c:val>
            <c:numRef>
              <c:f>Calculations!$B$114:$E$114</c:f>
              <c:numCache>
                <c:formatCode>_(* #,##0%_);_(* \(#,##0%\);_(* "–"??_);_(* @_)</c:formatCode>
                <c:ptCount val="4"/>
                <c:pt idx="0" formatCode="_(* #,##0.0000_);_(* \(#,##0.0000\);_(* &quot;–&quot;??_);_(* @_)">
                  <c:v>0.82216124656585166</c:v>
                </c:pt>
                <c:pt idx="1">
                  <c:v>7.4999999999999997E-3</c:v>
                </c:pt>
                <c:pt idx="2" formatCode="_(* #,##0.0000_);_(* \(#,##0.0000\);_(* &quot;–&quot;??_);_(* @_)">
                  <c:v>0.67033875343414839</c:v>
                </c:pt>
              </c:numCache>
            </c:numRef>
          </c:val>
          <c:extLst>
            <c:ext xmlns:c16="http://schemas.microsoft.com/office/drawing/2014/chart" uri="{C3380CC4-5D6E-409C-BE32-E72D297353CC}">
              <c16:uniqueId val="{0000000F-01D8-484B-AC10-93D590943816}"/>
            </c:ext>
          </c:extLst>
        </c:ser>
        <c:dLbls>
          <c:showLegendKey val="0"/>
          <c:showVal val="0"/>
          <c:showCatName val="0"/>
          <c:showSerName val="0"/>
          <c:showPercent val="0"/>
          <c:showBubbleSize val="0"/>
          <c:showLeaderLines val="1"/>
        </c:dLbls>
        <c:firstSliceAng val="90"/>
      </c:pieChart>
    </c:plotArea>
    <c:plotVisOnly val="1"/>
    <c:dispBlanksAs val="gap"/>
    <c:showDLblsOverMax val="0"/>
  </c:chart>
  <c:spPr>
    <a:noFill/>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0.91867314814814816"/>
          <c:h val="1"/>
        </c:manualLayout>
      </c:layout>
      <c:doughnutChart>
        <c:varyColors val="1"/>
        <c:ser>
          <c:idx val="0"/>
          <c:order val="0"/>
          <c:dPt>
            <c:idx val="0"/>
            <c:bubble3D val="0"/>
            <c:spPr>
              <a:solidFill>
                <a:srgbClr val="92D050"/>
              </a:solidFill>
            </c:spPr>
            <c:extLst>
              <c:ext xmlns:c16="http://schemas.microsoft.com/office/drawing/2014/chart" uri="{C3380CC4-5D6E-409C-BE32-E72D297353CC}">
                <c16:uniqueId val="{00000001-37C8-479D-93BB-CBD7735F46AE}"/>
              </c:ext>
            </c:extLst>
          </c:dPt>
          <c:dPt>
            <c:idx val="1"/>
            <c:bubble3D val="0"/>
            <c:spPr>
              <a:solidFill>
                <a:srgbClr val="DAE63A"/>
              </a:solidFill>
            </c:spPr>
            <c:extLst>
              <c:ext xmlns:c16="http://schemas.microsoft.com/office/drawing/2014/chart" uri="{C3380CC4-5D6E-409C-BE32-E72D297353CC}">
                <c16:uniqueId val="{00000003-37C8-479D-93BB-CBD7735F46AE}"/>
              </c:ext>
            </c:extLst>
          </c:dPt>
          <c:dPt>
            <c:idx val="2"/>
            <c:bubble3D val="0"/>
            <c:spPr>
              <a:solidFill>
                <a:srgbClr val="FF5050"/>
              </a:solidFill>
            </c:spPr>
            <c:extLst>
              <c:ext xmlns:c16="http://schemas.microsoft.com/office/drawing/2014/chart" uri="{C3380CC4-5D6E-409C-BE32-E72D297353CC}">
                <c16:uniqueId val="{00000005-37C8-479D-93BB-CBD7735F46AE}"/>
              </c:ext>
            </c:extLst>
          </c:dPt>
          <c:dPt>
            <c:idx val="3"/>
            <c:bubble3D val="0"/>
            <c:spPr>
              <a:noFill/>
            </c:spPr>
            <c:extLst>
              <c:ext xmlns:c16="http://schemas.microsoft.com/office/drawing/2014/chart" uri="{C3380CC4-5D6E-409C-BE32-E72D297353CC}">
                <c16:uniqueId val="{00000007-37C8-479D-93BB-CBD7735F46AE}"/>
              </c:ext>
            </c:extLst>
          </c:dPt>
          <c:val>
            <c:numRef>
              <c:f>Calculations!$B$130:$E$130</c:f>
              <c:numCache>
                <c:formatCode>General</c:formatCode>
                <c:ptCount val="4"/>
                <c:pt idx="0">
                  <c:v>0.375</c:v>
                </c:pt>
                <c:pt idx="1">
                  <c:v>0.22499999999999998</c:v>
                </c:pt>
                <c:pt idx="2">
                  <c:v>0.15000000000000002</c:v>
                </c:pt>
                <c:pt idx="3" formatCode="_(* #,##0.00_);_(* \(#,##0.00\);_(* &quot;–&quot;???_);_(* @_)">
                  <c:v>0.75</c:v>
                </c:pt>
              </c:numCache>
            </c:numRef>
          </c:val>
          <c:extLst>
            <c:ext xmlns:c16="http://schemas.microsoft.com/office/drawing/2014/chart" uri="{C3380CC4-5D6E-409C-BE32-E72D297353CC}">
              <c16:uniqueId val="{00000008-37C8-479D-93BB-CBD7735F46AE}"/>
            </c:ext>
          </c:extLst>
        </c:ser>
        <c:dLbls>
          <c:showLegendKey val="0"/>
          <c:showVal val="0"/>
          <c:showCatName val="0"/>
          <c:showSerName val="0"/>
          <c:showPercent val="0"/>
          <c:showBubbleSize val="0"/>
          <c:showLeaderLines val="1"/>
        </c:dLbls>
        <c:firstSliceAng val="270"/>
        <c:holeSize val="50"/>
      </c:doughnutChart>
      <c:pieChart>
        <c:varyColors val="1"/>
        <c:ser>
          <c:idx val="1"/>
          <c:order val="1"/>
          <c:dPt>
            <c:idx val="0"/>
            <c:bubble3D val="0"/>
            <c:spPr>
              <a:noFill/>
            </c:spPr>
            <c:extLst>
              <c:ext xmlns:c16="http://schemas.microsoft.com/office/drawing/2014/chart" uri="{C3380CC4-5D6E-409C-BE32-E72D297353CC}">
                <c16:uniqueId val="{0000000A-37C8-479D-93BB-CBD7735F46AE}"/>
              </c:ext>
            </c:extLst>
          </c:dPt>
          <c:dPt>
            <c:idx val="1"/>
            <c:bubble3D val="0"/>
            <c:spPr>
              <a:solidFill>
                <a:schemeClr val="tx1"/>
              </a:solidFill>
            </c:spPr>
            <c:extLst>
              <c:ext xmlns:c16="http://schemas.microsoft.com/office/drawing/2014/chart" uri="{C3380CC4-5D6E-409C-BE32-E72D297353CC}">
                <c16:uniqueId val="{0000000C-37C8-479D-93BB-CBD7735F46AE}"/>
              </c:ext>
            </c:extLst>
          </c:dPt>
          <c:dPt>
            <c:idx val="2"/>
            <c:bubble3D val="0"/>
            <c:spPr>
              <a:noFill/>
            </c:spPr>
            <c:extLst>
              <c:ext xmlns:c16="http://schemas.microsoft.com/office/drawing/2014/chart" uri="{C3380CC4-5D6E-409C-BE32-E72D297353CC}">
                <c16:uniqueId val="{0000000E-37C8-479D-93BB-CBD7735F46AE}"/>
              </c:ext>
            </c:extLst>
          </c:dPt>
          <c:val>
            <c:numRef>
              <c:f>Calculations!$B$131:$E$131</c:f>
              <c:numCache>
                <c:formatCode>_(* #,##0%_);_(* \(#,##0%\);_(* "–"??_);_(* @_)</c:formatCode>
                <c:ptCount val="4"/>
                <c:pt idx="0" formatCode="_(* #,##0.0000_);_(* \(#,##0.0000\);_(* &quot;–&quot;??_);_(* @_)">
                  <c:v>0.76739572585759408</c:v>
                </c:pt>
                <c:pt idx="1">
                  <c:v>7.4999999999999997E-3</c:v>
                </c:pt>
                <c:pt idx="2" formatCode="_(* #,##0.0000_);_(* \(#,##0.0000\);_(* &quot;–&quot;??_);_(* @_)">
                  <c:v>0.72510427414240597</c:v>
                </c:pt>
              </c:numCache>
            </c:numRef>
          </c:val>
          <c:extLst>
            <c:ext xmlns:c16="http://schemas.microsoft.com/office/drawing/2014/chart" uri="{C3380CC4-5D6E-409C-BE32-E72D297353CC}">
              <c16:uniqueId val="{0000000F-37C8-479D-93BB-CBD7735F46AE}"/>
            </c:ext>
          </c:extLst>
        </c:ser>
        <c:dLbls>
          <c:showLegendKey val="0"/>
          <c:showVal val="0"/>
          <c:showCatName val="0"/>
          <c:showSerName val="0"/>
          <c:showPercent val="0"/>
          <c:showBubbleSize val="0"/>
          <c:showLeaderLines val="1"/>
        </c:dLbls>
        <c:firstSliceAng val="90"/>
      </c:pieChart>
    </c:plotArea>
    <c:plotVisOnly val="1"/>
    <c:dispBlanksAs val="gap"/>
    <c:showDLblsOverMax val="0"/>
  </c:chart>
  <c:spPr>
    <a:noFill/>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0.91867314814814816"/>
          <c:h val="1"/>
        </c:manualLayout>
      </c:layout>
      <c:doughnutChart>
        <c:varyColors val="1"/>
        <c:ser>
          <c:idx val="0"/>
          <c:order val="0"/>
          <c:dPt>
            <c:idx val="0"/>
            <c:bubble3D val="0"/>
            <c:spPr>
              <a:solidFill>
                <a:srgbClr val="92D050"/>
              </a:solidFill>
            </c:spPr>
            <c:extLst>
              <c:ext xmlns:c16="http://schemas.microsoft.com/office/drawing/2014/chart" uri="{C3380CC4-5D6E-409C-BE32-E72D297353CC}">
                <c16:uniqueId val="{00000001-7FA7-4DB7-A60D-A15312185860}"/>
              </c:ext>
            </c:extLst>
          </c:dPt>
          <c:dPt>
            <c:idx val="1"/>
            <c:bubble3D val="0"/>
            <c:spPr>
              <a:solidFill>
                <a:srgbClr val="DAE63A"/>
              </a:solidFill>
            </c:spPr>
            <c:extLst>
              <c:ext xmlns:c16="http://schemas.microsoft.com/office/drawing/2014/chart" uri="{C3380CC4-5D6E-409C-BE32-E72D297353CC}">
                <c16:uniqueId val="{00000003-7FA7-4DB7-A60D-A15312185860}"/>
              </c:ext>
            </c:extLst>
          </c:dPt>
          <c:dPt>
            <c:idx val="2"/>
            <c:bubble3D val="0"/>
            <c:spPr>
              <a:solidFill>
                <a:srgbClr val="FF5050"/>
              </a:solidFill>
            </c:spPr>
            <c:extLst>
              <c:ext xmlns:c16="http://schemas.microsoft.com/office/drawing/2014/chart" uri="{C3380CC4-5D6E-409C-BE32-E72D297353CC}">
                <c16:uniqueId val="{00000005-7FA7-4DB7-A60D-A15312185860}"/>
              </c:ext>
            </c:extLst>
          </c:dPt>
          <c:dPt>
            <c:idx val="3"/>
            <c:bubble3D val="0"/>
            <c:spPr>
              <a:noFill/>
            </c:spPr>
            <c:extLst>
              <c:ext xmlns:c16="http://schemas.microsoft.com/office/drawing/2014/chart" uri="{C3380CC4-5D6E-409C-BE32-E72D297353CC}">
                <c16:uniqueId val="{00000007-7FA7-4DB7-A60D-A15312185860}"/>
              </c:ext>
            </c:extLst>
          </c:dPt>
          <c:val>
            <c:numRef>
              <c:f>Calculations!$B$147:$E$147</c:f>
              <c:numCache>
                <c:formatCode>General</c:formatCode>
                <c:ptCount val="4"/>
                <c:pt idx="0">
                  <c:v>0.375</c:v>
                </c:pt>
                <c:pt idx="1">
                  <c:v>0.22499999999999998</c:v>
                </c:pt>
                <c:pt idx="2">
                  <c:v>0.15000000000000002</c:v>
                </c:pt>
                <c:pt idx="3" formatCode="_(* #,##0.00_);_(* \(#,##0.00\);_(* &quot;–&quot;???_);_(* @_)">
                  <c:v>0.75</c:v>
                </c:pt>
              </c:numCache>
            </c:numRef>
          </c:val>
          <c:extLst>
            <c:ext xmlns:c16="http://schemas.microsoft.com/office/drawing/2014/chart" uri="{C3380CC4-5D6E-409C-BE32-E72D297353CC}">
              <c16:uniqueId val="{00000008-7FA7-4DB7-A60D-A15312185860}"/>
            </c:ext>
          </c:extLst>
        </c:ser>
        <c:dLbls>
          <c:showLegendKey val="0"/>
          <c:showVal val="0"/>
          <c:showCatName val="0"/>
          <c:showSerName val="0"/>
          <c:showPercent val="0"/>
          <c:showBubbleSize val="0"/>
          <c:showLeaderLines val="1"/>
        </c:dLbls>
        <c:firstSliceAng val="270"/>
        <c:holeSize val="50"/>
      </c:doughnutChart>
      <c:pieChart>
        <c:varyColors val="1"/>
        <c:ser>
          <c:idx val="1"/>
          <c:order val="1"/>
          <c:dPt>
            <c:idx val="0"/>
            <c:bubble3D val="0"/>
            <c:spPr>
              <a:noFill/>
            </c:spPr>
            <c:extLst>
              <c:ext xmlns:c16="http://schemas.microsoft.com/office/drawing/2014/chart" uri="{C3380CC4-5D6E-409C-BE32-E72D297353CC}">
                <c16:uniqueId val="{0000000A-7FA7-4DB7-A60D-A15312185860}"/>
              </c:ext>
            </c:extLst>
          </c:dPt>
          <c:dPt>
            <c:idx val="1"/>
            <c:bubble3D val="0"/>
            <c:spPr>
              <a:solidFill>
                <a:schemeClr val="tx1"/>
              </a:solidFill>
            </c:spPr>
            <c:extLst>
              <c:ext xmlns:c16="http://schemas.microsoft.com/office/drawing/2014/chart" uri="{C3380CC4-5D6E-409C-BE32-E72D297353CC}">
                <c16:uniqueId val="{0000000C-7FA7-4DB7-A60D-A15312185860}"/>
              </c:ext>
            </c:extLst>
          </c:dPt>
          <c:dPt>
            <c:idx val="2"/>
            <c:bubble3D val="0"/>
            <c:spPr>
              <a:noFill/>
            </c:spPr>
            <c:extLst>
              <c:ext xmlns:c16="http://schemas.microsoft.com/office/drawing/2014/chart" uri="{C3380CC4-5D6E-409C-BE32-E72D297353CC}">
                <c16:uniqueId val="{0000000E-7FA7-4DB7-A60D-A15312185860}"/>
              </c:ext>
            </c:extLst>
          </c:dPt>
          <c:val>
            <c:numRef>
              <c:f>Calculations!$B$148:$E$148</c:f>
              <c:numCache>
                <c:formatCode>_(* #,##0%_);_(* \(#,##0%\);_(* "–"??_);_(* @_)</c:formatCode>
                <c:ptCount val="4"/>
                <c:pt idx="0" formatCode="_(* #,##0.0000_);_(* \(#,##0.0000\);_(* &quot;–&quot;??_);_(* @_)">
                  <c:v>0.76059904623797725</c:v>
                </c:pt>
                <c:pt idx="1">
                  <c:v>7.4999999999999997E-3</c:v>
                </c:pt>
                <c:pt idx="2" formatCode="_(* #,##0.0000_);_(* \(#,##0.0000\);_(* &quot;–&quot;??_);_(* @_)">
                  <c:v>0.7319009537620228</c:v>
                </c:pt>
              </c:numCache>
            </c:numRef>
          </c:val>
          <c:extLst>
            <c:ext xmlns:c16="http://schemas.microsoft.com/office/drawing/2014/chart" uri="{C3380CC4-5D6E-409C-BE32-E72D297353CC}">
              <c16:uniqueId val="{0000000F-7FA7-4DB7-A60D-A15312185860}"/>
            </c:ext>
          </c:extLst>
        </c:ser>
        <c:dLbls>
          <c:showLegendKey val="0"/>
          <c:showVal val="0"/>
          <c:showCatName val="0"/>
          <c:showSerName val="0"/>
          <c:showPercent val="0"/>
          <c:showBubbleSize val="0"/>
          <c:showLeaderLines val="1"/>
        </c:dLbls>
        <c:firstSliceAng val="90"/>
      </c:pieChart>
    </c:plotArea>
    <c:plotVisOnly val="1"/>
    <c:dispBlanksAs val="gap"/>
    <c:showDLblsOverMax val="0"/>
  </c:chart>
  <c:spPr>
    <a:noFill/>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0.91867314814814816"/>
          <c:h val="1"/>
        </c:manualLayout>
      </c:layout>
      <c:doughnutChart>
        <c:varyColors val="1"/>
        <c:ser>
          <c:idx val="0"/>
          <c:order val="0"/>
          <c:dPt>
            <c:idx val="0"/>
            <c:bubble3D val="0"/>
            <c:spPr>
              <a:solidFill>
                <a:srgbClr val="92D050"/>
              </a:solidFill>
            </c:spPr>
            <c:extLst>
              <c:ext xmlns:c16="http://schemas.microsoft.com/office/drawing/2014/chart" uri="{C3380CC4-5D6E-409C-BE32-E72D297353CC}">
                <c16:uniqueId val="{00000001-E38A-4215-80BC-8D1B5288407B}"/>
              </c:ext>
            </c:extLst>
          </c:dPt>
          <c:dPt>
            <c:idx val="1"/>
            <c:bubble3D val="0"/>
            <c:spPr>
              <a:solidFill>
                <a:srgbClr val="DAE63A"/>
              </a:solidFill>
            </c:spPr>
            <c:extLst>
              <c:ext xmlns:c16="http://schemas.microsoft.com/office/drawing/2014/chart" uri="{C3380CC4-5D6E-409C-BE32-E72D297353CC}">
                <c16:uniqueId val="{00000003-E38A-4215-80BC-8D1B5288407B}"/>
              </c:ext>
            </c:extLst>
          </c:dPt>
          <c:dPt>
            <c:idx val="2"/>
            <c:bubble3D val="0"/>
            <c:spPr>
              <a:solidFill>
                <a:srgbClr val="FF5050"/>
              </a:solidFill>
            </c:spPr>
            <c:extLst>
              <c:ext xmlns:c16="http://schemas.microsoft.com/office/drawing/2014/chart" uri="{C3380CC4-5D6E-409C-BE32-E72D297353CC}">
                <c16:uniqueId val="{00000005-E38A-4215-80BC-8D1B5288407B}"/>
              </c:ext>
            </c:extLst>
          </c:dPt>
          <c:dPt>
            <c:idx val="3"/>
            <c:bubble3D val="0"/>
            <c:spPr>
              <a:noFill/>
            </c:spPr>
            <c:extLst>
              <c:ext xmlns:c16="http://schemas.microsoft.com/office/drawing/2014/chart" uri="{C3380CC4-5D6E-409C-BE32-E72D297353CC}">
                <c16:uniqueId val="{00000007-E38A-4215-80BC-8D1B5288407B}"/>
              </c:ext>
            </c:extLst>
          </c:dPt>
          <c:val>
            <c:numRef>
              <c:f>Calculations!$B$164:$E$164</c:f>
              <c:numCache>
                <c:formatCode>General</c:formatCode>
                <c:ptCount val="4"/>
                <c:pt idx="0">
                  <c:v>0.375</c:v>
                </c:pt>
                <c:pt idx="1">
                  <c:v>0.22499999999999998</c:v>
                </c:pt>
                <c:pt idx="2">
                  <c:v>0.15000000000000002</c:v>
                </c:pt>
                <c:pt idx="3" formatCode="_(* #,##0.00_);_(* \(#,##0.00\);_(* &quot;–&quot;???_);_(* @_)">
                  <c:v>0.75</c:v>
                </c:pt>
              </c:numCache>
            </c:numRef>
          </c:val>
          <c:extLst>
            <c:ext xmlns:c16="http://schemas.microsoft.com/office/drawing/2014/chart" uri="{C3380CC4-5D6E-409C-BE32-E72D297353CC}">
              <c16:uniqueId val="{00000008-E38A-4215-80BC-8D1B5288407B}"/>
            </c:ext>
          </c:extLst>
        </c:ser>
        <c:dLbls>
          <c:showLegendKey val="0"/>
          <c:showVal val="0"/>
          <c:showCatName val="0"/>
          <c:showSerName val="0"/>
          <c:showPercent val="0"/>
          <c:showBubbleSize val="0"/>
          <c:showLeaderLines val="1"/>
        </c:dLbls>
        <c:firstSliceAng val="270"/>
        <c:holeSize val="50"/>
      </c:doughnutChart>
      <c:pieChart>
        <c:varyColors val="1"/>
        <c:ser>
          <c:idx val="1"/>
          <c:order val="1"/>
          <c:dPt>
            <c:idx val="0"/>
            <c:bubble3D val="0"/>
            <c:spPr>
              <a:noFill/>
            </c:spPr>
            <c:extLst>
              <c:ext xmlns:c16="http://schemas.microsoft.com/office/drawing/2014/chart" uri="{C3380CC4-5D6E-409C-BE32-E72D297353CC}">
                <c16:uniqueId val="{0000000A-E38A-4215-80BC-8D1B5288407B}"/>
              </c:ext>
            </c:extLst>
          </c:dPt>
          <c:dPt>
            <c:idx val="1"/>
            <c:bubble3D val="0"/>
            <c:spPr>
              <a:solidFill>
                <a:schemeClr val="tx1"/>
              </a:solidFill>
            </c:spPr>
            <c:extLst>
              <c:ext xmlns:c16="http://schemas.microsoft.com/office/drawing/2014/chart" uri="{C3380CC4-5D6E-409C-BE32-E72D297353CC}">
                <c16:uniqueId val="{0000000C-E38A-4215-80BC-8D1B5288407B}"/>
              </c:ext>
            </c:extLst>
          </c:dPt>
          <c:dPt>
            <c:idx val="2"/>
            <c:bubble3D val="0"/>
            <c:spPr>
              <a:noFill/>
            </c:spPr>
            <c:extLst>
              <c:ext xmlns:c16="http://schemas.microsoft.com/office/drawing/2014/chart" uri="{C3380CC4-5D6E-409C-BE32-E72D297353CC}">
                <c16:uniqueId val="{0000000E-E38A-4215-80BC-8D1B5288407B}"/>
              </c:ext>
            </c:extLst>
          </c:dPt>
          <c:val>
            <c:numRef>
              <c:f>Calculations!$B$165:$E$165</c:f>
              <c:numCache>
                <c:formatCode>_(* #,##0%_);_(* \(#,##0%\);_(* "–"??_);_(* @_)</c:formatCode>
                <c:ptCount val="4"/>
                <c:pt idx="0" formatCode="_(* #,##0.0000_);_(* \(#,##0.0000\);_(* &quot;–&quot;??_);_(* @_)">
                  <c:v>0.77364373588495028</c:v>
                </c:pt>
                <c:pt idx="1">
                  <c:v>7.4999999999999997E-3</c:v>
                </c:pt>
                <c:pt idx="2" formatCode="_(* #,##0.0000_);_(* \(#,##0.0000\);_(* &quot;–&quot;??_);_(* @_)">
                  <c:v>0.71885626411504977</c:v>
                </c:pt>
              </c:numCache>
            </c:numRef>
          </c:val>
          <c:extLst>
            <c:ext xmlns:c16="http://schemas.microsoft.com/office/drawing/2014/chart" uri="{C3380CC4-5D6E-409C-BE32-E72D297353CC}">
              <c16:uniqueId val="{0000000F-E38A-4215-80BC-8D1B5288407B}"/>
            </c:ext>
          </c:extLst>
        </c:ser>
        <c:dLbls>
          <c:showLegendKey val="0"/>
          <c:showVal val="0"/>
          <c:showCatName val="0"/>
          <c:showSerName val="0"/>
          <c:showPercent val="0"/>
          <c:showBubbleSize val="0"/>
          <c:showLeaderLines val="1"/>
        </c:dLbls>
        <c:firstSliceAng val="90"/>
      </c:pieChart>
    </c:plotArea>
    <c:plotVisOnly val="1"/>
    <c:dispBlanksAs val="gap"/>
    <c:showDLblsOverMax val="0"/>
  </c:chart>
  <c:spPr>
    <a:noFill/>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0.91867314814814816"/>
          <c:h val="1"/>
        </c:manualLayout>
      </c:layout>
      <c:doughnutChart>
        <c:varyColors val="1"/>
        <c:ser>
          <c:idx val="0"/>
          <c:order val="0"/>
          <c:dPt>
            <c:idx val="0"/>
            <c:bubble3D val="0"/>
            <c:spPr>
              <a:solidFill>
                <a:srgbClr val="92D050"/>
              </a:solidFill>
            </c:spPr>
            <c:extLst>
              <c:ext xmlns:c16="http://schemas.microsoft.com/office/drawing/2014/chart" uri="{C3380CC4-5D6E-409C-BE32-E72D297353CC}">
                <c16:uniqueId val="{00000001-877E-4034-AF82-7BEDE967201B}"/>
              </c:ext>
            </c:extLst>
          </c:dPt>
          <c:dPt>
            <c:idx val="1"/>
            <c:bubble3D val="0"/>
            <c:spPr>
              <a:solidFill>
                <a:srgbClr val="DAE63A"/>
              </a:solidFill>
            </c:spPr>
            <c:extLst>
              <c:ext xmlns:c16="http://schemas.microsoft.com/office/drawing/2014/chart" uri="{C3380CC4-5D6E-409C-BE32-E72D297353CC}">
                <c16:uniqueId val="{00000003-877E-4034-AF82-7BEDE967201B}"/>
              </c:ext>
            </c:extLst>
          </c:dPt>
          <c:dPt>
            <c:idx val="2"/>
            <c:bubble3D val="0"/>
            <c:spPr>
              <a:solidFill>
                <a:srgbClr val="FF5050"/>
              </a:solidFill>
            </c:spPr>
            <c:extLst>
              <c:ext xmlns:c16="http://schemas.microsoft.com/office/drawing/2014/chart" uri="{C3380CC4-5D6E-409C-BE32-E72D297353CC}">
                <c16:uniqueId val="{00000005-877E-4034-AF82-7BEDE967201B}"/>
              </c:ext>
            </c:extLst>
          </c:dPt>
          <c:dPt>
            <c:idx val="3"/>
            <c:bubble3D val="0"/>
            <c:spPr>
              <a:noFill/>
            </c:spPr>
            <c:extLst>
              <c:ext xmlns:c16="http://schemas.microsoft.com/office/drawing/2014/chart" uri="{C3380CC4-5D6E-409C-BE32-E72D297353CC}">
                <c16:uniqueId val="{00000007-877E-4034-AF82-7BEDE967201B}"/>
              </c:ext>
            </c:extLst>
          </c:dPt>
          <c:val>
            <c:numRef>
              <c:f>Calculations!$B$179:$E$179</c:f>
              <c:numCache>
                <c:formatCode>General</c:formatCode>
                <c:ptCount val="4"/>
                <c:pt idx="0">
                  <c:v>0.375</c:v>
                </c:pt>
                <c:pt idx="1">
                  <c:v>0.22500000000000001</c:v>
                </c:pt>
                <c:pt idx="2">
                  <c:v>0.15000000000000002</c:v>
                </c:pt>
                <c:pt idx="3" formatCode="_(* #,##0.00_);_(* \(#,##0.00\);_(* &quot;–&quot;???_);_(* @_)">
                  <c:v>0.75</c:v>
                </c:pt>
              </c:numCache>
            </c:numRef>
          </c:val>
          <c:extLst>
            <c:ext xmlns:c16="http://schemas.microsoft.com/office/drawing/2014/chart" uri="{C3380CC4-5D6E-409C-BE32-E72D297353CC}">
              <c16:uniqueId val="{00000008-877E-4034-AF82-7BEDE967201B}"/>
            </c:ext>
          </c:extLst>
        </c:ser>
        <c:dLbls>
          <c:showLegendKey val="0"/>
          <c:showVal val="0"/>
          <c:showCatName val="0"/>
          <c:showSerName val="0"/>
          <c:showPercent val="0"/>
          <c:showBubbleSize val="0"/>
          <c:showLeaderLines val="1"/>
        </c:dLbls>
        <c:firstSliceAng val="270"/>
        <c:holeSize val="50"/>
      </c:doughnutChart>
      <c:pieChart>
        <c:varyColors val="1"/>
        <c:ser>
          <c:idx val="1"/>
          <c:order val="1"/>
          <c:dPt>
            <c:idx val="0"/>
            <c:bubble3D val="0"/>
            <c:spPr>
              <a:noFill/>
            </c:spPr>
            <c:extLst>
              <c:ext xmlns:c16="http://schemas.microsoft.com/office/drawing/2014/chart" uri="{C3380CC4-5D6E-409C-BE32-E72D297353CC}">
                <c16:uniqueId val="{0000000A-877E-4034-AF82-7BEDE967201B}"/>
              </c:ext>
            </c:extLst>
          </c:dPt>
          <c:dPt>
            <c:idx val="1"/>
            <c:bubble3D val="0"/>
            <c:spPr>
              <a:solidFill>
                <a:schemeClr val="tx1"/>
              </a:solidFill>
            </c:spPr>
            <c:extLst>
              <c:ext xmlns:c16="http://schemas.microsoft.com/office/drawing/2014/chart" uri="{C3380CC4-5D6E-409C-BE32-E72D297353CC}">
                <c16:uniqueId val="{0000000C-877E-4034-AF82-7BEDE967201B}"/>
              </c:ext>
            </c:extLst>
          </c:dPt>
          <c:dPt>
            <c:idx val="2"/>
            <c:bubble3D val="0"/>
            <c:spPr>
              <a:noFill/>
            </c:spPr>
            <c:extLst>
              <c:ext xmlns:c16="http://schemas.microsoft.com/office/drawing/2014/chart" uri="{C3380CC4-5D6E-409C-BE32-E72D297353CC}">
                <c16:uniqueId val="{0000000E-877E-4034-AF82-7BEDE967201B}"/>
              </c:ext>
            </c:extLst>
          </c:dPt>
          <c:val>
            <c:numRef>
              <c:f>Calculations!$B$180:$E$180</c:f>
              <c:numCache>
                <c:formatCode>_(* #,##0%_);_(* \(#,##0%\);_(* "–"??_);_(* @_)</c:formatCode>
                <c:ptCount val="4"/>
                <c:pt idx="0" formatCode="_(* #,##0.0000_);_(* \(#,##0.0000\);_(* &quot;–&quot;??_);_(* @_)">
                  <c:v>1.2214569259962049</c:v>
                </c:pt>
                <c:pt idx="1">
                  <c:v>7.4999999999999997E-3</c:v>
                </c:pt>
                <c:pt idx="2" formatCode="_(* #,##0.0000_);_(* \(#,##0.0000\);_(* &quot;–&quot;??_);_(* @_)">
                  <c:v>0.27104307400379507</c:v>
                </c:pt>
              </c:numCache>
            </c:numRef>
          </c:val>
          <c:extLst>
            <c:ext xmlns:c16="http://schemas.microsoft.com/office/drawing/2014/chart" uri="{C3380CC4-5D6E-409C-BE32-E72D297353CC}">
              <c16:uniqueId val="{0000000F-877E-4034-AF82-7BEDE967201B}"/>
            </c:ext>
          </c:extLst>
        </c:ser>
        <c:dLbls>
          <c:showLegendKey val="0"/>
          <c:showVal val="0"/>
          <c:showCatName val="0"/>
          <c:showSerName val="0"/>
          <c:showPercent val="0"/>
          <c:showBubbleSize val="0"/>
          <c:showLeaderLines val="1"/>
        </c:dLbls>
        <c:firstSliceAng val="90"/>
      </c:pieChart>
    </c:plotArea>
    <c:plotVisOnly val="1"/>
    <c:dispBlanksAs val="gap"/>
    <c:showDLblsOverMax val="0"/>
  </c:chart>
  <c:spPr>
    <a:noFill/>
    <a:ln>
      <a:noFill/>
    </a:ln>
  </c:sp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0.91867314814814816"/>
          <c:h val="1"/>
        </c:manualLayout>
      </c:layout>
      <c:doughnutChart>
        <c:varyColors val="1"/>
        <c:ser>
          <c:idx val="0"/>
          <c:order val="0"/>
          <c:dPt>
            <c:idx val="0"/>
            <c:bubble3D val="0"/>
            <c:spPr>
              <a:solidFill>
                <a:srgbClr val="92D050"/>
              </a:solidFill>
            </c:spPr>
            <c:extLst>
              <c:ext xmlns:c16="http://schemas.microsoft.com/office/drawing/2014/chart" uri="{C3380CC4-5D6E-409C-BE32-E72D297353CC}">
                <c16:uniqueId val="{00000001-73B7-4A24-9F10-A1693F58889E}"/>
              </c:ext>
            </c:extLst>
          </c:dPt>
          <c:dPt>
            <c:idx val="1"/>
            <c:bubble3D val="0"/>
            <c:spPr>
              <a:solidFill>
                <a:srgbClr val="DAE63A"/>
              </a:solidFill>
            </c:spPr>
            <c:extLst>
              <c:ext xmlns:c16="http://schemas.microsoft.com/office/drawing/2014/chart" uri="{C3380CC4-5D6E-409C-BE32-E72D297353CC}">
                <c16:uniqueId val="{00000003-73B7-4A24-9F10-A1693F58889E}"/>
              </c:ext>
            </c:extLst>
          </c:dPt>
          <c:dPt>
            <c:idx val="2"/>
            <c:bubble3D val="0"/>
            <c:spPr>
              <a:solidFill>
                <a:srgbClr val="FF5050"/>
              </a:solidFill>
            </c:spPr>
            <c:extLst>
              <c:ext xmlns:c16="http://schemas.microsoft.com/office/drawing/2014/chart" uri="{C3380CC4-5D6E-409C-BE32-E72D297353CC}">
                <c16:uniqueId val="{00000005-73B7-4A24-9F10-A1693F58889E}"/>
              </c:ext>
            </c:extLst>
          </c:dPt>
          <c:dPt>
            <c:idx val="3"/>
            <c:bubble3D val="0"/>
            <c:spPr>
              <a:noFill/>
            </c:spPr>
            <c:extLst>
              <c:ext xmlns:c16="http://schemas.microsoft.com/office/drawing/2014/chart" uri="{C3380CC4-5D6E-409C-BE32-E72D297353CC}">
                <c16:uniqueId val="{00000007-73B7-4A24-9F10-A1693F58889E}"/>
              </c:ext>
            </c:extLst>
          </c:dPt>
          <c:val>
            <c:numRef>
              <c:f>Calculations!$B$194:$E$194</c:f>
              <c:numCache>
                <c:formatCode>General</c:formatCode>
                <c:ptCount val="4"/>
                <c:pt idx="0">
                  <c:v>0.375</c:v>
                </c:pt>
                <c:pt idx="1">
                  <c:v>0.22500000000000001</c:v>
                </c:pt>
                <c:pt idx="2">
                  <c:v>0.15000000000000002</c:v>
                </c:pt>
                <c:pt idx="3" formatCode="_(* #,##0.00_);_(* \(#,##0.00\);_(* &quot;–&quot;???_);_(* @_)">
                  <c:v>0.75</c:v>
                </c:pt>
              </c:numCache>
            </c:numRef>
          </c:val>
          <c:extLst>
            <c:ext xmlns:c16="http://schemas.microsoft.com/office/drawing/2014/chart" uri="{C3380CC4-5D6E-409C-BE32-E72D297353CC}">
              <c16:uniqueId val="{00000008-73B7-4A24-9F10-A1693F58889E}"/>
            </c:ext>
          </c:extLst>
        </c:ser>
        <c:dLbls>
          <c:showLegendKey val="0"/>
          <c:showVal val="0"/>
          <c:showCatName val="0"/>
          <c:showSerName val="0"/>
          <c:showPercent val="0"/>
          <c:showBubbleSize val="0"/>
          <c:showLeaderLines val="1"/>
        </c:dLbls>
        <c:firstSliceAng val="270"/>
        <c:holeSize val="50"/>
      </c:doughnutChart>
      <c:pieChart>
        <c:varyColors val="1"/>
        <c:ser>
          <c:idx val="1"/>
          <c:order val="1"/>
          <c:dPt>
            <c:idx val="0"/>
            <c:bubble3D val="0"/>
            <c:spPr>
              <a:noFill/>
            </c:spPr>
            <c:extLst>
              <c:ext xmlns:c16="http://schemas.microsoft.com/office/drawing/2014/chart" uri="{C3380CC4-5D6E-409C-BE32-E72D297353CC}">
                <c16:uniqueId val="{0000000A-73B7-4A24-9F10-A1693F58889E}"/>
              </c:ext>
            </c:extLst>
          </c:dPt>
          <c:dPt>
            <c:idx val="1"/>
            <c:bubble3D val="0"/>
            <c:spPr>
              <a:solidFill>
                <a:schemeClr val="tx1"/>
              </a:solidFill>
            </c:spPr>
            <c:extLst>
              <c:ext xmlns:c16="http://schemas.microsoft.com/office/drawing/2014/chart" uri="{C3380CC4-5D6E-409C-BE32-E72D297353CC}">
                <c16:uniqueId val="{0000000C-73B7-4A24-9F10-A1693F58889E}"/>
              </c:ext>
            </c:extLst>
          </c:dPt>
          <c:dPt>
            <c:idx val="2"/>
            <c:bubble3D val="0"/>
            <c:spPr>
              <a:noFill/>
            </c:spPr>
            <c:extLst>
              <c:ext xmlns:c16="http://schemas.microsoft.com/office/drawing/2014/chart" uri="{C3380CC4-5D6E-409C-BE32-E72D297353CC}">
                <c16:uniqueId val="{0000000E-73B7-4A24-9F10-A1693F58889E}"/>
              </c:ext>
            </c:extLst>
          </c:dPt>
          <c:val>
            <c:numRef>
              <c:f>Calculations!$B$195:$E$195</c:f>
              <c:numCache>
                <c:formatCode>_(* #,##0%_);_(* \(#,##0%\);_(* "–"??_);_(* @_)</c:formatCode>
                <c:ptCount val="4"/>
                <c:pt idx="0" formatCode="_(* #,##0.0000_);_(* \(#,##0.0000\);_(* &quot;–&quot;??_);_(* @_)">
                  <c:v>0.97360895934436131</c:v>
                </c:pt>
                <c:pt idx="1">
                  <c:v>7.4999999999999997E-3</c:v>
                </c:pt>
                <c:pt idx="2" formatCode="_(* #,##0.0000_);_(* \(#,##0.0000\);_(* &quot;–&quot;??_);_(* @_)">
                  <c:v>0.51889104065563874</c:v>
                </c:pt>
              </c:numCache>
            </c:numRef>
          </c:val>
          <c:extLst>
            <c:ext xmlns:c16="http://schemas.microsoft.com/office/drawing/2014/chart" uri="{C3380CC4-5D6E-409C-BE32-E72D297353CC}">
              <c16:uniqueId val="{0000000F-73B7-4A24-9F10-A1693F58889E}"/>
            </c:ext>
          </c:extLst>
        </c:ser>
        <c:dLbls>
          <c:showLegendKey val="0"/>
          <c:showVal val="0"/>
          <c:showCatName val="0"/>
          <c:showSerName val="0"/>
          <c:showPercent val="0"/>
          <c:showBubbleSize val="0"/>
          <c:showLeaderLines val="1"/>
        </c:dLbls>
        <c:firstSliceAng val="90"/>
      </c:pieChart>
    </c:plotArea>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Calculations!$C$9:$G$9</c:f>
              <c:numCache>
                <c:formatCode>_(* #,##0.00_);_(* \(#,##0.00\);_(* "–"???_);_(* @_)</c:formatCode>
                <c:ptCount val="5"/>
                <c:pt idx="0">
                  <c:v>6.3008129596710205E-2</c:v>
                </c:pt>
                <c:pt idx="1">
                  <c:v>6.3819646835327148E-2</c:v>
                </c:pt>
                <c:pt idx="2">
                  <c:v>5.4303150624036789E-2</c:v>
                </c:pt>
                <c:pt idx="3">
                  <c:v>8.2746520638465881E-2</c:v>
                </c:pt>
                <c:pt idx="4">
                  <c:v>0.11095956712961197</c:v>
                </c:pt>
              </c:numCache>
            </c:numRef>
          </c:val>
          <c:smooth val="0"/>
          <c:extLst>
            <c:ext xmlns:c16="http://schemas.microsoft.com/office/drawing/2014/chart" uri="{C3380CC4-5D6E-409C-BE32-E72D297353CC}">
              <c16:uniqueId val="{00000000-366D-40C6-B547-DDA2F81E99DA}"/>
            </c:ext>
          </c:extLst>
        </c:ser>
        <c:dLbls>
          <c:showLegendKey val="0"/>
          <c:showVal val="0"/>
          <c:showCatName val="0"/>
          <c:showSerName val="0"/>
          <c:showPercent val="0"/>
          <c:showBubbleSize val="0"/>
        </c:dLbls>
        <c:smooth val="0"/>
        <c:axId val="132617728"/>
        <c:axId val="132619264"/>
      </c:lineChart>
      <c:catAx>
        <c:axId val="132617728"/>
        <c:scaling>
          <c:orientation val="minMax"/>
        </c:scaling>
        <c:delete val="1"/>
        <c:axPos val="b"/>
        <c:majorTickMark val="out"/>
        <c:minorTickMark val="none"/>
        <c:tickLblPos val="nextTo"/>
        <c:crossAx val="132619264"/>
        <c:crosses val="autoZero"/>
        <c:auto val="1"/>
        <c:lblAlgn val="ctr"/>
        <c:lblOffset val="100"/>
        <c:noMultiLvlLbl val="0"/>
      </c:catAx>
      <c:valAx>
        <c:axId val="132619264"/>
        <c:scaling>
          <c:orientation val="minMax"/>
          <c:min val="0"/>
        </c:scaling>
        <c:delete val="1"/>
        <c:axPos val="l"/>
        <c:numFmt formatCode="_(* #,##0.00_);_(* \(#,##0.00\);_(* &quot;–&quot;???_);_(* @_)" sourceLinked="1"/>
        <c:majorTickMark val="out"/>
        <c:minorTickMark val="none"/>
        <c:tickLblPos val="nextTo"/>
        <c:crossAx val="132617728"/>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0.91867314814814816"/>
          <c:h val="1"/>
        </c:manualLayout>
      </c:layout>
      <c:doughnutChart>
        <c:varyColors val="1"/>
        <c:ser>
          <c:idx val="0"/>
          <c:order val="0"/>
          <c:dPt>
            <c:idx val="0"/>
            <c:bubble3D val="0"/>
            <c:spPr>
              <a:solidFill>
                <a:srgbClr val="92D050"/>
              </a:solidFill>
            </c:spPr>
            <c:extLst>
              <c:ext xmlns:c16="http://schemas.microsoft.com/office/drawing/2014/chart" uri="{C3380CC4-5D6E-409C-BE32-E72D297353CC}">
                <c16:uniqueId val="{00000001-E073-442C-BE4D-87C288C3722A}"/>
              </c:ext>
            </c:extLst>
          </c:dPt>
          <c:dPt>
            <c:idx val="1"/>
            <c:bubble3D val="0"/>
            <c:spPr>
              <a:solidFill>
                <a:srgbClr val="DAE63A"/>
              </a:solidFill>
            </c:spPr>
            <c:extLst>
              <c:ext xmlns:c16="http://schemas.microsoft.com/office/drawing/2014/chart" uri="{C3380CC4-5D6E-409C-BE32-E72D297353CC}">
                <c16:uniqueId val="{00000003-E073-442C-BE4D-87C288C3722A}"/>
              </c:ext>
            </c:extLst>
          </c:dPt>
          <c:dPt>
            <c:idx val="2"/>
            <c:bubble3D val="0"/>
            <c:spPr>
              <a:solidFill>
                <a:srgbClr val="FF5050"/>
              </a:solidFill>
            </c:spPr>
            <c:extLst>
              <c:ext xmlns:c16="http://schemas.microsoft.com/office/drawing/2014/chart" uri="{C3380CC4-5D6E-409C-BE32-E72D297353CC}">
                <c16:uniqueId val="{00000005-E073-442C-BE4D-87C288C3722A}"/>
              </c:ext>
            </c:extLst>
          </c:dPt>
          <c:dPt>
            <c:idx val="3"/>
            <c:bubble3D val="0"/>
            <c:spPr>
              <a:noFill/>
            </c:spPr>
            <c:extLst>
              <c:ext xmlns:c16="http://schemas.microsoft.com/office/drawing/2014/chart" uri="{C3380CC4-5D6E-409C-BE32-E72D297353CC}">
                <c16:uniqueId val="{00000007-E073-442C-BE4D-87C288C3722A}"/>
              </c:ext>
            </c:extLst>
          </c:dPt>
          <c:val>
            <c:numRef>
              <c:f>Calculations!$B$209:$E$209</c:f>
              <c:numCache>
                <c:formatCode>General</c:formatCode>
                <c:ptCount val="4"/>
                <c:pt idx="0">
                  <c:v>0.375</c:v>
                </c:pt>
                <c:pt idx="1">
                  <c:v>0.22499999999999998</c:v>
                </c:pt>
                <c:pt idx="2">
                  <c:v>0.15000000000000002</c:v>
                </c:pt>
                <c:pt idx="3" formatCode="_(* #,##0.00_);_(* \(#,##0.00\);_(* &quot;–&quot;???_);_(* @_)">
                  <c:v>0.75</c:v>
                </c:pt>
              </c:numCache>
            </c:numRef>
          </c:val>
          <c:extLst>
            <c:ext xmlns:c16="http://schemas.microsoft.com/office/drawing/2014/chart" uri="{C3380CC4-5D6E-409C-BE32-E72D297353CC}">
              <c16:uniqueId val="{00000008-E073-442C-BE4D-87C288C3722A}"/>
            </c:ext>
          </c:extLst>
        </c:ser>
        <c:dLbls>
          <c:showLegendKey val="0"/>
          <c:showVal val="0"/>
          <c:showCatName val="0"/>
          <c:showSerName val="0"/>
          <c:showPercent val="0"/>
          <c:showBubbleSize val="0"/>
          <c:showLeaderLines val="1"/>
        </c:dLbls>
        <c:firstSliceAng val="270"/>
        <c:holeSize val="50"/>
      </c:doughnutChart>
      <c:pieChart>
        <c:varyColors val="1"/>
        <c:ser>
          <c:idx val="1"/>
          <c:order val="1"/>
          <c:dPt>
            <c:idx val="0"/>
            <c:bubble3D val="0"/>
            <c:spPr>
              <a:noFill/>
            </c:spPr>
            <c:extLst>
              <c:ext xmlns:c16="http://schemas.microsoft.com/office/drawing/2014/chart" uri="{C3380CC4-5D6E-409C-BE32-E72D297353CC}">
                <c16:uniqueId val="{0000000A-E073-442C-BE4D-87C288C3722A}"/>
              </c:ext>
            </c:extLst>
          </c:dPt>
          <c:dPt>
            <c:idx val="1"/>
            <c:bubble3D val="0"/>
            <c:spPr>
              <a:solidFill>
                <a:schemeClr val="tx1"/>
              </a:solidFill>
            </c:spPr>
            <c:extLst>
              <c:ext xmlns:c16="http://schemas.microsoft.com/office/drawing/2014/chart" uri="{C3380CC4-5D6E-409C-BE32-E72D297353CC}">
                <c16:uniqueId val="{0000000C-E073-442C-BE4D-87C288C3722A}"/>
              </c:ext>
            </c:extLst>
          </c:dPt>
          <c:dPt>
            <c:idx val="2"/>
            <c:bubble3D val="0"/>
            <c:spPr>
              <a:noFill/>
            </c:spPr>
            <c:extLst>
              <c:ext xmlns:c16="http://schemas.microsoft.com/office/drawing/2014/chart" uri="{C3380CC4-5D6E-409C-BE32-E72D297353CC}">
                <c16:uniqueId val="{0000000E-E073-442C-BE4D-87C288C3722A}"/>
              </c:ext>
            </c:extLst>
          </c:dPt>
          <c:val>
            <c:numRef>
              <c:f>Calculations!$B$210:$E$210</c:f>
              <c:numCache>
                <c:formatCode>_(* #,##0%_);_(* \(#,##0%\);_(* "–"??_);_(* @_)</c:formatCode>
                <c:ptCount val="4"/>
                <c:pt idx="0" formatCode="_(* #,##0.0000_);_(* \(#,##0.0000\);_(* &quot;–&quot;??_);_(* @_)">
                  <c:v>0.77735907943982818</c:v>
                </c:pt>
                <c:pt idx="1">
                  <c:v>7.4999999999999997E-3</c:v>
                </c:pt>
                <c:pt idx="2" formatCode="_(* #,##0.0000_);_(* \(#,##0.0000\);_(* &quot;–&quot;??_);_(* @_)">
                  <c:v>0.71514092056017187</c:v>
                </c:pt>
              </c:numCache>
            </c:numRef>
          </c:val>
          <c:extLst>
            <c:ext xmlns:c16="http://schemas.microsoft.com/office/drawing/2014/chart" uri="{C3380CC4-5D6E-409C-BE32-E72D297353CC}">
              <c16:uniqueId val="{0000000F-E073-442C-BE4D-87C288C3722A}"/>
            </c:ext>
          </c:extLst>
        </c:ser>
        <c:dLbls>
          <c:showLegendKey val="0"/>
          <c:showVal val="0"/>
          <c:showCatName val="0"/>
          <c:showSerName val="0"/>
          <c:showPercent val="0"/>
          <c:showBubbleSize val="0"/>
          <c:showLeaderLines val="1"/>
        </c:dLbls>
        <c:firstSliceAng val="90"/>
      </c:pieChart>
    </c:plotArea>
    <c:plotVisOnly val="1"/>
    <c:dispBlanksAs val="gap"/>
    <c:showDLblsOverMax val="0"/>
  </c:chart>
  <c:spPr>
    <a:noFill/>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dPt>
            <c:idx val="3"/>
            <c:bubble3D val="0"/>
            <c:spPr>
              <a:ln w="19050">
                <a:solidFill>
                  <a:srgbClr val="968F58"/>
                </a:solidFill>
                <a:prstDash val="sysDot"/>
              </a:ln>
            </c:spPr>
            <c:extLst>
              <c:ext xmlns:c16="http://schemas.microsoft.com/office/drawing/2014/chart" uri="{C3380CC4-5D6E-409C-BE32-E72D297353CC}">
                <c16:uniqueId val="{00000001-6863-4BC0-8A84-A19CAA454C8C}"/>
              </c:ext>
            </c:extLst>
          </c:dPt>
          <c:dPt>
            <c:idx val="4"/>
            <c:bubble3D val="0"/>
            <c:spPr>
              <a:ln w="19050">
                <a:solidFill>
                  <a:srgbClr val="968F58"/>
                </a:solidFill>
                <a:prstDash val="sysDot"/>
              </a:ln>
            </c:spPr>
            <c:extLst>
              <c:ext xmlns:c16="http://schemas.microsoft.com/office/drawing/2014/chart" uri="{C3380CC4-5D6E-409C-BE32-E72D297353CC}">
                <c16:uniqueId val="{00000003-6863-4BC0-8A84-A19CAA454C8C}"/>
              </c:ext>
            </c:extLst>
          </c:dPt>
          <c:dPt>
            <c:idx val="5"/>
            <c:bubble3D val="0"/>
            <c:spPr>
              <a:ln w="19050">
                <a:solidFill>
                  <a:srgbClr val="968F58"/>
                </a:solidFill>
                <a:prstDash val="sysDot"/>
              </a:ln>
            </c:spPr>
            <c:extLst>
              <c:ext xmlns:c16="http://schemas.microsoft.com/office/drawing/2014/chart" uri="{C3380CC4-5D6E-409C-BE32-E72D297353CC}">
                <c16:uniqueId val="{00000005-6863-4BC0-8A84-A19CAA454C8C}"/>
              </c:ext>
            </c:extLst>
          </c:dPt>
          <c:dPt>
            <c:idx val="6"/>
            <c:bubble3D val="0"/>
            <c:spPr>
              <a:ln w="19050">
                <a:solidFill>
                  <a:srgbClr val="968F58"/>
                </a:solidFill>
                <a:prstDash val="sysDot"/>
              </a:ln>
            </c:spPr>
            <c:extLst>
              <c:ext xmlns:c16="http://schemas.microsoft.com/office/drawing/2014/chart" uri="{C3380CC4-5D6E-409C-BE32-E72D297353CC}">
                <c16:uniqueId val="{00000007-6863-4BC0-8A84-A19CAA454C8C}"/>
              </c:ext>
            </c:extLst>
          </c:dPt>
          <c:dPt>
            <c:idx val="7"/>
            <c:bubble3D val="0"/>
            <c:spPr>
              <a:ln w="19050">
                <a:solidFill>
                  <a:srgbClr val="968F58"/>
                </a:solidFill>
                <a:prstDash val="sysDot"/>
              </a:ln>
            </c:spPr>
            <c:extLst>
              <c:ext xmlns:c16="http://schemas.microsoft.com/office/drawing/2014/chart" uri="{C3380CC4-5D6E-409C-BE32-E72D297353CC}">
                <c16:uniqueId val="{00000009-6863-4BC0-8A84-A19CAA454C8C}"/>
              </c:ext>
            </c:extLst>
          </c:dPt>
          <c:cat>
            <c:numRef>
              <c:f>Calculations!$E$228:$L$228</c:f>
              <c:numCache>
                <c:formatCode>General</c:formatCode>
                <c:ptCount val="8"/>
                <c:pt idx="0">
                  <c:v>2020</c:v>
                </c:pt>
                <c:pt idx="1">
                  <c:v>2021</c:v>
                </c:pt>
                <c:pt idx="2">
                  <c:v>2022</c:v>
                </c:pt>
                <c:pt idx="3">
                  <c:v>2023</c:v>
                </c:pt>
                <c:pt idx="4">
                  <c:v>2024</c:v>
                </c:pt>
                <c:pt idx="5">
                  <c:v>2025</c:v>
                </c:pt>
                <c:pt idx="6">
                  <c:v>2026</c:v>
                </c:pt>
                <c:pt idx="7">
                  <c:v>2027</c:v>
                </c:pt>
              </c:numCache>
            </c:numRef>
          </c:cat>
          <c:val>
            <c:numRef>
              <c:f>Calculations!$E$234:$L$234</c:f>
              <c:numCache>
                <c:formatCode>_(* #,##0.00_);_(* \(#,##0.00\);_(* "–"???_);_(* @_)</c:formatCode>
                <c:ptCount val="8"/>
                <c:pt idx="0">
                  <c:v>0.17849737930297854</c:v>
                </c:pt>
                <c:pt idx="1">
                  <c:v>0.11568598413467408</c:v>
                </c:pt>
                <c:pt idx="2">
                  <c:v>1.0603820152282715</c:v>
                </c:pt>
                <c:pt idx="3">
                  <c:v>0.97588513798421161</c:v>
                </c:pt>
                <c:pt idx="4">
                  <c:v>0.72005126501985206</c:v>
                </c:pt>
                <c:pt idx="5">
                  <c:v>0.58540482089984536</c:v>
                </c:pt>
                <c:pt idx="6">
                  <c:v>0.55799979875008021</c:v>
                </c:pt>
                <c:pt idx="7">
                  <c:v>0.44881995025521787</c:v>
                </c:pt>
              </c:numCache>
            </c:numRef>
          </c:val>
          <c:smooth val="0"/>
          <c:extLst>
            <c:ext xmlns:c16="http://schemas.microsoft.com/office/drawing/2014/chart" uri="{C3380CC4-5D6E-409C-BE32-E72D297353CC}">
              <c16:uniqueId val="{0000000A-6863-4BC0-8A84-A19CAA454C8C}"/>
            </c:ext>
          </c:extLst>
        </c:ser>
        <c:dLbls>
          <c:showLegendKey val="0"/>
          <c:showVal val="0"/>
          <c:showCatName val="0"/>
          <c:showSerName val="0"/>
          <c:showPercent val="0"/>
          <c:showBubbleSize val="0"/>
        </c:dLbls>
        <c:smooth val="0"/>
        <c:axId val="134586752"/>
        <c:axId val="134588288"/>
      </c:lineChart>
      <c:catAx>
        <c:axId val="134586752"/>
        <c:scaling>
          <c:orientation val="minMax"/>
        </c:scaling>
        <c:delete val="1"/>
        <c:axPos val="b"/>
        <c:numFmt formatCode="General" sourceLinked="1"/>
        <c:majorTickMark val="out"/>
        <c:minorTickMark val="none"/>
        <c:tickLblPos val="nextTo"/>
        <c:crossAx val="134588288"/>
        <c:crosses val="autoZero"/>
        <c:auto val="1"/>
        <c:lblAlgn val="ctr"/>
        <c:lblOffset val="100"/>
        <c:noMultiLvlLbl val="0"/>
      </c:catAx>
      <c:valAx>
        <c:axId val="134588288"/>
        <c:scaling>
          <c:orientation val="minMax"/>
          <c:min val="-1.0000000000000002E-2"/>
        </c:scaling>
        <c:delete val="1"/>
        <c:axPos val="l"/>
        <c:numFmt formatCode="_(* #,##0.00_);_(* \(#,##0.00\);_(* &quot;–&quot;???_);_(* @_)" sourceLinked="1"/>
        <c:majorTickMark val="out"/>
        <c:minorTickMark val="none"/>
        <c:tickLblPos val="nextTo"/>
        <c:crossAx val="13458675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dPt>
            <c:idx val="3"/>
            <c:bubble3D val="0"/>
            <c:spPr>
              <a:ln w="19050">
                <a:solidFill>
                  <a:srgbClr val="968F58"/>
                </a:solidFill>
                <a:prstDash val="sysDot"/>
              </a:ln>
            </c:spPr>
            <c:extLst>
              <c:ext xmlns:c16="http://schemas.microsoft.com/office/drawing/2014/chart" uri="{C3380CC4-5D6E-409C-BE32-E72D297353CC}">
                <c16:uniqueId val="{00000001-86C7-4C5B-AE5B-2FB15ABCD3C9}"/>
              </c:ext>
            </c:extLst>
          </c:dPt>
          <c:dPt>
            <c:idx val="4"/>
            <c:bubble3D val="0"/>
            <c:spPr>
              <a:ln w="19050">
                <a:solidFill>
                  <a:srgbClr val="968F58"/>
                </a:solidFill>
                <a:prstDash val="sysDot"/>
              </a:ln>
            </c:spPr>
            <c:extLst>
              <c:ext xmlns:c16="http://schemas.microsoft.com/office/drawing/2014/chart" uri="{C3380CC4-5D6E-409C-BE32-E72D297353CC}">
                <c16:uniqueId val="{00000003-86C7-4C5B-AE5B-2FB15ABCD3C9}"/>
              </c:ext>
            </c:extLst>
          </c:dPt>
          <c:dPt>
            <c:idx val="5"/>
            <c:bubble3D val="0"/>
            <c:spPr>
              <a:ln w="19050">
                <a:solidFill>
                  <a:srgbClr val="968F58"/>
                </a:solidFill>
                <a:prstDash val="sysDot"/>
              </a:ln>
            </c:spPr>
            <c:extLst>
              <c:ext xmlns:c16="http://schemas.microsoft.com/office/drawing/2014/chart" uri="{C3380CC4-5D6E-409C-BE32-E72D297353CC}">
                <c16:uniqueId val="{00000005-86C7-4C5B-AE5B-2FB15ABCD3C9}"/>
              </c:ext>
            </c:extLst>
          </c:dPt>
          <c:dPt>
            <c:idx val="6"/>
            <c:bubble3D val="0"/>
            <c:spPr>
              <a:ln w="19050">
                <a:solidFill>
                  <a:srgbClr val="968F58"/>
                </a:solidFill>
                <a:prstDash val="sysDot"/>
              </a:ln>
            </c:spPr>
            <c:extLst>
              <c:ext xmlns:c16="http://schemas.microsoft.com/office/drawing/2014/chart" uri="{C3380CC4-5D6E-409C-BE32-E72D297353CC}">
                <c16:uniqueId val="{00000007-86C7-4C5B-AE5B-2FB15ABCD3C9}"/>
              </c:ext>
            </c:extLst>
          </c:dPt>
          <c:dPt>
            <c:idx val="7"/>
            <c:bubble3D val="0"/>
            <c:spPr>
              <a:ln w="19050">
                <a:solidFill>
                  <a:srgbClr val="968F58"/>
                </a:solidFill>
                <a:prstDash val="sysDot"/>
              </a:ln>
            </c:spPr>
            <c:extLst>
              <c:ext xmlns:c16="http://schemas.microsoft.com/office/drawing/2014/chart" uri="{C3380CC4-5D6E-409C-BE32-E72D297353CC}">
                <c16:uniqueId val="{00000009-86C7-4C5B-AE5B-2FB15ABCD3C9}"/>
              </c:ext>
            </c:extLst>
          </c:dPt>
          <c:cat>
            <c:numRef>
              <c:f>Calculations!$E$228:$L$228</c:f>
              <c:numCache>
                <c:formatCode>General</c:formatCode>
                <c:ptCount val="8"/>
                <c:pt idx="0">
                  <c:v>2020</c:v>
                </c:pt>
                <c:pt idx="1">
                  <c:v>2021</c:v>
                </c:pt>
                <c:pt idx="2">
                  <c:v>2022</c:v>
                </c:pt>
                <c:pt idx="3">
                  <c:v>2023</c:v>
                </c:pt>
                <c:pt idx="4">
                  <c:v>2024</c:v>
                </c:pt>
                <c:pt idx="5">
                  <c:v>2025</c:v>
                </c:pt>
                <c:pt idx="6">
                  <c:v>2026</c:v>
                </c:pt>
                <c:pt idx="7">
                  <c:v>2027</c:v>
                </c:pt>
              </c:numCache>
            </c:numRef>
          </c:cat>
          <c:val>
            <c:numRef>
              <c:f>Calculations!$E$229:$L$229</c:f>
              <c:numCache>
                <c:formatCode>_(* #,##0.00_);_(* \(#,##0.00\);_(* "–"???_);_(* @_)</c:formatCode>
                <c:ptCount val="8"/>
                <c:pt idx="0">
                  <c:v>0.19639064025878905</c:v>
                </c:pt>
                <c:pt idx="1">
                  <c:v>0.22647177124023438</c:v>
                </c:pt>
                <c:pt idx="2">
                  <c:v>0.19071429443359375</c:v>
                </c:pt>
                <c:pt idx="3">
                  <c:v>5.0864146985100424E-2</c:v>
                </c:pt>
                <c:pt idx="4">
                  <c:v>5.6772373942076584E-2</c:v>
                </c:pt>
                <c:pt idx="5">
                  <c:v>6.20967511905983E-2</c:v>
                </c:pt>
                <c:pt idx="6">
                  <c:v>6.3454192473902896E-2</c:v>
                </c:pt>
                <c:pt idx="7">
                  <c:v>6.443437758960914E-2</c:v>
                </c:pt>
              </c:numCache>
            </c:numRef>
          </c:val>
          <c:smooth val="0"/>
          <c:extLst>
            <c:ext xmlns:c16="http://schemas.microsoft.com/office/drawing/2014/chart" uri="{C3380CC4-5D6E-409C-BE32-E72D297353CC}">
              <c16:uniqueId val="{0000000A-86C7-4C5B-AE5B-2FB15ABCD3C9}"/>
            </c:ext>
          </c:extLst>
        </c:ser>
        <c:dLbls>
          <c:showLegendKey val="0"/>
          <c:showVal val="0"/>
          <c:showCatName val="0"/>
          <c:showSerName val="0"/>
          <c:showPercent val="0"/>
          <c:showBubbleSize val="0"/>
        </c:dLbls>
        <c:smooth val="0"/>
        <c:axId val="134630400"/>
        <c:axId val="134632192"/>
      </c:lineChart>
      <c:catAx>
        <c:axId val="134630400"/>
        <c:scaling>
          <c:orientation val="minMax"/>
        </c:scaling>
        <c:delete val="1"/>
        <c:axPos val="b"/>
        <c:numFmt formatCode="General" sourceLinked="1"/>
        <c:majorTickMark val="out"/>
        <c:minorTickMark val="none"/>
        <c:tickLblPos val="nextTo"/>
        <c:crossAx val="134632192"/>
        <c:crosses val="autoZero"/>
        <c:auto val="1"/>
        <c:lblAlgn val="ctr"/>
        <c:lblOffset val="100"/>
        <c:noMultiLvlLbl val="0"/>
      </c:catAx>
      <c:valAx>
        <c:axId val="134632192"/>
        <c:scaling>
          <c:orientation val="minMax"/>
          <c:min val="-1.0000000000000002E-2"/>
        </c:scaling>
        <c:delete val="1"/>
        <c:axPos val="l"/>
        <c:numFmt formatCode="_(* #,##0.00_);_(* \(#,##0.00\);_(* &quot;–&quot;???_);_(* @_)" sourceLinked="1"/>
        <c:majorTickMark val="out"/>
        <c:minorTickMark val="none"/>
        <c:tickLblPos val="nextTo"/>
        <c:crossAx val="13463040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dPt>
            <c:idx val="3"/>
            <c:bubble3D val="0"/>
            <c:spPr>
              <a:ln w="19050">
                <a:solidFill>
                  <a:srgbClr val="968F58"/>
                </a:solidFill>
                <a:prstDash val="sysDot"/>
              </a:ln>
            </c:spPr>
            <c:extLst>
              <c:ext xmlns:c16="http://schemas.microsoft.com/office/drawing/2014/chart" uri="{C3380CC4-5D6E-409C-BE32-E72D297353CC}">
                <c16:uniqueId val="{00000001-FA77-45F9-949E-3E5E7CD2014C}"/>
              </c:ext>
            </c:extLst>
          </c:dPt>
          <c:dPt>
            <c:idx val="4"/>
            <c:bubble3D val="0"/>
            <c:spPr>
              <a:ln w="19050">
                <a:solidFill>
                  <a:srgbClr val="968F58"/>
                </a:solidFill>
                <a:prstDash val="sysDot"/>
              </a:ln>
            </c:spPr>
            <c:extLst>
              <c:ext xmlns:c16="http://schemas.microsoft.com/office/drawing/2014/chart" uri="{C3380CC4-5D6E-409C-BE32-E72D297353CC}">
                <c16:uniqueId val="{00000003-FA77-45F9-949E-3E5E7CD2014C}"/>
              </c:ext>
            </c:extLst>
          </c:dPt>
          <c:dPt>
            <c:idx val="5"/>
            <c:bubble3D val="0"/>
            <c:spPr>
              <a:ln w="19050">
                <a:solidFill>
                  <a:srgbClr val="968F58"/>
                </a:solidFill>
                <a:prstDash val="sysDot"/>
              </a:ln>
            </c:spPr>
            <c:extLst>
              <c:ext xmlns:c16="http://schemas.microsoft.com/office/drawing/2014/chart" uri="{C3380CC4-5D6E-409C-BE32-E72D297353CC}">
                <c16:uniqueId val="{00000005-FA77-45F9-949E-3E5E7CD2014C}"/>
              </c:ext>
            </c:extLst>
          </c:dPt>
          <c:dPt>
            <c:idx val="6"/>
            <c:bubble3D val="0"/>
            <c:spPr>
              <a:ln w="19050">
                <a:solidFill>
                  <a:srgbClr val="968F58"/>
                </a:solidFill>
                <a:prstDash val="sysDot"/>
              </a:ln>
            </c:spPr>
            <c:extLst>
              <c:ext xmlns:c16="http://schemas.microsoft.com/office/drawing/2014/chart" uri="{C3380CC4-5D6E-409C-BE32-E72D297353CC}">
                <c16:uniqueId val="{00000007-FA77-45F9-949E-3E5E7CD2014C}"/>
              </c:ext>
            </c:extLst>
          </c:dPt>
          <c:dPt>
            <c:idx val="7"/>
            <c:bubble3D val="0"/>
            <c:spPr>
              <a:ln w="19050">
                <a:solidFill>
                  <a:srgbClr val="968F58"/>
                </a:solidFill>
                <a:prstDash val="sysDot"/>
              </a:ln>
            </c:spPr>
            <c:extLst>
              <c:ext xmlns:c16="http://schemas.microsoft.com/office/drawing/2014/chart" uri="{C3380CC4-5D6E-409C-BE32-E72D297353CC}">
                <c16:uniqueId val="{00000009-FA77-45F9-949E-3E5E7CD2014C}"/>
              </c:ext>
            </c:extLst>
          </c:dPt>
          <c:cat>
            <c:numRef>
              <c:f>Calculations!$E$228:$L$228</c:f>
              <c:numCache>
                <c:formatCode>General</c:formatCode>
                <c:ptCount val="8"/>
                <c:pt idx="0">
                  <c:v>2020</c:v>
                </c:pt>
                <c:pt idx="1">
                  <c:v>2021</c:v>
                </c:pt>
                <c:pt idx="2">
                  <c:v>2022</c:v>
                </c:pt>
                <c:pt idx="3">
                  <c:v>2023</c:v>
                </c:pt>
                <c:pt idx="4">
                  <c:v>2024</c:v>
                </c:pt>
                <c:pt idx="5">
                  <c:v>2025</c:v>
                </c:pt>
                <c:pt idx="6">
                  <c:v>2026</c:v>
                </c:pt>
                <c:pt idx="7">
                  <c:v>2027</c:v>
                </c:pt>
              </c:numCache>
            </c:numRef>
          </c:cat>
          <c:val>
            <c:numRef>
              <c:f>Calculations!$E$230:$L$230</c:f>
              <c:numCache>
                <c:formatCode>_(* #,##0.00_);_(* \(#,##0.00\);_(* "–"???_);_(* @_)</c:formatCode>
                <c:ptCount val="8"/>
                <c:pt idx="0">
                  <c:v>7.371076171875</c:v>
                </c:pt>
                <c:pt idx="1">
                  <c:v>5.1462651367187497</c:v>
                </c:pt>
                <c:pt idx="2">
                  <c:v>8.3763398437499994</c:v>
                </c:pt>
                <c:pt idx="3">
                  <c:v>6.1009115203450941</c:v>
                </c:pt>
                <c:pt idx="4">
                  <c:v>5.7110072683394035</c:v>
                </c:pt>
                <c:pt idx="5">
                  <c:v>6.1742556692971222</c:v>
                </c:pt>
                <c:pt idx="6">
                  <c:v>6.4909258659614268</c:v>
                </c:pt>
                <c:pt idx="7">
                  <c:v>6.9537201684778696</c:v>
                </c:pt>
              </c:numCache>
            </c:numRef>
          </c:val>
          <c:smooth val="0"/>
          <c:extLst>
            <c:ext xmlns:c16="http://schemas.microsoft.com/office/drawing/2014/chart" uri="{C3380CC4-5D6E-409C-BE32-E72D297353CC}">
              <c16:uniqueId val="{0000000A-FA77-45F9-949E-3E5E7CD2014C}"/>
            </c:ext>
          </c:extLst>
        </c:ser>
        <c:dLbls>
          <c:showLegendKey val="0"/>
          <c:showVal val="0"/>
          <c:showCatName val="0"/>
          <c:showSerName val="0"/>
          <c:showPercent val="0"/>
          <c:showBubbleSize val="0"/>
        </c:dLbls>
        <c:smooth val="0"/>
        <c:axId val="134666112"/>
        <c:axId val="134667648"/>
      </c:lineChart>
      <c:catAx>
        <c:axId val="134666112"/>
        <c:scaling>
          <c:orientation val="minMax"/>
        </c:scaling>
        <c:delete val="1"/>
        <c:axPos val="b"/>
        <c:numFmt formatCode="General" sourceLinked="1"/>
        <c:majorTickMark val="out"/>
        <c:minorTickMark val="none"/>
        <c:tickLblPos val="nextTo"/>
        <c:crossAx val="134667648"/>
        <c:crosses val="autoZero"/>
        <c:auto val="1"/>
        <c:lblAlgn val="ctr"/>
        <c:lblOffset val="100"/>
        <c:noMultiLvlLbl val="0"/>
      </c:catAx>
      <c:valAx>
        <c:axId val="134667648"/>
        <c:scaling>
          <c:orientation val="minMax"/>
          <c:min val="-1.0000000000000002E-2"/>
        </c:scaling>
        <c:delete val="1"/>
        <c:axPos val="l"/>
        <c:numFmt formatCode="_(* #,##0.00_);_(* \(#,##0.00\);_(* &quot;–&quot;???_);_(* @_)" sourceLinked="1"/>
        <c:majorTickMark val="out"/>
        <c:minorTickMark val="none"/>
        <c:tickLblPos val="nextTo"/>
        <c:crossAx val="13466611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dPt>
            <c:idx val="3"/>
            <c:bubble3D val="0"/>
            <c:spPr>
              <a:ln w="19050">
                <a:solidFill>
                  <a:srgbClr val="968F58"/>
                </a:solidFill>
                <a:prstDash val="sysDot"/>
              </a:ln>
            </c:spPr>
            <c:extLst>
              <c:ext xmlns:c16="http://schemas.microsoft.com/office/drawing/2014/chart" uri="{C3380CC4-5D6E-409C-BE32-E72D297353CC}">
                <c16:uniqueId val="{00000001-D820-4872-BC14-0C6AB8D4423C}"/>
              </c:ext>
            </c:extLst>
          </c:dPt>
          <c:dPt>
            <c:idx val="4"/>
            <c:bubble3D val="0"/>
            <c:spPr>
              <a:ln w="19050">
                <a:solidFill>
                  <a:srgbClr val="968F58"/>
                </a:solidFill>
                <a:prstDash val="sysDot"/>
              </a:ln>
            </c:spPr>
            <c:extLst>
              <c:ext xmlns:c16="http://schemas.microsoft.com/office/drawing/2014/chart" uri="{C3380CC4-5D6E-409C-BE32-E72D297353CC}">
                <c16:uniqueId val="{00000003-D820-4872-BC14-0C6AB8D4423C}"/>
              </c:ext>
            </c:extLst>
          </c:dPt>
          <c:dPt>
            <c:idx val="5"/>
            <c:bubble3D val="0"/>
            <c:spPr>
              <a:ln w="19050">
                <a:solidFill>
                  <a:srgbClr val="968F58"/>
                </a:solidFill>
                <a:prstDash val="sysDot"/>
              </a:ln>
            </c:spPr>
            <c:extLst>
              <c:ext xmlns:c16="http://schemas.microsoft.com/office/drawing/2014/chart" uri="{C3380CC4-5D6E-409C-BE32-E72D297353CC}">
                <c16:uniqueId val="{00000005-D820-4872-BC14-0C6AB8D4423C}"/>
              </c:ext>
            </c:extLst>
          </c:dPt>
          <c:dPt>
            <c:idx val="6"/>
            <c:bubble3D val="0"/>
            <c:spPr>
              <a:ln w="19050">
                <a:solidFill>
                  <a:srgbClr val="968F58"/>
                </a:solidFill>
                <a:prstDash val="sysDot"/>
              </a:ln>
            </c:spPr>
            <c:extLst>
              <c:ext xmlns:c16="http://schemas.microsoft.com/office/drawing/2014/chart" uri="{C3380CC4-5D6E-409C-BE32-E72D297353CC}">
                <c16:uniqueId val="{00000007-D820-4872-BC14-0C6AB8D4423C}"/>
              </c:ext>
            </c:extLst>
          </c:dPt>
          <c:dPt>
            <c:idx val="7"/>
            <c:bubble3D val="0"/>
            <c:spPr>
              <a:ln w="19050">
                <a:solidFill>
                  <a:srgbClr val="968F58"/>
                </a:solidFill>
                <a:prstDash val="sysDot"/>
              </a:ln>
            </c:spPr>
            <c:extLst>
              <c:ext xmlns:c16="http://schemas.microsoft.com/office/drawing/2014/chart" uri="{C3380CC4-5D6E-409C-BE32-E72D297353CC}">
                <c16:uniqueId val="{00000009-D820-4872-BC14-0C6AB8D4423C}"/>
              </c:ext>
            </c:extLst>
          </c:dPt>
          <c:cat>
            <c:numRef>
              <c:f>Calculations!$E$228:$L$228</c:f>
              <c:numCache>
                <c:formatCode>General</c:formatCode>
                <c:ptCount val="8"/>
                <c:pt idx="0">
                  <c:v>2020</c:v>
                </c:pt>
                <c:pt idx="1">
                  <c:v>2021</c:v>
                </c:pt>
                <c:pt idx="2">
                  <c:v>2022</c:v>
                </c:pt>
                <c:pt idx="3">
                  <c:v>2023</c:v>
                </c:pt>
                <c:pt idx="4">
                  <c:v>2024</c:v>
                </c:pt>
                <c:pt idx="5">
                  <c:v>2025</c:v>
                </c:pt>
                <c:pt idx="6">
                  <c:v>2026</c:v>
                </c:pt>
                <c:pt idx="7">
                  <c:v>2027</c:v>
                </c:pt>
              </c:numCache>
            </c:numRef>
          </c:cat>
          <c:val>
            <c:numRef>
              <c:f>Calculations!$E$231:$L$231</c:f>
              <c:numCache>
                <c:formatCode>_(* #,##0.00_);_(* \(#,##0.00\);_(* "–"???_);_(* @_)</c:formatCode>
                <c:ptCount val="8"/>
                <c:pt idx="0">
                  <c:v>0.115</c:v>
                </c:pt>
                <c:pt idx="1">
                  <c:v>0.183</c:v>
                </c:pt>
                <c:pt idx="2">
                  <c:v>0.2682777404785156</c:v>
                </c:pt>
                <c:pt idx="3">
                  <c:v>8.4118696778976723E-2</c:v>
                </c:pt>
                <c:pt idx="4">
                  <c:v>0.45094774850529706</c:v>
                </c:pt>
                <c:pt idx="5">
                  <c:v>0.46215726786826139</c:v>
                </c:pt>
                <c:pt idx="6">
                  <c:v>0.47216373009480167</c:v>
                </c:pt>
                <c:pt idx="7">
                  <c:v>0.48082615296987591</c:v>
                </c:pt>
              </c:numCache>
            </c:numRef>
          </c:val>
          <c:smooth val="0"/>
          <c:extLst>
            <c:ext xmlns:c16="http://schemas.microsoft.com/office/drawing/2014/chart" uri="{C3380CC4-5D6E-409C-BE32-E72D297353CC}">
              <c16:uniqueId val="{0000000A-D820-4872-BC14-0C6AB8D4423C}"/>
            </c:ext>
          </c:extLst>
        </c:ser>
        <c:dLbls>
          <c:showLegendKey val="0"/>
          <c:showVal val="0"/>
          <c:showCatName val="0"/>
          <c:showSerName val="0"/>
          <c:showPercent val="0"/>
          <c:showBubbleSize val="0"/>
        </c:dLbls>
        <c:smooth val="0"/>
        <c:axId val="134710016"/>
        <c:axId val="134711552"/>
      </c:lineChart>
      <c:catAx>
        <c:axId val="134710016"/>
        <c:scaling>
          <c:orientation val="minMax"/>
        </c:scaling>
        <c:delete val="1"/>
        <c:axPos val="b"/>
        <c:numFmt formatCode="General" sourceLinked="1"/>
        <c:majorTickMark val="out"/>
        <c:minorTickMark val="none"/>
        <c:tickLblPos val="nextTo"/>
        <c:crossAx val="134711552"/>
        <c:crosses val="autoZero"/>
        <c:auto val="1"/>
        <c:lblAlgn val="ctr"/>
        <c:lblOffset val="100"/>
        <c:noMultiLvlLbl val="0"/>
      </c:catAx>
      <c:valAx>
        <c:axId val="134711552"/>
        <c:scaling>
          <c:orientation val="minMax"/>
          <c:min val="-1.0000000000000002E-2"/>
        </c:scaling>
        <c:delete val="1"/>
        <c:axPos val="l"/>
        <c:numFmt formatCode="_(* #,##0.00_);_(* \(#,##0.00\);_(* &quot;–&quot;???_);_(* @_)" sourceLinked="1"/>
        <c:majorTickMark val="out"/>
        <c:minorTickMark val="none"/>
        <c:tickLblPos val="nextTo"/>
        <c:crossAx val="13471001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Calculations!$C$55:$G$55</c:f>
              <c:numCache>
                <c:formatCode>_(* #,##0.00_);_(* \(#,##0.00\);_(* "–"???_);_(* @_)</c:formatCode>
                <c:ptCount val="5"/>
                <c:pt idx="0">
                  <c:v>16.064126953125001</c:v>
                </c:pt>
                <c:pt idx="1">
                  <c:v>14.0199521484375</c:v>
                </c:pt>
                <c:pt idx="2">
                  <c:v>15.5601806640625</c:v>
                </c:pt>
                <c:pt idx="3">
                  <c:v>16.759255859374999</c:v>
                </c:pt>
                <c:pt idx="4">
                  <c:v>17.315173828125001</c:v>
                </c:pt>
              </c:numCache>
            </c:numRef>
          </c:val>
          <c:smooth val="0"/>
          <c:extLst>
            <c:ext xmlns:c16="http://schemas.microsoft.com/office/drawing/2014/chart" uri="{C3380CC4-5D6E-409C-BE32-E72D297353CC}">
              <c16:uniqueId val="{00000000-E589-4012-AB11-F4182A38E803}"/>
            </c:ext>
          </c:extLst>
        </c:ser>
        <c:dLbls>
          <c:showLegendKey val="0"/>
          <c:showVal val="0"/>
          <c:showCatName val="0"/>
          <c:showSerName val="0"/>
          <c:showPercent val="0"/>
          <c:showBubbleSize val="0"/>
        </c:dLbls>
        <c:smooth val="0"/>
        <c:axId val="134739456"/>
        <c:axId val="134740992"/>
      </c:lineChart>
      <c:catAx>
        <c:axId val="134739456"/>
        <c:scaling>
          <c:orientation val="minMax"/>
        </c:scaling>
        <c:delete val="1"/>
        <c:axPos val="b"/>
        <c:majorTickMark val="out"/>
        <c:minorTickMark val="none"/>
        <c:tickLblPos val="nextTo"/>
        <c:crossAx val="134740992"/>
        <c:crosses val="autoZero"/>
        <c:auto val="1"/>
        <c:lblAlgn val="ctr"/>
        <c:lblOffset val="100"/>
        <c:noMultiLvlLbl val="0"/>
      </c:catAx>
      <c:valAx>
        <c:axId val="134740992"/>
        <c:scaling>
          <c:orientation val="minMax"/>
          <c:min val="0"/>
        </c:scaling>
        <c:delete val="1"/>
        <c:axPos val="l"/>
        <c:numFmt formatCode="_(* #,##0.00_);_(* \(#,##0.00\);_(* &quot;–&quot;???_);_(* @_)" sourceLinked="1"/>
        <c:majorTickMark val="out"/>
        <c:minorTickMark val="none"/>
        <c:tickLblPos val="nextTo"/>
        <c:crossAx val="13473945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Calculations!$C$56:$G$56</c:f>
              <c:numCache>
                <c:formatCode>_(* #,##0.00_);_(* \(#,##0.00\);_(* "–"???_);_(* @_)</c:formatCode>
                <c:ptCount val="5"/>
                <c:pt idx="0">
                  <c:v>7.4633359375000001</c:v>
                </c:pt>
                <c:pt idx="1">
                  <c:v>9.0580488281249991</c:v>
                </c:pt>
                <c:pt idx="2">
                  <c:v>10.1237978515625</c:v>
                </c:pt>
                <c:pt idx="3">
                  <c:v>9.9061005859374998</c:v>
                </c:pt>
                <c:pt idx="4">
                  <c:v>9.6248613281250002</c:v>
                </c:pt>
              </c:numCache>
            </c:numRef>
          </c:val>
          <c:smooth val="0"/>
          <c:extLst>
            <c:ext xmlns:c16="http://schemas.microsoft.com/office/drawing/2014/chart" uri="{C3380CC4-5D6E-409C-BE32-E72D297353CC}">
              <c16:uniqueId val="{00000000-BF14-491E-933E-91A41B2EA594}"/>
            </c:ext>
          </c:extLst>
        </c:ser>
        <c:dLbls>
          <c:showLegendKey val="0"/>
          <c:showVal val="0"/>
          <c:showCatName val="0"/>
          <c:showSerName val="0"/>
          <c:showPercent val="0"/>
          <c:showBubbleSize val="0"/>
        </c:dLbls>
        <c:smooth val="0"/>
        <c:axId val="134843008"/>
        <c:axId val="134844800"/>
      </c:lineChart>
      <c:catAx>
        <c:axId val="134843008"/>
        <c:scaling>
          <c:orientation val="minMax"/>
        </c:scaling>
        <c:delete val="1"/>
        <c:axPos val="b"/>
        <c:majorTickMark val="out"/>
        <c:minorTickMark val="none"/>
        <c:tickLblPos val="nextTo"/>
        <c:crossAx val="134844800"/>
        <c:crosses val="autoZero"/>
        <c:auto val="1"/>
        <c:lblAlgn val="ctr"/>
        <c:lblOffset val="100"/>
        <c:noMultiLvlLbl val="0"/>
      </c:catAx>
      <c:valAx>
        <c:axId val="134844800"/>
        <c:scaling>
          <c:orientation val="minMax"/>
          <c:min val="0"/>
        </c:scaling>
        <c:delete val="1"/>
        <c:axPos val="l"/>
        <c:numFmt formatCode="_(* #,##0.00_);_(* \(#,##0.00\);_(* &quot;–&quot;???_);_(* @_)" sourceLinked="1"/>
        <c:majorTickMark val="out"/>
        <c:minorTickMark val="none"/>
        <c:tickLblPos val="nextTo"/>
        <c:crossAx val="134843008"/>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Calculations!$C$57:$G$57</c:f>
              <c:numCache>
                <c:formatCode>_(* #,##0.00_);_(* \(#,##0.00\);_(* "–"???_);_(* @_)</c:formatCode>
                <c:ptCount val="5"/>
                <c:pt idx="0">
                  <c:v>6.7796201171875001</c:v>
                </c:pt>
                <c:pt idx="1">
                  <c:v>6.8633720703124999</c:v>
                </c:pt>
                <c:pt idx="2">
                  <c:v>6.9517026367187498</c:v>
                </c:pt>
                <c:pt idx="3">
                  <c:v>7.84777392578125</c:v>
                </c:pt>
                <c:pt idx="4">
                  <c:v>8.5008886718749999</c:v>
                </c:pt>
              </c:numCache>
            </c:numRef>
          </c:val>
          <c:smooth val="0"/>
          <c:extLst>
            <c:ext xmlns:c16="http://schemas.microsoft.com/office/drawing/2014/chart" uri="{C3380CC4-5D6E-409C-BE32-E72D297353CC}">
              <c16:uniqueId val="{00000000-7EF3-405F-ABB2-0E8EEF4DB1D5}"/>
            </c:ext>
          </c:extLst>
        </c:ser>
        <c:dLbls>
          <c:showLegendKey val="0"/>
          <c:showVal val="0"/>
          <c:showCatName val="0"/>
          <c:showSerName val="0"/>
          <c:showPercent val="0"/>
          <c:showBubbleSize val="0"/>
        </c:dLbls>
        <c:smooth val="0"/>
        <c:axId val="134851968"/>
        <c:axId val="134886528"/>
      </c:lineChart>
      <c:catAx>
        <c:axId val="134851968"/>
        <c:scaling>
          <c:orientation val="minMax"/>
        </c:scaling>
        <c:delete val="1"/>
        <c:axPos val="b"/>
        <c:majorTickMark val="out"/>
        <c:minorTickMark val="none"/>
        <c:tickLblPos val="nextTo"/>
        <c:crossAx val="134886528"/>
        <c:crosses val="autoZero"/>
        <c:auto val="1"/>
        <c:lblAlgn val="ctr"/>
        <c:lblOffset val="100"/>
        <c:noMultiLvlLbl val="0"/>
      </c:catAx>
      <c:valAx>
        <c:axId val="134886528"/>
        <c:scaling>
          <c:orientation val="minMax"/>
          <c:min val="0"/>
        </c:scaling>
        <c:delete val="1"/>
        <c:axPos val="l"/>
        <c:numFmt formatCode="_(* #,##0.00_);_(* \(#,##0.00\);_(* &quot;–&quot;???_);_(* @_)" sourceLinked="1"/>
        <c:majorTickMark val="out"/>
        <c:minorTickMark val="none"/>
        <c:tickLblPos val="nextTo"/>
        <c:crossAx val="134851968"/>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Calculations!$C$58:$G$58</c:f>
              <c:numCache>
                <c:formatCode>_(* #,##0.00_);_(* \(#,##0.00\);_(* "–"???_);_(* @_)</c:formatCode>
                <c:ptCount val="5"/>
                <c:pt idx="0">
                  <c:v>5.0584619140624998</c:v>
                </c:pt>
                <c:pt idx="1">
                  <c:v>5.4949482421875002</c:v>
                </c:pt>
                <c:pt idx="2">
                  <c:v>6.1121904296874998</c:v>
                </c:pt>
                <c:pt idx="3">
                  <c:v>5.9610932617187498</c:v>
                </c:pt>
                <c:pt idx="4">
                  <c:v>6.4983955078125</c:v>
                </c:pt>
              </c:numCache>
            </c:numRef>
          </c:val>
          <c:smooth val="0"/>
          <c:extLst>
            <c:ext xmlns:c16="http://schemas.microsoft.com/office/drawing/2014/chart" uri="{C3380CC4-5D6E-409C-BE32-E72D297353CC}">
              <c16:uniqueId val="{00000000-7BE7-4A4C-BE52-B2884C32B4E9}"/>
            </c:ext>
          </c:extLst>
        </c:ser>
        <c:dLbls>
          <c:showLegendKey val="0"/>
          <c:showVal val="0"/>
          <c:showCatName val="0"/>
          <c:showSerName val="0"/>
          <c:showPercent val="0"/>
          <c:showBubbleSize val="0"/>
        </c:dLbls>
        <c:smooth val="0"/>
        <c:axId val="134910336"/>
        <c:axId val="134911872"/>
      </c:lineChart>
      <c:catAx>
        <c:axId val="134910336"/>
        <c:scaling>
          <c:orientation val="minMax"/>
        </c:scaling>
        <c:delete val="1"/>
        <c:axPos val="b"/>
        <c:majorTickMark val="out"/>
        <c:minorTickMark val="none"/>
        <c:tickLblPos val="nextTo"/>
        <c:crossAx val="134911872"/>
        <c:crosses val="autoZero"/>
        <c:auto val="1"/>
        <c:lblAlgn val="ctr"/>
        <c:lblOffset val="100"/>
        <c:noMultiLvlLbl val="0"/>
      </c:catAx>
      <c:valAx>
        <c:axId val="134911872"/>
        <c:scaling>
          <c:orientation val="minMax"/>
          <c:min val="0"/>
        </c:scaling>
        <c:delete val="1"/>
        <c:axPos val="l"/>
        <c:numFmt formatCode="_(* #,##0.00_);_(* \(#,##0.00\);_(* &quot;–&quot;???_);_(* @_)" sourceLinked="1"/>
        <c:majorTickMark val="out"/>
        <c:minorTickMark val="none"/>
        <c:tickLblPos val="nextTo"/>
        <c:crossAx val="13491033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Calculations!$C$59:$G$59</c:f>
              <c:numCache>
                <c:formatCode>_(* #,##0.00_);_(* \(#,##0.00\);_(* "–"???_);_(* @_)</c:formatCode>
                <c:ptCount val="5"/>
                <c:pt idx="0">
                  <c:v>2.6866899414062502</c:v>
                </c:pt>
                <c:pt idx="1">
                  <c:v>2.4178095703125</c:v>
                </c:pt>
                <c:pt idx="2">
                  <c:v>2.9660000000000002</c:v>
                </c:pt>
                <c:pt idx="3">
                  <c:v>2.919</c:v>
                </c:pt>
                <c:pt idx="4">
                  <c:v>2.966903564453125</c:v>
                </c:pt>
              </c:numCache>
            </c:numRef>
          </c:val>
          <c:smooth val="0"/>
          <c:extLst>
            <c:ext xmlns:c16="http://schemas.microsoft.com/office/drawing/2014/chart" uri="{C3380CC4-5D6E-409C-BE32-E72D297353CC}">
              <c16:uniqueId val="{00000000-7B64-4C5B-9E33-1B2DE33CB0FC}"/>
            </c:ext>
          </c:extLst>
        </c:ser>
        <c:dLbls>
          <c:showLegendKey val="0"/>
          <c:showVal val="0"/>
          <c:showCatName val="0"/>
          <c:showSerName val="0"/>
          <c:showPercent val="0"/>
          <c:showBubbleSize val="0"/>
        </c:dLbls>
        <c:smooth val="0"/>
        <c:axId val="134927872"/>
        <c:axId val="134929408"/>
      </c:lineChart>
      <c:catAx>
        <c:axId val="134927872"/>
        <c:scaling>
          <c:orientation val="minMax"/>
        </c:scaling>
        <c:delete val="1"/>
        <c:axPos val="b"/>
        <c:majorTickMark val="out"/>
        <c:minorTickMark val="none"/>
        <c:tickLblPos val="nextTo"/>
        <c:crossAx val="134929408"/>
        <c:crosses val="autoZero"/>
        <c:auto val="1"/>
        <c:lblAlgn val="ctr"/>
        <c:lblOffset val="100"/>
        <c:noMultiLvlLbl val="0"/>
      </c:catAx>
      <c:valAx>
        <c:axId val="134929408"/>
        <c:scaling>
          <c:orientation val="minMax"/>
          <c:min val="0"/>
        </c:scaling>
        <c:delete val="1"/>
        <c:axPos val="l"/>
        <c:numFmt formatCode="_(* #,##0.00_);_(* \(#,##0.00\);_(* &quot;–&quot;???_);_(* @_)" sourceLinked="1"/>
        <c:majorTickMark val="out"/>
        <c:minorTickMark val="none"/>
        <c:tickLblPos val="nextTo"/>
        <c:crossAx val="13492787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Calculations!$C$10:$G$10</c:f>
              <c:numCache>
                <c:formatCode>_(* #,##0.00_);_(* \(#,##0.00\);_(* "–"???_);_(* @_)</c:formatCode>
                <c:ptCount val="5"/>
                <c:pt idx="0">
                  <c:v>127.7805625</c:v>
                </c:pt>
                <c:pt idx="1">
                  <c:v>128.00289062499999</c:v>
                </c:pt>
                <c:pt idx="2">
                  <c:v>130.675359375</c:v>
                </c:pt>
                <c:pt idx="3">
                  <c:v>133.63109374999999</c:v>
                </c:pt>
                <c:pt idx="4">
                  <c:v>132.77167187500001</c:v>
                </c:pt>
              </c:numCache>
            </c:numRef>
          </c:val>
          <c:smooth val="0"/>
          <c:extLst>
            <c:ext xmlns:c16="http://schemas.microsoft.com/office/drawing/2014/chart" uri="{C3380CC4-5D6E-409C-BE32-E72D297353CC}">
              <c16:uniqueId val="{00000000-DB7F-4BC1-9219-43C241BCEDD1}"/>
            </c:ext>
          </c:extLst>
        </c:ser>
        <c:dLbls>
          <c:showLegendKey val="0"/>
          <c:showVal val="0"/>
          <c:showCatName val="0"/>
          <c:showSerName val="0"/>
          <c:showPercent val="0"/>
          <c:showBubbleSize val="0"/>
        </c:dLbls>
        <c:smooth val="0"/>
        <c:axId val="133253376"/>
        <c:axId val="133255168"/>
      </c:lineChart>
      <c:catAx>
        <c:axId val="133253376"/>
        <c:scaling>
          <c:orientation val="minMax"/>
        </c:scaling>
        <c:delete val="1"/>
        <c:axPos val="b"/>
        <c:majorTickMark val="out"/>
        <c:minorTickMark val="none"/>
        <c:tickLblPos val="nextTo"/>
        <c:crossAx val="133255168"/>
        <c:crosses val="autoZero"/>
        <c:auto val="1"/>
        <c:lblAlgn val="ctr"/>
        <c:lblOffset val="100"/>
        <c:noMultiLvlLbl val="0"/>
      </c:catAx>
      <c:valAx>
        <c:axId val="133255168"/>
        <c:scaling>
          <c:orientation val="minMax"/>
          <c:min val="0"/>
        </c:scaling>
        <c:delete val="1"/>
        <c:axPos val="l"/>
        <c:numFmt formatCode="_(* #,##0.00_);_(* \(#,##0.00\);_(* &quot;–&quot;???_);_(* @_)" sourceLinked="1"/>
        <c:majorTickMark val="out"/>
        <c:minorTickMark val="none"/>
        <c:tickLblPos val="nextTo"/>
        <c:crossAx val="133253376"/>
        <c:crosses val="autoZero"/>
        <c:crossBetween val="between"/>
      </c:valAx>
      <c:spPr>
        <a:noFill/>
      </c:spPr>
    </c:plotArea>
    <c:plotVisOnly val="1"/>
    <c:dispBlanksAs val="gap"/>
    <c:showDLblsOverMax val="0"/>
  </c:chart>
  <c:spPr>
    <a:noFill/>
    <a:ln>
      <a:noFill/>
    </a:ln>
  </c:sp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Calculations!#REF!</c:f>
              <c:numCache>
                <c:formatCode>General</c:formatCode>
                <c:ptCount val="1"/>
                <c:pt idx="0">
                  <c:v>1</c:v>
                </c:pt>
              </c:numCache>
            </c:numRef>
          </c:val>
          <c:smooth val="0"/>
          <c:extLst>
            <c:ext xmlns:c16="http://schemas.microsoft.com/office/drawing/2014/chart" uri="{C3380CC4-5D6E-409C-BE32-E72D297353CC}">
              <c16:uniqueId val="{00000000-BF6C-4F6B-B6CD-9555567AEC86}"/>
            </c:ext>
          </c:extLst>
        </c:ser>
        <c:dLbls>
          <c:showLegendKey val="0"/>
          <c:showVal val="0"/>
          <c:showCatName val="0"/>
          <c:showSerName val="0"/>
          <c:showPercent val="0"/>
          <c:showBubbleSize val="0"/>
        </c:dLbls>
        <c:smooth val="0"/>
        <c:axId val="134985984"/>
        <c:axId val="134987776"/>
      </c:lineChart>
      <c:catAx>
        <c:axId val="134985984"/>
        <c:scaling>
          <c:orientation val="minMax"/>
        </c:scaling>
        <c:delete val="1"/>
        <c:axPos val="b"/>
        <c:majorTickMark val="out"/>
        <c:minorTickMark val="none"/>
        <c:tickLblPos val="nextTo"/>
        <c:crossAx val="134987776"/>
        <c:crosses val="autoZero"/>
        <c:auto val="1"/>
        <c:lblAlgn val="ctr"/>
        <c:lblOffset val="100"/>
        <c:noMultiLvlLbl val="0"/>
      </c:catAx>
      <c:valAx>
        <c:axId val="134987776"/>
        <c:scaling>
          <c:orientation val="minMax"/>
          <c:min val="0"/>
        </c:scaling>
        <c:delete val="1"/>
        <c:axPos val="l"/>
        <c:numFmt formatCode="General" sourceLinked="1"/>
        <c:majorTickMark val="out"/>
        <c:minorTickMark val="none"/>
        <c:tickLblPos val="nextTo"/>
        <c:crossAx val="134985984"/>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Calculations!$C$19:$G$19</c:f>
              <c:numCache>
                <c:formatCode>_(* #,##0.00_);_(* \(#,##0.00\);_(* "–"???_);_(* @_)</c:formatCode>
                <c:ptCount val="5"/>
                <c:pt idx="0">
                  <c:v>38.052234374999998</c:v>
                </c:pt>
                <c:pt idx="1">
                  <c:v>37.854132812499998</c:v>
                </c:pt>
                <c:pt idx="2">
                  <c:v>41.713871093750001</c:v>
                </c:pt>
                <c:pt idx="3">
                  <c:v>43.393222656250003</c:v>
                </c:pt>
                <c:pt idx="4">
                  <c:v>44.906222656250002</c:v>
                </c:pt>
              </c:numCache>
            </c:numRef>
          </c:val>
          <c:smooth val="0"/>
          <c:extLst>
            <c:ext xmlns:c16="http://schemas.microsoft.com/office/drawing/2014/chart" uri="{C3380CC4-5D6E-409C-BE32-E72D297353CC}">
              <c16:uniqueId val="{00000000-A6DF-463F-BD50-E6A88EFEABDD}"/>
            </c:ext>
          </c:extLst>
        </c:ser>
        <c:dLbls>
          <c:showLegendKey val="0"/>
          <c:showVal val="0"/>
          <c:showCatName val="0"/>
          <c:showSerName val="0"/>
          <c:showPercent val="0"/>
          <c:showBubbleSize val="0"/>
        </c:dLbls>
        <c:smooth val="0"/>
        <c:axId val="134994944"/>
        <c:axId val="135086848"/>
      </c:lineChart>
      <c:catAx>
        <c:axId val="134994944"/>
        <c:scaling>
          <c:orientation val="minMax"/>
        </c:scaling>
        <c:delete val="1"/>
        <c:axPos val="b"/>
        <c:majorTickMark val="out"/>
        <c:minorTickMark val="none"/>
        <c:tickLblPos val="nextTo"/>
        <c:crossAx val="135086848"/>
        <c:crosses val="autoZero"/>
        <c:auto val="1"/>
        <c:lblAlgn val="ctr"/>
        <c:lblOffset val="100"/>
        <c:noMultiLvlLbl val="0"/>
      </c:catAx>
      <c:valAx>
        <c:axId val="135086848"/>
        <c:scaling>
          <c:orientation val="minMax"/>
          <c:min val="0"/>
        </c:scaling>
        <c:delete val="1"/>
        <c:axPos val="l"/>
        <c:numFmt formatCode="_(* #,##0.00_);_(* \(#,##0.00\);_(* &quot;–&quot;???_);_(* @_)" sourceLinked="1"/>
        <c:majorTickMark val="out"/>
        <c:minorTickMark val="none"/>
        <c:tickLblPos val="nextTo"/>
        <c:crossAx val="134994944"/>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Calculations!$C$21:$G$21</c:f>
              <c:numCache>
                <c:formatCode>_(* #,##0.00_);_(* \(#,##0.00\);_(* "–"???_);_(* @_)</c:formatCode>
                <c:ptCount val="5"/>
                <c:pt idx="0">
                  <c:v>22.267564453125001</c:v>
                </c:pt>
                <c:pt idx="1">
                  <c:v>27.2328232421875</c:v>
                </c:pt>
                <c:pt idx="2">
                  <c:v>26.953273437499998</c:v>
                </c:pt>
                <c:pt idx="3">
                  <c:v>25.04749462890625</c:v>
                </c:pt>
                <c:pt idx="4">
                  <c:v>26.741258300781251</c:v>
                </c:pt>
              </c:numCache>
            </c:numRef>
          </c:val>
          <c:smooth val="0"/>
          <c:extLst>
            <c:ext xmlns:c16="http://schemas.microsoft.com/office/drawing/2014/chart" uri="{C3380CC4-5D6E-409C-BE32-E72D297353CC}">
              <c16:uniqueId val="{00000000-B514-4A12-9CD8-5B1F87591875}"/>
            </c:ext>
          </c:extLst>
        </c:ser>
        <c:dLbls>
          <c:showLegendKey val="0"/>
          <c:showVal val="0"/>
          <c:showCatName val="0"/>
          <c:showSerName val="0"/>
          <c:showPercent val="0"/>
          <c:showBubbleSize val="0"/>
        </c:dLbls>
        <c:smooth val="0"/>
        <c:axId val="135114752"/>
        <c:axId val="135116288"/>
      </c:lineChart>
      <c:catAx>
        <c:axId val="135114752"/>
        <c:scaling>
          <c:orientation val="minMax"/>
        </c:scaling>
        <c:delete val="1"/>
        <c:axPos val="b"/>
        <c:majorTickMark val="out"/>
        <c:minorTickMark val="none"/>
        <c:tickLblPos val="nextTo"/>
        <c:crossAx val="135116288"/>
        <c:crosses val="autoZero"/>
        <c:auto val="1"/>
        <c:lblAlgn val="ctr"/>
        <c:lblOffset val="100"/>
        <c:noMultiLvlLbl val="0"/>
      </c:catAx>
      <c:valAx>
        <c:axId val="135116288"/>
        <c:scaling>
          <c:orientation val="minMax"/>
          <c:min val="0"/>
        </c:scaling>
        <c:delete val="1"/>
        <c:axPos val="l"/>
        <c:numFmt formatCode="_(* #,##0.00_);_(* \(#,##0.00\);_(* &quot;–&quot;???_);_(* @_)" sourceLinked="1"/>
        <c:majorTickMark val="out"/>
        <c:minorTickMark val="none"/>
        <c:tickLblPos val="nextTo"/>
        <c:crossAx val="13511475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Calculations!$C$39:$G$39</c:f>
              <c:numCache>
                <c:formatCode>_(* #,##0.00_);_(* \(#,##0.00\);_(* "–"???_);_(* @_)</c:formatCode>
                <c:ptCount val="5"/>
                <c:pt idx="0">
                  <c:v>13.405077148437501</c:v>
                </c:pt>
                <c:pt idx="1">
                  <c:v>16.766181640625</c:v>
                </c:pt>
                <c:pt idx="2">
                  <c:v>14.837978515625</c:v>
                </c:pt>
                <c:pt idx="3">
                  <c:v>12.458822265625001</c:v>
                </c:pt>
                <c:pt idx="4">
                  <c:v>13.103808593749999</c:v>
                </c:pt>
              </c:numCache>
            </c:numRef>
          </c:val>
          <c:smooth val="0"/>
          <c:extLst>
            <c:ext xmlns:c16="http://schemas.microsoft.com/office/drawing/2014/chart" uri="{C3380CC4-5D6E-409C-BE32-E72D297353CC}">
              <c16:uniqueId val="{00000000-C499-489B-93A1-5AFA64D2973A}"/>
            </c:ext>
          </c:extLst>
        </c:ser>
        <c:dLbls>
          <c:showLegendKey val="0"/>
          <c:showVal val="0"/>
          <c:showCatName val="0"/>
          <c:showSerName val="0"/>
          <c:showPercent val="0"/>
          <c:showBubbleSize val="0"/>
        </c:dLbls>
        <c:smooth val="0"/>
        <c:axId val="135152384"/>
        <c:axId val="135153920"/>
      </c:lineChart>
      <c:catAx>
        <c:axId val="135152384"/>
        <c:scaling>
          <c:orientation val="minMax"/>
        </c:scaling>
        <c:delete val="1"/>
        <c:axPos val="b"/>
        <c:majorTickMark val="out"/>
        <c:minorTickMark val="none"/>
        <c:tickLblPos val="nextTo"/>
        <c:crossAx val="135153920"/>
        <c:crosses val="autoZero"/>
        <c:auto val="1"/>
        <c:lblAlgn val="ctr"/>
        <c:lblOffset val="100"/>
        <c:noMultiLvlLbl val="0"/>
      </c:catAx>
      <c:valAx>
        <c:axId val="135153920"/>
        <c:scaling>
          <c:orientation val="minMax"/>
        </c:scaling>
        <c:delete val="1"/>
        <c:axPos val="l"/>
        <c:numFmt formatCode="_(* #,##0.00_);_(* \(#,##0.00\);_(* &quot;–&quot;???_);_(* @_)" sourceLinked="1"/>
        <c:majorTickMark val="out"/>
        <c:minorTickMark val="none"/>
        <c:tickLblPos val="nextTo"/>
        <c:crossAx val="135152384"/>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Calculations!$C$63:$G$63</c:f>
              <c:numCache>
                <c:formatCode>_(* #,##0.00_);_(* \(#,##0.00\);_(* "–"???_);_(* @_)</c:formatCode>
                <c:ptCount val="5"/>
                <c:pt idx="0">
                  <c:v>5.3754873046874998</c:v>
                </c:pt>
                <c:pt idx="1">
                  <c:v>5.1353930664062499</c:v>
                </c:pt>
                <c:pt idx="2">
                  <c:v>6.5403994140624997</c:v>
                </c:pt>
                <c:pt idx="3">
                  <c:v>7.4097021484374999</c:v>
                </c:pt>
                <c:pt idx="4">
                  <c:v>7.9746171874999998</c:v>
                </c:pt>
              </c:numCache>
            </c:numRef>
          </c:val>
          <c:smooth val="0"/>
          <c:extLst>
            <c:ext xmlns:c16="http://schemas.microsoft.com/office/drawing/2014/chart" uri="{C3380CC4-5D6E-409C-BE32-E72D297353CC}">
              <c16:uniqueId val="{00000000-AB7A-4450-9FA6-87F83DCF868C}"/>
            </c:ext>
          </c:extLst>
        </c:ser>
        <c:dLbls>
          <c:showLegendKey val="0"/>
          <c:showVal val="0"/>
          <c:showCatName val="0"/>
          <c:showSerName val="0"/>
          <c:showPercent val="0"/>
          <c:showBubbleSize val="0"/>
        </c:dLbls>
        <c:smooth val="0"/>
        <c:axId val="135185920"/>
        <c:axId val="135187456"/>
      </c:lineChart>
      <c:catAx>
        <c:axId val="135185920"/>
        <c:scaling>
          <c:orientation val="minMax"/>
        </c:scaling>
        <c:delete val="1"/>
        <c:axPos val="b"/>
        <c:majorTickMark val="out"/>
        <c:minorTickMark val="none"/>
        <c:tickLblPos val="nextTo"/>
        <c:crossAx val="135187456"/>
        <c:crosses val="autoZero"/>
        <c:auto val="1"/>
        <c:lblAlgn val="ctr"/>
        <c:lblOffset val="100"/>
        <c:noMultiLvlLbl val="0"/>
      </c:catAx>
      <c:valAx>
        <c:axId val="135187456"/>
        <c:scaling>
          <c:orientation val="minMax"/>
          <c:min val="0"/>
        </c:scaling>
        <c:delete val="1"/>
        <c:axPos val="l"/>
        <c:numFmt formatCode="_(* #,##0.00_);_(* \(#,##0.00\);_(* &quot;–&quot;???_);_(* @_)" sourceLinked="1"/>
        <c:majorTickMark val="out"/>
        <c:minorTickMark val="none"/>
        <c:tickLblPos val="nextTo"/>
        <c:crossAx val="13518592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dPt>
            <c:idx val="3"/>
            <c:bubble3D val="0"/>
            <c:spPr>
              <a:ln w="19050">
                <a:solidFill>
                  <a:srgbClr val="968F58"/>
                </a:solidFill>
                <a:prstDash val="sysDot"/>
              </a:ln>
            </c:spPr>
            <c:extLst>
              <c:ext xmlns:c16="http://schemas.microsoft.com/office/drawing/2014/chart" uri="{C3380CC4-5D6E-409C-BE32-E72D297353CC}">
                <c16:uniqueId val="{00000001-8477-490F-8EB6-A8F6334C2A9A}"/>
              </c:ext>
            </c:extLst>
          </c:dPt>
          <c:dPt>
            <c:idx val="4"/>
            <c:bubble3D val="0"/>
            <c:spPr>
              <a:ln w="19050">
                <a:solidFill>
                  <a:srgbClr val="968F58"/>
                </a:solidFill>
                <a:prstDash val="sysDot"/>
              </a:ln>
            </c:spPr>
            <c:extLst>
              <c:ext xmlns:c16="http://schemas.microsoft.com/office/drawing/2014/chart" uri="{C3380CC4-5D6E-409C-BE32-E72D297353CC}">
                <c16:uniqueId val="{00000003-8477-490F-8EB6-A8F6334C2A9A}"/>
              </c:ext>
            </c:extLst>
          </c:dPt>
          <c:dPt>
            <c:idx val="5"/>
            <c:bubble3D val="0"/>
            <c:spPr>
              <a:ln w="19050">
                <a:solidFill>
                  <a:srgbClr val="968F58"/>
                </a:solidFill>
                <a:prstDash val="sysDot"/>
              </a:ln>
            </c:spPr>
            <c:extLst>
              <c:ext xmlns:c16="http://schemas.microsoft.com/office/drawing/2014/chart" uri="{C3380CC4-5D6E-409C-BE32-E72D297353CC}">
                <c16:uniqueId val="{00000005-8477-490F-8EB6-A8F6334C2A9A}"/>
              </c:ext>
            </c:extLst>
          </c:dPt>
          <c:dPt>
            <c:idx val="6"/>
            <c:bubble3D val="0"/>
            <c:spPr>
              <a:ln w="19050">
                <a:solidFill>
                  <a:srgbClr val="968F58"/>
                </a:solidFill>
                <a:prstDash val="sysDot"/>
              </a:ln>
            </c:spPr>
            <c:extLst>
              <c:ext xmlns:c16="http://schemas.microsoft.com/office/drawing/2014/chart" uri="{C3380CC4-5D6E-409C-BE32-E72D297353CC}">
                <c16:uniqueId val="{00000007-8477-490F-8EB6-A8F6334C2A9A}"/>
              </c:ext>
            </c:extLst>
          </c:dPt>
          <c:dPt>
            <c:idx val="7"/>
            <c:bubble3D val="0"/>
            <c:spPr>
              <a:ln w="19050">
                <a:solidFill>
                  <a:srgbClr val="968F58"/>
                </a:solidFill>
                <a:prstDash val="sysDot"/>
              </a:ln>
            </c:spPr>
            <c:extLst>
              <c:ext xmlns:c16="http://schemas.microsoft.com/office/drawing/2014/chart" uri="{C3380CC4-5D6E-409C-BE32-E72D297353CC}">
                <c16:uniqueId val="{00000009-8477-490F-8EB6-A8F6334C2A9A}"/>
              </c:ext>
            </c:extLst>
          </c:dPt>
          <c:cat>
            <c:numRef>
              <c:f>Calculations!$E$228:$L$228</c:f>
              <c:numCache>
                <c:formatCode>General</c:formatCode>
                <c:ptCount val="8"/>
                <c:pt idx="0">
                  <c:v>2020</c:v>
                </c:pt>
                <c:pt idx="1">
                  <c:v>2021</c:v>
                </c:pt>
                <c:pt idx="2">
                  <c:v>2022</c:v>
                </c:pt>
                <c:pt idx="3">
                  <c:v>2023</c:v>
                </c:pt>
                <c:pt idx="4">
                  <c:v>2024</c:v>
                </c:pt>
                <c:pt idx="5">
                  <c:v>2025</c:v>
                </c:pt>
                <c:pt idx="6">
                  <c:v>2026</c:v>
                </c:pt>
                <c:pt idx="7">
                  <c:v>2027</c:v>
                </c:pt>
              </c:numCache>
            </c:numRef>
          </c:cat>
          <c:val>
            <c:numRef>
              <c:f>Calculations!$E$232:$L$232</c:f>
              <c:numCache>
                <c:formatCode>_(* #,##0.00_);_(* \(#,##0.00\);_(* "–"???_);_(* @_)</c:formatCode>
                <c:ptCount val="8"/>
                <c:pt idx="0">
                  <c:v>0.43343508911132816</c:v>
                </c:pt>
                <c:pt idx="1">
                  <c:v>0.88414691162109371</c:v>
                </c:pt>
                <c:pt idx="2">
                  <c:v>1.4078106689453125</c:v>
                </c:pt>
                <c:pt idx="3">
                  <c:v>1.5958770708102465</c:v>
                </c:pt>
                <c:pt idx="4">
                  <c:v>1.5394473884804896</c:v>
                </c:pt>
                <c:pt idx="5">
                  <c:v>1.4633289678451109</c:v>
                </c:pt>
                <c:pt idx="6">
                  <c:v>1.583729466260043</c:v>
                </c:pt>
                <c:pt idx="7">
                  <c:v>1.9414244555189353</c:v>
                </c:pt>
              </c:numCache>
            </c:numRef>
          </c:val>
          <c:smooth val="0"/>
          <c:extLst>
            <c:ext xmlns:c16="http://schemas.microsoft.com/office/drawing/2014/chart" uri="{C3380CC4-5D6E-409C-BE32-E72D297353CC}">
              <c16:uniqueId val="{0000000A-8477-490F-8EB6-A8F6334C2A9A}"/>
            </c:ext>
          </c:extLst>
        </c:ser>
        <c:dLbls>
          <c:showLegendKey val="0"/>
          <c:showVal val="0"/>
          <c:showCatName val="0"/>
          <c:showSerName val="0"/>
          <c:showPercent val="0"/>
          <c:showBubbleSize val="0"/>
        </c:dLbls>
        <c:smooth val="0"/>
        <c:axId val="135250304"/>
        <c:axId val="135251840"/>
      </c:lineChart>
      <c:catAx>
        <c:axId val="135250304"/>
        <c:scaling>
          <c:orientation val="minMax"/>
        </c:scaling>
        <c:delete val="1"/>
        <c:axPos val="b"/>
        <c:numFmt formatCode="General" sourceLinked="1"/>
        <c:majorTickMark val="out"/>
        <c:minorTickMark val="none"/>
        <c:tickLblPos val="nextTo"/>
        <c:crossAx val="135251840"/>
        <c:crosses val="autoZero"/>
        <c:auto val="1"/>
        <c:lblAlgn val="ctr"/>
        <c:lblOffset val="100"/>
        <c:noMultiLvlLbl val="0"/>
      </c:catAx>
      <c:valAx>
        <c:axId val="135251840"/>
        <c:scaling>
          <c:orientation val="minMax"/>
          <c:min val="-1.0000000000000002E-2"/>
        </c:scaling>
        <c:delete val="1"/>
        <c:axPos val="l"/>
        <c:numFmt formatCode="_(* #,##0.00_);_(* \(#,##0.00\);_(* &quot;–&quot;???_);_(* @_)" sourceLinked="1"/>
        <c:majorTickMark val="out"/>
        <c:minorTickMark val="none"/>
        <c:tickLblPos val="nextTo"/>
        <c:crossAx val="135250304"/>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dPt>
            <c:idx val="3"/>
            <c:bubble3D val="0"/>
            <c:spPr>
              <a:ln w="19050">
                <a:solidFill>
                  <a:srgbClr val="968F58"/>
                </a:solidFill>
                <a:prstDash val="sysDot"/>
              </a:ln>
            </c:spPr>
            <c:extLst>
              <c:ext xmlns:c16="http://schemas.microsoft.com/office/drawing/2014/chart" uri="{C3380CC4-5D6E-409C-BE32-E72D297353CC}">
                <c16:uniqueId val="{00000001-60BF-4AA8-8195-30B24D22BB17}"/>
              </c:ext>
            </c:extLst>
          </c:dPt>
          <c:dPt>
            <c:idx val="4"/>
            <c:bubble3D val="0"/>
            <c:spPr>
              <a:ln w="19050">
                <a:solidFill>
                  <a:srgbClr val="968F58"/>
                </a:solidFill>
                <a:prstDash val="sysDot"/>
              </a:ln>
            </c:spPr>
            <c:extLst>
              <c:ext xmlns:c16="http://schemas.microsoft.com/office/drawing/2014/chart" uri="{C3380CC4-5D6E-409C-BE32-E72D297353CC}">
                <c16:uniqueId val="{00000003-60BF-4AA8-8195-30B24D22BB17}"/>
              </c:ext>
            </c:extLst>
          </c:dPt>
          <c:dPt>
            <c:idx val="5"/>
            <c:bubble3D val="0"/>
            <c:spPr>
              <a:ln w="19050">
                <a:solidFill>
                  <a:srgbClr val="968F58"/>
                </a:solidFill>
                <a:prstDash val="sysDot"/>
              </a:ln>
            </c:spPr>
            <c:extLst>
              <c:ext xmlns:c16="http://schemas.microsoft.com/office/drawing/2014/chart" uri="{C3380CC4-5D6E-409C-BE32-E72D297353CC}">
                <c16:uniqueId val="{00000005-60BF-4AA8-8195-30B24D22BB17}"/>
              </c:ext>
            </c:extLst>
          </c:dPt>
          <c:dPt>
            <c:idx val="6"/>
            <c:bubble3D val="0"/>
            <c:spPr>
              <a:ln w="19050">
                <a:solidFill>
                  <a:srgbClr val="968F58"/>
                </a:solidFill>
                <a:prstDash val="sysDot"/>
              </a:ln>
            </c:spPr>
            <c:extLst>
              <c:ext xmlns:c16="http://schemas.microsoft.com/office/drawing/2014/chart" uri="{C3380CC4-5D6E-409C-BE32-E72D297353CC}">
                <c16:uniqueId val="{00000007-60BF-4AA8-8195-30B24D22BB17}"/>
              </c:ext>
            </c:extLst>
          </c:dPt>
          <c:dPt>
            <c:idx val="7"/>
            <c:bubble3D val="0"/>
            <c:spPr>
              <a:ln w="19050">
                <a:solidFill>
                  <a:srgbClr val="968F58"/>
                </a:solidFill>
                <a:prstDash val="sysDot"/>
              </a:ln>
            </c:spPr>
            <c:extLst>
              <c:ext xmlns:c16="http://schemas.microsoft.com/office/drawing/2014/chart" uri="{C3380CC4-5D6E-409C-BE32-E72D297353CC}">
                <c16:uniqueId val="{00000009-60BF-4AA8-8195-30B24D22BB17}"/>
              </c:ext>
            </c:extLst>
          </c:dPt>
          <c:cat>
            <c:numRef>
              <c:f>Calculations!$E$228:$L$228</c:f>
              <c:numCache>
                <c:formatCode>General</c:formatCode>
                <c:ptCount val="8"/>
                <c:pt idx="0">
                  <c:v>2020</c:v>
                </c:pt>
                <c:pt idx="1">
                  <c:v>2021</c:v>
                </c:pt>
                <c:pt idx="2">
                  <c:v>2022</c:v>
                </c:pt>
                <c:pt idx="3">
                  <c:v>2023</c:v>
                </c:pt>
                <c:pt idx="4">
                  <c:v>2024</c:v>
                </c:pt>
                <c:pt idx="5">
                  <c:v>2025</c:v>
                </c:pt>
                <c:pt idx="6">
                  <c:v>2026</c:v>
                </c:pt>
                <c:pt idx="7">
                  <c:v>2027</c:v>
                </c:pt>
              </c:numCache>
            </c:numRef>
          </c:cat>
          <c:val>
            <c:numRef>
              <c:f>Calculations!$E$235:$L$235</c:f>
              <c:numCache>
                <c:formatCode>_(* #,##0.00_);_(* \(#,##0.00\);_(* "–"???_);_(* @_)</c:formatCode>
                <c:ptCount val="8"/>
                <c:pt idx="0">
                  <c:v>0.40799999999999997</c:v>
                </c:pt>
                <c:pt idx="1">
                  <c:v>0.61905273437499997</c:v>
                </c:pt>
                <c:pt idx="2">
                  <c:v>1.1065062713623046</c:v>
                </c:pt>
                <c:pt idx="3">
                  <c:v>1.0572932948587623</c:v>
                </c:pt>
                <c:pt idx="4">
                  <c:v>1.0533426758577527</c:v>
                </c:pt>
                <c:pt idx="5">
                  <c:v>0.58464141885845367</c:v>
                </c:pt>
                <c:pt idx="6">
                  <c:v>0.58181731171722428</c:v>
                </c:pt>
                <c:pt idx="7">
                  <c:v>0.45734062222624844</c:v>
                </c:pt>
              </c:numCache>
            </c:numRef>
          </c:val>
          <c:smooth val="0"/>
          <c:extLst>
            <c:ext xmlns:c16="http://schemas.microsoft.com/office/drawing/2014/chart" uri="{C3380CC4-5D6E-409C-BE32-E72D297353CC}">
              <c16:uniqueId val="{0000000A-60BF-4AA8-8195-30B24D22BB17}"/>
            </c:ext>
          </c:extLst>
        </c:ser>
        <c:dLbls>
          <c:showLegendKey val="0"/>
          <c:showVal val="0"/>
          <c:showCatName val="0"/>
          <c:showSerName val="0"/>
          <c:showPercent val="0"/>
          <c:showBubbleSize val="0"/>
        </c:dLbls>
        <c:smooth val="0"/>
        <c:axId val="135281664"/>
        <c:axId val="135291648"/>
      </c:lineChart>
      <c:catAx>
        <c:axId val="135281664"/>
        <c:scaling>
          <c:orientation val="minMax"/>
        </c:scaling>
        <c:delete val="1"/>
        <c:axPos val="b"/>
        <c:numFmt formatCode="General" sourceLinked="1"/>
        <c:majorTickMark val="out"/>
        <c:minorTickMark val="none"/>
        <c:tickLblPos val="nextTo"/>
        <c:crossAx val="135291648"/>
        <c:crosses val="autoZero"/>
        <c:auto val="1"/>
        <c:lblAlgn val="ctr"/>
        <c:lblOffset val="100"/>
        <c:noMultiLvlLbl val="0"/>
      </c:catAx>
      <c:valAx>
        <c:axId val="135291648"/>
        <c:scaling>
          <c:orientation val="minMax"/>
          <c:min val="-1.0000000000000002E-2"/>
        </c:scaling>
        <c:delete val="1"/>
        <c:axPos val="l"/>
        <c:numFmt formatCode="_(* #,##0.00_);_(* \(#,##0.00\);_(* &quot;–&quot;???_);_(* @_)" sourceLinked="1"/>
        <c:majorTickMark val="out"/>
        <c:minorTickMark val="none"/>
        <c:tickLblPos val="nextTo"/>
        <c:crossAx val="135281664"/>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985103824699959E-3"/>
          <c:y val="6.1367407110842695E-2"/>
          <c:w val="0.99210148961752997"/>
          <c:h val="0.87726518577831458"/>
        </c:manualLayout>
      </c:layout>
      <c:barChart>
        <c:barDir val="col"/>
        <c:grouping val="clustered"/>
        <c:varyColors val="0"/>
        <c:ser>
          <c:idx val="1"/>
          <c:order val="0"/>
          <c:invertIfNegative val="0"/>
          <c:dLbls>
            <c:numFmt formatCode="0.0%" sourceLinked="0"/>
            <c:spPr>
              <a:noFill/>
              <a:ln>
                <a:noFill/>
              </a:ln>
              <a:effectLst/>
            </c:spPr>
            <c:txPr>
              <a:bodyPr/>
              <a:lstStyle/>
              <a:p>
                <a:pPr>
                  <a:defRPr sz="700"/>
                </a:pPr>
                <a:endParaRPr lang="en-US"/>
              </a:p>
            </c:txPr>
            <c:dLblPos val="outEnd"/>
            <c:showLegendKey val="0"/>
            <c:showVal val="0"/>
            <c:showCatName val="1"/>
            <c:showSerName val="0"/>
            <c:showPercent val="0"/>
            <c:showBubbleSize val="0"/>
            <c:separator>, </c:separator>
            <c:showLeaderLines val="0"/>
            <c:extLst>
              <c:ext xmlns:c15="http://schemas.microsoft.com/office/drawing/2012/chart" uri="{CE6537A1-D6FC-4f65-9D91-7224C49458BB}">
                <c15:showLeaderLines val="0"/>
              </c:ext>
            </c:extLst>
          </c:dLbls>
          <c:cat>
            <c:strRef>
              <c:f>Calculations!$A$82:$A$86</c:f>
              <c:strCache>
                <c:ptCount val="5"/>
                <c:pt idx="0">
                  <c:v>Revaluations</c:v>
                </c:pt>
                <c:pt idx="1">
                  <c:v>Assets commissioned</c:v>
                </c:pt>
                <c:pt idx="2">
                  <c:v>Depreciation</c:v>
                </c:pt>
                <c:pt idx="3">
                  <c:v>Asset disposals</c:v>
                </c:pt>
                <c:pt idx="4">
                  <c:v>Other adjustments</c:v>
                </c:pt>
              </c:strCache>
            </c:strRef>
          </c:cat>
          <c:val>
            <c:numRef>
              <c:f>Calculations!$I$82:$I$86</c:f>
              <c:numCache>
                <c:formatCode>_(* #,##0.0%_);_(* \(#,##0.0%\);_(* "–"??_);_(* @_)</c:formatCode>
                <c:ptCount val="5"/>
                <c:pt idx="0">
                  <c:v>4.2654521442841098E-2</c:v>
                </c:pt>
                <c:pt idx="1">
                  <c:v>4.5861019627722932E-2</c:v>
                </c:pt>
                <c:pt idx="2">
                  <c:v>3.5672267896902365E-2</c:v>
                </c:pt>
                <c:pt idx="3">
                  <c:v>6.0053194988562986E-4</c:v>
                </c:pt>
                <c:pt idx="4">
                  <c:v>-1.0489528915569313E-4</c:v>
                </c:pt>
              </c:numCache>
            </c:numRef>
          </c:val>
          <c:extLst>
            <c:ext xmlns:c16="http://schemas.microsoft.com/office/drawing/2014/chart" uri="{C3380CC4-5D6E-409C-BE32-E72D297353CC}">
              <c16:uniqueId val="{00000000-DAF5-4FB9-8BC2-4B8CD3CC6FCC}"/>
            </c:ext>
          </c:extLst>
        </c:ser>
        <c:dLbls>
          <c:showLegendKey val="0"/>
          <c:showVal val="0"/>
          <c:showCatName val="0"/>
          <c:showSerName val="0"/>
          <c:showPercent val="0"/>
          <c:showBubbleSize val="0"/>
        </c:dLbls>
        <c:gapWidth val="100"/>
        <c:axId val="135307648"/>
        <c:axId val="135309184"/>
      </c:barChart>
      <c:catAx>
        <c:axId val="135307648"/>
        <c:scaling>
          <c:orientation val="minMax"/>
        </c:scaling>
        <c:delete val="0"/>
        <c:axPos val="b"/>
        <c:numFmt formatCode="General" sourceLinked="0"/>
        <c:majorTickMark val="out"/>
        <c:minorTickMark val="none"/>
        <c:tickLblPos val="none"/>
        <c:txPr>
          <a:bodyPr/>
          <a:lstStyle/>
          <a:p>
            <a:pPr>
              <a:defRPr sz="800"/>
            </a:pPr>
            <a:endParaRPr lang="en-US"/>
          </a:p>
        </c:txPr>
        <c:crossAx val="135309184"/>
        <c:crosses val="autoZero"/>
        <c:auto val="1"/>
        <c:lblAlgn val="ctr"/>
        <c:lblOffset val="100"/>
        <c:noMultiLvlLbl val="0"/>
      </c:catAx>
      <c:valAx>
        <c:axId val="135309184"/>
        <c:scaling>
          <c:orientation val="minMax"/>
        </c:scaling>
        <c:delete val="0"/>
        <c:axPos val="l"/>
        <c:numFmt formatCode="0%" sourceLinked="0"/>
        <c:majorTickMark val="out"/>
        <c:minorTickMark val="none"/>
        <c:tickLblPos val="nextTo"/>
        <c:txPr>
          <a:bodyPr/>
          <a:lstStyle/>
          <a:p>
            <a:pPr>
              <a:defRPr sz="700"/>
            </a:pPr>
            <a:endParaRPr lang="en-US"/>
          </a:p>
        </c:txPr>
        <c:crossAx val="135307648"/>
        <c:crosses val="autoZero"/>
        <c:crossBetween val="between"/>
      </c:valAx>
      <c:spPr>
        <a:noFill/>
      </c:spPr>
    </c:plotArea>
    <c:plotVisOnly val="1"/>
    <c:dispBlanksAs val="gap"/>
    <c:showDLblsOverMax val="0"/>
  </c:chart>
  <c:spPr>
    <a:noFill/>
    <a:ln>
      <a:noFill/>
    </a:ln>
  </c:spPr>
  <c:printSettings>
    <c:headerFooter/>
    <c:pageMargins b="0.75" l="0.7" r="0.7" t="0.75" header="0.3" footer="0.3"/>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0.91867314814814816"/>
          <c:h val="1"/>
        </c:manualLayout>
      </c:layout>
      <c:doughnutChart>
        <c:varyColors val="1"/>
        <c:ser>
          <c:idx val="0"/>
          <c:order val="0"/>
          <c:dPt>
            <c:idx val="0"/>
            <c:bubble3D val="0"/>
            <c:spPr>
              <a:solidFill>
                <a:srgbClr val="92D050"/>
              </a:solidFill>
            </c:spPr>
            <c:extLst>
              <c:ext xmlns:c16="http://schemas.microsoft.com/office/drawing/2014/chart" uri="{C3380CC4-5D6E-409C-BE32-E72D297353CC}">
                <c16:uniqueId val="{00000001-3F8A-475B-B5E1-47E5264B83C0}"/>
              </c:ext>
            </c:extLst>
          </c:dPt>
          <c:dPt>
            <c:idx val="1"/>
            <c:bubble3D val="0"/>
            <c:spPr>
              <a:solidFill>
                <a:srgbClr val="DAE63A"/>
              </a:solidFill>
            </c:spPr>
            <c:extLst>
              <c:ext xmlns:c16="http://schemas.microsoft.com/office/drawing/2014/chart" uri="{C3380CC4-5D6E-409C-BE32-E72D297353CC}">
                <c16:uniqueId val="{00000003-3F8A-475B-B5E1-47E5264B83C0}"/>
              </c:ext>
            </c:extLst>
          </c:dPt>
          <c:dPt>
            <c:idx val="2"/>
            <c:bubble3D val="0"/>
            <c:spPr>
              <a:solidFill>
                <a:srgbClr val="FF5050"/>
              </a:solidFill>
            </c:spPr>
            <c:extLst>
              <c:ext xmlns:c16="http://schemas.microsoft.com/office/drawing/2014/chart" uri="{C3380CC4-5D6E-409C-BE32-E72D297353CC}">
                <c16:uniqueId val="{00000005-3F8A-475B-B5E1-47E5264B83C0}"/>
              </c:ext>
            </c:extLst>
          </c:dPt>
          <c:dPt>
            <c:idx val="3"/>
            <c:bubble3D val="0"/>
            <c:spPr>
              <a:noFill/>
            </c:spPr>
            <c:extLst>
              <c:ext xmlns:c16="http://schemas.microsoft.com/office/drawing/2014/chart" uri="{C3380CC4-5D6E-409C-BE32-E72D297353CC}">
                <c16:uniqueId val="{00000007-3F8A-475B-B5E1-47E5264B83C0}"/>
              </c:ext>
            </c:extLst>
          </c:dPt>
          <c:val>
            <c:numRef>
              <c:f>Calculations!$B$224:$E$224</c:f>
              <c:numCache>
                <c:formatCode>General</c:formatCode>
                <c:ptCount val="4"/>
                <c:pt idx="0">
                  <c:v>0.375</c:v>
                </c:pt>
                <c:pt idx="1">
                  <c:v>0.22499999999999998</c:v>
                </c:pt>
                <c:pt idx="2">
                  <c:v>0.15000000000000002</c:v>
                </c:pt>
                <c:pt idx="3" formatCode="_(* #,##0.00_);_(* \(#,##0.00\);_(* &quot;–&quot;???_);_(* @_)">
                  <c:v>0.75</c:v>
                </c:pt>
              </c:numCache>
            </c:numRef>
          </c:val>
          <c:extLst>
            <c:ext xmlns:c16="http://schemas.microsoft.com/office/drawing/2014/chart" uri="{C3380CC4-5D6E-409C-BE32-E72D297353CC}">
              <c16:uniqueId val="{00000008-3F8A-475B-B5E1-47E5264B83C0}"/>
            </c:ext>
          </c:extLst>
        </c:ser>
        <c:dLbls>
          <c:showLegendKey val="0"/>
          <c:showVal val="0"/>
          <c:showCatName val="0"/>
          <c:showSerName val="0"/>
          <c:showPercent val="0"/>
          <c:showBubbleSize val="0"/>
          <c:showLeaderLines val="1"/>
        </c:dLbls>
        <c:firstSliceAng val="270"/>
        <c:holeSize val="50"/>
      </c:doughnutChart>
      <c:pieChart>
        <c:varyColors val="1"/>
        <c:ser>
          <c:idx val="1"/>
          <c:order val="1"/>
          <c:dPt>
            <c:idx val="0"/>
            <c:bubble3D val="0"/>
            <c:spPr>
              <a:noFill/>
            </c:spPr>
            <c:extLst>
              <c:ext xmlns:c16="http://schemas.microsoft.com/office/drawing/2014/chart" uri="{C3380CC4-5D6E-409C-BE32-E72D297353CC}">
                <c16:uniqueId val="{0000000A-3F8A-475B-B5E1-47E5264B83C0}"/>
              </c:ext>
            </c:extLst>
          </c:dPt>
          <c:dPt>
            <c:idx val="1"/>
            <c:bubble3D val="0"/>
            <c:spPr>
              <a:solidFill>
                <a:schemeClr val="tx1"/>
              </a:solidFill>
            </c:spPr>
            <c:extLst>
              <c:ext xmlns:c16="http://schemas.microsoft.com/office/drawing/2014/chart" uri="{C3380CC4-5D6E-409C-BE32-E72D297353CC}">
                <c16:uniqueId val="{0000000C-3F8A-475B-B5E1-47E5264B83C0}"/>
              </c:ext>
            </c:extLst>
          </c:dPt>
          <c:dPt>
            <c:idx val="2"/>
            <c:bubble3D val="0"/>
            <c:spPr>
              <a:noFill/>
            </c:spPr>
            <c:extLst>
              <c:ext xmlns:c16="http://schemas.microsoft.com/office/drawing/2014/chart" uri="{C3380CC4-5D6E-409C-BE32-E72D297353CC}">
                <c16:uniqueId val="{0000000E-3F8A-475B-B5E1-47E5264B83C0}"/>
              </c:ext>
            </c:extLst>
          </c:dPt>
          <c:val>
            <c:numRef>
              <c:f>Calculations!$B$225:$E$225</c:f>
              <c:numCache>
                <c:formatCode>_(* #,##0%_);_(* \(#,##0%\);_(* "–"??_);_(* @_)</c:formatCode>
                <c:ptCount val="4"/>
                <c:pt idx="0" formatCode="_(* #,##0.0000_);_(* \(#,##0.0000\);_(* &quot;–&quot;??_);_(* @_)">
                  <c:v>1.5</c:v>
                </c:pt>
                <c:pt idx="1">
                  <c:v>7.4999999999999997E-3</c:v>
                </c:pt>
                <c:pt idx="2" formatCode="_(* #,##0.0000_);_(* \(#,##0.0000\);_(* &quot;–&quot;??_);_(* @_)">
                  <c:v>-7.4999999999999997E-3</c:v>
                </c:pt>
              </c:numCache>
            </c:numRef>
          </c:val>
          <c:extLst>
            <c:ext xmlns:c16="http://schemas.microsoft.com/office/drawing/2014/chart" uri="{C3380CC4-5D6E-409C-BE32-E72D297353CC}">
              <c16:uniqueId val="{0000000F-3F8A-475B-B5E1-47E5264B83C0}"/>
            </c:ext>
          </c:extLst>
        </c:ser>
        <c:dLbls>
          <c:showLegendKey val="0"/>
          <c:showVal val="0"/>
          <c:showCatName val="0"/>
          <c:showSerName val="0"/>
          <c:showPercent val="0"/>
          <c:showBubbleSize val="0"/>
          <c:showLeaderLines val="1"/>
        </c:dLbls>
        <c:firstSliceAng val="90"/>
      </c:pieChart>
    </c:plotArea>
    <c:plotVisOnly val="1"/>
    <c:dispBlanksAs val="gap"/>
    <c:showDLblsOverMax val="0"/>
  </c:chart>
  <c:spPr>
    <a:noFill/>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dPt>
            <c:idx val="3"/>
            <c:bubble3D val="0"/>
            <c:spPr>
              <a:ln w="19050">
                <a:solidFill>
                  <a:srgbClr val="968F58"/>
                </a:solidFill>
                <a:prstDash val="sysDot"/>
              </a:ln>
            </c:spPr>
            <c:extLst>
              <c:ext xmlns:c16="http://schemas.microsoft.com/office/drawing/2014/chart" uri="{C3380CC4-5D6E-409C-BE32-E72D297353CC}">
                <c16:uniqueId val="{00000001-C2B4-4519-AE44-51119B90AE0F}"/>
              </c:ext>
            </c:extLst>
          </c:dPt>
          <c:dPt>
            <c:idx val="4"/>
            <c:bubble3D val="0"/>
            <c:spPr>
              <a:ln w="19050">
                <a:solidFill>
                  <a:srgbClr val="968F58"/>
                </a:solidFill>
                <a:prstDash val="sysDot"/>
              </a:ln>
            </c:spPr>
            <c:extLst>
              <c:ext xmlns:c16="http://schemas.microsoft.com/office/drawing/2014/chart" uri="{C3380CC4-5D6E-409C-BE32-E72D297353CC}">
                <c16:uniqueId val="{00000003-C2B4-4519-AE44-51119B90AE0F}"/>
              </c:ext>
            </c:extLst>
          </c:dPt>
          <c:dPt>
            <c:idx val="5"/>
            <c:bubble3D val="0"/>
            <c:spPr>
              <a:ln w="19050">
                <a:solidFill>
                  <a:srgbClr val="968F58"/>
                </a:solidFill>
                <a:prstDash val="sysDot"/>
              </a:ln>
            </c:spPr>
            <c:extLst>
              <c:ext xmlns:c16="http://schemas.microsoft.com/office/drawing/2014/chart" uri="{C3380CC4-5D6E-409C-BE32-E72D297353CC}">
                <c16:uniqueId val="{00000005-C2B4-4519-AE44-51119B90AE0F}"/>
              </c:ext>
            </c:extLst>
          </c:dPt>
          <c:dPt>
            <c:idx val="6"/>
            <c:bubble3D val="0"/>
            <c:spPr>
              <a:ln w="19050">
                <a:solidFill>
                  <a:srgbClr val="968F58"/>
                </a:solidFill>
                <a:prstDash val="sysDot"/>
              </a:ln>
            </c:spPr>
            <c:extLst>
              <c:ext xmlns:c16="http://schemas.microsoft.com/office/drawing/2014/chart" uri="{C3380CC4-5D6E-409C-BE32-E72D297353CC}">
                <c16:uniqueId val="{00000007-C2B4-4519-AE44-51119B90AE0F}"/>
              </c:ext>
            </c:extLst>
          </c:dPt>
          <c:dPt>
            <c:idx val="7"/>
            <c:bubble3D val="0"/>
            <c:spPr>
              <a:ln w="19050">
                <a:solidFill>
                  <a:srgbClr val="968F58"/>
                </a:solidFill>
                <a:prstDash val="sysDot"/>
              </a:ln>
            </c:spPr>
            <c:extLst>
              <c:ext xmlns:c16="http://schemas.microsoft.com/office/drawing/2014/chart" uri="{C3380CC4-5D6E-409C-BE32-E72D297353CC}">
                <c16:uniqueId val="{00000009-C2B4-4519-AE44-51119B90AE0F}"/>
              </c:ext>
            </c:extLst>
          </c:dPt>
          <c:cat>
            <c:numRef>
              <c:f>Calculations!$E$228:$L$228</c:f>
              <c:numCache>
                <c:formatCode>General</c:formatCode>
                <c:ptCount val="8"/>
                <c:pt idx="0">
                  <c:v>2020</c:v>
                </c:pt>
                <c:pt idx="1">
                  <c:v>2021</c:v>
                </c:pt>
                <c:pt idx="2">
                  <c:v>2022</c:v>
                </c:pt>
                <c:pt idx="3">
                  <c:v>2023</c:v>
                </c:pt>
                <c:pt idx="4">
                  <c:v>2024</c:v>
                </c:pt>
                <c:pt idx="5">
                  <c:v>2025</c:v>
                </c:pt>
                <c:pt idx="6">
                  <c:v>2026</c:v>
                </c:pt>
                <c:pt idx="7">
                  <c:v>2027</c:v>
                </c:pt>
              </c:numCache>
            </c:numRef>
          </c:cat>
          <c:val>
            <c:numRef>
              <c:f>Calculations!$E$236:$L$236</c:f>
              <c:numCache>
                <c:formatCode>_(* #,##0.00_);_(* \(#,##0.00\);_(* "–"???_);_(* @_)</c:formatCode>
                <c:ptCount val="8"/>
                <c:pt idx="0">
                  <c:v>0.49122656250000002</c:v>
                </c:pt>
                <c:pt idx="1">
                  <c:v>0.8987418823242187</c:v>
                </c:pt>
                <c:pt idx="2">
                  <c:v>0.62814660644531251</c:v>
                </c:pt>
                <c:pt idx="3">
                  <c:v>0.57383054924972154</c:v>
                </c:pt>
                <c:pt idx="4">
                  <c:v>0.61696628660684749</c:v>
                </c:pt>
                <c:pt idx="5">
                  <c:v>0.70251411934964869</c:v>
                </c:pt>
                <c:pt idx="6">
                  <c:v>0.41174028390969997</c:v>
                </c:pt>
                <c:pt idx="7">
                  <c:v>0.31553214841021748</c:v>
                </c:pt>
              </c:numCache>
            </c:numRef>
          </c:val>
          <c:smooth val="0"/>
          <c:extLst>
            <c:ext xmlns:c16="http://schemas.microsoft.com/office/drawing/2014/chart" uri="{C3380CC4-5D6E-409C-BE32-E72D297353CC}">
              <c16:uniqueId val="{0000000A-C2B4-4519-AE44-51119B90AE0F}"/>
            </c:ext>
          </c:extLst>
        </c:ser>
        <c:dLbls>
          <c:showLegendKey val="0"/>
          <c:showVal val="0"/>
          <c:showCatName val="0"/>
          <c:showSerName val="0"/>
          <c:showPercent val="0"/>
          <c:showBubbleSize val="0"/>
        </c:dLbls>
        <c:smooth val="0"/>
        <c:axId val="135452160"/>
        <c:axId val="135453696"/>
      </c:lineChart>
      <c:catAx>
        <c:axId val="135452160"/>
        <c:scaling>
          <c:orientation val="minMax"/>
        </c:scaling>
        <c:delete val="1"/>
        <c:axPos val="b"/>
        <c:numFmt formatCode="General" sourceLinked="1"/>
        <c:majorTickMark val="out"/>
        <c:minorTickMark val="none"/>
        <c:tickLblPos val="nextTo"/>
        <c:crossAx val="135453696"/>
        <c:crosses val="autoZero"/>
        <c:auto val="1"/>
        <c:lblAlgn val="ctr"/>
        <c:lblOffset val="100"/>
        <c:noMultiLvlLbl val="0"/>
      </c:catAx>
      <c:valAx>
        <c:axId val="135453696"/>
        <c:scaling>
          <c:orientation val="minMax"/>
          <c:min val="-1.0000000000000002E-2"/>
        </c:scaling>
        <c:delete val="1"/>
        <c:axPos val="l"/>
        <c:numFmt formatCode="_(* #,##0.00_);_(* \(#,##0.00\);_(* &quot;–&quot;???_);_(* @_)" sourceLinked="1"/>
        <c:majorTickMark val="out"/>
        <c:minorTickMark val="none"/>
        <c:tickLblPos val="nextTo"/>
        <c:crossAx val="13545216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Calculations!$C$11:$G$11</c:f>
              <c:numCache>
                <c:formatCode>_(* #,##0.00_);_(* \(#,##0.00\);_(* "–"???_);_(* @_)</c:formatCode>
                <c:ptCount val="5"/>
                <c:pt idx="0">
                  <c:v>0.33325982666015624</c:v>
                </c:pt>
                <c:pt idx="1">
                  <c:v>0.66512939453124997</c:v>
                </c:pt>
                <c:pt idx="2">
                  <c:v>1.6279782714843749</c:v>
                </c:pt>
                <c:pt idx="3">
                  <c:v>1.4113054199218751</c:v>
                </c:pt>
                <c:pt idx="4">
                  <c:v>2.3249526367187499</c:v>
                </c:pt>
              </c:numCache>
            </c:numRef>
          </c:val>
          <c:smooth val="0"/>
          <c:extLst>
            <c:ext xmlns:c16="http://schemas.microsoft.com/office/drawing/2014/chart" uri="{C3380CC4-5D6E-409C-BE32-E72D297353CC}">
              <c16:uniqueId val="{00000000-17B4-46CC-AABE-5FFE22AC5A33}"/>
            </c:ext>
          </c:extLst>
        </c:ser>
        <c:dLbls>
          <c:showLegendKey val="0"/>
          <c:showVal val="0"/>
          <c:showCatName val="0"/>
          <c:showSerName val="0"/>
          <c:showPercent val="0"/>
          <c:showBubbleSize val="0"/>
        </c:dLbls>
        <c:smooth val="0"/>
        <c:axId val="133266432"/>
        <c:axId val="133296896"/>
      </c:lineChart>
      <c:catAx>
        <c:axId val="133266432"/>
        <c:scaling>
          <c:orientation val="minMax"/>
        </c:scaling>
        <c:delete val="1"/>
        <c:axPos val="b"/>
        <c:majorTickMark val="out"/>
        <c:minorTickMark val="none"/>
        <c:tickLblPos val="nextTo"/>
        <c:crossAx val="133296896"/>
        <c:crosses val="autoZero"/>
        <c:auto val="1"/>
        <c:lblAlgn val="ctr"/>
        <c:lblOffset val="100"/>
        <c:noMultiLvlLbl val="0"/>
      </c:catAx>
      <c:valAx>
        <c:axId val="133296896"/>
        <c:scaling>
          <c:orientation val="minMax"/>
          <c:min val="0"/>
        </c:scaling>
        <c:delete val="1"/>
        <c:axPos val="l"/>
        <c:numFmt formatCode="_(* #,##0.00_);_(* \(#,##0.00\);_(* &quot;–&quot;???_);_(* @_)" sourceLinked="1"/>
        <c:majorTickMark val="out"/>
        <c:minorTickMark val="none"/>
        <c:tickLblPos val="nextTo"/>
        <c:crossAx val="13326643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Calculations!$A$243</c:f>
              <c:strCache>
                <c:ptCount val="1"/>
                <c:pt idx="0">
                  <c:v>Fixed</c:v>
                </c:pt>
              </c:strCache>
            </c:strRef>
          </c:tx>
          <c:spPr>
            <a:solidFill>
              <a:schemeClr val="accent4"/>
            </a:solidFill>
          </c:spPr>
          <c:invertIfNegative val="0"/>
          <c:cat>
            <c:numRef>
              <c:f>(Calculations!$G$239,Calculations!$D$239)</c:f>
              <c:numCache>
                <c:formatCode>General</c:formatCode>
                <c:ptCount val="2"/>
                <c:pt idx="0">
                  <c:v>2022</c:v>
                </c:pt>
                <c:pt idx="1">
                  <c:v>2019</c:v>
                </c:pt>
              </c:numCache>
            </c:numRef>
          </c:cat>
          <c:val>
            <c:numRef>
              <c:f>(Calculations!$G$243,Calculations!$D$243)</c:f>
              <c:numCache>
                <c:formatCode>_(* #,##0.0%_);_(* \(#,##0.0%\);_(* "–"??_);_(* @_)</c:formatCode>
                <c:ptCount val="2"/>
                <c:pt idx="0">
                  <c:v>0.56345876917195992</c:v>
                </c:pt>
                <c:pt idx="1">
                  <c:v>0.52674613725452613</c:v>
                </c:pt>
              </c:numCache>
            </c:numRef>
          </c:val>
          <c:extLst>
            <c:ext xmlns:c16="http://schemas.microsoft.com/office/drawing/2014/chart" uri="{C3380CC4-5D6E-409C-BE32-E72D297353CC}">
              <c16:uniqueId val="{00000000-E63F-4DBF-B9F2-3ED4BF03A1C1}"/>
            </c:ext>
          </c:extLst>
        </c:ser>
        <c:ser>
          <c:idx val="1"/>
          <c:order val="1"/>
          <c:tx>
            <c:strRef>
              <c:f>Calculations!$A$244</c:f>
              <c:strCache>
                <c:ptCount val="1"/>
                <c:pt idx="0">
                  <c:v>Variable</c:v>
                </c:pt>
              </c:strCache>
            </c:strRef>
          </c:tx>
          <c:spPr>
            <a:solidFill>
              <a:srgbClr val="FF8C6D"/>
            </a:solidFill>
          </c:spPr>
          <c:invertIfNegative val="0"/>
          <c:cat>
            <c:numRef>
              <c:f>(Calculations!$G$239,Calculations!$D$239)</c:f>
              <c:numCache>
                <c:formatCode>General</c:formatCode>
                <c:ptCount val="2"/>
                <c:pt idx="0">
                  <c:v>2022</c:v>
                </c:pt>
                <c:pt idx="1">
                  <c:v>2019</c:v>
                </c:pt>
              </c:numCache>
            </c:numRef>
          </c:cat>
          <c:val>
            <c:numRef>
              <c:f>(Calculations!$G$244,Calculations!$D$244)</c:f>
              <c:numCache>
                <c:formatCode>_(* #,##0.0%_);_(* \(#,##0.0%\);_(* "–"??_);_(* @_)</c:formatCode>
                <c:ptCount val="2"/>
                <c:pt idx="0">
                  <c:v>0.43654123082804008</c:v>
                </c:pt>
                <c:pt idx="1">
                  <c:v>0.47325386274547382</c:v>
                </c:pt>
              </c:numCache>
            </c:numRef>
          </c:val>
          <c:extLst>
            <c:ext xmlns:c16="http://schemas.microsoft.com/office/drawing/2014/chart" uri="{C3380CC4-5D6E-409C-BE32-E72D297353CC}">
              <c16:uniqueId val="{00000001-E63F-4DBF-B9F2-3ED4BF03A1C1}"/>
            </c:ext>
          </c:extLst>
        </c:ser>
        <c:dLbls>
          <c:showLegendKey val="0"/>
          <c:showVal val="0"/>
          <c:showCatName val="0"/>
          <c:showSerName val="0"/>
          <c:showPercent val="0"/>
          <c:showBubbleSize val="0"/>
        </c:dLbls>
        <c:gapWidth val="150"/>
        <c:overlap val="100"/>
        <c:axId val="135535616"/>
        <c:axId val="135537408"/>
      </c:barChart>
      <c:catAx>
        <c:axId val="135535616"/>
        <c:scaling>
          <c:orientation val="minMax"/>
        </c:scaling>
        <c:delete val="0"/>
        <c:axPos val="l"/>
        <c:numFmt formatCode="General" sourceLinked="1"/>
        <c:majorTickMark val="out"/>
        <c:minorTickMark val="none"/>
        <c:tickLblPos val="nextTo"/>
        <c:spPr>
          <a:ln>
            <a:noFill/>
          </a:ln>
        </c:spPr>
        <c:txPr>
          <a:bodyPr/>
          <a:lstStyle/>
          <a:p>
            <a:pPr>
              <a:defRPr sz="900" b="1">
                <a:latin typeface="+mn-lt"/>
              </a:defRPr>
            </a:pPr>
            <a:endParaRPr lang="en-US"/>
          </a:p>
        </c:txPr>
        <c:crossAx val="135537408"/>
        <c:crosses val="autoZero"/>
        <c:auto val="1"/>
        <c:lblAlgn val="ctr"/>
        <c:lblOffset val="100"/>
        <c:noMultiLvlLbl val="0"/>
      </c:catAx>
      <c:valAx>
        <c:axId val="135537408"/>
        <c:scaling>
          <c:orientation val="minMax"/>
          <c:max val="1"/>
        </c:scaling>
        <c:delete val="1"/>
        <c:axPos val="b"/>
        <c:numFmt formatCode="_(* #,##0.0%_);_(* \(#,##0.0%\);_(* &quot;–&quot;??_);_(* @_)" sourceLinked="1"/>
        <c:majorTickMark val="out"/>
        <c:minorTickMark val="none"/>
        <c:tickLblPos val="nextTo"/>
        <c:crossAx val="135535616"/>
        <c:crosses val="autoZero"/>
        <c:crossBetween val="between"/>
      </c:valAx>
    </c:plotArea>
    <c:legend>
      <c:legendPos val="r"/>
      <c:layout>
        <c:manualLayout>
          <c:xMode val="edge"/>
          <c:yMode val="edge"/>
          <c:x val="0.79400646751393023"/>
          <c:y val="0.22005456363957945"/>
          <c:w val="0.17784499687484762"/>
          <c:h val="0.55988930749882215"/>
        </c:manualLayout>
      </c:layout>
      <c:overlay val="0"/>
      <c:txPr>
        <a:bodyPr/>
        <a:lstStyle/>
        <a:p>
          <a:pPr>
            <a:defRPr sz="900"/>
          </a:pPr>
          <a:endParaRPr lang="en-US"/>
        </a:p>
      </c:txPr>
    </c:legend>
    <c:plotVisOnly val="1"/>
    <c:dispBlanksAs val="gap"/>
    <c:showDLblsOverMax val="0"/>
  </c:chart>
  <c:spPr>
    <a:noFill/>
    <a:ln>
      <a:noFill/>
    </a:ln>
  </c:spPr>
  <c:printSettings>
    <c:headerFooter/>
    <c:pageMargins b="0.75" l="0.7" r="0.7" t="0.75" header="0.3" footer="0.3"/>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
          <c:y val="0"/>
          <c:w val="1"/>
          <c:h val="1"/>
        </c:manualLayout>
      </c:layout>
      <c:lineChart>
        <c:grouping val="standard"/>
        <c:varyColors val="0"/>
        <c:ser>
          <c:idx val="0"/>
          <c:order val="0"/>
          <c:tx>
            <c:strRef>
              <c:f>Calculations!$E$233:$L$233</c:f>
              <c:strCache>
                <c:ptCount val="8"/>
                <c:pt idx="0">
                  <c:v> 0.6790000 </c:v>
                </c:pt>
                <c:pt idx="1">
                  <c:v> 1.8670000 </c:v>
                </c:pt>
                <c:pt idx="2">
                  <c:v> 1.3817953 </c:v>
                </c:pt>
                <c:pt idx="3">
                  <c:v> 2.5145521 </c:v>
                </c:pt>
                <c:pt idx="4">
                  <c:v> 2.6293876 </c:v>
                </c:pt>
                <c:pt idx="5">
                  <c:v> 2.3809146 </c:v>
                </c:pt>
                <c:pt idx="6">
                  <c:v> 1.8175890 </c:v>
                </c:pt>
                <c:pt idx="7">
                  <c:v> 1.8371533 </c:v>
                </c:pt>
              </c:strCache>
            </c:strRef>
          </c:tx>
          <c:spPr>
            <a:ln w="19050">
              <a:solidFill>
                <a:srgbClr val="968F58"/>
              </a:solidFill>
            </a:ln>
          </c:spPr>
          <c:marker>
            <c:symbol val="none"/>
          </c:marker>
          <c:dPt>
            <c:idx val="3"/>
            <c:bubble3D val="0"/>
            <c:spPr>
              <a:ln w="19050">
                <a:solidFill>
                  <a:srgbClr val="968F58"/>
                </a:solidFill>
                <a:prstDash val="sysDot"/>
              </a:ln>
            </c:spPr>
            <c:extLst>
              <c:ext xmlns:c16="http://schemas.microsoft.com/office/drawing/2014/chart" uri="{C3380CC4-5D6E-409C-BE32-E72D297353CC}">
                <c16:uniqueId val="{00000001-FD2B-4934-AC5B-4F76646CD0C4}"/>
              </c:ext>
            </c:extLst>
          </c:dPt>
          <c:dPt>
            <c:idx val="4"/>
            <c:bubble3D val="0"/>
            <c:spPr>
              <a:ln w="19050">
                <a:solidFill>
                  <a:srgbClr val="968F58"/>
                </a:solidFill>
                <a:prstDash val="sysDot"/>
              </a:ln>
            </c:spPr>
            <c:extLst>
              <c:ext xmlns:c16="http://schemas.microsoft.com/office/drawing/2014/chart" uri="{C3380CC4-5D6E-409C-BE32-E72D297353CC}">
                <c16:uniqueId val="{00000003-FD2B-4934-AC5B-4F76646CD0C4}"/>
              </c:ext>
            </c:extLst>
          </c:dPt>
          <c:dPt>
            <c:idx val="5"/>
            <c:bubble3D val="0"/>
            <c:spPr>
              <a:ln w="19050">
                <a:solidFill>
                  <a:srgbClr val="968F58"/>
                </a:solidFill>
                <a:prstDash val="sysDot"/>
              </a:ln>
            </c:spPr>
            <c:extLst>
              <c:ext xmlns:c16="http://schemas.microsoft.com/office/drawing/2014/chart" uri="{C3380CC4-5D6E-409C-BE32-E72D297353CC}">
                <c16:uniqueId val="{00000005-FD2B-4934-AC5B-4F76646CD0C4}"/>
              </c:ext>
            </c:extLst>
          </c:dPt>
          <c:dPt>
            <c:idx val="6"/>
            <c:bubble3D val="0"/>
            <c:spPr>
              <a:ln w="19050">
                <a:solidFill>
                  <a:srgbClr val="968F58"/>
                </a:solidFill>
                <a:prstDash val="sysDot"/>
              </a:ln>
            </c:spPr>
            <c:extLst>
              <c:ext xmlns:c16="http://schemas.microsoft.com/office/drawing/2014/chart" uri="{C3380CC4-5D6E-409C-BE32-E72D297353CC}">
                <c16:uniqueId val="{00000007-FD2B-4934-AC5B-4F76646CD0C4}"/>
              </c:ext>
            </c:extLst>
          </c:dPt>
          <c:dPt>
            <c:idx val="7"/>
            <c:bubble3D val="0"/>
            <c:spPr>
              <a:ln w="19050">
                <a:solidFill>
                  <a:srgbClr val="968F58"/>
                </a:solidFill>
                <a:prstDash val="sysDot"/>
              </a:ln>
            </c:spPr>
            <c:extLst>
              <c:ext xmlns:c16="http://schemas.microsoft.com/office/drawing/2014/chart" uri="{C3380CC4-5D6E-409C-BE32-E72D297353CC}">
                <c16:uniqueId val="{00000009-FD2B-4934-AC5B-4F76646CD0C4}"/>
              </c:ext>
            </c:extLst>
          </c:dPt>
          <c:cat>
            <c:numRef>
              <c:f>Calculations!$E$228:$L$228</c:f>
              <c:numCache>
                <c:formatCode>General</c:formatCode>
                <c:ptCount val="8"/>
                <c:pt idx="0">
                  <c:v>2020</c:v>
                </c:pt>
                <c:pt idx="1">
                  <c:v>2021</c:v>
                </c:pt>
                <c:pt idx="2">
                  <c:v>2022</c:v>
                </c:pt>
                <c:pt idx="3">
                  <c:v>2023</c:v>
                </c:pt>
                <c:pt idx="4">
                  <c:v>2024</c:v>
                </c:pt>
                <c:pt idx="5">
                  <c:v>2025</c:v>
                </c:pt>
                <c:pt idx="6">
                  <c:v>2026</c:v>
                </c:pt>
                <c:pt idx="7">
                  <c:v>2027</c:v>
                </c:pt>
              </c:numCache>
            </c:numRef>
          </c:cat>
          <c:val>
            <c:numRef>
              <c:f>Calculations!$E$233:$L$233</c:f>
              <c:numCache>
                <c:formatCode>_(* #,##0.0000000_);_(* \(#,##0.0000000\);_(* "–"???_);_(* @_)</c:formatCode>
                <c:ptCount val="8"/>
                <c:pt idx="0">
                  <c:v>0.67900000000000005</c:v>
                </c:pt>
                <c:pt idx="1">
                  <c:v>1.867</c:v>
                </c:pt>
                <c:pt idx="2">
                  <c:v>1.3817952880859377</c:v>
                </c:pt>
                <c:pt idx="3">
                  <c:v>2.5145520671513562</c:v>
                </c:pt>
                <c:pt idx="4">
                  <c:v>2.6293876326379433</c:v>
                </c:pt>
                <c:pt idx="5">
                  <c:v>2.3809146312667346</c:v>
                </c:pt>
                <c:pt idx="6">
                  <c:v>1.8175890091683988</c:v>
                </c:pt>
                <c:pt idx="7">
                  <c:v>1.8371533420033435</c:v>
                </c:pt>
              </c:numCache>
            </c:numRef>
          </c:val>
          <c:smooth val="0"/>
          <c:extLst>
            <c:ext xmlns:c16="http://schemas.microsoft.com/office/drawing/2014/chart" uri="{C3380CC4-5D6E-409C-BE32-E72D297353CC}">
              <c16:uniqueId val="{0000000A-FD2B-4934-AC5B-4F76646CD0C4}"/>
            </c:ext>
          </c:extLst>
        </c:ser>
        <c:dLbls>
          <c:showLegendKey val="0"/>
          <c:showVal val="0"/>
          <c:showCatName val="0"/>
          <c:showSerName val="0"/>
          <c:showPercent val="0"/>
          <c:showBubbleSize val="0"/>
        </c:dLbls>
        <c:smooth val="0"/>
        <c:axId val="134473216"/>
        <c:axId val="134474752"/>
      </c:lineChart>
      <c:catAx>
        <c:axId val="134473216"/>
        <c:scaling>
          <c:orientation val="minMax"/>
        </c:scaling>
        <c:delete val="1"/>
        <c:axPos val="b"/>
        <c:numFmt formatCode="General" sourceLinked="1"/>
        <c:majorTickMark val="out"/>
        <c:minorTickMark val="none"/>
        <c:tickLblPos val="nextTo"/>
        <c:crossAx val="134474752"/>
        <c:crosses val="autoZero"/>
        <c:auto val="1"/>
        <c:lblAlgn val="ctr"/>
        <c:lblOffset val="100"/>
        <c:noMultiLvlLbl val="0"/>
      </c:catAx>
      <c:valAx>
        <c:axId val="134474752"/>
        <c:scaling>
          <c:orientation val="minMax"/>
          <c:min val="-1.0000000000000002E-2"/>
        </c:scaling>
        <c:delete val="1"/>
        <c:axPos val="l"/>
        <c:numFmt formatCode="_(* #,##0.0000000_);_(* \(#,##0.0000000\);_(* &quot;–&quot;???_);_(* @_)" sourceLinked="1"/>
        <c:majorTickMark val="out"/>
        <c:minorTickMark val="none"/>
        <c:tickLblPos val="nextTo"/>
        <c:crossAx val="13447321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dPt>
            <c:idx val="3"/>
            <c:bubble3D val="0"/>
            <c:spPr>
              <a:noFill/>
            </c:spPr>
            <c:extLst>
              <c:ext xmlns:c16="http://schemas.microsoft.com/office/drawing/2014/chart" uri="{C3380CC4-5D6E-409C-BE32-E72D297353CC}">
                <c16:uniqueId val="{00000001-2EA2-4D04-A3F3-17E69EF6C918}"/>
              </c:ext>
            </c:extLst>
          </c:dPt>
          <c:val>
            <c:numRef>
              <c:f>Calculations!$B$224:$E$224</c:f>
              <c:numCache>
                <c:formatCode>General</c:formatCode>
                <c:ptCount val="4"/>
                <c:pt idx="0">
                  <c:v>0.375</c:v>
                </c:pt>
                <c:pt idx="1">
                  <c:v>0.22499999999999998</c:v>
                </c:pt>
                <c:pt idx="2">
                  <c:v>0.15000000000000002</c:v>
                </c:pt>
                <c:pt idx="3" formatCode="_(* #,##0.00_);_(* \(#,##0.00\);_(* &quot;–&quot;???_);_(* @_)">
                  <c:v>0.75</c:v>
                </c:pt>
              </c:numCache>
            </c:numRef>
          </c:val>
          <c:extLst>
            <c:ext xmlns:c16="http://schemas.microsoft.com/office/drawing/2014/chart" uri="{C3380CC4-5D6E-409C-BE32-E72D297353CC}">
              <c16:uniqueId val="{00000002-2EA2-4D04-A3F3-17E69EF6C918}"/>
            </c:ext>
          </c:extLst>
        </c:ser>
        <c:dLbls>
          <c:showLegendKey val="0"/>
          <c:showVal val="0"/>
          <c:showCatName val="0"/>
          <c:showSerName val="0"/>
          <c:showPercent val="0"/>
          <c:showBubbleSize val="0"/>
          <c:showLeaderLines val="1"/>
        </c:dLbls>
        <c:firstSliceAng val="270"/>
        <c:holeSize val="50"/>
      </c:doughnutChart>
      <c:pieChart>
        <c:varyColors val="1"/>
        <c:ser>
          <c:idx val="1"/>
          <c:order val="1"/>
          <c:dPt>
            <c:idx val="0"/>
            <c:bubble3D val="0"/>
            <c:spPr>
              <a:noFill/>
            </c:spPr>
            <c:extLst>
              <c:ext xmlns:c16="http://schemas.microsoft.com/office/drawing/2014/chart" uri="{C3380CC4-5D6E-409C-BE32-E72D297353CC}">
                <c16:uniqueId val="{00000004-2EA2-4D04-A3F3-17E69EF6C918}"/>
              </c:ext>
            </c:extLst>
          </c:dPt>
          <c:dPt>
            <c:idx val="1"/>
            <c:bubble3D val="0"/>
            <c:spPr>
              <a:solidFill>
                <a:schemeClr val="tx1"/>
              </a:solidFill>
              <a:ln>
                <a:solidFill>
                  <a:schemeClr val="tx1"/>
                </a:solidFill>
              </a:ln>
            </c:spPr>
            <c:extLst>
              <c:ext xmlns:c16="http://schemas.microsoft.com/office/drawing/2014/chart" uri="{C3380CC4-5D6E-409C-BE32-E72D297353CC}">
                <c16:uniqueId val="{00000006-2EA2-4D04-A3F3-17E69EF6C918}"/>
              </c:ext>
            </c:extLst>
          </c:dPt>
          <c:dPt>
            <c:idx val="2"/>
            <c:bubble3D val="0"/>
            <c:spPr>
              <a:noFill/>
            </c:spPr>
            <c:extLst>
              <c:ext xmlns:c16="http://schemas.microsoft.com/office/drawing/2014/chart" uri="{C3380CC4-5D6E-409C-BE32-E72D297353CC}">
                <c16:uniqueId val="{00000008-2EA2-4D04-A3F3-17E69EF6C918}"/>
              </c:ext>
            </c:extLst>
          </c:dPt>
          <c:val>
            <c:numRef>
              <c:f>Calculations!$B$225:$E$225</c:f>
              <c:numCache>
                <c:formatCode>_(* #,##0%_);_(* \(#,##0%\);_(* "–"??_);_(* @_)</c:formatCode>
                <c:ptCount val="4"/>
                <c:pt idx="0" formatCode="_(* #,##0.0000_);_(* \(#,##0.0000\);_(* &quot;–&quot;??_);_(* @_)">
                  <c:v>1.5</c:v>
                </c:pt>
                <c:pt idx="1">
                  <c:v>7.4999999999999997E-3</c:v>
                </c:pt>
                <c:pt idx="2" formatCode="_(* #,##0.0000_);_(* \(#,##0.0000\);_(* &quot;–&quot;??_);_(* @_)">
                  <c:v>-7.4999999999999997E-3</c:v>
                </c:pt>
              </c:numCache>
            </c:numRef>
          </c:val>
          <c:extLst>
            <c:ext xmlns:c16="http://schemas.microsoft.com/office/drawing/2014/chart" uri="{C3380CC4-5D6E-409C-BE32-E72D297353CC}">
              <c16:uniqueId val="{00000009-2EA2-4D04-A3F3-17E69EF6C918}"/>
            </c:ext>
          </c:extLst>
        </c:ser>
        <c:dLbls>
          <c:showLegendKey val="0"/>
          <c:showVal val="0"/>
          <c:showCatName val="0"/>
          <c:showSerName val="0"/>
          <c:showPercent val="0"/>
          <c:showBubbleSize val="0"/>
          <c:showLeaderLines val="1"/>
        </c:dLbls>
        <c:firstSliceAng val="90"/>
      </c:pieChart>
    </c:plotArea>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Calculations!$A$243</c:f>
              <c:strCache>
                <c:ptCount val="1"/>
                <c:pt idx="0">
                  <c:v>Fixed</c:v>
                </c:pt>
              </c:strCache>
            </c:strRef>
          </c:tx>
          <c:spPr>
            <a:solidFill>
              <a:schemeClr val="accent4"/>
            </a:solidFill>
          </c:spPr>
          <c:invertIfNegative val="0"/>
          <c:cat>
            <c:numRef>
              <c:f>(Calculations!$G$239,Calculations!$D$239)</c:f>
              <c:numCache>
                <c:formatCode>General</c:formatCode>
                <c:ptCount val="2"/>
                <c:pt idx="0">
                  <c:v>2022</c:v>
                </c:pt>
                <c:pt idx="1">
                  <c:v>2019</c:v>
                </c:pt>
              </c:numCache>
            </c:numRef>
          </c:cat>
          <c:val>
            <c:numRef>
              <c:f>(Calculations!$G$243,Calculations!$D$243)</c:f>
              <c:numCache>
                <c:formatCode>_(* #,##0.0%_);_(* \(#,##0.0%\);_(* "–"??_);_(* @_)</c:formatCode>
                <c:ptCount val="2"/>
                <c:pt idx="0">
                  <c:v>0.56345876917195992</c:v>
                </c:pt>
                <c:pt idx="1">
                  <c:v>0.52674613725452613</c:v>
                </c:pt>
              </c:numCache>
            </c:numRef>
          </c:val>
          <c:extLst>
            <c:ext xmlns:c16="http://schemas.microsoft.com/office/drawing/2014/chart" uri="{C3380CC4-5D6E-409C-BE32-E72D297353CC}">
              <c16:uniqueId val="{00000000-C952-4AD5-A555-66FBFE7B79DC}"/>
            </c:ext>
          </c:extLst>
        </c:ser>
        <c:ser>
          <c:idx val="1"/>
          <c:order val="1"/>
          <c:tx>
            <c:strRef>
              <c:f>Calculations!$A$244</c:f>
              <c:strCache>
                <c:ptCount val="1"/>
                <c:pt idx="0">
                  <c:v>Variable</c:v>
                </c:pt>
              </c:strCache>
            </c:strRef>
          </c:tx>
          <c:spPr>
            <a:solidFill>
              <a:srgbClr val="FF8C6D"/>
            </a:solidFill>
          </c:spPr>
          <c:invertIfNegative val="0"/>
          <c:cat>
            <c:numRef>
              <c:f>(Calculations!$G$239,Calculations!$D$239)</c:f>
              <c:numCache>
                <c:formatCode>General</c:formatCode>
                <c:ptCount val="2"/>
                <c:pt idx="0">
                  <c:v>2022</c:v>
                </c:pt>
                <c:pt idx="1">
                  <c:v>2019</c:v>
                </c:pt>
              </c:numCache>
            </c:numRef>
          </c:cat>
          <c:val>
            <c:numRef>
              <c:f>(Calculations!$G$244,Calculations!$D$244)</c:f>
              <c:numCache>
                <c:formatCode>_(* #,##0.0%_);_(* \(#,##0.0%\);_(* "–"??_);_(* @_)</c:formatCode>
                <c:ptCount val="2"/>
                <c:pt idx="0">
                  <c:v>0.43654123082804008</c:v>
                </c:pt>
                <c:pt idx="1">
                  <c:v>0.47325386274547382</c:v>
                </c:pt>
              </c:numCache>
            </c:numRef>
          </c:val>
          <c:extLst>
            <c:ext xmlns:c16="http://schemas.microsoft.com/office/drawing/2014/chart" uri="{C3380CC4-5D6E-409C-BE32-E72D297353CC}">
              <c16:uniqueId val="{00000001-C952-4AD5-A555-66FBFE7B79DC}"/>
            </c:ext>
          </c:extLst>
        </c:ser>
        <c:dLbls>
          <c:showLegendKey val="0"/>
          <c:showVal val="0"/>
          <c:showCatName val="0"/>
          <c:showSerName val="0"/>
          <c:showPercent val="0"/>
          <c:showBubbleSize val="0"/>
        </c:dLbls>
        <c:gapWidth val="150"/>
        <c:overlap val="100"/>
        <c:axId val="132673536"/>
        <c:axId val="132675072"/>
      </c:barChart>
      <c:catAx>
        <c:axId val="132673536"/>
        <c:scaling>
          <c:orientation val="minMax"/>
        </c:scaling>
        <c:delete val="0"/>
        <c:axPos val="l"/>
        <c:numFmt formatCode="General" sourceLinked="1"/>
        <c:majorTickMark val="out"/>
        <c:minorTickMark val="none"/>
        <c:tickLblPos val="nextTo"/>
        <c:spPr>
          <a:ln>
            <a:noFill/>
          </a:ln>
        </c:spPr>
        <c:crossAx val="132675072"/>
        <c:crosses val="autoZero"/>
        <c:auto val="1"/>
        <c:lblAlgn val="ctr"/>
        <c:lblOffset val="100"/>
        <c:noMultiLvlLbl val="0"/>
      </c:catAx>
      <c:valAx>
        <c:axId val="132675072"/>
        <c:scaling>
          <c:orientation val="minMax"/>
          <c:max val="1"/>
        </c:scaling>
        <c:delete val="1"/>
        <c:axPos val="b"/>
        <c:numFmt formatCode="_(* #,##0.0%_);_(* \(#,##0.0%\);_(* &quot;–&quot;??_);_(* @_)" sourceLinked="1"/>
        <c:majorTickMark val="out"/>
        <c:minorTickMark val="none"/>
        <c:tickLblPos val="nextTo"/>
        <c:crossAx val="132673536"/>
        <c:crosses val="autoZero"/>
        <c:crossBetween val="between"/>
      </c:valAx>
    </c:plotArea>
    <c:legend>
      <c:legendPos val="r"/>
      <c:overlay val="0"/>
    </c:legend>
    <c:plotVisOnly val="1"/>
    <c:dispBlanksAs val="gap"/>
    <c:showDLblsOverMax val="0"/>
  </c:chart>
  <c:spPr>
    <a:noFill/>
    <a:ln>
      <a:noFill/>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maps!$A$1</c:f>
              <c:strCache>
                <c:ptCount val="1"/>
                <c:pt idx="0">
                  <c:v>First Gas Distribution</c:v>
                </c:pt>
              </c:strCache>
            </c:strRef>
          </c:tx>
          <c:spPr>
            <a:blipFill>
              <a:blip xmlns:r="http://schemas.openxmlformats.org/officeDocument/2006/relationships" r:embed="rId1"/>
              <a:stretch>
                <a:fillRect/>
              </a:stretch>
            </a:blipFill>
          </c:spPr>
          <c:invertIfNegative val="0"/>
          <c:val>
            <c:numRef>
              <c:f>maps!$C$1</c:f>
              <c:numCache>
                <c:formatCode>General</c:formatCode>
                <c:ptCount val="1"/>
                <c:pt idx="0">
                  <c:v>#N/A</c:v>
                </c:pt>
              </c:numCache>
            </c:numRef>
          </c:val>
          <c:extLst>
            <c:ext xmlns:c16="http://schemas.microsoft.com/office/drawing/2014/chart" uri="{C3380CC4-5D6E-409C-BE32-E72D297353CC}">
              <c16:uniqueId val="{00000000-8449-4816-97A7-F371C681980A}"/>
            </c:ext>
          </c:extLst>
        </c:ser>
        <c:ser>
          <c:idx val="1"/>
          <c:order val="1"/>
          <c:tx>
            <c:strRef>
              <c:f>maps!$A$2</c:f>
              <c:strCache>
                <c:ptCount val="1"/>
                <c:pt idx="0">
                  <c:v>GasNet</c:v>
                </c:pt>
              </c:strCache>
            </c:strRef>
          </c:tx>
          <c:spPr>
            <a:blipFill>
              <a:blip xmlns:r="http://schemas.openxmlformats.org/officeDocument/2006/relationships" r:embed="rId2"/>
              <a:stretch>
                <a:fillRect/>
              </a:stretch>
            </a:blipFill>
          </c:spPr>
          <c:invertIfNegative val="0"/>
          <c:val>
            <c:numRef>
              <c:f>maps!$C$2</c:f>
              <c:numCache>
                <c:formatCode>General</c:formatCode>
                <c:ptCount val="1"/>
                <c:pt idx="0">
                  <c:v>#N/A</c:v>
                </c:pt>
              </c:numCache>
            </c:numRef>
          </c:val>
          <c:extLst>
            <c:ext xmlns:c16="http://schemas.microsoft.com/office/drawing/2014/chart" uri="{C3380CC4-5D6E-409C-BE32-E72D297353CC}">
              <c16:uniqueId val="{00000001-8449-4816-97A7-F371C681980A}"/>
            </c:ext>
          </c:extLst>
        </c:ser>
        <c:ser>
          <c:idx val="2"/>
          <c:order val="2"/>
          <c:tx>
            <c:strRef>
              <c:f>maps!$A$3</c:f>
              <c:strCache>
                <c:ptCount val="1"/>
                <c:pt idx="0">
                  <c:v>Powerco</c:v>
                </c:pt>
              </c:strCache>
            </c:strRef>
          </c:tx>
          <c:spPr>
            <a:blipFill>
              <a:blip xmlns:r="http://schemas.openxmlformats.org/officeDocument/2006/relationships" r:embed="rId3"/>
              <a:stretch>
                <a:fillRect/>
              </a:stretch>
            </a:blipFill>
          </c:spPr>
          <c:invertIfNegative val="0"/>
          <c:val>
            <c:numRef>
              <c:f>maps!$C$3</c:f>
              <c:numCache>
                <c:formatCode>General</c:formatCode>
                <c:ptCount val="1"/>
                <c:pt idx="0">
                  <c:v>#N/A</c:v>
                </c:pt>
              </c:numCache>
            </c:numRef>
          </c:val>
          <c:extLst>
            <c:ext xmlns:c16="http://schemas.microsoft.com/office/drawing/2014/chart" uri="{C3380CC4-5D6E-409C-BE32-E72D297353CC}">
              <c16:uniqueId val="{00000002-8449-4816-97A7-F371C681980A}"/>
            </c:ext>
          </c:extLst>
        </c:ser>
        <c:ser>
          <c:idx val="3"/>
          <c:order val="3"/>
          <c:tx>
            <c:strRef>
              <c:f>maps!$A$4</c:f>
              <c:strCache>
                <c:ptCount val="1"/>
                <c:pt idx="0">
                  <c:v>Vector Distribution</c:v>
                </c:pt>
              </c:strCache>
            </c:strRef>
          </c:tx>
          <c:spPr>
            <a:blipFill>
              <a:blip xmlns:r="http://schemas.openxmlformats.org/officeDocument/2006/relationships" r:embed="rId4"/>
              <a:stretch>
                <a:fillRect/>
              </a:stretch>
            </a:blipFill>
          </c:spPr>
          <c:invertIfNegative val="0"/>
          <c:val>
            <c:numRef>
              <c:f>maps!$C$4</c:f>
              <c:numCache>
                <c:formatCode>General</c:formatCode>
                <c:ptCount val="1"/>
                <c:pt idx="0">
                  <c:v>#N/A</c:v>
                </c:pt>
              </c:numCache>
            </c:numRef>
          </c:val>
          <c:extLst>
            <c:ext xmlns:c16="http://schemas.microsoft.com/office/drawing/2014/chart" uri="{C3380CC4-5D6E-409C-BE32-E72D297353CC}">
              <c16:uniqueId val="{00000003-8449-4816-97A7-F371C681980A}"/>
            </c:ext>
          </c:extLst>
        </c:ser>
        <c:ser>
          <c:idx val="4"/>
          <c:order val="4"/>
          <c:tx>
            <c:strRef>
              <c:f>maps!$A$5</c:f>
              <c:strCache>
                <c:ptCount val="1"/>
                <c:pt idx="0">
                  <c:v>Industry</c:v>
                </c:pt>
              </c:strCache>
            </c:strRef>
          </c:tx>
          <c:spPr>
            <a:blipFill>
              <a:blip xmlns:r="http://schemas.openxmlformats.org/officeDocument/2006/relationships" r:embed="rId5"/>
              <a:stretch>
                <a:fillRect/>
              </a:stretch>
            </a:blipFill>
          </c:spPr>
          <c:invertIfNegative val="0"/>
          <c:val>
            <c:numRef>
              <c:f>maps!$C$5</c:f>
              <c:numCache>
                <c:formatCode>General</c:formatCode>
                <c:ptCount val="1"/>
                <c:pt idx="0">
                  <c:v>1</c:v>
                </c:pt>
              </c:numCache>
            </c:numRef>
          </c:val>
          <c:extLst>
            <c:ext xmlns:c16="http://schemas.microsoft.com/office/drawing/2014/chart" uri="{C3380CC4-5D6E-409C-BE32-E72D297353CC}">
              <c16:uniqueId val="{00000004-8449-4816-97A7-F371C681980A}"/>
            </c:ext>
          </c:extLst>
        </c:ser>
        <c:dLbls>
          <c:showLegendKey val="0"/>
          <c:showVal val="0"/>
          <c:showCatName val="0"/>
          <c:showSerName val="0"/>
          <c:showPercent val="0"/>
          <c:showBubbleSize val="0"/>
        </c:dLbls>
        <c:gapWidth val="0"/>
        <c:overlap val="100"/>
        <c:axId val="137291648"/>
        <c:axId val="137293184"/>
      </c:barChart>
      <c:catAx>
        <c:axId val="137291648"/>
        <c:scaling>
          <c:orientation val="minMax"/>
        </c:scaling>
        <c:delete val="1"/>
        <c:axPos val="b"/>
        <c:majorTickMark val="out"/>
        <c:minorTickMark val="none"/>
        <c:tickLblPos val="nextTo"/>
        <c:crossAx val="137293184"/>
        <c:crosses val="autoZero"/>
        <c:auto val="1"/>
        <c:lblAlgn val="ctr"/>
        <c:lblOffset val="100"/>
        <c:noMultiLvlLbl val="0"/>
      </c:catAx>
      <c:valAx>
        <c:axId val="137293184"/>
        <c:scaling>
          <c:orientation val="minMax"/>
          <c:max val="1"/>
        </c:scaling>
        <c:delete val="1"/>
        <c:axPos val="l"/>
        <c:numFmt formatCode="General" sourceLinked="1"/>
        <c:majorTickMark val="out"/>
        <c:minorTickMark val="none"/>
        <c:tickLblPos val="nextTo"/>
        <c:crossAx val="137291648"/>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Calculations!$C$12:$G$12</c:f>
              <c:numCache>
                <c:formatCode>_(* #,##0.00_);_(* \(#,##0.00\);_(* "–"???_);_(* @_)</c:formatCode>
                <c:ptCount val="5"/>
                <c:pt idx="0">
                  <c:v>291153</c:v>
                </c:pt>
                <c:pt idx="1">
                  <c:v>296310</c:v>
                </c:pt>
                <c:pt idx="2">
                  <c:v>301746</c:v>
                </c:pt>
                <c:pt idx="3">
                  <c:v>305944</c:v>
                </c:pt>
                <c:pt idx="4">
                  <c:v>308791</c:v>
                </c:pt>
              </c:numCache>
            </c:numRef>
          </c:val>
          <c:smooth val="0"/>
          <c:extLst>
            <c:ext xmlns:c16="http://schemas.microsoft.com/office/drawing/2014/chart" uri="{C3380CC4-5D6E-409C-BE32-E72D297353CC}">
              <c16:uniqueId val="{00000000-EA43-4ABF-BAC1-EED3025357AE}"/>
            </c:ext>
          </c:extLst>
        </c:ser>
        <c:dLbls>
          <c:showLegendKey val="0"/>
          <c:showVal val="0"/>
          <c:showCatName val="0"/>
          <c:showSerName val="0"/>
          <c:showPercent val="0"/>
          <c:showBubbleSize val="0"/>
        </c:dLbls>
        <c:smooth val="0"/>
        <c:axId val="133325184"/>
        <c:axId val="133326720"/>
      </c:lineChart>
      <c:catAx>
        <c:axId val="133325184"/>
        <c:scaling>
          <c:orientation val="minMax"/>
        </c:scaling>
        <c:delete val="1"/>
        <c:axPos val="b"/>
        <c:majorTickMark val="out"/>
        <c:minorTickMark val="none"/>
        <c:tickLblPos val="nextTo"/>
        <c:crossAx val="133326720"/>
        <c:crosses val="autoZero"/>
        <c:auto val="1"/>
        <c:lblAlgn val="ctr"/>
        <c:lblOffset val="100"/>
        <c:noMultiLvlLbl val="0"/>
      </c:catAx>
      <c:valAx>
        <c:axId val="133326720"/>
        <c:scaling>
          <c:orientation val="minMax"/>
          <c:min val="0"/>
        </c:scaling>
        <c:delete val="1"/>
        <c:axPos val="l"/>
        <c:numFmt formatCode="_(* #,##0.00_);_(* \(#,##0.00\);_(* &quot;–&quot;???_);_(* @_)" sourceLinked="1"/>
        <c:majorTickMark val="out"/>
        <c:minorTickMark val="none"/>
        <c:tickLblPos val="nextTo"/>
        <c:crossAx val="133325184"/>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Calculations!$C$13:$G$13</c:f>
              <c:numCache>
                <c:formatCode>_(* #,##0.00_);_(* \(#,##0.00\);_(* "–"???_);_(* @_)</c:formatCode>
                <c:ptCount val="5"/>
                <c:pt idx="0">
                  <c:v>34510.82</c:v>
                </c:pt>
                <c:pt idx="1">
                  <c:v>34887.584000000003</c:v>
                </c:pt>
                <c:pt idx="2">
                  <c:v>34792.983999999997</c:v>
                </c:pt>
                <c:pt idx="3">
                  <c:v>33977.296000000002</c:v>
                </c:pt>
                <c:pt idx="4">
                  <c:v>32480.628000000001</c:v>
                </c:pt>
              </c:numCache>
            </c:numRef>
          </c:val>
          <c:smooth val="0"/>
          <c:extLst>
            <c:ext xmlns:c16="http://schemas.microsoft.com/office/drawing/2014/chart" uri="{C3380CC4-5D6E-409C-BE32-E72D297353CC}">
              <c16:uniqueId val="{00000000-9879-4413-B00A-D1CAD1140D62}"/>
            </c:ext>
          </c:extLst>
        </c:ser>
        <c:dLbls>
          <c:showLegendKey val="0"/>
          <c:showVal val="0"/>
          <c:showCatName val="0"/>
          <c:showSerName val="0"/>
          <c:showPercent val="0"/>
          <c:showBubbleSize val="0"/>
        </c:dLbls>
        <c:smooth val="0"/>
        <c:axId val="133342336"/>
        <c:axId val="133343872"/>
      </c:lineChart>
      <c:catAx>
        <c:axId val="133342336"/>
        <c:scaling>
          <c:orientation val="minMax"/>
        </c:scaling>
        <c:delete val="1"/>
        <c:axPos val="b"/>
        <c:majorTickMark val="out"/>
        <c:minorTickMark val="none"/>
        <c:tickLblPos val="nextTo"/>
        <c:crossAx val="133343872"/>
        <c:crosses val="autoZero"/>
        <c:auto val="1"/>
        <c:lblAlgn val="ctr"/>
        <c:lblOffset val="100"/>
        <c:noMultiLvlLbl val="0"/>
      </c:catAx>
      <c:valAx>
        <c:axId val="133343872"/>
        <c:scaling>
          <c:orientation val="minMax"/>
          <c:min val="0"/>
        </c:scaling>
        <c:delete val="1"/>
        <c:axPos val="l"/>
        <c:numFmt formatCode="_(* #,##0.00_);_(* \(#,##0.00\);_(* &quot;–&quot;???_);_(* @_)" sourceLinked="1"/>
        <c:majorTickMark val="out"/>
        <c:minorTickMark val="none"/>
        <c:tickLblPos val="nextTo"/>
        <c:crossAx val="13334233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Calculations!$C$14:$G$14</c:f>
              <c:numCache>
                <c:formatCode>_(* #,##0.00_);_(* \(#,##0.00\);_(* "–"???_);_(* @_)</c:formatCode>
                <c:ptCount val="5"/>
                <c:pt idx="0">
                  <c:v>152.05501562500001</c:v>
                </c:pt>
                <c:pt idx="1">
                  <c:v>145.04053124999999</c:v>
                </c:pt>
                <c:pt idx="2">
                  <c:v>146.842234375</c:v>
                </c:pt>
                <c:pt idx="3">
                  <c:v>144.721953125</c:v>
                </c:pt>
                <c:pt idx="4">
                  <c:v>137.59284374999999</c:v>
                </c:pt>
              </c:numCache>
            </c:numRef>
          </c:val>
          <c:smooth val="0"/>
          <c:extLst>
            <c:ext xmlns:c16="http://schemas.microsoft.com/office/drawing/2014/chart" uri="{C3380CC4-5D6E-409C-BE32-E72D297353CC}">
              <c16:uniqueId val="{00000000-4304-40DF-8FB8-F18938FDAC3F}"/>
            </c:ext>
          </c:extLst>
        </c:ser>
        <c:dLbls>
          <c:showLegendKey val="0"/>
          <c:showVal val="0"/>
          <c:showCatName val="0"/>
          <c:showSerName val="0"/>
          <c:showPercent val="0"/>
          <c:showBubbleSize val="0"/>
        </c:dLbls>
        <c:smooth val="0"/>
        <c:axId val="133379968"/>
        <c:axId val="133381504"/>
      </c:lineChart>
      <c:catAx>
        <c:axId val="133379968"/>
        <c:scaling>
          <c:orientation val="minMax"/>
        </c:scaling>
        <c:delete val="1"/>
        <c:axPos val="b"/>
        <c:majorTickMark val="out"/>
        <c:minorTickMark val="none"/>
        <c:tickLblPos val="nextTo"/>
        <c:crossAx val="133381504"/>
        <c:crosses val="autoZero"/>
        <c:auto val="1"/>
        <c:lblAlgn val="ctr"/>
        <c:lblOffset val="100"/>
        <c:noMultiLvlLbl val="0"/>
      </c:catAx>
      <c:valAx>
        <c:axId val="133381504"/>
        <c:scaling>
          <c:orientation val="minMax"/>
          <c:min val="0"/>
        </c:scaling>
        <c:delete val="1"/>
        <c:axPos val="l"/>
        <c:numFmt formatCode="_(* #,##0.00_);_(* \(#,##0.00\);_(* &quot;–&quot;???_);_(* @_)" sourceLinked="1"/>
        <c:majorTickMark val="out"/>
        <c:minorTickMark val="none"/>
        <c:tickLblPos val="nextTo"/>
        <c:crossAx val="133379968"/>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
          <c:y val="0"/>
          <c:w val="1"/>
          <c:h val="1"/>
        </c:manualLayout>
      </c:layout>
      <c:lineChart>
        <c:grouping val="standard"/>
        <c:varyColors val="0"/>
        <c:ser>
          <c:idx val="1"/>
          <c:order val="0"/>
          <c:tx>
            <c:v>Series1</c:v>
          </c:tx>
          <c:spPr>
            <a:ln w="19050">
              <a:solidFill>
                <a:srgbClr val="968F58"/>
              </a:solidFill>
            </a:ln>
          </c:spPr>
          <c:marker>
            <c:symbol val="none"/>
          </c:marker>
          <c:val>
            <c:numRef>
              <c:f>Calculations!$C$17:$G$17</c:f>
              <c:numCache>
                <c:formatCode>_(* #,##0.00_);_(* \(#,##0.00\);_(* "–"???_);_(* @_)</c:formatCode>
                <c:ptCount val="5"/>
                <c:pt idx="0">
                  <c:v>0.77899813652038574</c:v>
                </c:pt>
                <c:pt idx="1">
                  <c:v>0.7967643141746521</c:v>
                </c:pt>
                <c:pt idx="2">
                  <c:v>0.82542318105697632</c:v>
                </c:pt>
                <c:pt idx="3">
                  <c:v>0.79320085048675537</c:v>
                </c:pt>
                <c:pt idx="4">
                  <c:v>0.79510533809661865</c:v>
                </c:pt>
              </c:numCache>
            </c:numRef>
          </c:val>
          <c:smooth val="0"/>
          <c:extLst>
            <c:ext xmlns:c16="http://schemas.microsoft.com/office/drawing/2014/chart" uri="{C3380CC4-5D6E-409C-BE32-E72D297353CC}">
              <c16:uniqueId val="{00000000-F243-4D6F-8578-B3CE47CC9985}"/>
            </c:ext>
          </c:extLst>
        </c:ser>
        <c:dLbls>
          <c:showLegendKey val="0"/>
          <c:showVal val="0"/>
          <c:showCatName val="0"/>
          <c:showSerName val="0"/>
          <c:showPercent val="0"/>
          <c:showBubbleSize val="0"/>
        </c:dLbls>
        <c:smooth val="0"/>
        <c:axId val="133421312"/>
        <c:axId val="133427200"/>
      </c:lineChart>
      <c:catAx>
        <c:axId val="133421312"/>
        <c:scaling>
          <c:orientation val="minMax"/>
        </c:scaling>
        <c:delete val="1"/>
        <c:axPos val="b"/>
        <c:majorTickMark val="out"/>
        <c:minorTickMark val="none"/>
        <c:tickLblPos val="nextTo"/>
        <c:crossAx val="133427200"/>
        <c:crosses val="autoZero"/>
        <c:auto val="1"/>
        <c:lblAlgn val="ctr"/>
        <c:lblOffset val="100"/>
        <c:noMultiLvlLbl val="0"/>
      </c:catAx>
      <c:valAx>
        <c:axId val="133427200"/>
        <c:scaling>
          <c:orientation val="minMax"/>
          <c:min val="0"/>
        </c:scaling>
        <c:delete val="1"/>
        <c:axPos val="l"/>
        <c:numFmt formatCode="_(* #,##0.00_);_(* \(#,##0.00\);_(* &quot;–&quot;???_);_(* @_)" sourceLinked="1"/>
        <c:majorTickMark val="out"/>
        <c:minorTickMark val="none"/>
        <c:tickLblPos val="nextTo"/>
        <c:crossAx val="13342131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6.xml"/><Relationship Id="rId50" Type="http://schemas.openxmlformats.org/officeDocument/2006/relationships/chart" Target="../charts/chart48.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image" Target="../media/image3.png"/><Relationship Id="rId53" Type="http://schemas.openxmlformats.org/officeDocument/2006/relationships/chart" Target="../charts/chart51.xml"/><Relationship Id="rId5" Type="http://schemas.openxmlformats.org/officeDocument/2006/relationships/chart" Target="../charts/chart5.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image" Target="../media/image4.emf"/><Relationship Id="rId8" Type="http://schemas.openxmlformats.org/officeDocument/2006/relationships/chart" Target="../charts/chart8.xml"/><Relationship Id="rId51" Type="http://schemas.openxmlformats.org/officeDocument/2006/relationships/chart" Target="../charts/chart49.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5.xml"/><Relationship Id="rId20" Type="http://schemas.openxmlformats.org/officeDocument/2006/relationships/chart" Target="../charts/chart20.xml"/><Relationship Id="rId41" Type="http://schemas.openxmlformats.org/officeDocument/2006/relationships/chart" Target="../charts/chart41.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7.xml"/></Relationships>
</file>

<file path=xl/drawings/_rels/drawing3.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chart" Target="../charts/chart54.xml"/><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1970985</xdr:rowOff>
    </xdr:from>
    <xdr:to>
      <xdr:col>4</xdr:col>
      <xdr:colOff>0</xdr:colOff>
      <xdr:row>15</xdr:row>
      <xdr:rowOff>3813</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61485"/>
          <a:ext cx="8982075" cy="32811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295292</xdr:colOff>
      <xdr:row>1</xdr:row>
      <xdr:rowOff>0</xdr:rowOff>
    </xdr:from>
    <xdr:to>
      <xdr:col>1</xdr:col>
      <xdr:colOff>860727</xdr:colOff>
      <xdr:row>1</xdr:row>
      <xdr:rowOff>705600</xdr:rowOff>
    </xdr:to>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292" y="190500"/>
          <a:ext cx="2337085" cy="705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17</xdr:col>
      <xdr:colOff>0</xdr:colOff>
      <xdr:row>3</xdr:row>
      <xdr:rowOff>190499</xdr:rowOff>
    </xdr:from>
    <xdr:to>
      <xdr:col>33</xdr:col>
      <xdr:colOff>14400</xdr:colOff>
      <xdr:row>11</xdr:row>
      <xdr:rowOff>106499</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212506</xdr:colOff>
      <xdr:row>5</xdr:row>
      <xdr:rowOff>214313</xdr:rowOff>
    </xdr:from>
    <xdr:to>
      <xdr:col>13</xdr:col>
      <xdr:colOff>189502</xdr:colOff>
      <xdr:row>7</xdr:row>
      <xdr:rowOff>17861</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212506</xdr:colOff>
      <xdr:row>6</xdr:row>
      <xdr:rowOff>214313</xdr:rowOff>
    </xdr:from>
    <xdr:to>
      <xdr:col>13</xdr:col>
      <xdr:colOff>189502</xdr:colOff>
      <xdr:row>8</xdr:row>
      <xdr:rowOff>17861</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212506</xdr:colOff>
      <xdr:row>8</xdr:row>
      <xdr:rowOff>4762</xdr:rowOff>
    </xdr:from>
    <xdr:to>
      <xdr:col>13</xdr:col>
      <xdr:colOff>189502</xdr:colOff>
      <xdr:row>9</xdr:row>
      <xdr:rowOff>17860</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212506</xdr:colOff>
      <xdr:row>8</xdr:row>
      <xdr:rowOff>214312</xdr:rowOff>
    </xdr:from>
    <xdr:to>
      <xdr:col>13</xdr:col>
      <xdr:colOff>189502</xdr:colOff>
      <xdr:row>10</xdr:row>
      <xdr:rowOff>17860</xdr:rowOff>
    </xdr:to>
    <xdr:graphicFrame macro="">
      <xdr:nvGraphicFramePr>
        <xdr:cNvPr id="7" name="Chart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212506</xdr:colOff>
      <xdr:row>9</xdr:row>
      <xdr:rowOff>214313</xdr:rowOff>
    </xdr:from>
    <xdr:to>
      <xdr:col>13</xdr:col>
      <xdr:colOff>189502</xdr:colOff>
      <xdr:row>11</xdr:row>
      <xdr:rowOff>17861</xdr:rowOff>
    </xdr:to>
    <xdr:graphicFrame macro="">
      <xdr:nvGraphicFramePr>
        <xdr:cNvPr id="8" name="Chart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212506</xdr:colOff>
      <xdr:row>11</xdr:row>
      <xdr:rowOff>24848</xdr:rowOff>
    </xdr:from>
    <xdr:to>
      <xdr:col>13</xdr:col>
      <xdr:colOff>189502</xdr:colOff>
      <xdr:row>12</xdr:row>
      <xdr:rowOff>17861</xdr:rowOff>
    </xdr:to>
    <xdr:graphicFrame macro="">
      <xdr:nvGraphicFramePr>
        <xdr:cNvPr id="9" name="Chart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212506</xdr:colOff>
      <xdr:row>11</xdr:row>
      <xdr:rowOff>214313</xdr:rowOff>
    </xdr:from>
    <xdr:to>
      <xdr:col>13</xdr:col>
      <xdr:colOff>189502</xdr:colOff>
      <xdr:row>13</xdr:row>
      <xdr:rowOff>17861</xdr:rowOff>
    </xdr:to>
    <xdr:graphicFrame macro="">
      <xdr:nvGraphicFramePr>
        <xdr:cNvPr id="10" name="Chart 9">
          <a:extLst>
            <a:ext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212506</xdr:colOff>
      <xdr:row>13</xdr:row>
      <xdr:rowOff>24848</xdr:rowOff>
    </xdr:from>
    <xdr:to>
      <xdr:col>13</xdr:col>
      <xdr:colOff>189502</xdr:colOff>
      <xdr:row>14</xdr:row>
      <xdr:rowOff>17860</xdr:rowOff>
    </xdr:to>
    <xdr:graphicFrame macro="">
      <xdr:nvGraphicFramePr>
        <xdr:cNvPr id="11" name="Chart 10">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212506</xdr:colOff>
      <xdr:row>13</xdr:row>
      <xdr:rowOff>214312</xdr:rowOff>
    </xdr:from>
    <xdr:to>
      <xdr:col>13</xdr:col>
      <xdr:colOff>189502</xdr:colOff>
      <xdr:row>15</xdr:row>
      <xdr:rowOff>17860</xdr:rowOff>
    </xdr:to>
    <xdr:graphicFrame macro="">
      <xdr:nvGraphicFramePr>
        <xdr:cNvPr id="12" name="Chart 11">
          <a:extLst>
            <a:ext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212506</xdr:colOff>
      <xdr:row>14</xdr:row>
      <xdr:rowOff>214313</xdr:rowOff>
    </xdr:from>
    <xdr:to>
      <xdr:col>13</xdr:col>
      <xdr:colOff>189502</xdr:colOff>
      <xdr:row>16</xdr:row>
      <xdr:rowOff>17861</xdr:rowOff>
    </xdr:to>
    <xdr:graphicFrame macro="">
      <xdr:nvGraphicFramePr>
        <xdr:cNvPr id="13" name="Chart 12">
          <a:extLst>
            <a:ext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212506</xdr:colOff>
      <xdr:row>20</xdr:row>
      <xdr:rowOff>4762</xdr:rowOff>
    </xdr:from>
    <xdr:to>
      <xdr:col>12</xdr:col>
      <xdr:colOff>189502</xdr:colOff>
      <xdr:row>21</xdr:row>
      <xdr:rowOff>17860</xdr:rowOff>
    </xdr:to>
    <xdr:graphicFrame macro="">
      <xdr:nvGraphicFramePr>
        <xdr:cNvPr id="15" name="Chart 14">
          <a:extLst>
            <a:ext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212506</xdr:colOff>
      <xdr:row>18</xdr:row>
      <xdr:rowOff>80010</xdr:rowOff>
    </xdr:from>
    <xdr:to>
      <xdr:col>13</xdr:col>
      <xdr:colOff>189502</xdr:colOff>
      <xdr:row>19</xdr:row>
      <xdr:rowOff>17861</xdr:rowOff>
    </xdr:to>
    <xdr:graphicFrame macro="">
      <xdr:nvGraphicFramePr>
        <xdr:cNvPr id="16" name="Chart 15">
          <a:extLst>
            <a:ext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212506</xdr:colOff>
      <xdr:row>4</xdr:row>
      <xdr:rowOff>185738</xdr:rowOff>
    </xdr:from>
    <xdr:to>
      <xdr:col>13</xdr:col>
      <xdr:colOff>189502</xdr:colOff>
      <xdr:row>6</xdr:row>
      <xdr:rowOff>17861</xdr:rowOff>
    </xdr:to>
    <xdr:graphicFrame macro="">
      <xdr:nvGraphicFramePr>
        <xdr:cNvPr id="17" name="Chart 16">
          <a:extLst>
            <a:ext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0</xdr:colOff>
      <xdr:row>28</xdr:row>
      <xdr:rowOff>1453</xdr:rowOff>
    </xdr:from>
    <xdr:to>
      <xdr:col>33</xdr:col>
      <xdr:colOff>14400</xdr:colOff>
      <xdr:row>35</xdr:row>
      <xdr:rowOff>106499</xdr:rowOff>
    </xdr:to>
    <xdr:graphicFrame macro="">
      <xdr:nvGraphicFramePr>
        <xdr:cNvPr id="18" name="Chart 17">
          <a:extLst>
            <a:ext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28</xdr:col>
      <xdr:colOff>1596</xdr:colOff>
      <xdr:row>17</xdr:row>
      <xdr:rowOff>189438</xdr:rowOff>
    </xdr:from>
    <xdr:to>
      <xdr:col>30</xdr:col>
      <xdr:colOff>207192</xdr:colOff>
      <xdr:row>19</xdr:row>
      <xdr:rowOff>9213</xdr:rowOff>
    </xdr:to>
    <xdr:graphicFrame macro="">
      <xdr:nvGraphicFramePr>
        <xdr:cNvPr id="19" name="Chart 18">
          <a:extLst>
            <a:ext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28</xdr:col>
      <xdr:colOff>1596</xdr:colOff>
      <xdr:row>18</xdr:row>
      <xdr:rowOff>189438</xdr:rowOff>
    </xdr:from>
    <xdr:to>
      <xdr:col>30</xdr:col>
      <xdr:colOff>207192</xdr:colOff>
      <xdr:row>20</xdr:row>
      <xdr:rowOff>9213</xdr:rowOff>
    </xdr:to>
    <xdr:graphicFrame macro="">
      <xdr:nvGraphicFramePr>
        <xdr:cNvPr id="20" name="Chart 19">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1596</xdr:colOff>
      <xdr:row>19</xdr:row>
      <xdr:rowOff>189438</xdr:rowOff>
    </xdr:from>
    <xdr:to>
      <xdr:col>30</xdr:col>
      <xdr:colOff>207192</xdr:colOff>
      <xdr:row>21</xdr:row>
      <xdr:rowOff>9213</xdr:rowOff>
    </xdr:to>
    <xdr:graphicFrame macro="">
      <xdr:nvGraphicFramePr>
        <xdr:cNvPr id="21" name="Chart 20">
          <a:extLst>
            <a:ext uri="{FF2B5EF4-FFF2-40B4-BE49-F238E27FC236}">
              <a16:creationId xmlns:a16="http://schemas.microsoft.com/office/drawing/2014/main" id="{00000000-0008-0000-0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1596</xdr:colOff>
      <xdr:row>20</xdr:row>
      <xdr:rowOff>189438</xdr:rowOff>
    </xdr:from>
    <xdr:to>
      <xdr:col>30</xdr:col>
      <xdr:colOff>207192</xdr:colOff>
      <xdr:row>22</xdr:row>
      <xdr:rowOff>9213</xdr:rowOff>
    </xdr:to>
    <xdr:graphicFrame macro="">
      <xdr:nvGraphicFramePr>
        <xdr:cNvPr id="22" name="Chart 21">
          <a:extLst>
            <a:ext uri="{FF2B5EF4-FFF2-40B4-BE49-F238E27FC236}">
              <a16:creationId xmlns:a16="http://schemas.microsoft.com/office/drawing/2014/main" id="{00000000-0008-0000-02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1596</xdr:colOff>
      <xdr:row>21</xdr:row>
      <xdr:rowOff>189438</xdr:rowOff>
    </xdr:from>
    <xdr:to>
      <xdr:col>30</xdr:col>
      <xdr:colOff>207192</xdr:colOff>
      <xdr:row>23</xdr:row>
      <xdr:rowOff>9213</xdr:rowOff>
    </xdr:to>
    <xdr:graphicFrame macro="">
      <xdr:nvGraphicFramePr>
        <xdr:cNvPr id="23" name="Chart 22">
          <a:extLst>
            <a:ext uri="{FF2B5EF4-FFF2-40B4-BE49-F238E27FC236}">
              <a16:creationId xmlns:a16="http://schemas.microsoft.com/office/drawing/2014/main" id="{00000000-0008-0000-02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1596</xdr:colOff>
      <xdr:row>22</xdr:row>
      <xdr:rowOff>189438</xdr:rowOff>
    </xdr:from>
    <xdr:to>
      <xdr:col>30</xdr:col>
      <xdr:colOff>207192</xdr:colOff>
      <xdr:row>24</xdr:row>
      <xdr:rowOff>9213</xdr:rowOff>
    </xdr:to>
    <xdr:graphicFrame macro="">
      <xdr:nvGraphicFramePr>
        <xdr:cNvPr id="24" name="Chart 23">
          <a:extLst>
            <a:ext uri="{FF2B5EF4-FFF2-40B4-BE49-F238E27FC236}">
              <a16:creationId xmlns:a16="http://schemas.microsoft.com/office/drawing/2014/main" id="{00000000-0008-0000-02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28</xdr:col>
      <xdr:colOff>1596</xdr:colOff>
      <xdr:row>23</xdr:row>
      <xdr:rowOff>189438</xdr:rowOff>
    </xdr:from>
    <xdr:to>
      <xdr:col>30</xdr:col>
      <xdr:colOff>207192</xdr:colOff>
      <xdr:row>25</xdr:row>
      <xdr:rowOff>9213</xdr:rowOff>
    </xdr:to>
    <xdr:graphicFrame macro="">
      <xdr:nvGraphicFramePr>
        <xdr:cNvPr id="25" name="Chart 24">
          <a:extLst>
            <a:ext uri="{FF2B5EF4-FFF2-40B4-BE49-F238E27FC236}">
              <a16:creationId xmlns:a16="http://schemas.microsoft.com/office/drawing/2014/main" id="{00000000-0008-0000-02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10</xdr:col>
      <xdr:colOff>212506</xdr:colOff>
      <xdr:row>15</xdr:row>
      <xdr:rowOff>214313</xdr:rowOff>
    </xdr:from>
    <xdr:to>
      <xdr:col>13</xdr:col>
      <xdr:colOff>189502</xdr:colOff>
      <xdr:row>17</xdr:row>
      <xdr:rowOff>17861</xdr:rowOff>
    </xdr:to>
    <xdr:graphicFrame macro="">
      <xdr:nvGraphicFramePr>
        <xdr:cNvPr id="26" name="Chart 25">
          <a:extLst>
            <a:ext uri="{FF2B5EF4-FFF2-40B4-BE49-F238E27FC236}">
              <a16:creationId xmlns:a16="http://schemas.microsoft.com/office/drawing/2014/main" id="{00000000-0008-0000-02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38</xdr:col>
      <xdr:colOff>57151</xdr:colOff>
      <xdr:row>15</xdr:row>
      <xdr:rowOff>4762</xdr:rowOff>
    </xdr:from>
    <xdr:to>
      <xdr:col>42</xdr:col>
      <xdr:colOff>638</xdr:colOff>
      <xdr:row>19</xdr:row>
      <xdr:rowOff>95259</xdr:rowOff>
    </xdr:to>
    <xdr:graphicFrame macro="">
      <xdr:nvGraphicFramePr>
        <xdr:cNvPr id="31" name="Chart 30">
          <a:extLst>
            <a:ext uri="{FF2B5EF4-FFF2-40B4-BE49-F238E27FC236}">
              <a16:creationId xmlns:a16="http://schemas.microsoft.com/office/drawing/2014/main" id="{00000000-0008-0000-02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42</xdr:col>
      <xdr:colOff>63501</xdr:colOff>
      <xdr:row>15</xdr:row>
      <xdr:rowOff>4762</xdr:rowOff>
    </xdr:from>
    <xdr:to>
      <xdr:col>46</xdr:col>
      <xdr:colOff>6988</xdr:colOff>
      <xdr:row>19</xdr:row>
      <xdr:rowOff>95259</xdr:rowOff>
    </xdr:to>
    <xdr:graphicFrame macro="">
      <xdr:nvGraphicFramePr>
        <xdr:cNvPr id="32" name="Chart 31">
          <a:extLst>
            <a:ext uri="{FF2B5EF4-FFF2-40B4-BE49-F238E27FC236}">
              <a16:creationId xmlns:a16="http://schemas.microsoft.com/office/drawing/2014/main" id="{00000000-0008-0000-02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46</xdr:col>
      <xdr:colOff>79376</xdr:colOff>
      <xdr:row>15</xdr:row>
      <xdr:rowOff>14287</xdr:rowOff>
    </xdr:from>
    <xdr:to>
      <xdr:col>50</xdr:col>
      <xdr:colOff>22863</xdr:colOff>
      <xdr:row>19</xdr:row>
      <xdr:rowOff>94059</xdr:rowOff>
    </xdr:to>
    <xdr:graphicFrame macro="">
      <xdr:nvGraphicFramePr>
        <xdr:cNvPr id="33" name="Chart 32">
          <a:extLst>
            <a:ext uri="{FF2B5EF4-FFF2-40B4-BE49-F238E27FC236}">
              <a16:creationId xmlns:a16="http://schemas.microsoft.com/office/drawing/2014/main" id="{00000000-0008-0000-02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50</xdr:col>
      <xdr:colOff>49600</xdr:colOff>
      <xdr:row>15</xdr:row>
      <xdr:rowOff>9525</xdr:rowOff>
    </xdr:from>
    <xdr:to>
      <xdr:col>54</xdr:col>
      <xdr:colOff>27384</xdr:colOff>
      <xdr:row>19</xdr:row>
      <xdr:rowOff>100022</xdr:rowOff>
    </xdr:to>
    <xdr:graphicFrame macro="">
      <xdr:nvGraphicFramePr>
        <xdr:cNvPr id="34" name="Chart 33">
          <a:extLst>
            <a:ext uri="{FF2B5EF4-FFF2-40B4-BE49-F238E27FC236}">
              <a16:creationId xmlns:a16="http://schemas.microsoft.com/office/drawing/2014/main" id="{00000000-0008-0000-02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38</xdr:col>
      <xdr:colOff>155300</xdr:colOff>
      <xdr:row>34</xdr:row>
      <xdr:rowOff>19050</xdr:rowOff>
    </xdr:from>
    <xdr:to>
      <xdr:col>41</xdr:col>
      <xdr:colOff>325006</xdr:colOff>
      <xdr:row>38</xdr:row>
      <xdr:rowOff>98822</xdr:rowOff>
    </xdr:to>
    <xdr:graphicFrame macro="">
      <xdr:nvGraphicFramePr>
        <xdr:cNvPr id="37" name="Chart 36">
          <a:extLst>
            <a:ext uri="{FF2B5EF4-FFF2-40B4-BE49-F238E27FC236}">
              <a16:creationId xmlns:a16="http://schemas.microsoft.com/office/drawing/2014/main" id="{00000000-0008-0000-02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42</xdr:col>
      <xdr:colOff>136802</xdr:colOff>
      <xdr:row>34</xdr:row>
      <xdr:rowOff>36858</xdr:rowOff>
    </xdr:from>
    <xdr:to>
      <xdr:col>45</xdr:col>
      <xdr:colOff>306508</xdr:colOff>
      <xdr:row>38</xdr:row>
      <xdr:rowOff>116630</xdr:rowOff>
    </xdr:to>
    <xdr:graphicFrame macro="">
      <xdr:nvGraphicFramePr>
        <xdr:cNvPr id="38" name="Chart 37">
          <a:extLst>
            <a:ext uri="{FF2B5EF4-FFF2-40B4-BE49-F238E27FC236}">
              <a16:creationId xmlns:a16="http://schemas.microsoft.com/office/drawing/2014/main" id="{00000000-0008-0000-02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46</xdr:col>
      <xdr:colOff>69851</xdr:colOff>
      <xdr:row>34</xdr:row>
      <xdr:rowOff>38100</xdr:rowOff>
    </xdr:from>
    <xdr:to>
      <xdr:col>50</xdr:col>
      <xdr:colOff>13338</xdr:colOff>
      <xdr:row>38</xdr:row>
      <xdr:rowOff>117872</xdr:rowOff>
    </xdr:to>
    <xdr:graphicFrame macro="">
      <xdr:nvGraphicFramePr>
        <xdr:cNvPr id="39" name="Chart 38">
          <a:extLst>
            <a:ext uri="{FF2B5EF4-FFF2-40B4-BE49-F238E27FC236}">
              <a16:creationId xmlns:a16="http://schemas.microsoft.com/office/drawing/2014/main" id="{00000000-0008-0000-02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42</xdr:col>
      <xdr:colOff>171864</xdr:colOff>
      <xdr:row>48</xdr:row>
      <xdr:rowOff>217</xdr:rowOff>
    </xdr:from>
    <xdr:to>
      <xdr:col>45</xdr:col>
      <xdr:colOff>302206</xdr:colOff>
      <xdr:row>48</xdr:row>
      <xdr:rowOff>150612</xdr:rowOff>
    </xdr:to>
    <xdr:graphicFrame macro="">
      <xdr:nvGraphicFramePr>
        <xdr:cNvPr id="44" name="Chart 43">
          <a:extLst>
            <a:ext uri="{FF2B5EF4-FFF2-40B4-BE49-F238E27FC236}">
              <a16:creationId xmlns:a16="http://schemas.microsoft.com/office/drawing/2014/main" id="{00000000-0008-0000-02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38</xdr:col>
      <xdr:colOff>190498</xdr:colOff>
      <xdr:row>30</xdr:row>
      <xdr:rowOff>41411</xdr:rowOff>
    </xdr:from>
    <xdr:to>
      <xdr:col>41</xdr:col>
      <xdr:colOff>248478</xdr:colOff>
      <xdr:row>30</xdr:row>
      <xdr:rowOff>188230</xdr:rowOff>
    </xdr:to>
    <xdr:graphicFrame macro="">
      <xdr:nvGraphicFramePr>
        <xdr:cNvPr id="46" name="Chart 45">
          <a:extLst>
            <a:ext uri="{FF2B5EF4-FFF2-40B4-BE49-F238E27FC236}">
              <a16:creationId xmlns:a16="http://schemas.microsoft.com/office/drawing/2014/main" id="{00000000-0008-0000-02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42</xdr:col>
      <xdr:colOff>130452</xdr:colOff>
      <xdr:row>30</xdr:row>
      <xdr:rowOff>21270</xdr:rowOff>
    </xdr:from>
    <xdr:to>
      <xdr:col>45</xdr:col>
      <xdr:colOff>260794</xdr:colOff>
      <xdr:row>30</xdr:row>
      <xdr:rowOff>171665</xdr:rowOff>
    </xdr:to>
    <xdr:graphicFrame macro="">
      <xdr:nvGraphicFramePr>
        <xdr:cNvPr id="47" name="Chart 46">
          <a:extLst>
            <a:ext uri="{FF2B5EF4-FFF2-40B4-BE49-F238E27FC236}">
              <a16:creationId xmlns:a16="http://schemas.microsoft.com/office/drawing/2014/main" id="{00000000-0008-0000-02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46</xdr:col>
      <xdr:colOff>31060</xdr:colOff>
      <xdr:row>30</xdr:row>
      <xdr:rowOff>8282</xdr:rowOff>
    </xdr:from>
    <xdr:to>
      <xdr:col>49</xdr:col>
      <xdr:colOff>170926</xdr:colOff>
      <xdr:row>30</xdr:row>
      <xdr:rowOff>176427</xdr:rowOff>
    </xdr:to>
    <xdr:graphicFrame macro="">
      <xdr:nvGraphicFramePr>
        <xdr:cNvPr id="48" name="Chart 47">
          <a:extLst>
            <a:ext uri="{FF2B5EF4-FFF2-40B4-BE49-F238E27FC236}">
              <a16:creationId xmlns:a16="http://schemas.microsoft.com/office/drawing/2014/main" id="{00000000-0008-0000-02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27</xdr:col>
      <xdr:colOff>231913</xdr:colOff>
      <xdr:row>41</xdr:row>
      <xdr:rowOff>190500</xdr:rowOff>
    </xdr:from>
    <xdr:to>
      <xdr:col>30</xdr:col>
      <xdr:colOff>208908</xdr:colOff>
      <xdr:row>43</xdr:row>
      <xdr:rowOff>10275</xdr:rowOff>
    </xdr:to>
    <xdr:graphicFrame macro="">
      <xdr:nvGraphicFramePr>
        <xdr:cNvPr id="49" name="Chart 48">
          <a:extLst>
            <a:ext uri="{FF2B5EF4-FFF2-40B4-BE49-F238E27FC236}">
              <a16:creationId xmlns:a16="http://schemas.microsoft.com/office/drawing/2014/main" id="{00000000-0008-0000-02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27</xdr:col>
      <xdr:colOff>231913</xdr:colOff>
      <xdr:row>42</xdr:row>
      <xdr:rowOff>190500</xdr:rowOff>
    </xdr:from>
    <xdr:to>
      <xdr:col>30</xdr:col>
      <xdr:colOff>208908</xdr:colOff>
      <xdr:row>44</xdr:row>
      <xdr:rowOff>10275</xdr:rowOff>
    </xdr:to>
    <xdr:graphicFrame macro="">
      <xdr:nvGraphicFramePr>
        <xdr:cNvPr id="50" name="Chart 49">
          <a:extLst>
            <a:ext uri="{FF2B5EF4-FFF2-40B4-BE49-F238E27FC236}">
              <a16:creationId xmlns:a16="http://schemas.microsoft.com/office/drawing/2014/main" id="{00000000-0008-0000-02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27</xdr:col>
      <xdr:colOff>231913</xdr:colOff>
      <xdr:row>43</xdr:row>
      <xdr:rowOff>190500</xdr:rowOff>
    </xdr:from>
    <xdr:to>
      <xdr:col>30</xdr:col>
      <xdr:colOff>208908</xdr:colOff>
      <xdr:row>45</xdr:row>
      <xdr:rowOff>10275</xdr:rowOff>
    </xdr:to>
    <xdr:graphicFrame macro="">
      <xdr:nvGraphicFramePr>
        <xdr:cNvPr id="51" name="Chart 50">
          <a:extLst>
            <a:ext uri="{FF2B5EF4-FFF2-40B4-BE49-F238E27FC236}">
              <a16:creationId xmlns:a16="http://schemas.microsoft.com/office/drawing/2014/main" id="{00000000-0008-0000-02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27</xdr:col>
      <xdr:colOff>231913</xdr:colOff>
      <xdr:row>44</xdr:row>
      <xdr:rowOff>190500</xdr:rowOff>
    </xdr:from>
    <xdr:to>
      <xdr:col>30</xdr:col>
      <xdr:colOff>208908</xdr:colOff>
      <xdr:row>46</xdr:row>
      <xdr:rowOff>10275</xdr:rowOff>
    </xdr:to>
    <xdr:graphicFrame macro="">
      <xdr:nvGraphicFramePr>
        <xdr:cNvPr id="52" name="Chart 51">
          <a:extLst>
            <a:ext uri="{FF2B5EF4-FFF2-40B4-BE49-F238E27FC236}">
              <a16:creationId xmlns:a16="http://schemas.microsoft.com/office/drawing/2014/main" id="{00000000-0008-0000-02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27</xdr:col>
      <xdr:colOff>231913</xdr:colOff>
      <xdr:row>45</xdr:row>
      <xdr:rowOff>190500</xdr:rowOff>
    </xdr:from>
    <xdr:to>
      <xdr:col>30</xdr:col>
      <xdr:colOff>208908</xdr:colOff>
      <xdr:row>47</xdr:row>
      <xdr:rowOff>10275</xdr:rowOff>
    </xdr:to>
    <xdr:graphicFrame macro="">
      <xdr:nvGraphicFramePr>
        <xdr:cNvPr id="53" name="Chart 52">
          <a:extLst>
            <a:ext uri="{FF2B5EF4-FFF2-40B4-BE49-F238E27FC236}">
              <a16:creationId xmlns:a16="http://schemas.microsoft.com/office/drawing/2014/main" id="{00000000-0008-0000-02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27</xdr:col>
      <xdr:colOff>231913</xdr:colOff>
      <xdr:row>45</xdr:row>
      <xdr:rowOff>190500</xdr:rowOff>
    </xdr:from>
    <xdr:to>
      <xdr:col>30</xdr:col>
      <xdr:colOff>208908</xdr:colOff>
      <xdr:row>47</xdr:row>
      <xdr:rowOff>10275</xdr:rowOff>
    </xdr:to>
    <xdr:graphicFrame macro="">
      <xdr:nvGraphicFramePr>
        <xdr:cNvPr id="54" name="Chart 53">
          <a:extLst>
            <a:ext uri="{FF2B5EF4-FFF2-40B4-BE49-F238E27FC236}">
              <a16:creationId xmlns:a16="http://schemas.microsoft.com/office/drawing/2014/main" id="{00000000-0008-0000-02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27</xdr:col>
      <xdr:colOff>231913</xdr:colOff>
      <xdr:row>46</xdr:row>
      <xdr:rowOff>190500</xdr:rowOff>
    </xdr:from>
    <xdr:to>
      <xdr:col>30</xdr:col>
      <xdr:colOff>208908</xdr:colOff>
      <xdr:row>48</xdr:row>
      <xdr:rowOff>10275</xdr:rowOff>
    </xdr:to>
    <xdr:graphicFrame macro="">
      <xdr:nvGraphicFramePr>
        <xdr:cNvPr id="55" name="Chart 54">
          <a:extLst>
            <a:ext uri="{FF2B5EF4-FFF2-40B4-BE49-F238E27FC236}">
              <a16:creationId xmlns:a16="http://schemas.microsoft.com/office/drawing/2014/main" id="{00000000-0008-0000-02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11</xdr:col>
      <xdr:colOff>0</xdr:colOff>
      <xdr:row>16</xdr:row>
      <xdr:rowOff>190500</xdr:rowOff>
    </xdr:from>
    <xdr:to>
      <xdr:col>13</xdr:col>
      <xdr:colOff>208909</xdr:colOff>
      <xdr:row>18</xdr:row>
      <xdr:rowOff>22623</xdr:rowOff>
    </xdr:to>
    <xdr:graphicFrame macro="">
      <xdr:nvGraphicFramePr>
        <xdr:cNvPr id="56" name="Chart 55">
          <a:extLst>
            <a:ext uri="{FF2B5EF4-FFF2-40B4-BE49-F238E27FC236}">
              <a16:creationId xmlns:a16="http://schemas.microsoft.com/office/drawing/2014/main" id="{00000000-0008-0000-02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28</xdr:col>
      <xdr:colOff>13667</xdr:colOff>
      <xdr:row>25</xdr:row>
      <xdr:rowOff>0</xdr:rowOff>
    </xdr:from>
    <xdr:to>
      <xdr:col>30</xdr:col>
      <xdr:colOff>219263</xdr:colOff>
      <xdr:row>26</xdr:row>
      <xdr:rowOff>10275</xdr:rowOff>
    </xdr:to>
    <xdr:graphicFrame macro="">
      <xdr:nvGraphicFramePr>
        <xdr:cNvPr id="60" name="Chart 59">
          <a:extLst>
            <a:ext uri="{FF2B5EF4-FFF2-40B4-BE49-F238E27FC236}">
              <a16:creationId xmlns:a16="http://schemas.microsoft.com/office/drawing/2014/main" id="{00000000-0008-0000-02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28</xdr:col>
      <xdr:colOff>0</xdr:colOff>
      <xdr:row>47</xdr:row>
      <xdr:rowOff>157369</xdr:rowOff>
    </xdr:from>
    <xdr:to>
      <xdr:col>30</xdr:col>
      <xdr:colOff>208908</xdr:colOff>
      <xdr:row>48</xdr:row>
      <xdr:rowOff>167644</xdr:rowOff>
    </xdr:to>
    <xdr:graphicFrame macro="">
      <xdr:nvGraphicFramePr>
        <xdr:cNvPr id="61" name="Chart 60">
          <a:extLst>
            <a:ext uri="{FF2B5EF4-FFF2-40B4-BE49-F238E27FC236}">
              <a16:creationId xmlns:a16="http://schemas.microsoft.com/office/drawing/2014/main" id="{00000000-0008-0000-02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14</xdr:col>
      <xdr:colOff>24847</xdr:colOff>
      <xdr:row>0</xdr:row>
      <xdr:rowOff>33133</xdr:rowOff>
    </xdr:from>
    <xdr:to>
      <xdr:col>21</xdr:col>
      <xdr:colOff>28575</xdr:colOff>
      <xdr:row>1</xdr:row>
      <xdr:rowOff>314740</xdr:rowOff>
    </xdr:to>
    <xdr:sp macro="" textlink="">
      <xdr:nvSpPr>
        <xdr:cNvPr id="62" name="Left Arrow 61">
          <a:extLst>
            <a:ext uri="{FF2B5EF4-FFF2-40B4-BE49-F238E27FC236}">
              <a16:creationId xmlns:a16="http://schemas.microsoft.com/office/drawing/2014/main" id="{00000000-0008-0000-0200-00003E000000}"/>
            </a:ext>
          </a:extLst>
        </xdr:cNvPr>
        <xdr:cNvSpPr/>
      </xdr:nvSpPr>
      <xdr:spPr>
        <a:xfrm>
          <a:off x="3110947" y="33133"/>
          <a:ext cx="1603928" cy="319707"/>
        </a:xfrm>
        <a:prstGeom prst="leftArrow">
          <a:avLst>
            <a:gd name="adj1" fmla="val 57448"/>
            <a:gd name="adj2" fmla="val 50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NZ" sz="800" b="1">
              <a:solidFill>
                <a:sysClr val="windowText" lastClr="000000"/>
              </a:solidFill>
              <a:effectLst/>
              <a:latin typeface="+mn-lt"/>
              <a:ea typeface="+mn-ea"/>
              <a:cs typeface="+mn-cs"/>
            </a:rPr>
            <a:t>drop-down</a:t>
          </a:r>
          <a:r>
            <a:rPr lang="en-NZ" sz="800" b="1" baseline="0">
              <a:solidFill>
                <a:sysClr val="windowText" lastClr="000000"/>
              </a:solidFill>
              <a:effectLst/>
              <a:latin typeface="+mn-lt"/>
              <a:ea typeface="+mn-ea"/>
              <a:cs typeface="+mn-cs"/>
            </a:rPr>
            <a:t> to change company</a:t>
          </a:r>
          <a:endParaRPr lang="en-NZ" sz="800" b="1">
            <a:solidFill>
              <a:sysClr val="windowText" lastClr="000000"/>
            </a:solidFill>
            <a:effectLst/>
          </a:endParaRPr>
        </a:p>
        <a:p>
          <a:pPr algn="l"/>
          <a:endParaRPr lang="en-NZ" sz="900">
            <a:solidFill>
              <a:sysClr val="windowText" lastClr="000000"/>
            </a:solidFill>
          </a:endParaRPr>
        </a:p>
      </xdr:txBody>
    </xdr:sp>
    <xdr:clientData/>
  </xdr:twoCellAnchor>
  <xdr:twoCellAnchor editAs="oneCell">
    <xdr:from>
      <xdr:col>45</xdr:col>
      <xdr:colOff>385609</xdr:colOff>
      <xdr:row>1</xdr:row>
      <xdr:rowOff>33133</xdr:rowOff>
    </xdr:from>
    <xdr:to>
      <xdr:col>53</xdr:col>
      <xdr:colOff>201077</xdr:colOff>
      <xdr:row>3</xdr:row>
      <xdr:rowOff>169796</xdr:rowOff>
    </xdr:to>
    <xdr:pic>
      <xdr:nvPicPr>
        <xdr:cNvPr id="66" name="Picture 65">
          <a:extLst>
            <a:ext uri="{FF2B5EF4-FFF2-40B4-BE49-F238E27FC236}">
              <a16:creationId xmlns:a16="http://schemas.microsoft.com/office/drawing/2014/main" id="{00000000-0008-0000-0200-000042000000}"/>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11161283" y="74546"/>
          <a:ext cx="1864793" cy="567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50</xdr:col>
      <xdr:colOff>8282</xdr:colOff>
      <xdr:row>30</xdr:row>
      <xdr:rowOff>16566</xdr:rowOff>
    </xdr:from>
    <xdr:to>
      <xdr:col>53</xdr:col>
      <xdr:colOff>138623</xdr:colOff>
      <xdr:row>30</xdr:row>
      <xdr:rowOff>166961</xdr:rowOff>
    </xdr:to>
    <xdr:graphicFrame macro="">
      <xdr:nvGraphicFramePr>
        <xdr:cNvPr id="67" name="Chart 66">
          <a:extLst>
            <a:ext uri="{FF2B5EF4-FFF2-40B4-BE49-F238E27FC236}">
              <a16:creationId xmlns:a16="http://schemas.microsoft.com/office/drawing/2014/main" id="{00000000-0008-0000-02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46</xdr:col>
      <xdr:colOff>0</xdr:colOff>
      <xdr:row>48</xdr:row>
      <xdr:rowOff>8283</xdr:rowOff>
    </xdr:from>
    <xdr:to>
      <xdr:col>49</xdr:col>
      <xdr:colOff>130342</xdr:colOff>
      <xdr:row>48</xdr:row>
      <xdr:rowOff>158678</xdr:rowOff>
    </xdr:to>
    <xdr:graphicFrame macro="">
      <xdr:nvGraphicFramePr>
        <xdr:cNvPr id="68" name="Chart 67">
          <a:extLst>
            <a:ext uri="{FF2B5EF4-FFF2-40B4-BE49-F238E27FC236}">
              <a16:creationId xmlns:a16="http://schemas.microsoft.com/office/drawing/2014/main" id="{00000000-0008-0000-02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mc:AlternateContent xmlns:mc="http://schemas.openxmlformats.org/markup-compatibility/2006">
    <mc:Choice xmlns:a14="http://schemas.microsoft.com/office/drawing/2010/main" Requires="a14">
      <xdr:twoCellAnchor editAs="oneCell">
        <xdr:from>
          <xdr:col>49</xdr:col>
          <xdr:colOff>62148</xdr:colOff>
          <xdr:row>4</xdr:row>
          <xdr:rowOff>2116</xdr:rowOff>
        </xdr:from>
        <xdr:to>
          <xdr:col>54</xdr:col>
          <xdr:colOff>9135</xdr:colOff>
          <xdr:row>13</xdr:row>
          <xdr:rowOff>86963</xdr:rowOff>
        </xdr:to>
        <xdr:pic>
          <xdr:nvPicPr>
            <xdr:cNvPr id="79" name="Picture 78">
              <a:extLst>
                <a:ext uri="{FF2B5EF4-FFF2-40B4-BE49-F238E27FC236}">
                  <a16:creationId xmlns:a16="http://schemas.microsoft.com/office/drawing/2014/main" id="{00000000-0008-0000-0200-00004F000000}"/>
                </a:ext>
              </a:extLst>
            </xdr:cNvPr>
            <xdr:cNvPicPr>
              <a:picLocks noChangeAspect="1" noChangeArrowheads="1"/>
              <a:extLst>
                <a:ext uri="{84589F7E-364E-4C9E-8A38-B11213B215E9}">
                  <a14:cameraTool cellRange="maplookup" spid="_x0000_s18107"/>
                </a:ext>
              </a:extLst>
            </xdr:cNvPicPr>
          </xdr:nvPicPr>
          <xdr:blipFill>
            <a:blip xmlns:r="http://schemas.openxmlformats.org/officeDocument/2006/relationships" r:embed="rId48"/>
            <a:srcRect/>
            <a:stretch>
              <a:fillRect/>
            </a:stretch>
          </xdr:blipFill>
          <xdr:spPr bwMode="auto">
            <a:xfrm>
              <a:off x="11153760" y="660093"/>
              <a:ext cx="1085850" cy="1800225"/>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0</xdr:col>
      <xdr:colOff>114299</xdr:colOff>
      <xdr:row>22</xdr:row>
      <xdr:rowOff>0</xdr:rowOff>
    </xdr:from>
    <xdr:to>
      <xdr:col>15</xdr:col>
      <xdr:colOff>201599</xdr:colOff>
      <xdr:row>28</xdr:row>
      <xdr:rowOff>121762</xdr:rowOff>
    </xdr:to>
    <xdr:graphicFrame macro="">
      <xdr:nvGraphicFramePr>
        <xdr:cNvPr id="57" name="Chart 56">
          <a:extLst>
            <a:ext uri="{FF2B5EF4-FFF2-40B4-BE49-F238E27FC236}">
              <a16:creationId xmlns:a16="http://schemas.microsoft.com/office/drawing/2014/main" id="{00000000-0008-0000-02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50</xdr:col>
      <xdr:colOff>66675</xdr:colOff>
      <xdr:row>34</xdr:row>
      <xdr:rowOff>38100</xdr:rowOff>
    </xdr:from>
    <xdr:to>
      <xdr:col>54</xdr:col>
      <xdr:colOff>10162</xdr:colOff>
      <xdr:row>38</xdr:row>
      <xdr:rowOff>117872</xdr:rowOff>
    </xdr:to>
    <xdr:graphicFrame macro="">
      <xdr:nvGraphicFramePr>
        <xdr:cNvPr id="69" name="Chart 68">
          <a:extLst>
            <a:ext uri="{FF2B5EF4-FFF2-40B4-BE49-F238E27FC236}">
              <a16:creationId xmlns:a16="http://schemas.microsoft.com/office/drawing/2014/main" id="{00000000-0008-0000-02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50</xdr:col>
      <xdr:colOff>8283</xdr:colOff>
      <xdr:row>48</xdr:row>
      <xdr:rowOff>8282</xdr:rowOff>
    </xdr:from>
    <xdr:to>
      <xdr:col>53</xdr:col>
      <xdr:colOff>138625</xdr:colOff>
      <xdr:row>48</xdr:row>
      <xdr:rowOff>158677</xdr:rowOff>
    </xdr:to>
    <xdr:graphicFrame macro="">
      <xdr:nvGraphicFramePr>
        <xdr:cNvPr id="70" name="Chart 69">
          <a:extLst>
            <a:ext uri="{FF2B5EF4-FFF2-40B4-BE49-F238E27FC236}">
              <a16:creationId xmlns:a16="http://schemas.microsoft.com/office/drawing/2014/main" id="{00000000-0008-0000-02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0</xdr:col>
      <xdr:colOff>58574</xdr:colOff>
      <xdr:row>32</xdr:row>
      <xdr:rowOff>75488</xdr:rowOff>
    </xdr:from>
    <xdr:to>
      <xdr:col>16</xdr:col>
      <xdr:colOff>124698</xdr:colOff>
      <xdr:row>35</xdr:row>
      <xdr:rowOff>142875</xdr:rowOff>
    </xdr:to>
    <xdr:graphicFrame macro="">
      <xdr:nvGraphicFramePr>
        <xdr:cNvPr id="63" name="Chart 62">
          <a:extLst>
            <a:ext uri="{FF2B5EF4-FFF2-40B4-BE49-F238E27FC236}">
              <a16:creationId xmlns:a16="http://schemas.microsoft.com/office/drawing/2014/main" id="{00000000-0008-0000-02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14</xdr:col>
      <xdr:colOff>216685</xdr:colOff>
      <xdr:row>43</xdr:row>
      <xdr:rowOff>50007</xdr:rowOff>
    </xdr:from>
    <xdr:to>
      <xdr:col>15</xdr:col>
      <xdr:colOff>33804</xdr:colOff>
      <xdr:row>44</xdr:row>
      <xdr:rowOff>157163</xdr:rowOff>
    </xdr:to>
    <xdr:sp macro="" textlink="">
      <xdr:nvSpPr>
        <xdr:cNvPr id="2" name="Right Brace 1">
          <a:extLst>
            <a:ext uri="{FF2B5EF4-FFF2-40B4-BE49-F238E27FC236}">
              <a16:creationId xmlns:a16="http://schemas.microsoft.com/office/drawing/2014/main" id="{00000000-0008-0000-0200-000002000000}"/>
            </a:ext>
          </a:extLst>
        </xdr:cNvPr>
        <xdr:cNvSpPr/>
      </xdr:nvSpPr>
      <xdr:spPr>
        <a:xfrm>
          <a:off x="3302785" y="8136732"/>
          <a:ext cx="45719" cy="297656"/>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NZ" sz="1100"/>
        </a:p>
      </xdr:txBody>
    </xdr:sp>
    <xdr:clientData/>
  </xdr:twoCellAnchor>
  <xdr:twoCellAnchor>
    <xdr:from>
      <xdr:col>38</xdr:col>
      <xdr:colOff>223629</xdr:colOff>
      <xdr:row>48</xdr:row>
      <xdr:rowOff>24846</xdr:rowOff>
    </xdr:from>
    <xdr:to>
      <xdr:col>41</xdr:col>
      <xdr:colOff>273326</xdr:colOff>
      <xdr:row>48</xdr:row>
      <xdr:rowOff>157369</xdr:rowOff>
    </xdr:to>
    <xdr:graphicFrame macro="">
      <xdr:nvGraphicFramePr>
        <xdr:cNvPr id="58" name="Chart 57">
          <a:extLst>
            <a:ext uri="{FF2B5EF4-FFF2-40B4-BE49-F238E27FC236}">
              <a16:creationId xmlns:a16="http://schemas.microsoft.com/office/drawing/2014/main" id="{53EDE926-B4AA-4E0A-AEF4-5A3D718133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183496</xdr:colOff>
      <xdr:row>212</xdr:row>
      <xdr:rowOff>114580</xdr:rowOff>
    </xdr:from>
    <xdr:to>
      <xdr:col>14</xdr:col>
      <xdr:colOff>19687</xdr:colOff>
      <xdr:row>225</xdr:row>
      <xdr:rowOff>158080</xdr:rowOff>
    </xdr:to>
    <xdr:graphicFrame macro="">
      <xdr:nvGraphicFramePr>
        <xdr:cNvPr id="4" name="Chart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317500</xdr:colOff>
      <xdr:row>240</xdr:row>
      <xdr:rowOff>137583</xdr:rowOff>
    </xdr:from>
    <xdr:to>
      <xdr:col>14</xdr:col>
      <xdr:colOff>222250</xdr:colOff>
      <xdr:row>244</xdr:row>
      <xdr:rowOff>137583</xdr:rowOff>
    </xdr:to>
    <xdr:graphicFrame macro="">
      <xdr:nvGraphicFramePr>
        <xdr:cNvPr id="7" name="Chart 6">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xdr:col>
      <xdr:colOff>119063</xdr:colOff>
      <xdr:row>1</xdr:row>
      <xdr:rowOff>348853</xdr:rowOff>
    </xdr:from>
    <xdr:to>
      <xdr:col>7</xdr:col>
      <xdr:colOff>523875</xdr:colOff>
      <xdr:row>2</xdr:row>
      <xdr:rowOff>1228887</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2</xdr:col>
      <xdr:colOff>1350</xdr:colOff>
      <xdr:row>1</xdr:row>
      <xdr:rowOff>8275</xdr:rowOff>
    </xdr:to>
    <xdr:pic>
      <xdr:nvPicPr>
        <xdr:cNvPr id="8" name="Picture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2"/>
        <a:stretch>
          <a:fillRect/>
        </a:stretch>
      </xdr:blipFill>
      <xdr:spPr>
        <a:xfrm>
          <a:off x="1457325" y="0"/>
          <a:ext cx="1087200" cy="1808500"/>
        </a:xfrm>
        <a:prstGeom prst="rect">
          <a:avLst/>
        </a:prstGeom>
      </xdr:spPr>
    </xdr:pic>
    <xdr:clientData/>
  </xdr:twoCellAnchor>
  <xdr:twoCellAnchor editAs="oneCell">
    <xdr:from>
      <xdr:col>1</xdr:col>
      <xdr:colOff>0</xdr:colOff>
      <xdr:row>1</xdr:row>
      <xdr:rowOff>0</xdr:rowOff>
    </xdr:from>
    <xdr:to>
      <xdr:col>1</xdr:col>
      <xdr:colOff>1082236</xdr:colOff>
      <xdr:row>1</xdr:row>
      <xdr:rowOff>1800000</xdr:rowOff>
    </xdr:to>
    <xdr:pic>
      <xdr:nvPicPr>
        <xdr:cNvPr id="9" name="Picture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3"/>
        <a:stretch>
          <a:fillRect/>
        </a:stretch>
      </xdr:blipFill>
      <xdr:spPr>
        <a:xfrm>
          <a:off x="1457325" y="1800225"/>
          <a:ext cx="1082236" cy="1800000"/>
        </a:xfrm>
        <a:prstGeom prst="rect">
          <a:avLst/>
        </a:prstGeom>
      </xdr:spPr>
    </xdr:pic>
    <xdr:clientData/>
  </xdr:twoCellAnchor>
  <xdr:twoCellAnchor editAs="oneCell">
    <xdr:from>
      <xdr:col>1</xdr:col>
      <xdr:colOff>0</xdr:colOff>
      <xdr:row>2</xdr:row>
      <xdr:rowOff>0</xdr:rowOff>
    </xdr:from>
    <xdr:to>
      <xdr:col>1</xdr:col>
      <xdr:colOff>1082236</xdr:colOff>
      <xdr:row>2</xdr:row>
      <xdr:rowOff>1800000</xdr:rowOff>
    </xdr:to>
    <xdr:pic>
      <xdr:nvPicPr>
        <xdr:cNvPr id="10" name="Picture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4"/>
        <a:stretch>
          <a:fillRect/>
        </a:stretch>
      </xdr:blipFill>
      <xdr:spPr>
        <a:xfrm>
          <a:off x="1457325" y="3600450"/>
          <a:ext cx="1082236" cy="1800000"/>
        </a:xfrm>
        <a:prstGeom prst="rect">
          <a:avLst/>
        </a:prstGeom>
      </xdr:spPr>
    </xdr:pic>
    <xdr:clientData/>
  </xdr:twoCellAnchor>
  <xdr:twoCellAnchor editAs="oneCell">
    <xdr:from>
      <xdr:col>1</xdr:col>
      <xdr:colOff>0</xdr:colOff>
      <xdr:row>3</xdr:row>
      <xdr:rowOff>0</xdr:rowOff>
    </xdr:from>
    <xdr:to>
      <xdr:col>1</xdr:col>
      <xdr:colOff>1082236</xdr:colOff>
      <xdr:row>3</xdr:row>
      <xdr:rowOff>1800000</xdr:rowOff>
    </xdr:to>
    <xdr:pic>
      <xdr:nvPicPr>
        <xdr:cNvPr id="11" name="Picture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5"/>
        <a:stretch>
          <a:fillRect/>
        </a:stretch>
      </xdr:blipFill>
      <xdr:spPr>
        <a:xfrm>
          <a:off x="1457325" y="5400675"/>
          <a:ext cx="1082236" cy="1800000"/>
        </a:xfrm>
        <a:prstGeom prst="rect">
          <a:avLst/>
        </a:prstGeom>
      </xdr:spPr>
    </xdr:pic>
    <xdr:clientData/>
  </xdr:twoCellAnchor>
  <xdr:twoCellAnchor editAs="oneCell">
    <xdr:from>
      <xdr:col>1</xdr:col>
      <xdr:colOff>0</xdr:colOff>
      <xdr:row>4</xdr:row>
      <xdr:rowOff>0</xdr:rowOff>
    </xdr:from>
    <xdr:to>
      <xdr:col>1</xdr:col>
      <xdr:colOff>1082236</xdr:colOff>
      <xdr:row>4</xdr:row>
      <xdr:rowOff>1800000</xdr:rowOff>
    </xdr:to>
    <xdr:pic>
      <xdr:nvPicPr>
        <xdr:cNvPr id="12" name="Picture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6"/>
        <a:stretch>
          <a:fillRect/>
        </a:stretch>
      </xdr:blipFill>
      <xdr:spPr>
        <a:xfrm>
          <a:off x="1457325" y="7200900"/>
          <a:ext cx="1082236" cy="1800000"/>
        </a:xfrm>
        <a:prstGeom prst="rect">
          <a:avLst/>
        </a:prstGeom>
      </xdr:spPr>
    </xdr:pic>
    <xdr:clientData/>
  </xdr:twoCellAnchor>
  <xdr:twoCellAnchor editAs="oneCell">
    <xdr:from>
      <xdr:col>1</xdr:col>
      <xdr:colOff>0</xdr:colOff>
      <xdr:row>5</xdr:row>
      <xdr:rowOff>1</xdr:rowOff>
    </xdr:from>
    <xdr:to>
      <xdr:col>1</xdr:col>
      <xdr:colOff>1083600</xdr:colOff>
      <xdr:row>5</xdr:row>
      <xdr:rowOff>1759916</xdr:rowOff>
    </xdr:to>
    <xdr:pic>
      <xdr:nvPicPr>
        <xdr:cNvPr id="15" name="Picture 14">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7"/>
        <a:stretch>
          <a:fillRect/>
        </a:stretch>
      </xdr:blipFill>
      <xdr:spPr>
        <a:xfrm>
          <a:off x="1457325" y="9001126"/>
          <a:ext cx="1083600" cy="1759915"/>
        </a:xfrm>
        <a:prstGeom prst="rect">
          <a:avLst/>
        </a:prstGeom>
      </xdr:spPr>
    </xdr:pic>
    <xdr:clientData/>
  </xdr:twoCellAnchor>
</xdr:wsDr>
</file>

<file path=xl/theme/theme1.xml><?xml version="1.0" encoding="utf-8"?>
<a:theme xmlns:a="http://schemas.openxmlformats.org/drawingml/2006/main" name="Commission Bronze">
  <a:themeElements>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hyperlink" Target="http://www.gasnet.co.nz/" TargetMode="External"/><Relationship Id="rId2" Type="http://schemas.openxmlformats.org/officeDocument/2006/relationships/hyperlink" Target="http://www.vector.co.nz/" TargetMode="External"/><Relationship Id="rId1" Type="http://schemas.openxmlformats.org/officeDocument/2006/relationships/hyperlink" Target="http://www.firstgas.co.nz/" TargetMode="External"/><Relationship Id="rId5" Type="http://schemas.openxmlformats.org/officeDocument/2006/relationships/printerSettings" Target="../printerSettings/printerSettings13.bin"/><Relationship Id="rId4" Type="http://schemas.openxmlformats.org/officeDocument/2006/relationships/hyperlink" Target="http://www.powerco.co.n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comcom.govt.nz/regulated-industries/gas-pipelines/gas-pipelines-performance-and-data/performance-summaries-for-gas-distributors" TargetMode="External"/><Relationship Id="rId2" Type="http://schemas.openxmlformats.org/officeDocument/2006/relationships/hyperlink" Target="https://comcom.govt.nz/regulated-industries/gas-pipelines/gas-pipelines-performance-and-data/information-disclosed-by-gas-pipeline-businesses" TargetMode="External"/><Relationship Id="rId1" Type="http://schemas.openxmlformats.org/officeDocument/2006/relationships/hyperlink" Target="http://comcom.govt.nz/dmsdocument/15556" TargetMode="External"/><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tint="-0.24994659260841701"/>
    <pageSetUpPr fitToPage="1"/>
  </sheetPr>
  <dimension ref="A2:D17"/>
  <sheetViews>
    <sheetView showGridLines="0" tabSelected="1" view="pageBreakPreview" zoomScaleNormal="100" zoomScaleSheetLayoutView="100" workbookViewId="0">
      <selection activeCell="H5" sqref="H5"/>
    </sheetView>
  </sheetViews>
  <sheetFormatPr defaultColWidth="9.1328125" defaultRowHeight="14.25" x14ac:dyDescent="0.45"/>
  <cols>
    <col min="1" max="1" width="26.59765625" style="66" customWidth="1"/>
    <col min="2" max="2" width="43.1328125" style="66" customWidth="1"/>
    <col min="3" max="3" width="32.73046875" style="66" customWidth="1"/>
    <col min="4" max="4" width="32.265625" style="66" customWidth="1"/>
    <col min="5" max="16384" width="9.1328125" style="66"/>
  </cols>
  <sheetData>
    <row r="2" spans="1:4" ht="193.5" customHeight="1" x14ac:dyDescent="0.45"/>
    <row r="3" spans="1:4" ht="27.4" x14ac:dyDescent="0.7">
      <c r="A3" s="67" t="str">
        <f>"GDB one-page summary—"&amp;latest_year</f>
        <v>GDB one-page summary—2022</v>
      </c>
      <c r="B3" s="68"/>
      <c r="C3" s="68"/>
      <c r="D3" s="68"/>
    </row>
    <row r="4" spans="1:4" ht="22.5" x14ac:dyDescent="0.6">
      <c r="A4" s="69" t="s">
        <v>290</v>
      </c>
      <c r="B4" s="68"/>
      <c r="C4" s="68"/>
      <c r="D4" s="68"/>
    </row>
    <row r="5" spans="1:4" ht="20.25" x14ac:dyDescent="0.55000000000000004">
      <c r="A5" s="70"/>
      <c r="B5" s="68"/>
      <c r="C5" s="68"/>
      <c r="D5" s="68"/>
    </row>
    <row r="17" spans="1:4" x14ac:dyDescent="0.45">
      <c r="A17" s="71" t="s">
        <v>9531</v>
      </c>
      <c r="B17" s="68"/>
      <c r="C17" s="68"/>
      <c r="D17" s="68"/>
    </row>
  </sheetData>
  <sheetProtection formatColumns="0" formatRows="0"/>
  <pageMargins left="0.70866141732282995" right="0.70866141732282995" top="0.74803149606299002" bottom="0.74803149606299002" header="0.31496062992126" footer="0.31496062992126"/>
  <pageSetup paperSize="9" scale="97" fitToHeight="1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sheetPr>
  <dimension ref="A1:C6"/>
  <sheetViews>
    <sheetView showGridLines="0" zoomScaleNormal="100" workbookViewId="0">
      <selection activeCell="F46" activeCellId="1" sqref="K91 F46"/>
    </sheetView>
  </sheetViews>
  <sheetFormatPr defaultRowHeight="14.25" x14ac:dyDescent="0.45"/>
  <cols>
    <col min="1" max="1" width="21.86328125" bestFit="1" customWidth="1"/>
    <col min="2" max="2" width="16.265625" customWidth="1"/>
    <col min="3" max="3" width="5.86328125" bestFit="1" customWidth="1"/>
  </cols>
  <sheetData>
    <row r="1" spans="1:3" ht="141.94999999999999" customHeight="1" x14ac:dyDescent="0.45">
      <c r="A1" t="s">
        <v>266</v>
      </c>
      <c r="C1" t="e">
        <f>IF(VLOOKUP(A1,gdb_name,1,0)=A1,1,NA())</f>
        <v>#N/A</v>
      </c>
    </row>
    <row r="2" spans="1:3" ht="141.94999999999999" customHeight="1" x14ac:dyDescent="0.45">
      <c r="A2" t="s">
        <v>156</v>
      </c>
      <c r="C2" t="e">
        <f>IF(VLOOKUP(A2,gdb_name,1,0)=A2,1,NA())</f>
        <v>#N/A</v>
      </c>
    </row>
    <row r="3" spans="1:3" ht="141.94999999999999" customHeight="1" x14ac:dyDescent="0.45">
      <c r="A3" t="s">
        <v>32</v>
      </c>
      <c r="C3" t="e">
        <f>IF(VLOOKUP(A3,gdb_name,1,0)=A3,1,NA())</f>
        <v>#N/A</v>
      </c>
    </row>
    <row r="4" spans="1:3" ht="141.94999999999999" customHeight="1" x14ac:dyDescent="0.45">
      <c r="A4" t="s">
        <v>299</v>
      </c>
      <c r="C4" t="e">
        <f>IF(VLOOKUP(A4,gdb_name,1,0)=A4,1,NA())</f>
        <v>#N/A</v>
      </c>
    </row>
    <row r="5" spans="1:3" ht="141.94999999999999" customHeight="1" x14ac:dyDescent="0.45">
      <c r="A5" t="s">
        <v>298</v>
      </c>
      <c r="C5">
        <f>IF(VLOOKUP(A5,gdb_name,1,0)=A5,1,NA())</f>
        <v>1</v>
      </c>
    </row>
    <row r="6" spans="1:3" ht="141.94999999999999" customHeight="1" x14ac:dyDescent="0.45">
      <c r="A6" t="s">
        <v>275</v>
      </c>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sheetPr>
  <dimension ref="A1:K405"/>
  <sheetViews>
    <sheetView topLeftCell="A378" workbookViewId="0">
      <selection activeCell="F46" activeCellId="1" sqref="K91 F46"/>
    </sheetView>
  </sheetViews>
  <sheetFormatPr defaultColWidth="9.1328125" defaultRowHeight="14.25" x14ac:dyDescent="0.45"/>
  <cols>
    <col min="1" max="1" width="3" customWidth="1"/>
    <col min="5" max="10" width="22.86328125" customWidth="1"/>
    <col min="11" max="11" width="9.1328125" style="163" customWidth="1"/>
  </cols>
  <sheetData>
    <row r="1" spans="1:11" ht="23.25" x14ac:dyDescent="0.7">
      <c r="A1" s="162" t="s">
        <v>268</v>
      </c>
    </row>
    <row r="3" spans="1:11" x14ac:dyDescent="0.45">
      <c r="B3" s="4" t="s">
        <v>203</v>
      </c>
      <c r="C3" s="4" t="s">
        <v>30</v>
      </c>
      <c r="D3" s="4" t="s">
        <v>31</v>
      </c>
      <c r="E3" s="4" t="s">
        <v>266</v>
      </c>
      <c r="F3" s="4" t="s">
        <v>156</v>
      </c>
      <c r="G3" s="4" t="s">
        <v>32</v>
      </c>
      <c r="H3" s="4" t="s">
        <v>299</v>
      </c>
      <c r="I3" s="4" t="s">
        <v>298</v>
      </c>
      <c r="J3" s="4" t="s">
        <v>300</v>
      </c>
    </row>
    <row r="4" spans="1:11" x14ac:dyDescent="0.45">
      <c r="B4">
        <v>2022</v>
      </c>
      <c r="C4" t="s">
        <v>36</v>
      </c>
      <c r="D4" t="s">
        <v>43</v>
      </c>
      <c r="E4" s="187">
        <v>5462.1459999999988</v>
      </c>
      <c r="F4" s="187">
        <v>373</v>
      </c>
      <c r="G4" s="187">
        <v>6024.8596397085357</v>
      </c>
      <c r="H4" s="187">
        <v>4670</v>
      </c>
      <c r="I4" s="187">
        <v>16530.005859375</v>
      </c>
      <c r="J4" s="187">
        <v>10132.146484375</v>
      </c>
      <c r="K4" t="s">
        <v>8575</v>
      </c>
    </row>
    <row r="5" spans="1:11" x14ac:dyDescent="0.45">
      <c r="B5">
        <v>2023</v>
      </c>
      <c r="C5" t="s">
        <v>36</v>
      </c>
      <c r="D5" t="s">
        <v>43</v>
      </c>
      <c r="E5" s="187">
        <v>2842.7886607999999</v>
      </c>
      <c r="F5" s="187">
        <v>109</v>
      </c>
      <c r="G5" s="187">
        <v>6434.3659893468603</v>
      </c>
      <c r="H5" s="187">
        <v>3506</v>
      </c>
      <c r="I5" s="187">
        <v>12892.154296875</v>
      </c>
      <c r="J5" s="187">
        <v>6348.78857421875</v>
      </c>
      <c r="K5" t="s">
        <v>8907</v>
      </c>
    </row>
    <row r="6" spans="1:11" x14ac:dyDescent="0.45">
      <c r="B6">
        <v>2024</v>
      </c>
      <c r="C6" t="s">
        <v>36</v>
      </c>
      <c r="D6" t="s">
        <v>43</v>
      </c>
      <c r="E6" s="187">
        <v>3043.4560956800001</v>
      </c>
      <c r="F6" s="187">
        <v>495</v>
      </c>
      <c r="G6" s="187">
        <v>5859.9241423824078</v>
      </c>
      <c r="H6" s="187">
        <v>3059</v>
      </c>
      <c r="I6" s="187">
        <v>12457.3798828125</v>
      </c>
      <c r="J6" s="187">
        <v>6102.4560546875</v>
      </c>
      <c r="K6" t="s">
        <v>8983</v>
      </c>
    </row>
    <row r="7" spans="1:11" x14ac:dyDescent="0.45">
      <c r="B7">
        <v>2025</v>
      </c>
      <c r="C7" t="s">
        <v>36</v>
      </c>
      <c r="D7" t="s">
        <v>43</v>
      </c>
      <c r="E7" s="187">
        <v>3745.7921177600001</v>
      </c>
      <c r="F7" s="187">
        <v>495</v>
      </c>
      <c r="G7" s="187">
        <v>4565.0450293516387</v>
      </c>
      <c r="H7" s="187">
        <v>3113</v>
      </c>
      <c r="I7" s="187">
        <v>11918.8369140625</v>
      </c>
      <c r="J7" s="187">
        <v>6858.7919921875</v>
      </c>
      <c r="K7" t="s">
        <v>9059</v>
      </c>
    </row>
    <row r="8" spans="1:11" x14ac:dyDescent="0.45">
      <c r="B8">
        <v>2026</v>
      </c>
      <c r="C8" t="s">
        <v>36</v>
      </c>
      <c r="D8" t="s">
        <v>43</v>
      </c>
      <c r="E8" s="187">
        <v>3745.7921177600001</v>
      </c>
      <c r="F8" s="187">
        <v>495</v>
      </c>
      <c r="G8" s="187">
        <v>4014.8469243311461</v>
      </c>
      <c r="H8" s="187">
        <v>3026</v>
      </c>
      <c r="I8" s="187">
        <v>11281.638671875</v>
      </c>
      <c r="J8" s="187">
        <v>6771.7919921875</v>
      </c>
      <c r="K8" t="s">
        <v>9135</v>
      </c>
    </row>
    <row r="9" spans="1:11" x14ac:dyDescent="0.45">
      <c r="B9">
        <v>2027</v>
      </c>
      <c r="C9" t="s">
        <v>36</v>
      </c>
      <c r="D9" t="s">
        <v>43</v>
      </c>
      <c r="E9" s="187">
        <v>3344.4572480000002</v>
      </c>
      <c r="F9" s="187">
        <v>495</v>
      </c>
      <c r="G9" s="187">
        <v>4722.2196321019637</v>
      </c>
      <c r="H9" s="187">
        <v>2938</v>
      </c>
      <c r="I9" s="187">
        <v>11499.6767578125</v>
      </c>
      <c r="J9" s="187">
        <v>6282.45703125</v>
      </c>
      <c r="K9" t="s">
        <v>9211</v>
      </c>
    </row>
    <row r="16" spans="1:11" x14ac:dyDescent="0.45">
      <c r="B16" s="4" t="s">
        <v>203</v>
      </c>
      <c r="C16" s="4" t="s">
        <v>30</v>
      </c>
      <c r="D16" s="4" t="s">
        <v>31</v>
      </c>
      <c r="E16" s="4" t="s">
        <v>266</v>
      </c>
      <c r="F16" s="4" t="s">
        <v>156</v>
      </c>
      <c r="G16" s="4" t="s">
        <v>32</v>
      </c>
      <c r="H16" s="4" t="s">
        <v>299</v>
      </c>
      <c r="I16" s="4" t="s">
        <v>298</v>
      </c>
      <c r="J16" s="4" t="s">
        <v>300</v>
      </c>
    </row>
    <row r="17" spans="2:11" x14ac:dyDescent="0.45">
      <c r="B17">
        <v>2022</v>
      </c>
      <c r="C17" t="s">
        <v>37</v>
      </c>
      <c r="D17" t="s">
        <v>43</v>
      </c>
      <c r="E17" s="187">
        <v>5462.1459999999997</v>
      </c>
      <c r="F17" s="187">
        <v>373</v>
      </c>
      <c r="G17" s="187">
        <v>6024.8596397085357</v>
      </c>
      <c r="H17" s="187">
        <v>4670</v>
      </c>
      <c r="I17" s="187">
        <v>16530.005859375</v>
      </c>
      <c r="J17" s="187">
        <v>10132.146484375</v>
      </c>
      <c r="K17" t="s">
        <v>8576</v>
      </c>
    </row>
    <row r="18" spans="2:11" x14ac:dyDescent="0.45">
      <c r="B18">
        <v>2023</v>
      </c>
      <c r="C18" t="s">
        <v>37</v>
      </c>
      <c r="D18" t="s">
        <v>43</v>
      </c>
      <c r="E18" s="187">
        <v>2899.644434016001</v>
      </c>
      <c r="F18" s="187">
        <v>109</v>
      </c>
      <c r="G18" s="187">
        <v>6581.7570014576404</v>
      </c>
      <c r="H18" s="187">
        <v>3715</v>
      </c>
      <c r="I18" s="187">
        <v>13305.4013671875</v>
      </c>
      <c r="J18" s="187">
        <v>6614.64453125</v>
      </c>
      <c r="K18" t="s">
        <v>8908</v>
      </c>
    </row>
    <row r="19" spans="2:11" x14ac:dyDescent="0.45">
      <c r="B19">
        <v>2024</v>
      </c>
      <c r="C19" t="s">
        <v>37</v>
      </c>
      <c r="D19" t="s">
        <v>43</v>
      </c>
      <c r="E19" s="187">
        <v>3166.411721945472</v>
      </c>
      <c r="F19" s="187">
        <v>495</v>
      </c>
      <c r="G19" s="187">
        <v>6116.4371452678452</v>
      </c>
      <c r="H19" s="187">
        <v>3386</v>
      </c>
      <c r="I19" s="187">
        <v>13163.8486328125</v>
      </c>
      <c r="J19" s="187">
        <v>6552.41162109375</v>
      </c>
      <c r="K19" t="s">
        <v>8984</v>
      </c>
    </row>
    <row r="20" spans="2:11" x14ac:dyDescent="0.45">
      <c r="B20">
        <v>2025</v>
      </c>
      <c r="C20" t="s">
        <v>37</v>
      </c>
      <c r="D20" t="s">
        <v>43</v>
      </c>
      <c r="E20" s="187">
        <v>3975.0645617038549</v>
      </c>
      <c r="F20" s="187">
        <v>495</v>
      </c>
      <c r="G20" s="187">
        <v>4865.8172798009382</v>
      </c>
      <c r="H20" s="187">
        <v>3566</v>
      </c>
      <c r="I20" s="187">
        <v>12901.8818359375</v>
      </c>
      <c r="J20" s="187">
        <v>7541.064453125</v>
      </c>
      <c r="K20" t="s">
        <v>9060</v>
      </c>
    </row>
    <row r="21" spans="2:11" x14ac:dyDescent="0.45">
      <c r="B21">
        <v>2026</v>
      </c>
      <c r="C21" t="s">
        <v>37</v>
      </c>
      <c r="D21" t="s">
        <v>43</v>
      </c>
      <c r="E21" s="187">
        <v>4054.565852937932</v>
      </c>
      <c r="F21" s="187">
        <v>495</v>
      </c>
      <c r="G21" s="187">
        <v>4364.9562365433094</v>
      </c>
      <c r="H21" s="187">
        <v>3562</v>
      </c>
      <c r="I21" s="187">
        <v>12476.5224609375</v>
      </c>
      <c r="J21" s="187">
        <v>7616.56591796875</v>
      </c>
      <c r="K21" t="s">
        <v>9136</v>
      </c>
    </row>
    <row r="22" spans="2:11" x14ac:dyDescent="0.45">
      <c r="B22">
        <v>2027</v>
      </c>
      <c r="C22" t="s">
        <v>37</v>
      </c>
      <c r="D22" t="s">
        <v>43</v>
      </c>
      <c r="E22" s="187">
        <v>3692.5510446399012</v>
      </c>
      <c r="F22" s="187">
        <v>495</v>
      </c>
      <c r="G22" s="187">
        <v>5236.6947159866413</v>
      </c>
      <c r="H22" s="187">
        <v>3527</v>
      </c>
      <c r="I22" s="187">
        <v>12951.2451171875</v>
      </c>
      <c r="J22" s="187">
        <v>7219.55078125</v>
      </c>
      <c r="K22" t="s">
        <v>9212</v>
      </c>
    </row>
    <row r="23" spans="2:11" x14ac:dyDescent="0.45">
      <c r="B23">
        <v>2028</v>
      </c>
      <c r="C23" t="s">
        <v>37</v>
      </c>
      <c r="D23" t="s">
        <v>43</v>
      </c>
      <c r="E23" s="187">
        <v>3766.4020655326999</v>
      </c>
      <c r="F23" s="187">
        <v>495</v>
      </c>
      <c r="G23" s="187">
        <v>6080.8215013818099</v>
      </c>
      <c r="H23" s="187">
        <v>3358</v>
      </c>
      <c r="I23" s="187">
        <v>13700.2236328125</v>
      </c>
      <c r="J23" s="187">
        <v>7124.40234375</v>
      </c>
      <c r="K23" t="s">
        <v>9288</v>
      </c>
    </row>
    <row r="24" spans="2:11" x14ac:dyDescent="0.45">
      <c r="B24">
        <v>2029</v>
      </c>
      <c r="C24" t="s">
        <v>37</v>
      </c>
      <c r="D24" t="s">
        <v>43</v>
      </c>
      <c r="E24" s="187">
        <v>3841.730106843353</v>
      </c>
      <c r="F24" s="187">
        <v>495</v>
      </c>
      <c r="G24" s="187">
        <v>6421.5168089405179</v>
      </c>
      <c r="H24" s="187">
        <v>2993</v>
      </c>
      <c r="I24" s="187">
        <v>13751.2470703125</v>
      </c>
      <c r="J24" s="187">
        <v>6834.73046875</v>
      </c>
      <c r="K24" t="s">
        <v>9336</v>
      </c>
    </row>
    <row r="25" spans="2:11" x14ac:dyDescent="0.45">
      <c r="B25">
        <v>2030</v>
      </c>
      <c r="C25" t="s">
        <v>37</v>
      </c>
      <c r="D25" t="s">
        <v>43</v>
      </c>
      <c r="E25" s="187">
        <v>3918.564708980221</v>
      </c>
      <c r="F25" s="187">
        <v>495</v>
      </c>
      <c r="G25" s="187">
        <v>6583.4197384423369</v>
      </c>
      <c r="H25" s="187">
        <v>3283</v>
      </c>
      <c r="I25" s="187">
        <v>14279.984375</v>
      </c>
      <c r="J25" s="187">
        <v>7201.564453125</v>
      </c>
      <c r="K25" t="s">
        <v>9384</v>
      </c>
    </row>
    <row r="26" spans="2:11" x14ac:dyDescent="0.45">
      <c r="B26">
        <v>2031</v>
      </c>
      <c r="C26" t="s">
        <v>37</v>
      </c>
      <c r="D26" t="s">
        <v>43</v>
      </c>
      <c r="E26" s="187">
        <v>3996.9360031598248</v>
      </c>
      <c r="F26" s="187">
        <v>495</v>
      </c>
      <c r="G26" s="187">
        <v>6106.6326138902732</v>
      </c>
      <c r="H26" s="187">
        <v>3180</v>
      </c>
      <c r="I26" s="187">
        <v>13778.568359375</v>
      </c>
      <c r="J26" s="187">
        <v>7176.93603515625</v>
      </c>
      <c r="K26" t="s">
        <v>9432</v>
      </c>
    </row>
    <row r="27" spans="2:11" x14ac:dyDescent="0.45">
      <c r="B27">
        <v>2032</v>
      </c>
      <c r="C27" t="s">
        <v>37</v>
      </c>
      <c r="D27" t="s">
        <v>43</v>
      </c>
      <c r="E27" s="187">
        <v>4076.8747232230221</v>
      </c>
      <c r="F27" s="187">
        <v>495</v>
      </c>
      <c r="G27" s="187">
        <v>5739.5204135363547</v>
      </c>
      <c r="H27" s="187">
        <v>3193</v>
      </c>
      <c r="I27" s="187">
        <v>13504.3955078125</v>
      </c>
      <c r="J27" s="187">
        <v>7269.875</v>
      </c>
      <c r="K27" t="s">
        <v>9480</v>
      </c>
    </row>
    <row r="29" spans="2:11" x14ac:dyDescent="0.45">
      <c r="B29" s="4" t="s">
        <v>203</v>
      </c>
      <c r="C29" s="4" t="s">
        <v>30</v>
      </c>
      <c r="D29" s="4" t="s">
        <v>269</v>
      </c>
      <c r="E29" s="4" t="s">
        <v>266</v>
      </c>
      <c r="F29" s="4" t="s">
        <v>156</v>
      </c>
      <c r="G29" s="4" t="s">
        <v>32</v>
      </c>
      <c r="H29" s="4" t="s">
        <v>299</v>
      </c>
      <c r="I29" s="4" t="s">
        <v>298</v>
      </c>
      <c r="J29" s="4" t="s">
        <v>300</v>
      </c>
    </row>
    <row r="30" spans="2:11" x14ac:dyDescent="0.45">
      <c r="B30">
        <v>2022</v>
      </c>
      <c r="C30" t="s">
        <v>267</v>
      </c>
      <c r="D30" t="str">
        <f t="shared" ref="D30:D35" si="0">B30&amp;C30</f>
        <v>2022modifier</v>
      </c>
      <c r="E30">
        <f t="shared" ref="E30:J30" si="1">E17/E4</f>
        <v>1.0000000000000002</v>
      </c>
      <c r="F30">
        <f t="shared" si="1"/>
        <v>1</v>
      </c>
      <c r="G30">
        <f t="shared" si="1"/>
        <v>1</v>
      </c>
      <c r="H30">
        <f t="shared" si="1"/>
        <v>1</v>
      </c>
      <c r="I30">
        <f t="shared" si="1"/>
        <v>1</v>
      </c>
      <c r="J30">
        <f t="shared" si="1"/>
        <v>1</v>
      </c>
    </row>
    <row r="31" spans="2:11" x14ac:dyDescent="0.45">
      <c r="B31">
        <v>2023</v>
      </c>
      <c r="C31" t="s">
        <v>267</v>
      </c>
      <c r="D31" t="str">
        <f t="shared" si="0"/>
        <v>2023modifier</v>
      </c>
      <c r="E31">
        <f>E18/E5</f>
        <v>1.0200000000000005</v>
      </c>
      <c r="F31">
        <f t="shared" ref="E31:J35" si="2">F18/F5</f>
        <v>1</v>
      </c>
      <c r="G31">
        <f t="shared" si="2"/>
        <v>1.0229068430914265</v>
      </c>
      <c r="H31">
        <f t="shared" si="2"/>
        <v>1.0596120935539075</v>
      </c>
      <c r="I31">
        <f t="shared" si="2"/>
        <v>1.0320541517574506</v>
      </c>
      <c r="J31">
        <f t="shared" si="2"/>
        <v>1.0418750685935332</v>
      </c>
    </row>
    <row r="32" spans="2:11" x14ac:dyDescent="0.45">
      <c r="B32">
        <v>2024</v>
      </c>
      <c r="C32" t="s">
        <v>267</v>
      </c>
      <c r="D32" t="str">
        <f t="shared" si="0"/>
        <v>2024modifier</v>
      </c>
      <c r="E32">
        <f t="shared" si="2"/>
        <v>1.0404</v>
      </c>
      <c r="F32">
        <f t="shared" si="2"/>
        <v>1</v>
      </c>
      <c r="G32">
        <f t="shared" si="2"/>
        <v>1.0437741166357744</v>
      </c>
      <c r="H32">
        <f t="shared" si="2"/>
        <v>1.1068976789800589</v>
      </c>
      <c r="I32">
        <f t="shared" si="2"/>
        <v>1.0567108618863521</v>
      </c>
      <c r="J32">
        <f t="shared" si="2"/>
        <v>1.0737335201390961</v>
      </c>
    </row>
    <row r="33" spans="2:11" x14ac:dyDescent="0.45">
      <c r="B33">
        <v>2025</v>
      </c>
      <c r="C33" t="s">
        <v>267</v>
      </c>
      <c r="D33" t="str">
        <f t="shared" si="0"/>
        <v>2025modifier</v>
      </c>
      <c r="E33">
        <f t="shared" si="2"/>
        <v>1.0612080000000002</v>
      </c>
      <c r="F33">
        <f t="shared" si="2"/>
        <v>1</v>
      </c>
      <c r="G33">
        <f t="shared" si="2"/>
        <v>1.0658859328912287</v>
      </c>
      <c r="H33">
        <f t="shared" si="2"/>
        <v>1.1455187921619017</v>
      </c>
      <c r="I33">
        <f t="shared" si="2"/>
        <v>1.0824782593270614</v>
      </c>
      <c r="J33">
        <f t="shared" si="2"/>
        <v>1.099474143801801</v>
      </c>
    </row>
    <row r="34" spans="2:11" x14ac:dyDescent="0.45">
      <c r="B34">
        <v>2026</v>
      </c>
      <c r="C34" t="s">
        <v>267</v>
      </c>
      <c r="D34" t="str">
        <f t="shared" si="0"/>
        <v>2026modifier</v>
      </c>
      <c r="E34">
        <f t="shared" si="2"/>
        <v>1.0824321600000002</v>
      </c>
      <c r="F34">
        <f t="shared" si="2"/>
        <v>1</v>
      </c>
      <c r="G34">
        <f t="shared" si="2"/>
        <v>1.0872036515490537</v>
      </c>
      <c r="H34">
        <f t="shared" si="2"/>
        <v>1.1771315267680105</v>
      </c>
      <c r="I34">
        <f t="shared" si="2"/>
        <v>1.1059140275464887</v>
      </c>
      <c r="J34">
        <f t="shared" si="2"/>
        <v>1.1247489478052266</v>
      </c>
    </row>
    <row r="35" spans="2:11" x14ac:dyDescent="0.45">
      <c r="B35">
        <v>2027</v>
      </c>
      <c r="C35" t="s">
        <v>267</v>
      </c>
      <c r="D35" t="str">
        <f t="shared" si="0"/>
        <v>2027modifier</v>
      </c>
      <c r="E35">
        <f t="shared" si="2"/>
        <v>1.1040808031999998</v>
      </c>
      <c r="F35">
        <f t="shared" si="2"/>
        <v>1</v>
      </c>
      <c r="G35">
        <f t="shared" si="2"/>
        <v>1.1089477245800348</v>
      </c>
      <c r="H35">
        <f t="shared" si="2"/>
        <v>1.2004765146358067</v>
      </c>
      <c r="I35">
        <f t="shared" si="2"/>
        <v>1.1262268835851279</v>
      </c>
      <c r="J35">
        <f t="shared" si="2"/>
        <v>1.1491603914421917</v>
      </c>
    </row>
    <row r="42" spans="2:11" x14ac:dyDescent="0.45">
      <c r="B42" s="4" t="s">
        <v>203</v>
      </c>
      <c r="C42" s="4" t="s">
        <v>30</v>
      </c>
      <c r="D42" s="4" t="s">
        <v>270</v>
      </c>
      <c r="E42" s="4" t="s">
        <v>266</v>
      </c>
      <c r="F42" s="4" t="s">
        <v>156</v>
      </c>
      <c r="G42" s="4" t="s">
        <v>32</v>
      </c>
      <c r="H42" s="4" t="s">
        <v>299</v>
      </c>
      <c r="I42" s="4" t="s">
        <v>298</v>
      </c>
      <c r="J42" s="4" t="s">
        <v>300</v>
      </c>
      <c r="K42" s="164" t="s">
        <v>33</v>
      </c>
    </row>
    <row r="43" spans="2:11" x14ac:dyDescent="0.45">
      <c r="B43" s="187">
        <v>2022</v>
      </c>
      <c r="C43" t="s">
        <v>36</v>
      </c>
      <c r="D43" t="s">
        <v>43</v>
      </c>
      <c r="E43" s="187">
        <v>5462.1459999999988</v>
      </c>
      <c r="F43" s="187">
        <v>373</v>
      </c>
      <c r="G43" s="187">
        <v>6024.8596397085357</v>
      </c>
      <c r="H43" s="187">
        <v>4670</v>
      </c>
      <c r="I43" s="187">
        <v>16530.005859375</v>
      </c>
      <c r="J43" s="187">
        <v>10132.146484375</v>
      </c>
      <c r="K43" t="s">
        <v>8600</v>
      </c>
    </row>
    <row r="44" spans="2:11" x14ac:dyDescent="0.45">
      <c r="B44" s="187">
        <v>2022</v>
      </c>
      <c r="C44" t="s">
        <v>36</v>
      </c>
      <c r="D44" t="s">
        <v>43</v>
      </c>
      <c r="E44" s="187">
        <v>0</v>
      </c>
      <c r="F44" s="187"/>
      <c r="G44" s="187">
        <v>0</v>
      </c>
      <c r="H44" s="187">
        <v>0</v>
      </c>
      <c r="I44" s="187">
        <v>0</v>
      </c>
      <c r="J44" s="187">
        <v>0</v>
      </c>
      <c r="K44" t="s">
        <v>8601</v>
      </c>
    </row>
    <row r="45" spans="2:11" x14ac:dyDescent="0.45">
      <c r="B45" s="187">
        <v>2022</v>
      </c>
      <c r="C45" t="s">
        <v>36</v>
      </c>
      <c r="D45" t="s">
        <v>43</v>
      </c>
      <c r="E45" s="187">
        <v>5462.1459999999988</v>
      </c>
      <c r="F45" s="187">
        <v>373</v>
      </c>
      <c r="G45" s="187">
        <v>6024.8596397085357</v>
      </c>
      <c r="H45" s="187">
        <v>4670</v>
      </c>
      <c r="I45" s="187">
        <v>16530.005859375</v>
      </c>
      <c r="J45" s="187">
        <v>10132.146484375</v>
      </c>
      <c r="K45" t="s">
        <v>8602</v>
      </c>
    </row>
    <row r="46" spans="2:11" x14ac:dyDescent="0.45">
      <c r="B46" s="187">
        <v>2022</v>
      </c>
      <c r="C46" t="s">
        <v>36</v>
      </c>
      <c r="D46" t="s">
        <v>43</v>
      </c>
      <c r="E46" s="187">
        <v>333.39100000000002</v>
      </c>
      <c r="F46" s="187">
        <v>4</v>
      </c>
      <c r="G46" s="187">
        <v>1979.661475485796</v>
      </c>
      <c r="H46" s="187">
        <v>1456</v>
      </c>
      <c r="I46" s="187">
        <v>3773.052490234375</v>
      </c>
      <c r="J46" s="187">
        <v>1789.3909912109375</v>
      </c>
      <c r="K46" t="s">
        <v>8603</v>
      </c>
    </row>
    <row r="47" spans="2:11" x14ac:dyDescent="0.45">
      <c r="B47" s="187">
        <v>2022</v>
      </c>
      <c r="C47" t="s">
        <v>36</v>
      </c>
      <c r="D47" t="s">
        <v>43</v>
      </c>
      <c r="E47" s="187">
        <v>0</v>
      </c>
      <c r="F47" s="187"/>
      <c r="G47" s="187">
        <v>698.37192862592781</v>
      </c>
      <c r="H47" s="187">
        <v>531</v>
      </c>
      <c r="I47" s="187">
        <v>1229.3719482421875</v>
      </c>
      <c r="J47" s="187">
        <v>531</v>
      </c>
      <c r="K47" t="s">
        <v>8604</v>
      </c>
    </row>
    <row r="48" spans="2:11" x14ac:dyDescent="0.45">
      <c r="B48" s="187">
        <v>2022</v>
      </c>
      <c r="C48" t="s">
        <v>36</v>
      </c>
      <c r="D48" t="s">
        <v>43</v>
      </c>
      <c r="E48" s="187">
        <v>0</v>
      </c>
      <c r="F48" s="187"/>
      <c r="G48" s="187">
        <v>33.314598508782417</v>
      </c>
      <c r="H48" s="187">
        <v>0</v>
      </c>
      <c r="I48" s="187">
        <v>33.314598083496094</v>
      </c>
      <c r="J48" s="187">
        <v>0</v>
      </c>
      <c r="K48" t="s">
        <v>8605</v>
      </c>
    </row>
    <row r="49" spans="2:11" x14ac:dyDescent="0.45">
      <c r="B49" s="187">
        <v>2022</v>
      </c>
      <c r="C49" t="s">
        <v>36</v>
      </c>
      <c r="D49" t="s">
        <v>43</v>
      </c>
      <c r="E49" s="187">
        <v>0</v>
      </c>
      <c r="F49" s="187"/>
      <c r="G49" s="187">
        <v>16.150087119661119</v>
      </c>
      <c r="H49" s="187">
        <v>0</v>
      </c>
      <c r="I49" s="187">
        <v>16.150087356567383</v>
      </c>
      <c r="J49" s="187">
        <v>0</v>
      </c>
      <c r="K49" t="s">
        <v>8606</v>
      </c>
    </row>
    <row r="50" spans="2:11" x14ac:dyDescent="0.45">
      <c r="B50" s="187">
        <v>2022</v>
      </c>
      <c r="C50" t="s">
        <v>36</v>
      </c>
      <c r="D50" t="s">
        <v>43</v>
      </c>
      <c r="E50" s="187">
        <v>0</v>
      </c>
      <c r="F50" s="187"/>
      <c r="G50" s="187">
        <v>325.22339143408732</v>
      </c>
      <c r="H50" s="187">
        <v>488</v>
      </c>
      <c r="I50" s="187">
        <v>813.223388671875</v>
      </c>
      <c r="J50" s="187">
        <v>488</v>
      </c>
      <c r="K50" t="s">
        <v>8607</v>
      </c>
    </row>
    <row r="51" spans="2:11" x14ac:dyDescent="0.45">
      <c r="B51" s="187">
        <v>2022</v>
      </c>
      <c r="C51" t="s">
        <v>36</v>
      </c>
      <c r="D51" t="s">
        <v>43</v>
      </c>
      <c r="E51" s="187">
        <v>333.39100000000002</v>
      </c>
      <c r="F51" s="187">
        <v>4</v>
      </c>
      <c r="G51" s="187">
        <v>906.60146979733759</v>
      </c>
      <c r="H51" s="187">
        <v>437</v>
      </c>
      <c r="I51" s="187">
        <v>1680.992431640625</v>
      </c>
      <c r="J51" s="187">
        <v>770.3909912109375</v>
      </c>
      <c r="K51" t="s">
        <v>8608</v>
      </c>
    </row>
    <row r="52" spans="2:11" x14ac:dyDescent="0.45">
      <c r="B52" s="187">
        <v>2022</v>
      </c>
      <c r="C52" t="s">
        <v>36</v>
      </c>
      <c r="D52" t="s">
        <v>43</v>
      </c>
      <c r="E52" s="187">
        <v>0</v>
      </c>
      <c r="F52" s="187"/>
      <c r="G52" s="187">
        <v>2.7389179457250001E-2</v>
      </c>
      <c r="H52" s="187">
        <v>0</v>
      </c>
      <c r="I52" s="187">
        <v>2.7389179915189743E-2</v>
      </c>
      <c r="J52" s="187">
        <v>0</v>
      </c>
      <c r="K52" t="s">
        <v>8609</v>
      </c>
    </row>
    <row r="53" spans="2:11" x14ac:dyDescent="0.45">
      <c r="B53" s="187">
        <v>2022</v>
      </c>
      <c r="C53" t="s">
        <v>36</v>
      </c>
      <c r="D53" t="s">
        <v>43</v>
      </c>
      <c r="E53" s="187">
        <v>0</v>
      </c>
      <c r="F53" s="187">
        <v>237</v>
      </c>
      <c r="G53" s="187">
        <v>1.9609769893852489</v>
      </c>
      <c r="H53" s="187">
        <v>0</v>
      </c>
      <c r="I53" s="187">
        <v>238.96098327636719</v>
      </c>
      <c r="J53" s="187">
        <v>0</v>
      </c>
      <c r="K53" t="s">
        <v>8610</v>
      </c>
    </row>
    <row r="54" spans="2:11" x14ac:dyDescent="0.45">
      <c r="B54" s="187">
        <v>2022</v>
      </c>
      <c r="C54" t="s">
        <v>36</v>
      </c>
      <c r="D54" t="s">
        <v>43</v>
      </c>
      <c r="E54" s="187">
        <v>0</v>
      </c>
      <c r="F54" s="187">
        <v>237</v>
      </c>
      <c r="G54" s="187">
        <v>1.2988798255479901</v>
      </c>
      <c r="H54" s="187">
        <v>0</v>
      </c>
      <c r="I54" s="187">
        <v>238.29887390136719</v>
      </c>
      <c r="J54" s="187">
        <v>0</v>
      </c>
      <c r="K54" t="s">
        <v>8611</v>
      </c>
    </row>
    <row r="55" spans="2:11" x14ac:dyDescent="0.45">
      <c r="B55" s="187">
        <v>2022</v>
      </c>
      <c r="C55" t="s">
        <v>36</v>
      </c>
      <c r="D55" t="s">
        <v>43</v>
      </c>
      <c r="E55" s="187">
        <v>0</v>
      </c>
      <c r="F55" s="187"/>
      <c r="G55" s="187">
        <v>0.62966456987438402</v>
      </c>
      <c r="H55" s="187">
        <v>0</v>
      </c>
      <c r="I55" s="187">
        <v>0.62966454029083252</v>
      </c>
      <c r="J55" s="187">
        <v>0</v>
      </c>
      <c r="K55" t="s">
        <v>8612</v>
      </c>
    </row>
    <row r="56" spans="2:11" x14ac:dyDescent="0.45">
      <c r="B56" s="187">
        <v>2022</v>
      </c>
      <c r="C56" t="s">
        <v>36</v>
      </c>
      <c r="D56" t="s">
        <v>43</v>
      </c>
      <c r="E56" s="187">
        <v>0</v>
      </c>
      <c r="F56" s="187"/>
      <c r="G56" s="187">
        <v>5.0434145056245999E-3</v>
      </c>
      <c r="H56" s="187">
        <v>0</v>
      </c>
      <c r="I56" s="187">
        <v>5.0434144213795662E-3</v>
      </c>
      <c r="J56" s="187">
        <v>0</v>
      </c>
      <c r="K56" t="s">
        <v>8613</v>
      </c>
    </row>
    <row r="57" spans="2:11" x14ac:dyDescent="0.45">
      <c r="B57" s="187">
        <v>2022</v>
      </c>
      <c r="C57" t="s">
        <v>36</v>
      </c>
      <c r="D57" t="s">
        <v>43</v>
      </c>
      <c r="E57" s="187">
        <v>0</v>
      </c>
      <c r="F57" s="187"/>
      <c r="G57" s="187">
        <v>10.70003944129898</v>
      </c>
      <c r="H57" s="187">
        <v>0</v>
      </c>
      <c r="I57" s="187">
        <v>10.700039863586426</v>
      </c>
      <c r="J57" s="187">
        <v>0</v>
      </c>
      <c r="K57" t="s">
        <v>8614</v>
      </c>
    </row>
    <row r="58" spans="2:11" x14ac:dyDescent="0.45">
      <c r="B58" s="187">
        <v>2022</v>
      </c>
      <c r="C58" t="s">
        <v>36</v>
      </c>
      <c r="D58" t="s">
        <v>43</v>
      </c>
      <c r="E58" s="187">
        <v>5009.5829999999996</v>
      </c>
      <c r="F58" s="187">
        <v>132</v>
      </c>
      <c r="G58" s="187">
        <v>2363.615263384439</v>
      </c>
      <c r="H58" s="187">
        <v>2362</v>
      </c>
      <c r="I58" s="187">
        <v>9867.1982421875</v>
      </c>
      <c r="J58" s="187">
        <v>7371.5830078125</v>
      </c>
      <c r="K58" t="s">
        <v>8615</v>
      </c>
    </row>
    <row r="59" spans="2:11" x14ac:dyDescent="0.45">
      <c r="B59" s="187">
        <v>2022</v>
      </c>
      <c r="C59" t="s">
        <v>36</v>
      </c>
      <c r="D59" t="s">
        <v>43</v>
      </c>
      <c r="E59" s="187">
        <v>5009.5829999999996</v>
      </c>
      <c r="F59" s="187">
        <v>132</v>
      </c>
      <c r="G59" s="187">
        <v>3610.871881652291</v>
      </c>
      <c r="H59" s="187">
        <v>3136</v>
      </c>
      <c r="I59" s="187">
        <v>11888.455078125</v>
      </c>
      <c r="J59" s="187">
        <v>8145.5830078125</v>
      </c>
      <c r="K59" t="s">
        <v>8616</v>
      </c>
    </row>
    <row r="60" spans="2:11" x14ac:dyDescent="0.45">
      <c r="B60" s="187">
        <v>2022</v>
      </c>
      <c r="C60" t="s">
        <v>36</v>
      </c>
      <c r="D60" t="s">
        <v>43</v>
      </c>
      <c r="E60" s="187">
        <v>0</v>
      </c>
      <c r="F60" s="187"/>
      <c r="G60" s="187">
        <v>1177.0067124973359</v>
      </c>
      <c r="H60" s="187">
        <v>488</v>
      </c>
      <c r="I60" s="187">
        <v>1665.0067138671875</v>
      </c>
      <c r="J60" s="187">
        <v>488</v>
      </c>
      <c r="K60" t="s">
        <v>8617</v>
      </c>
    </row>
    <row r="61" spans="2:11" x14ac:dyDescent="0.45">
      <c r="B61" s="187">
        <v>2022</v>
      </c>
      <c r="C61" t="s">
        <v>36</v>
      </c>
      <c r="D61" t="s">
        <v>43</v>
      </c>
      <c r="E61" s="187">
        <v>0</v>
      </c>
      <c r="F61" s="187"/>
      <c r="G61" s="187">
        <v>59.549866329217089</v>
      </c>
      <c r="H61" s="187">
        <v>0</v>
      </c>
      <c r="I61" s="187">
        <v>59.54986572265625</v>
      </c>
      <c r="J61" s="187">
        <v>0</v>
      </c>
      <c r="K61" t="s">
        <v>8618</v>
      </c>
    </row>
    <row r="62" spans="2:11" x14ac:dyDescent="0.45">
      <c r="B62" s="187">
        <v>2022</v>
      </c>
      <c r="C62" t="s">
        <v>36</v>
      </c>
      <c r="D62" t="s">
        <v>43</v>
      </c>
      <c r="E62" s="187">
        <v>0</v>
      </c>
      <c r="F62" s="187"/>
      <c r="G62" s="187">
        <v>0</v>
      </c>
      <c r="H62" s="187">
        <v>286</v>
      </c>
      <c r="I62" s="187">
        <v>286</v>
      </c>
      <c r="J62" s="187">
        <v>286</v>
      </c>
      <c r="K62" t="s">
        <v>8619</v>
      </c>
    </row>
    <row r="63" spans="2:11" x14ac:dyDescent="0.45">
      <c r="B63" s="187">
        <v>2022</v>
      </c>
      <c r="C63" t="s">
        <v>36</v>
      </c>
      <c r="D63" t="s">
        <v>43</v>
      </c>
      <c r="E63" s="187">
        <v>45.72</v>
      </c>
      <c r="F63" s="187"/>
      <c r="G63" s="187"/>
      <c r="H63" s="187"/>
      <c r="I63" s="187">
        <v>45.720001220703125</v>
      </c>
      <c r="J63" s="187">
        <v>45.720001220703125</v>
      </c>
      <c r="K63" t="s">
        <v>8620</v>
      </c>
    </row>
    <row r="64" spans="2:11" x14ac:dyDescent="0.45">
      <c r="B64" s="187">
        <v>2022</v>
      </c>
      <c r="C64" t="s">
        <v>36</v>
      </c>
      <c r="D64" t="s">
        <v>43</v>
      </c>
      <c r="E64" s="187">
        <v>27.248000000000001</v>
      </c>
      <c r="F64" s="187"/>
      <c r="G64" s="187"/>
      <c r="H64" s="187"/>
      <c r="I64" s="187">
        <v>27.24799919128418</v>
      </c>
      <c r="J64" s="187">
        <v>27.24799919128418</v>
      </c>
      <c r="K64" t="s">
        <v>8621</v>
      </c>
    </row>
    <row r="65" spans="2:11" x14ac:dyDescent="0.45">
      <c r="B65" s="187">
        <v>2022</v>
      </c>
      <c r="C65" t="s">
        <v>36</v>
      </c>
      <c r="D65" t="s">
        <v>43</v>
      </c>
      <c r="E65" s="187">
        <v>46.204000000000001</v>
      </c>
      <c r="F65" s="187"/>
      <c r="G65" s="187"/>
      <c r="H65" s="187"/>
      <c r="I65" s="187">
        <v>46.203998565673828</v>
      </c>
      <c r="J65" s="187">
        <v>46.203998565673828</v>
      </c>
      <c r="K65" t="s">
        <v>8622</v>
      </c>
    </row>
    <row r="66" spans="2:11" x14ac:dyDescent="0.45">
      <c r="B66" s="187">
        <v>2022</v>
      </c>
      <c r="C66" t="s">
        <v>36</v>
      </c>
      <c r="D66" t="s">
        <v>43</v>
      </c>
      <c r="E66" s="187">
        <v>119.172</v>
      </c>
      <c r="F66" s="187"/>
      <c r="G66" s="187"/>
      <c r="H66" s="187"/>
      <c r="I66" s="187">
        <v>119.1719970703125</v>
      </c>
      <c r="J66" s="187">
        <v>119.1719970703125</v>
      </c>
      <c r="K66" t="s">
        <v>8623</v>
      </c>
    </row>
    <row r="67" spans="2:11" x14ac:dyDescent="0.45">
      <c r="B67" s="187">
        <v>2022</v>
      </c>
      <c r="C67" t="s">
        <v>36</v>
      </c>
      <c r="D67" t="s">
        <v>43</v>
      </c>
      <c r="E67" s="187"/>
      <c r="F67" s="187"/>
      <c r="G67" s="187">
        <v>432.36530558106358</v>
      </c>
      <c r="H67" s="187">
        <v>22</v>
      </c>
      <c r="I67" s="187">
        <v>454.36529541015625</v>
      </c>
      <c r="J67" s="187">
        <v>22</v>
      </c>
      <c r="K67" t="s">
        <v>8624</v>
      </c>
    </row>
    <row r="68" spans="2:11" x14ac:dyDescent="0.45">
      <c r="B68" s="187">
        <v>2022</v>
      </c>
      <c r="C68" t="s">
        <v>36</v>
      </c>
      <c r="D68" t="s">
        <v>43</v>
      </c>
      <c r="E68" s="187"/>
      <c r="F68" s="187"/>
      <c r="G68" s="187">
        <v>0</v>
      </c>
      <c r="H68" s="187">
        <v>56</v>
      </c>
      <c r="I68" s="187">
        <v>56</v>
      </c>
      <c r="J68" s="187">
        <v>56</v>
      </c>
      <c r="K68" t="s">
        <v>8625</v>
      </c>
    </row>
    <row r="69" spans="2:11" x14ac:dyDescent="0.45">
      <c r="B69" s="187">
        <v>2022</v>
      </c>
      <c r="C69" t="s">
        <v>36</v>
      </c>
      <c r="D69" t="s">
        <v>43</v>
      </c>
      <c r="E69" s="187"/>
      <c r="F69" s="187"/>
      <c r="G69" s="187">
        <v>0</v>
      </c>
      <c r="H69" s="187">
        <v>0</v>
      </c>
      <c r="I69" s="187">
        <v>0</v>
      </c>
      <c r="J69" s="187">
        <v>0</v>
      </c>
      <c r="K69" t="s">
        <v>8626</v>
      </c>
    </row>
    <row r="70" spans="2:11" x14ac:dyDescent="0.45">
      <c r="B70" s="187">
        <v>2022</v>
      </c>
      <c r="C70" t="s">
        <v>36</v>
      </c>
      <c r="D70" t="s">
        <v>43</v>
      </c>
      <c r="E70" s="187"/>
      <c r="F70" s="187">
        <v>0</v>
      </c>
      <c r="G70" s="187">
        <v>432.36530558106358</v>
      </c>
      <c r="H70" s="187">
        <v>78</v>
      </c>
      <c r="I70" s="187">
        <v>510.36529541015625</v>
      </c>
      <c r="J70" s="187">
        <v>78</v>
      </c>
      <c r="K70" t="s">
        <v>8627</v>
      </c>
    </row>
    <row r="71" spans="2:11" x14ac:dyDescent="0.45">
      <c r="B71" s="187">
        <v>2023</v>
      </c>
      <c r="C71" t="s">
        <v>36</v>
      </c>
      <c r="D71" t="s">
        <v>43</v>
      </c>
      <c r="E71" s="187">
        <v>2842.7886607999999</v>
      </c>
      <c r="F71" s="187">
        <v>109</v>
      </c>
      <c r="G71" s="187">
        <v>6434.3659893468603</v>
      </c>
      <c r="H71" s="187">
        <v>3506</v>
      </c>
      <c r="I71" s="187">
        <v>12892.154296875</v>
      </c>
      <c r="J71" s="187">
        <v>6348.78857421875</v>
      </c>
      <c r="K71" t="s">
        <v>8932</v>
      </c>
    </row>
    <row r="72" spans="2:11" x14ac:dyDescent="0.45">
      <c r="B72" s="187">
        <v>2023</v>
      </c>
      <c r="C72" t="s">
        <v>36</v>
      </c>
      <c r="D72" t="s">
        <v>43</v>
      </c>
      <c r="E72" s="187">
        <v>0</v>
      </c>
      <c r="F72" s="187"/>
      <c r="G72" s="187">
        <v>0</v>
      </c>
      <c r="H72" s="187">
        <v>0</v>
      </c>
      <c r="I72" s="187">
        <v>0</v>
      </c>
      <c r="J72" s="187">
        <v>0</v>
      </c>
      <c r="K72" t="s">
        <v>8933</v>
      </c>
    </row>
    <row r="73" spans="2:11" x14ac:dyDescent="0.45">
      <c r="B73" s="187">
        <v>2023</v>
      </c>
      <c r="C73" t="s">
        <v>36</v>
      </c>
      <c r="D73" t="s">
        <v>43</v>
      </c>
      <c r="E73" s="187">
        <v>2842.7886607999999</v>
      </c>
      <c r="F73" s="187">
        <v>109</v>
      </c>
      <c r="G73" s="187">
        <v>6434.3659893468603</v>
      </c>
      <c r="H73" s="187">
        <v>3506</v>
      </c>
      <c r="I73" s="187">
        <v>12892.154296875</v>
      </c>
      <c r="J73" s="187">
        <v>6348.78857421875</v>
      </c>
      <c r="K73" t="s">
        <v>8934</v>
      </c>
    </row>
    <row r="74" spans="2:11" x14ac:dyDescent="0.45">
      <c r="B74" s="187">
        <v>2023</v>
      </c>
      <c r="C74" t="s">
        <v>36</v>
      </c>
      <c r="D74" t="s">
        <v>43</v>
      </c>
      <c r="E74" s="187">
        <v>419.46241251200001</v>
      </c>
      <c r="F74" s="187">
        <v>14</v>
      </c>
      <c r="G74" s="187">
        <v>2646.05999314061</v>
      </c>
      <c r="H74" s="187">
        <v>1186</v>
      </c>
      <c r="I74" s="187">
        <v>4265.5224609375</v>
      </c>
      <c r="J74" s="187">
        <v>1605.46240234375</v>
      </c>
      <c r="K74" t="s">
        <v>8935</v>
      </c>
    </row>
    <row r="75" spans="2:11" x14ac:dyDescent="0.45">
      <c r="B75" s="187">
        <v>2023</v>
      </c>
      <c r="C75" t="s">
        <v>36</v>
      </c>
      <c r="D75" t="s">
        <v>43</v>
      </c>
      <c r="E75" s="187">
        <v>113.71154643200001</v>
      </c>
      <c r="F75" s="187">
        <v>14</v>
      </c>
      <c r="G75" s="187">
        <v>557.42522536655679</v>
      </c>
      <c r="H75" s="187">
        <v>248</v>
      </c>
      <c r="I75" s="187">
        <v>933.13677978515625</v>
      </c>
      <c r="J75" s="187">
        <v>361.7115478515625</v>
      </c>
      <c r="K75" t="s">
        <v>8936</v>
      </c>
    </row>
    <row r="76" spans="2:11" x14ac:dyDescent="0.45">
      <c r="B76" s="187">
        <v>2023</v>
      </c>
      <c r="C76" t="s">
        <v>36</v>
      </c>
      <c r="D76" t="s">
        <v>43</v>
      </c>
      <c r="E76" s="187">
        <v>21.472000000000001</v>
      </c>
      <c r="F76" s="187"/>
      <c r="G76" s="187">
        <v>27.812378185365851</v>
      </c>
      <c r="H76" s="187">
        <v>0</v>
      </c>
      <c r="I76" s="187">
        <v>49.284378051757813</v>
      </c>
      <c r="J76" s="187">
        <v>21.472000122070313</v>
      </c>
      <c r="K76" t="s">
        <v>8937</v>
      </c>
    </row>
    <row r="77" spans="2:11" x14ac:dyDescent="0.45">
      <c r="B77" s="187">
        <v>2023</v>
      </c>
      <c r="C77" t="s">
        <v>36</v>
      </c>
      <c r="D77" t="s">
        <v>43</v>
      </c>
      <c r="E77" s="187">
        <v>0</v>
      </c>
      <c r="F77" s="187"/>
      <c r="G77" s="187">
        <v>13.48274782840951</v>
      </c>
      <c r="H77" s="187">
        <v>0</v>
      </c>
      <c r="I77" s="187">
        <v>13.482748031616211</v>
      </c>
      <c r="J77" s="187">
        <v>0</v>
      </c>
      <c r="K77" t="s">
        <v>8938</v>
      </c>
    </row>
    <row r="78" spans="2:11" x14ac:dyDescent="0.45">
      <c r="B78" s="187">
        <v>2023</v>
      </c>
      <c r="C78" t="s">
        <v>36</v>
      </c>
      <c r="D78" t="s">
        <v>43</v>
      </c>
      <c r="E78" s="187">
        <v>0</v>
      </c>
      <c r="F78" s="187"/>
      <c r="G78" s="187">
        <v>441.16482303476357</v>
      </c>
      <c r="H78" s="187">
        <v>581</v>
      </c>
      <c r="I78" s="187">
        <v>1022.164794921875</v>
      </c>
      <c r="J78" s="187">
        <v>581</v>
      </c>
      <c r="K78" t="s">
        <v>8939</v>
      </c>
    </row>
    <row r="79" spans="2:11" x14ac:dyDescent="0.45">
      <c r="B79" s="187">
        <v>2023</v>
      </c>
      <c r="C79" t="s">
        <v>36</v>
      </c>
      <c r="D79" t="s">
        <v>43</v>
      </c>
      <c r="E79" s="187">
        <v>284.27886608</v>
      </c>
      <c r="F79" s="187"/>
      <c r="G79" s="187">
        <v>1606.174818725515</v>
      </c>
      <c r="H79" s="187">
        <v>357</v>
      </c>
      <c r="I79" s="187">
        <v>2247.45361328125</v>
      </c>
      <c r="J79" s="187">
        <v>641.27886962890625</v>
      </c>
      <c r="K79" t="s">
        <v>8940</v>
      </c>
    </row>
    <row r="80" spans="2:11" x14ac:dyDescent="0.45">
      <c r="B80" s="187">
        <v>2023</v>
      </c>
      <c r="C80" t="s">
        <v>36</v>
      </c>
      <c r="D80" t="s">
        <v>43</v>
      </c>
      <c r="E80" s="187">
        <v>0</v>
      </c>
      <c r="F80" s="187"/>
      <c r="G80" s="187">
        <v>3.1758476932333503E-2</v>
      </c>
      <c r="H80" s="187">
        <v>0</v>
      </c>
      <c r="I80" s="187">
        <v>3.1758476048707962E-2</v>
      </c>
      <c r="J80" s="187">
        <v>0</v>
      </c>
      <c r="K80" t="s">
        <v>8941</v>
      </c>
    </row>
    <row r="81" spans="2:11" x14ac:dyDescent="0.45">
      <c r="B81" s="187">
        <v>2023</v>
      </c>
      <c r="C81" t="s">
        <v>36</v>
      </c>
      <c r="D81" t="s">
        <v>43</v>
      </c>
      <c r="E81" s="187">
        <v>0</v>
      </c>
      <c r="F81" s="187">
        <v>80</v>
      </c>
      <c r="G81" s="187">
        <v>2.2738046088395372</v>
      </c>
      <c r="H81" s="187">
        <v>0</v>
      </c>
      <c r="I81" s="187">
        <v>82.2738037109375</v>
      </c>
      <c r="J81" s="187">
        <v>0</v>
      </c>
      <c r="K81" t="s">
        <v>8942</v>
      </c>
    </row>
    <row r="82" spans="2:11" x14ac:dyDescent="0.45">
      <c r="B82" s="187">
        <v>2023</v>
      </c>
      <c r="C82" t="s">
        <v>36</v>
      </c>
      <c r="D82" t="s">
        <v>43</v>
      </c>
      <c r="E82" s="187">
        <v>0</v>
      </c>
      <c r="F82" s="187">
        <v>80</v>
      </c>
      <c r="G82" s="187">
        <v>1.5060854613014001</v>
      </c>
      <c r="H82" s="187">
        <v>0</v>
      </c>
      <c r="I82" s="187">
        <v>81.506088256835938</v>
      </c>
      <c r="J82" s="187">
        <v>0</v>
      </c>
      <c r="K82" t="s">
        <v>8943</v>
      </c>
    </row>
    <row r="83" spans="2:11" x14ac:dyDescent="0.45">
      <c r="B83" s="187">
        <v>2023</v>
      </c>
      <c r="C83" t="s">
        <v>36</v>
      </c>
      <c r="D83" t="s">
        <v>43</v>
      </c>
      <c r="E83" s="187">
        <v>0</v>
      </c>
      <c r="F83" s="187">
        <v>0</v>
      </c>
      <c r="G83" s="187">
        <v>0.73011269828932401</v>
      </c>
      <c r="H83" s="187">
        <v>0</v>
      </c>
      <c r="I83" s="187">
        <v>0.73011267185211182</v>
      </c>
      <c r="J83" s="187">
        <v>0</v>
      </c>
      <c r="K83" t="s">
        <v>8944</v>
      </c>
    </row>
    <row r="84" spans="2:11" x14ac:dyDescent="0.45">
      <c r="B84" s="187">
        <v>2023</v>
      </c>
      <c r="C84" t="s">
        <v>36</v>
      </c>
      <c r="D84" t="s">
        <v>43</v>
      </c>
      <c r="E84" s="187">
        <v>0</v>
      </c>
      <c r="F84" s="187"/>
      <c r="G84" s="187">
        <v>5.8479723164790998E-3</v>
      </c>
      <c r="H84" s="187">
        <v>0</v>
      </c>
      <c r="I84" s="187">
        <v>5.8479723520576954E-3</v>
      </c>
      <c r="J84" s="187">
        <v>0</v>
      </c>
      <c r="K84" t="s">
        <v>8945</v>
      </c>
    </row>
    <row r="85" spans="2:11" x14ac:dyDescent="0.45">
      <c r="B85" s="187">
        <v>2023</v>
      </c>
      <c r="C85" t="s">
        <v>36</v>
      </c>
      <c r="D85" t="s">
        <v>43</v>
      </c>
      <c r="E85" s="187">
        <v>0</v>
      </c>
      <c r="F85" s="187"/>
      <c r="G85" s="187">
        <v>12.40697832156493</v>
      </c>
      <c r="H85" s="187">
        <v>0</v>
      </c>
      <c r="I85" s="187">
        <v>12.406978607177734</v>
      </c>
      <c r="J85" s="187">
        <v>0</v>
      </c>
      <c r="K85" t="s">
        <v>8946</v>
      </c>
    </row>
    <row r="86" spans="2:11" x14ac:dyDescent="0.45">
      <c r="B86" s="187">
        <v>2023</v>
      </c>
      <c r="C86" t="s">
        <v>36</v>
      </c>
      <c r="D86" t="s">
        <v>43</v>
      </c>
      <c r="E86" s="187">
        <v>2082.1916089920001</v>
      </c>
      <c r="F86" s="187">
        <v>15</v>
      </c>
      <c r="G86" s="187">
        <v>2267.2339373387858</v>
      </c>
      <c r="H86" s="187">
        <v>1547</v>
      </c>
      <c r="I86" s="187">
        <v>5911.42578125</v>
      </c>
      <c r="J86" s="187">
        <v>3629.191650390625</v>
      </c>
      <c r="K86" t="s">
        <v>8947</v>
      </c>
    </row>
    <row r="87" spans="2:11" x14ac:dyDescent="0.45">
      <c r="B87" s="187">
        <v>2023</v>
      </c>
      <c r="C87" t="s">
        <v>36</v>
      </c>
      <c r="D87" t="s">
        <v>43</v>
      </c>
      <c r="E87" s="187">
        <v>2082.1916089920001</v>
      </c>
      <c r="F87" s="187">
        <v>15</v>
      </c>
      <c r="G87" s="187">
        <v>3381.0240343051159</v>
      </c>
      <c r="H87" s="187">
        <v>2169</v>
      </c>
      <c r="I87" s="187">
        <v>7647.2158203125</v>
      </c>
      <c r="J87" s="187">
        <v>4251.19140625</v>
      </c>
      <c r="K87" t="s">
        <v>8948</v>
      </c>
    </row>
    <row r="88" spans="2:11" x14ac:dyDescent="0.45">
      <c r="B88" s="187">
        <v>2023</v>
      </c>
      <c r="C88" t="s">
        <v>36</v>
      </c>
      <c r="D88" t="s">
        <v>43</v>
      </c>
      <c r="E88" s="187">
        <v>0</v>
      </c>
      <c r="F88" s="187">
        <v>0</v>
      </c>
      <c r="G88" s="187">
        <v>1099.0985107931269</v>
      </c>
      <c r="H88" s="187">
        <v>433</v>
      </c>
      <c r="I88" s="187">
        <v>1532.0985107421875</v>
      </c>
      <c r="J88" s="187">
        <v>433</v>
      </c>
      <c r="K88" t="s">
        <v>8949</v>
      </c>
    </row>
    <row r="89" spans="2:11" x14ac:dyDescent="0.45">
      <c r="B89" s="187">
        <v>2023</v>
      </c>
      <c r="C89" t="s">
        <v>36</v>
      </c>
      <c r="D89" t="s">
        <v>43</v>
      </c>
      <c r="E89" s="187">
        <v>0</v>
      </c>
      <c r="F89" s="187"/>
      <c r="G89" s="187">
        <v>2.2846078516378201</v>
      </c>
      <c r="H89" s="187">
        <v>0</v>
      </c>
      <c r="I89" s="187">
        <v>2.2846078872680664</v>
      </c>
      <c r="J89" s="187">
        <v>0</v>
      </c>
      <c r="K89" t="s">
        <v>8950</v>
      </c>
    </row>
    <row r="90" spans="2:11" x14ac:dyDescent="0.45">
      <c r="B90" s="187">
        <v>2023</v>
      </c>
      <c r="C90" t="s">
        <v>36</v>
      </c>
      <c r="D90" t="s">
        <v>43</v>
      </c>
      <c r="E90" s="187">
        <v>0</v>
      </c>
      <c r="F90" s="187">
        <v>0</v>
      </c>
      <c r="G90" s="187">
        <v>0</v>
      </c>
      <c r="H90" s="187">
        <v>189</v>
      </c>
      <c r="I90" s="187">
        <v>189</v>
      </c>
      <c r="J90" s="187">
        <v>189</v>
      </c>
      <c r="K90" t="s">
        <v>8951</v>
      </c>
    </row>
    <row r="91" spans="2:11" x14ac:dyDescent="0.45">
      <c r="B91" s="187">
        <v>2023</v>
      </c>
      <c r="C91" t="s">
        <v>36</v>
      </c>
      <c r="D91" t="s">
        <v>43</v>
      </c>
      <c r="E91" s="187">
        <v>113.71154643200001</v>
      </c>
      <c r="F91" s="187"/>
      <c r="G91" s="187"/>
      <c r="H91" s="187"/>
      <c r="I91" s="187">
        <v>113.7115478515625</v>
      </c>
      <c r="J91" s="187">
        <v>113.7115478515625</v>
      </c>
      <c r="K91" t="s">
        <v>8952</v>
      </c>
    </row>
    <row r="92" spans="2:11" x14ac:dyDescent="0.45">
      <c r="B92" s="187">
        <v>2023</v>
      </c>
      <c r="C92" t="s">
        <v>36</v>
      </c>
      <c r="D92" t="s">
        <v>43</v>
      </c>
      <c r="E92" s="187">
        <v>113.71154643200001</v>
      </c>
      <c r="F92" s="187"/>
      <c r="G92" s="187"/>
      <c r="H92" s="187"/>
      <c r="I92" s="187">
        <v>113.7115478515625</v>
      </c>
      <c r="J92" s="187">
        <v>113.7115478515625</v>
      </c>
      <c r="K92" t="s">
        <v>8953</v>
      </c>
    </row>
    <row r="93" spans="2:11" x14ac:dyDescent="0.45">
      <c r="B93" s="187">
        <v>2023</v>
      </c>
      <c r="C93" t="s">
        <v>36</v>
      </c>
      <c r="D93" t="s">
        <v>43</v>
      </c>
      <c r="E93" s="187">
        <v>113.71154643200001</v>
      </c>
      <c r="F93" s="187"/>
      <c r="G93" s="187"/>
      <c r="H93" s="187"/>
      <c r="I93" s="187">
        <v>113.7115478515625</v>
      </c>
      <c r="J93" s="187">
        <v>113.7115478515625</v>
      </c>
      <c r="K93" t="s">
        <v>8954</v>
      </c>
    </row>
    <row r="94" spans="2:11" x14ac:dyDescent="0.45">
      <c r="B94" s="187">
        <v>2023</v>
      </c>
      <c r="C94" t="s">
        <v>36</v>
      </c>
      <c r="D94" t="s">
        <v>43</v>
      </c>
      <c r="E94" s="187">
        <v>341.13463929599999</v>
      </c>
      <c r="F94" s="187"/>
      <c r="G94" s="187"/>
      <c r="H94" s="187"/>
      <c r="I94" s="187">
        <v>341.1346435546875</v>
      </c>
      <c r="J94" s="187">
        <v>341.1346435546875</v>
      </c>
      <c r="K94" t="s">
        <v>8955</v>
      </c>
    </row>
    <row r="95" spans="2:11" x14ac:dyDescent="0.45">
      <c r="B95" s="187">
        <v>2023</v>
      </c>
      <c r="C95" t="s">
        <v>36</v>
      </c>
      <c r="D95" t="s">
        <v>43</v>
      </c>
      <c r="E95" s="187"/>
      <c r="F95" s="187"/>
      <c r="G95" s="187">
        <v>405.00815729229441</v>
      </c>
      <c r="H95" s="187">
        <v>55</v>
      </c>
      <c r="I95" s="187">
        <v>460.00814819335938</v>
      </c>
      <c r="J95" s="187">
        <v>55</v>
      </c>
      <c r="K95" t="s">
        <v>8956</v>
      </c>
    </row>
    <row r="96" spans="2:11" x14ac:dyDescent="0.45">
      <c r="B96" s="187">
        <v>2023</v>
      </c>
      <c r="C96" t="s">
        <v>36</v>
      </c>
      <c r="D96" t="s">
        <v>43</v>
      </c>
      <c r="E96" s="187"/>
      <c r="F96" s="187"/>
      <c r="G96" s="187">
        <v>0</v>
      </c>
      <c r="H96" s="187">
        <v>96</v>
      </c>
      <c r="I96" s="187">
        <v>96</v>
      </c>
      <c r="J96" s="187">
        <v>96</v>
      </c>
      <c r="K96" t="s">
        <v>8957</v>
      </c>
    </row>
    <row r="97" spans="2:11" x14ac:dyDescent="0.45">
      <c r="B97" s="187">
        <v>2023</v>
      </c>
      <c r="C97" t="s">
        <v>36</v>
      </c>
      <c r="D97" t="s">
        <v>43</v>
      </c>
      <c r="E97" s="187"/>
      <c r="F97" s="187"/>
      <c r="G97" s="187">
        <v>0</v>
      </c>
      <c r="H97" s="187">
        <v>0</v>
      </c>
      <c r="I97" s="187">
        <v>0</v>
      </c>
      <c r="J97" s="187">
        <v>0</v>
      </c>
      <c r="K97" t="s">
        <v>8958</v>
      </c>
    </row>
    <row r="98" spans="2:11" x14ac:dyDescent="0.45">
      <c r="B98" s="187">
        <v>2023</v>
      </c>
      <c r="C98" t="s">
        <v>36</v>
      </c>
      <c r="D98" t="s">
        <v>43</v>
      </c>
      <c r="E98" s="187"/>
      <c r="F98" s="187">
        <v>0</v>
      </c>
      <c r="G98" s="187">
        <v>405.00815729229441</v>
      </c>
      <c r="H98" s="187">
        <v>151</v>
      </c>
      <c r="I98" s="187">
        <v>556.0081787109375</v>
      </c>
      <c r="J98" s="187">
        <v>151</v>
      </c>
      <c r="K98" t="s">
        <v>8959</v>
      </c>
    </row>
    <row r="99" spans="2:11" x14ac:dyDescent="0.45">
      <c r="B99" s="187">
        <v>2024</v>
      </c>
      <c r="C99" t="s">
        <v>36</v>
      </c>
      <c r="D99" t="s">
        <v>43</v>
      </c>
      <c r="E99" s="187">
        <v>3043.4560956800001</v>
      </c>
      <c r="F99" s="187">
        <v>495</v>
      </c>
      <c r="G99" s="187">
        <v>5859.9241423824078</v>
      </c>
      <c r="H99" s="187">
        <v>3059</v>
      </c>
      <c r="I99" s="187">
        <v>12457.3798828125</v>
      </c>
      <c r="J99" s="187">
        <v>6102.4560546875</v>
      </c>
      <c r="K99" t="s">
        <v>9008</v>
      </c>
    </row>
    <row r="100" spans="2:11" x14ac:dyDescent="0.45">
      <c r="B100" s="187">
        <v>2024</v>
      </c>
      <c r="C100" t="s">
        <v>36</v>
      </c>
      <c r="D100" t="s">
        <v>43</v>
      </c>
      <c r="E100" s="187">
        <v>0</v>
      </c>
      <c r="F100" s="187"/>
      <c r="G100" s="187">
        <v>0</v>
      </c>
      <c r="H100" s="187">
        <v>0</v>
      </c>
      <c r="I100" s="187">
        <v>0</v>
      </c>
      <c r="J100" s="187">
        <v>0</v>
      </c>
      <c r="K100" t="s">
        <v>9009</v>
      </c>
    </row>
    <row r="101" spans="2:11" x14ac:dyDescent="0.45">
      <c r="B101" s="187">
        <v>2024</v>
      </c>
      <c r="C101" t="s">
        <v>36</v>
      </c>
      <c r="D101" t="s">
        <v>43</v>
      </c>
      <c r="E101" s="187">
        <v>3043.4560956800001</v>
      </c>
      <c r="F101" s="187">
        <v>495</v>
      </c>
      <c r="G101" s="187">
        <v>5859.9241423824078</v>
      </c>
      <c r="H101" s="187">
        <v>3059</v>
      </c>
      <c r="I101" s="187">
        <v>12457.3798828125</v>
      </c>
      <c r="J101" s="187">
        <v>6102.4560546875</v>
      </c>
      <c r="K101" t="s">
        <v>9010</v>
      </c>
    </row>
    <row r="102" spans="2:11" x14ac:dyDescent="0.45">
      <c r="B102" s="187">
        <v>2024</v>
      </c>
      <c r="C102" t="s">
        <v>36</v>
      </c>
      <c r="D102" t="s">
        <v>43</v>
      </c>
      <c r="E102" s="187">
        <v>447.55585339520002</v>
      </c>
      <c r="F102" s="187">
        <v>10</v>
      </c>
      <c r="G102" s="187">
        <v>2445.2202164391761</v>
      </c>
      <c r="H102" s="187">
        <v>1197</v>
      </c>
      <c r="I102" s="187">
        <v>4099.7763671875</v>
      </c>
      <c r="J102" s="187">
        <v>1644.555908203125</v>
      </c>
      <c r="K102" t="s">
        <v>9011</v>
      </c>
    </row>
    <row r="103" spans="2:11" x14ac:dyDescent="0.45">
      <c r="B103" s="187">
        <v>2024</v>
      </c>
      <c r="C103" t="s">
        <v>36</v>
      </c>
      <c r="D103" t="s">
        <v>43</v>
      </c>
      <c r="E103" s="187">
        <v>121.73824382719999</v>
      </c>
      <c r="F103" s="187"/>
      <c r="G103" s="187">
        <v>297.24479003787451</v>
      </c>
      <c r="H103" s="187">
        <v>248</v>
      </c>
      <c r="I103" s="187">
        <v>666.9830322265625</v>
      </c>
      <c r="J103" s="187">
        <v>369.73825073242188</v>
      </c>
      <c r="K103" t="s">
        <v>9012</v>
      </c>
    </row>
    <row r="104" spans="2:11" x14ac:dyDescent="0.45">
      <c r="B104" s="187">
        <v>2024</v>
      </c>
      <c r="C104" t="s">
        <v>36</v>
      </c>
      <c r="D104" t="s">
        <v>43</v>
      </c>
      <c r="E104" s="187">
        <v>21.472000000000001</v>
      </c>
      <c r="F104" s="187"/>
      <c r="G104" s="187">
        <v>32.253552624879603</v>
      </c>
      <c r="H104" s="187">
        <v>0</v>
      </c>
      <c r="I104" s="187">
        <v>53.725551605224609</v>
      </c>
      <c r="J104" s="187">
        <v>21.472000122070313</v>
      </c>
      <c r="K104" t="s">
        <v>9013</v>
      </c>
    </row>
    <row r="105" spans="2:11" x14ac:dyDescent="0.45">
      <c r="B105" s="187">
        <v>2024</v>
      </c>
      <c r="C105" t="s">
        <v>36</v>
      </c>
      <c r="D105" t="s">
        <v>43</v>
      </c>
      <c r="E105" s="187">
        <v>0</v>
      </c>
      <c r="F105" s="187"/>
      <c r="G105" s="187">
        <v>15.635718517606049</v>
      </c>
      <c r="H105" s="187">
        <v>0</v>
      </c>
      <c r="I105" s="187">
        <v>15.63571834564209</v>
      </c>
      <c r="J105" s="187">
        <v>0</v>
      </c>
      <c r="K105" t="s">
        <v>9014</v>
      </c>
    </row>
    <row r="106" spans="2:11" x14ac:dyDescent="0.45">
      <c r="B106" s="187">
        <v>2024</v>
      </c>
      <c r="C106" t="s">
        <v>36</v>
      </c>
      <c r="D106" t="s">
        <v>43</v>
      </c>
      <c r="E106" s="187">
        <v>0</v>
      </c>
      <c r="F106" s="187"/>
      <c r="G106" s="187">
        <v>358.1563932345598</v>
      </c>
      <c r="H106" s="187">
        <v>636</v>
      </c>
      <c r="I106" s="187">
        <v>994.1563720703125</v>
      </c>
      <c r="J106" s="187">
        <v>636</v>
      </c>
      <c r="K106" t="s">
        <v>9015</v>
      </c>
    </row>
    <row r="107" spans="2:11" x14ac:dyDescent="0.45">
      <c r="B107" s="187">
        <v>2024</v>
      </c>
      <c r="C107" t="s">
        <v>36</v>
      </c>
      <c r="D107" t="s">
        <v>43</v>
      </c>
      <c r="E107" s="187">
        <v>304.34560956799999</v>
      </c>
      <c r="F107" s="187">
        <v>10</v>
      </c>
      <c r="G107" s="187">
        <v>1741.929762024256</v>
      </c>
      <c r="H107" s="187">
        <v>313</v>
      </c>
      <c r="I107" s="187">
        <v>2369.275390625</v>
      </c>
      <c r="J107" s="187">
        <v>617.3455810546875</v>
      </c>
      <c r="K107" t="s">
        <v>9016</v>
      </c>
    </row>
    <row r="108" spans="2:11" x14ac:dyDescent="0.45">
      <c r="B108" s="187">
        <v>2024</v>
      </c>
      <c r="C108" t="s">
        <v>36</v>
      </c>
      <c r="D108" t="s">
        <v>43</v>
      </c>
      <c r="E108" s="187">
        <v>0</v>
      </c>
      <c r="F108" s="187"/>
      <c r="G108" s="187">
        <v>3.6829777741265397E-2</v>
      </c>
      <c r="H108" s="187">
        <v>0</v>
      </c>
      <c r="I108" s="187">
        <v>3.682977706193924E-2</v>
      </c>
      <c r="J108" s="187">
        <v>0</v>
      </c>
      <c r="K108" t="s">
        <v>9017</v>
      </c>
    </row>
    <row r="109" spans="2:11" x14ac:dyDescent="0.45">
      <c r="B109" s="187">
        <v>2024</v>
      </c>
      <c r="C109" t="s">
        <v>36</v>
      </c>
      <c r="D109" t="s">
        <v>43</v>
      </c>
      <c r="E109" s="187">
        <v>0</v>
      </c>
      <c r="F109" s="187">
        <v>475</v>
      </c>
      <c r="G109" s="187">
        <v>2.6368934048397361</v>
      </c>
      <c r="H109" s="187">
        <v>0</v>
      </c>
      <c r="I109" s="187">
        <v>477.63690185546875</v>
      </c>
      <c r="J109" s="187">
        <v>0</v>
      </c>
      <c r="K109" t="s">
        <v>9018</v>
      </c>
    </row>
    <row r="110" spans="2:11" x14ac:dyDescent="0.45">
      <c r="B110" s="187">
        <v>2024</v>
      </c>
      <c r="C110" t="s">
        <v>36</v>
      </c>
      <c r="D110" t="s">
        <v>43</v>
      </c>
      <c r="E110" s="187">
        <v>0</v>
      </c>
      <c r="F110" s="187">
        <v>425</v>
      </c>
      <c r="G110" s="187">
        <v>1.746582272105393</v>
      </c>
      <c r="H110" s="187">
        <v>0</v>
      </c>
      <c r="I110" s="187">
        <v>426.74658203125</v>
      </c>
      <c r="J110" s="187">
        <v>0</v>
      </c>
      <c r="K110" t="s">
        <v>9019</v>
      </c>
    </row>
    <row r="111" spans="2:11" x14ac:dyDescent="0.45">
      <c r="B111" s="187">
        <v>2024</v>
      </c>
      <c r="C111" t="s">
        <v>36</v>
      </c>
      <c r="D111" t="s">
        <v>43</v>
      </c>
      <c r="E111" s="187">
        <v>0</v>
      </c>
      <c r="F111" s="187">
        <v>50</v>
      </c>
      <c r="G111" s="187">
        <v>0.84669955871512914</v>
      </c>
      <c r="H111" s="187">
        <v>0</v>
      </c>
      <c r="I111" s="187">
        <v>50.846698760986328</v>
      </c>
      <c r="J111" s="187">
        <v>0</v>
      </c>
      <c r="K111" t="s">
        <v>9020</v>
      </c>
    </row>
    <row r="112" spans="2:11" x14ac:dyDescent="0.45">
      <c r="B112" s="187">
        <v>2024</v>
      </c>
      <c r="C112" t="s">
        <v>36</v>
      </c>
      <c r="D112" t="s">
        <v>43</v>
      </c>
      <c r="E112" s="187">
        <v>0</v>
      </c>
      <c r="F112" s="187"/>
      <c r="G112" s="187">
        <v>6.7817962779480002E-3</v>
      </c>
      <c r="H112" s="187">
        <v>0</v>
      </c>
      <c r="I112" s="187">
        <v>6.7817964591085911E-3</v>
      </c>
      <c r="J112" s="187">
        <v>0</v>
      </c>
      <c r="K112" t="s">
        <v>9021</v>
      </c>
    </row>
    <row r="113" spans="2:11" x14ac:dyDescent="0.45">
      <c r="B113" s="187">
        <v>2024</v>
      </c>
      <c r="C113" t="s">
        <v>36</v>
      </c>
      <c r="D113" t="s">
        <v>43</v>
      </c>
      <c r="E113" s="187">
        <v>0</v>
      </c>
      <c r="F113" s="187"/>
      <c r="G113" s="187">
        <v>14.388166504254331</v>
      </c>
      <c r="H113" s="187">
        <v>0</v>
      </c>
      <c r="I113" s="187">
        <v>14.388166427612305</v>
      </c>
      <c r="J113" s="187">
        <v>0</v>
      </c>
      <c r="K113" t="s">
        <v>9022</v>
      </c>
    </row>
    <row r="114" spans="2:11" x14ac:dyDescent="0.45">
      <c r="B114" s="187">
        <v>2024</v>
      </c>
      <c r="C114" t="s">
        <v>36</v>
      </c>
      <c r="D114" t="s">
        <v>43</v>
      </c>
      <c r="E114" s="187">
        <v>2230.6855108032</v>
      </c>
      <c r="F114" s="187"/>
      <c r="G114" s="187">
        <v>1974.827101858996</v>
      </c>
      <c r="H114" s="187">
        <v>1199</v>
      </c>
      <c r="I114" s="187">
        <v>5404.5126953125</v>
      </c>
      <c r="J114" s="187">
        <v>3429.685546875</v>
      </c>
      <c r="K114" t="s">
        <v>9023</v>
      </c>
    </row>
    <row r="115" spans="2:11" x14ac:dyDescent="0.45">
      <c r="B115" s="187">
        <v>2024</v>
      </c>
      <c r="C115" t="s">
        <v>36</v>
      </c>
      <c r="D115" t="s">
        <v>43</v>
      </c>
      <c r="E115" s="187">
        <v>2230.6855108032</v>
      </c>
      <c r="F115" s="187">
        <v>10</v>
      </c>
      <c r="G115" s="187">
        <v>2949.2116541700711</v>
      </c>
      <c r="H115" s="187">
        <v>1741</v>
      </c>
      <c r="I115" s="187">
        <v>6930.89697265625</v>
      </c>
      <c r="J115" s="187">
        <v>3971.685546875</v>
      </c>
      <c r="K115" t="s">
        <v>9024</v>
      </c>
    </row>
    <row r="116" spans="2:11" x14ac:dyDescent="0.45">
      <c r="B116" s="187">
        <v>2024</v>
      </c>
      <c r="C116" t="s">
        <v>36</v>
      </c>
      <c r="D116" t="s">
        <v>43</v>
      </c>
      <c r="E116" s="187">
        <v>0</v>
      </c>
      <c r="F116" s="187"/>
      <c r="G116" s="187">
        <v>957.3469640609012</v>
      </c>
      <c r="H116" s="187">
        <v>433</v>
      </c>
      <c r="I116" s="187">
        <v>1390.346923828125</v>
      </c>
      <c r="J116" s="187">
        <v>433</v>
      </c>
      <c r="K116" t="s">
        <v>9025</v>
      </c>
    </row>
    <row r="117" spans="2:11" x14ac:dyDescent="0.45">
      <c r="B117" s="187">
        <v>2024</v>
      </c>
      <c r="C117" t="s">
        <v>36</v>
      </c>
      <c r="D117" t="s">
        <v>43</v>
      </c>
      <c r="E117" s="187">
        <v>0</v>
      </c>
      <c r="F117" s="187"/>
      <c r="G117" s="187">
        <v>2.649421745918354</v>
      </c>
      <c r="H117" s="187">
        <v>0</v>
      </c>
      <c r="I117" s="187">
        <v>2.6494216918945313</v>
      </c>
      <c r="J117" s="187">
        <v>0</v>
      </c>
      <c r="K117" t="s">
        <v>9026</v>
      </c>
    </row>
    <row r="118" spans="2:11" x14ac:dyDescent="0.45">
      <c r="B118" s="187">
        <v>2024</v>
      </c>
      <c r="C118" t="s">
        <v>36</v>
      </c>
      <c r="D118" t="s">
        <v>43</v>
      </c>
      <c r="E118" s="187">
        <v>0</v>
      </c>
      <c r="F118" s="187">
        <v>10</v>
      </c>
      <c r="G118" s="187">
        <v>0</v>
      </c>
      <c r="H118" s="187">
        <v>109</v>
      </c>
      <c r="I118" s="187">
        <v>119</v>
      </c>
      <c r="J118" s="187">
        <v>109</v>
      </c>
      <c r="K118" t="s">
        <v>9027</v>
      </c>
    </row>
    <row r="119" spans="2:11" x14ac:dyDescent="0.45">
      <c r="B119" s="187">
        <v>2024</v>
      </c>
      <c r="C119" t="s">
        <v>36</v>
      </c>
      <c r="D119" t="s">
        <v>43</v>
      </c>
      <c r="E119" s="187">
        <v>121.73824382719999</v>
      </c>
      <c r="F119" s="187"/>
      <c r="G119" s="187"/>
      <c r="H119" s="187"/>
      <c r="I119" s="187">
        <v>121.73824310302734</v>
      </c>
      <c r="J119" s="187">
        <v>121.73824310302734</v>
      </c>
      <c r="K119" t="s">
        <v>9028</v>
      </c>
    </row>
    <row r="120" spans="2:11" x14ac:dyDescent="0.45">
      <c r="B120" s="187">
        <v>2024</v>
      </c>
      <c r="C120" t="s">
        <v>36</v>
      </c>
      <c r="D120" t="s">
        <v>43</v>
      </c>
      <c r="E120" s="187">
        <v>121.73824382719999</v>
      </c>
      <c r="F120" s="187"/>
      <c r="G120" s="187"/>
      <c r="H120" s="187"/>
      <c r="I120" s="187">
        <v>121.73824310302734</v>
      </c>
      <c r="J120" s="187">
        <v>121.73824310302734</v>
      </c>
      <c r="K120" t="s">
        <v>9029</v>
      </c>
    </row>
    <row r="121" spans="2:11" x14ac:dyDescent="0.45">
      <c r="B121" s="187">
        <v>2024</v>
      </c>
      <c r="C121" t="s">
        <v>36</v>
      </c>
      <c r="D121" t="s">
        <v>43</v>
      </c>
      <c r="E121" s="187">
        <v>121.73824382719999</v>
      </c>
      <c r="F121" s="187"/>
      <c r="G121" s="187"/>
      <c r="H121" s="187"/>
      <c r="I121" s="187">
        <v>121.73824310302734</v>
      </c>
      <c r="J121" s="187">
        <v>121.73824310302734</v>
      </c>
      <c r="K121" t="s">
        <v>9030</v>
      </c>
    </row>
    <row r="122" spans="2:11" x14ac:dyDescent="0.45">
      <c r="B122" s="187">
        <v>2024</v>
      </c>
      <c r="C122" t="s">
        <v>36</v>
      </c>
      <c r="D122" t="s">
        <v>43</v>
      </c>
      <c r="E122" s="187">
        <v>365.21473148159998</v>
      </c>
      <c r="F122" s="187"/>
      <c r="G122" s="187"/>
      <c r="H122" s="187"/>
      <c r="I122" s="187">
        <v>365.2147216796875</v>
      </c>
      <c r="J122" s="187">
        <v>365.2147216796875</v>
      </c>
      <c r="K122" t="s">
        <v>9031</v>
      </c>
    </row>
    <row r="123" spans="2:11" x14ac:dyDescent="0.45">
      <c r="B123" s="187">
        <v>2024</v>
      </c>
      <c r="C123" t="s">
        <v>36</v>
      </c>
      <c r="D123" t="s">
        <v>43</v>
      </c>
      <c r="E123" s="187"/>
      <c r="F123" s="187"/>
      <c r="G123" s="187">
        <v>462.85537836832219</v>
      </c>
      <c r="H123" s="187">
        <v>55</v>
      </c>
      <c r="I123" s="187">
        <v>517.8553466796875</v>
      </c>
      <c r="J123" s="187">
        <v>55</v>
      </c>
      <c r="K123" t="s">
        <v>9032</v>
      </c>
    </row>
    <row r="124" spans="2:11" x14ac:dyDescent="0.45">
      <c r="B124" s="187">
        <v>2024</v>
      </c>
      <c r="C124" t="s">
        <v>36</v>
      </c>
      <c r="D124" t="s">
        <v>43</v>
      </c>
      <c r="E124" s="187"/>
      <c r="F124" s="187"/>
      <c r="G124" s="187">
        <v>0</v>
      </c>
      <c r="H124" s="187">
        <v>66</v>
      </c>
      <c r="I124" s="187">
        <v>66</v>
      </c>
      <c r="J124" s="187">
        <v>66</v>
      </c>
      <c r="K124" t="s">
        <v>9033</v>
      </c>
    </row>
    <row r="125" spans="2:11" x14ac:dyDescent="0.45">
      <c r="B125" s="187">
        <v>2024</v>
      </c>
      <c r="C125" t="s">
        <v>36</v>
      </c>
      <c r="D125" t="s">
        <v>43</v>
      </c>
      <c r="E125" s="187"/>
      <c r="F125" s="187"/>
      <c r="G125" s="187">
        <v>0</v>
      </c>
      <c r="H125" s="187">
        <v>0</v>
      </c>
      <c r="I125" s="187">
        <v>0</v>
      </c>
      <c r="J125" s="187">
        <v>0</v>
      </c>
      <c r="K125" t="s">
        <v>9034</v>
      </c>
    </row>
    <row r="126" spans="2:11" x14ac:dyDescent="0.45">
      <c r="B126" s="187">
        <v>2024</v>
      </c>
      <c r="C126" t="s">
        <v>36</v>
      </c>
      <c r="D126" t="s">
        <v>43</v>
      </c>
      <c r="E126" s="187"/>
      <c r="F126" s="187">
        <v>0</v>
      </c>
      <c r="G126" s="187">
        <v>462.85537836832219</v>
      </c>
      <c r="H126" s="187">
        <v>121</v>
      </c>
      <c r="I126" s="187">
        <v>583.8553466796875</v>
      </c>
      <c r="J126" s="187">
        <v>121</v>
      </c>
      <c r="K126" t="s">
        <v>9035</v>
      </c>
    </row>
    <row r="127" spans="2:11" x14ac:dyDescent="0.45">
      <c r="B127" s="187">
        <v>2025</v>
      </c>
      <c r="C127" t="s">
        <v>36</v>
      </c>
      <c r="D127" t="s">
        <v>43</v>
      </c>
      <c r="E127" s="187">
        <v>3745.7921177600001</v>
      </c>
      <c r="F127" s="187">
        <v>495</v>
      </c>
      <c r="G127" s="187">
        <v>4565.0450293516387</v>
      </c>
      <c r="H127" s="187">
        <v>3113</v>
      </c>
      <c r="I127" s="187">
        <v>11918.8369140625</v>
      </c>
      <c r="J127" s="187">
        <v>6858.7919921875</v>
      </c>
      <c r="K127" t="s">
        <v>9084</v>
      </c>
    </row>
    <row r="128" spans="2:11" x14ac:dyDescent="0.45">
      <c r="B128" s="187">
        <v>2025</v>
      </c>
      <c r="C128" t="s">
        <v>36</v>
      </c>
      <c r="D128" t="s">
        <v>43</v>
      </c>
      <c r="E128" s="187">
        <v>0</v>
      </c>
      <c r="F128" s="187"/>
      <c r="G128" s="187">
        <v>0</v>
      </c>
      <c r="H128" s="187">
        <v>0</v>
      </c>
      <c r="I128" s="187">
        <v>0</v>
      </c>
      <c r="J128" s="187">
        <v>0</v>
      </c>
      <c r="K128" t="s">
        <v>9085</v>
      </c>
    </row>
    <row r="129" spans="2:11" x14ac:dyDescent="0.45">
      <c r="B129" s="187">
        <v>2025</v>
      </c>
      <c r="C129" t="s">
        <v>36</v>
      </c>
      <c r="D129" t="s">
        <v>43</v>
      </c>
      <c r="E129" s="187">
        <v>3745.7921177600001</v>
      </c>
      <c r="F129" s="187">
        <v>495</v>
      </c>
      <c r="G129" s="187">
        <v>4565.0450293516387</v>
      </c>
      <c r="H129" s="187">
        <v>3113</v>
      </c>
      <c r="I129" s="187">
        <v>11918.8369140625</v>
      </c>
      <c r="J129" s="187">
        <v>6858.7919921875</v>
      </c>
      <c r="K129" t="s">
        <v>9086</v>
      </c>
    </row>
    <row r="130" spans="2:11" x14ac:dyDescent="0.45">
      <c r="B130" s="187">
        <v>2025</v>
      </c>
      <c r="C130" t="s">
        <v>36</v>
      </c>
      <c r="D130" t="s">
        <v>43</v>
      </c>
      <c r="E130" s="187">
        <v>545.88289648639989</v>
      </c>
      <c r="F130" s="187">
        <v>10</v>
      </c>
      <c r="G130" s="187">
        <v>1566.273083160843</v>
      </c>
      <c r="H130" s="187">
        <v>1105</v>
      </c>
      <c r="I130" s="187">
        <v>3227.156005859375</v>
      </c>
      <c r="J130" s="187">
        <v>1650.8828125</v>
      </c>
      <c r="K130" t="s">
        <v>9087</v>
      </c>
    </row>
    <row r="131" spans="2:11" x14ac:dyDescent="0.45">
      <c r="B131" s="187">
        <v>2025</v>
      </c>
      <c r="C131" t="s">
        <v>36</v>
      </c>
      <c r="D131" t="s">
        <v>43</v>
      </c>
      <c r="E131" s="187">
        <v>149.8316847104</v>
      </c>
      <c r="F131" s="187"/>
      <c r="G131" s="187">
        <v>126.9159610247555</v>
      </c>
      <c r="H131" s="187">
        <v>248</v>
      </c>
      <c r="I131" s="187">
        <v>524.7476806640625</v>
      </c>
      <c r="J131" s="187">
        <v>397.8316650390625</v>
      </c>
      <c r="K131" t="s">
        <v>9088</v>
      </c>
    </row>
    <row r="132" spans="2:11" x14ac:dyDescent="0.45">
      <c r="B132" s="187">
        <v>2025</v>
      </c>
      <c r="C132" t="s">
        <v>36</v>
      </c>
      <c r="D132" t="s">
        <v>43</v>
      </c>
      <c r="E132" s="187">
        <v>21.472000000000001</v>
      </c>
      <c r="F132" s="187"/>
      <c r="G132" s="187">
        <v>35.893357606402738</v>
      </c>
      <c r="H132" s="187">
        <v>0</v>
      </c>
      <c r="I132" s="187">
        <v>57.3653564453125</v>
      </c>
      <c r="J132" s="187">
        <v>21.472000122070313</v>
      </c>
      <c r="K132" t="s">
        <v>9089</v>
      </c>
    </row>
    <row r="133" spans="2:11" x14ac:dyDescent="0.45">
      <c r="B133" s="187">
        <v>2025</v>
      </c>
      <c r="C133" t="s">
        <v>36</v>
      </c>
      <c r="D133" t="s">
        <v>43</v>
      </c>
      <c r="E133" s="187">
        <v>0</v>
      </c>
      <c r="F133" s="187"/>
      <c r="G133" s="187">
        <v>17.400205264600132</v>
      </c>
      <c r="H133" s="187">
        <v>0</v>
      </c>
      <c r="I133" s="187">
        <v>17.400205612182617</v>
      </c>
      <c r="J133" s="187">
        <v>0</v>
      </c>
      <c r="K133" t="s">
        <v>9090</v>
      </c>
    </row>
    <row r="134" spans="2:11" x14ac:dyDescent="0.45">
      <c r="B134" s="187">
        <v>2025</v>
      </c>
      <c r="C134" t="s">
        <v>36</v>
      </c>
      <c r="D134" t="s">
        <v>43</v>
      </c>
      <c r="E134" s="187">
        <v>0</v>
      </c>
      <c r="F134" s="187"/>
      <c r="G134" s="187">
        <v>0.1393701533021573</v>
      </c>
      <c r="H134" s="187">
        <v>537</v>
      </c>
      <c r="I134" s="187">
        <v>537.13934326171875</v>
      </c>
      <c r="J134" s="187">
        <v>537</v>
      </c>
      <c r="K134" t="s">
        <v>9091</v>
      </c>
    </row>
    <row r="135" spans="2:11" x14ac:dyDescent="0.45">
      <c r="B135" s="187">
        <v>2025</v>
      </c>
      <c r="C135" t="s">
        <v>36</v>
      </c>
      <c r="D135" t="s">
        <v>43</v>
      </c>
      <c r="E135" s="187">
        <v>374.57921177600002</v>
      </c>
      <c r="F135" s="187">
        <v>10</v>
      </c>
      <c r="G135" s="187">
        <v>1385.924189111782</v>
      </c>
      <c r="H135" s="187">
        <v>320</v>
      </c>
      <c r="I135" s="187">
        <v>2090.50341796875</v>
      </c>
      <c r="J135" s="187">
        <v>694.5792236328125</v>
      </c>
      <c r="K135" t="s">
        <v>9092</v>
      </c>
    </row>
    <row r="136" spans="2:11" x14ac:dyDescent="0.45">
      <c r="B136" s="187">
        <v>2025</v>
      </c>
      <c r="C136" t="s">
        <v>36</v>
      </c>
      <c r="D136" t="s">
        <v>43</v>
      </c>
      <c r="E136" s="187">
        <v>0</v>
      </c>
      <c r="F136" s="187"/>
      <c r="G136" s="187">
        <v>4.0986008530789098E-2</v>
      </c>
      <c r="H136" s="187">
        <v>0</v>
      </c>
      <c r="I136" s="187">
        <v>4.0986008942127228E-2</v>
      </c>
      <c r="J136" s="187">
        <v>0</v>
      </c>
      <c r="K136" t="s">
        <v>9093</v>
      </c>
    </row>
    <row r="137" spans="2:11" x14ac:dyDescent="0.45">
      <c r="B137" s="187">
        <v>2025</v>
      </c>
      <c r="C137" t="s">
        <v>36</v>
      </c>
      <c r="D137" t="s">
        <v>43</v>
      </c>
      <c r="E137" s="187">
        <v>0</v>
      </c>
      <c r="F137" s="187">
        <v>475</v>
      </c>
      <c r="G137" s="187">
        <v>2.9344661362007369</v>
      </c>
      <c r="H137" s="187">
        <v>0</v>
      </c>
      <c r="I137" s="187">
        <v>477.93447875976563</v>
      </c>
      <c r="J137" s="187">
        <v>0</v>
      </c>
      <c r="K137" t="s">
        <v>9094</v>
      </c>
    </row>
    <row r="138" spans="2:11" x14ac:dyDescent="0.45">
      <c r="B138" s="187">
        <v>2025</v>
      </c>
      <c r="C138" t="s">
        <v>36</v>
      </c>
      <c r="D138" t="s">
        <v>43</v>
      </c>
      <c r="E138" s="187">
        <v>0</v>
      </c>
      <c r="F138" s="187">
        <v>425</v>
      </c>
      <c r="G138" s="187">
        <v>1.9436836248954561</v>
      </c>
      <c r="H138" s="187">
        <v>0</v>
      </c>
      <c r="I138" s="187">
        <v>426.94369506835938</v>
      </c>
      <c r="J138" s="187">
        <v>0</v>
      </c>
      <c r="K138" t="s">
        <v>9095</v>
      </c>
    </row>
    <row r="139" spans="2:11" x14ac:dyDescent="0.45">
      <c r="B139" s="187">
        <v>2025</v>
      </c>
      <c r="C139" t="s">
        <v>36</v>
      </c>
      <c r="D139" t="s">
        <v>43</v>
      </c>
      <c r="E139" s="187">
        <v>0</v>
      </c>
      <c r="F139" s="187">
        <v>50</v>
      </c>
      <c r="G139" s="187">
        <v>0.94224938255957413</v>
      </c>
      <c r="H139" s="187">
        <v>0</v>
      </c>
      <c r="I139" s="187">
        <v>50.942249298095703</v>
      </c>
      <c r="J139" s="187">
        <v>0</v>
      </c>
      <c r="K139" t="s">
        <v>9096</v>
      </c>
    </row>
    <row r="140" spans="2:11" x14ac:dyDescent="0.45">
      <c r="B140" s="187">
        <v>2025</v>
      </c>
      <c r="C140" t="s">
        <v>36</v>
      </c>
      <c r="D140" t="s">
        <v>43</v>
      </c>
      <c r="E140" s="187">
        <v>0</v>
      </c>
      <c r="F140" s="187"/>
      <c r="G140" s="187">
        <v>7.5471202149183002E-3</v>
      </c>
      <c r="H140" s="187">
        <v>0</v>
      </c>
      <c r="I140" s="187">
        <v>7.5471200980246067E-3</v>
      </c>
      <c r="J140" s="187">
        <v>0</v>
      </c>
      <c r="K140" t="s">
        <v>9097</v>
      </c>
    </row>
    <row r="141" spans="2:11" x14ac:dyDescent="0.45">
      <c r="B141" s="187">
        <v>2025</v>
      </c>
      <c r="C141" t="s">
        <v>36</v>
      </c>
      <c r="D141" t="s">
        <v>43</v>
      </c>
      <c r="E141" s="187">
        <v>0</v>
      </c>
      <c r="F141" s="187"/>
      <c r="G141" s="187">
        <v>16.01186733269493</v>
      </c>
      <c r="H141" s="187">
        <v>0</v>
      </c>
      <c r="I141" s="187">
        <v>16.011867523193359</v>
      </c>
      <c r="J141" s="187">
        <v>0</v>
      </c>
      <c r="K141" t="s">
        <v>9098</v>
      </c>
    </row>
    <row r="142" spans="2:11" x14ac:dyDescent="0.45">
      <c r="B142" s="187">
        <v>2025</v>
      </c>
      <c r="C142" t="s">
        <v>36</v>
      </c>
      <c r="D142" t="s">
        <v>43</v>
      </c>
      <c r="E142" s="187">
        <v>2750.4141671423999</v>
      </c>
      <c r="F142" s="187"/>
      <c r="G142" s="187">
        <v>1754.4006390547841</v>
      </c>
      <c r="H142" s="187">
        <v>1199</v>
      </c>
      <c r="I142" s="187">
        <v>5703.81494140625</v>
      </c>
      <c r="J142" s="187">
        <v>3949.4140625</v>
      </c>
      <c r="K142" t="s">
        <v>9099</v>
      </c>
    </row>
    <row r="143" spans="2:11" x14ac:dyDescent="0.45">
      <c r="B143" s="187">
        <v>2025</v>
      </c>
      <c r="C143" t="s">
        <v>36</v>
      </c>
      <c r="D143" t="s">
        <v>43</v>
      </c>
      <c r="E143" s="187">
        <v>2750.4141671423999</v>
      </c>
      <c r="F143" s="187">
        <v>10</v>
      </c>
      <c r="G143" s="187">
        <v>2623.8506228544388</v>
      </c>
      <c r="H143" s="187">
        <v>1731</v>
      </c>
      <c r="I143" s="187">
        <v>7115.2646484375</v>
      </c>
      <c r="J143" s="187">
        <v>4481.4140625</v>
      </c>
      <c r="K143" t="s">
        <v>9100</v>
      </c>
    </row>
    <row r="144" spans="2:11" x14ac:dyDescent="0.45">
      <c r="B144" s="187">
        <v>2025</v>
      </c>
      <c r="C144" t="s">
        <v>36</v>
      </c>
      <c r="D144" t="s">
        <v>43</v>
      </c>
      <c r="E144" s="187">
        <v>0</v>
      </c>
      <c r="F144" s="187"/>
      <c r="G144" s="187">
        <v>850.48970816966482</v>
      </c>
      <c r="H144" s="187">
        <v>433</v>
      </c>
      <c r="I144" s="187">
        <v>1283.48974609375</v>
      </c>
      <c r="J144" s="187">
        <v>433</v>
      </c>
      <c r="K144" t="s">
        <v>9101</v>
      </c>
    </row>
    <row r="145" spans="2:11" x14ac:dyDescent="0.45">
      <c r="B145" s="187">
        <v>2025</v>
      </c>
      <c r="C145" t="s">
        <v>36</v>
      </c>
      <c r="D145" t="s">
        <v>43</v>
      </c>
      <c r="E145" s="187">
        <v>0</v>
      </c>
      <c r="F145" s="187"/>
      <c r="G145" s="187">
        <v>2.9484082972947361</v>
      </c>
      <c r="H145" s="187">
        <v>0</v>
      </c>
      <c r="I145" s="187">
        <v>2.9484083652496338</v>
      </c>
      <c r="J145" s="187">
        <v>0</v>
      </c>
      <c r="K145" t="s">
        <v>9102</v>
      </c>
    </row>
    <row r="146" spans="2:11" x14ac:dyDescent="0.45">
      <c r="B146" s="187">
        <v>2025</v>
      </c>
      <c r="C146" t="s">
        <v>36</v>
      </c>
      <c r="D146" t="s">
        <v>43</v>
      </c>
      <c r="E146" s="187">
        <v>0</v>
      </c>
      <c r="F146" s="187">
        <v>10</v>
      </c>
      <c r="G146" s="187">
        <v>0</v>
      </c>
      <c r="H146" s="187">
        <v>99</v>
      </c>
      <c r="I146" s="187">
        <v>109</v>
      </c>
      <c r="J146" s="187">
        <v>99</v>
      </c>
      <c r="K146" t="s">
        <v>9103</v>
      </c>
    </row>
    <row r="147" spans="2:11" x14ac:dyDescent="0.45">
      <c r="B147" s="187">
        <v>2025</v>
      </c>
      <c r="C147" t="s">
        <v>36</v>
      </c>
      <c r="D147" t="s">
        <v>43</v>
      </c>
      <c r="E147" s="187">
        <v>149.8316847104</v>
      </c>
      <c r="F147" s="187"/>
      <c r="G147" s="187"/>
      <c r="H147" s="187"/>
      <c r="I147" s="187">
        <v>149.83168029785156</v>
      </c>
      <c r="J147" s="187">
        <v>149.83168029785156</v>
      </c>
      <c r="K147" t="s">
        <v>9104</v>
      </c>
    </row>
    <row r="148" spans="2:11" x14ac:dyDescent="0.45">
      <c r="B148" s="187">
        <v>2025</v>
      </c>
      <c r="C148" t="s">
        <v>36</v>
      </c>
      <c r="D148" t="s">
        <v>43</v>
      </c>
      <c r="E148" s="187">
        <v>149.8316847104</v>
      </c>
      <c r="F148" s="187"/>
      <c r="G148" s="187"/>
      <c r="H148" s="187"/>
      <c r="I148" s="187">
        <v>149.83168029785156</v>
      </c>
      <c r="J148" s="187">
        <v>149.83168029785156</v>
      </c>
      <c r="K148" t="s">
        <v>9105</v>
      </c>
    </row>
    <row r="149" spans="2:11" x14ac:dyDescent="0.45">
      <c r="B149" s="187">
        <v>2025</v>
      </c>
      <c r="C149" t="s">
        <v>36</v>
      </c>
      <c r="D149" t="s">
        <v>43</v>
      </c>
      <c r="E149" s="187">
        <v>149.8316847104</v>
      </c>
      <c r="F149" s="187"/>
      <c r="G149" s="187"/>
      <c r="H149" s="187"/>
      <c r="I149" s="187">
        <v>149.83168029785156</v>
      </c>
      <c r="J149" s="187">
        <v>149.83168029785156</v>
      </c>
      <c r="K149" t="s">
        <v>9106</v>
      </c>
    </row>
    <row r="150" spans="2:11" x14ac:dyDescent="0.45">
      <c r="B150" s="187">
        <v>2025</v>
      </c>
      <c r="C150" t="s">
        <v>36</v>
      </c>
      <c r="D150" t="s">
        <v>43</v>
      </c>
      <c r="E150" s="187">
        <v>449.49505413119999</v>
      </c>
      <c r="F150" s="187"/>
      <c r="G150" s="187"/>
      <c r="H150" s="187"/>
      <c r="I150" s="187">
        <v>449.49505615234375</v>
      </c>
      <c r="J150" s="187">
        <v>449.49505615234375</v>
      </c>
      <c r="K150" t="s">
        <v>9107</v>
      </c>
    </row>
    <row r="151" spans="2:11" x14ac:dyDescent="0.45">
      <c r="B151" s="187">
        <v>2025</v>
      </c>
      <c r="C151" t="s">
        <v>36</v>
      </c>
      <c r="D151" t="s">
        <v>43</v>
      </c>
      <c r="E151" s="187"/>
      <c r="F151" s="187"/>
      <c r="G151" s="187">
        <v>371.98685720015629</v>
      </c>
      <c r="H151" s="187">
        <v>55</v>
      </c>
      <c r="I151" s="187">
        <v>426.98684692382813</v>
      </c>
      <c r="J151" s="187">
        <v>55</v>
      </c>
      <c r="K151" t="s">
        <v>9108</v>
      </c>
    </row>
    <row r="152" spans="2:11" x14ac:dyDescent="0.45">
      <c r="B152" s="187">
        <v>2025</v>
      </c>
      <c r="C152" t="s">
        <v>36</v>
      </c>
      <c r="D152" t="s">
        <v>43</v>
      </c>
      <c r="E152" s="187"/>
      <c r="F152" s="187"/>
      <c r="G152" s="187">
        <v>0</v>
      </c>
      <c r="H152" s="187">
        <v>222</v>
      </c>
      <c r="I152" s="187">
        <v>222</v>
      </c>
      <c r="J152" s="187">
        <v>222</v>
      </c>
      <c r="K152" t="s">
        <v>9109</v>
      </c>
    </row>
    <row r="153" spans="2:11" x14ac:dyDescent="0.45">
      <c r="B153" s="187">
        <v>2025</v>
      </c>
      <c r="C153" t="s">
        <v>36</v>
      </c>
      <c r="D153" t="s">
        <v>43</v>
      </c>
      <c r="E153" s="187"/>
      <c r="F153" s="187"/>
      <c r="G153" s="187">
        <v>0</v>
      </c>
      <c r="H153" s="187">
        <v>0</v>
      </c>
      <c r="I153" s="187">
        <v>0</v>
      </c>
      <c r="J153" s="187">
        <v>0</v>
      </c>
      <c r="K153" t="s">
        <v>9110</v>
      </c>
    </row>
    <row r="154" spans="2:11" x14ac:dyDescent="0.45">
      <c r="B154" s="187">
        <v>2025</v>
      </c>
      <c r="C154" t="s">
        <v>36</v>
      </c>
      <c r="D154" t="s">
        <v>43</v>
      </c>
      <c r="E154" s="187"/>
      <c r="F154" s="187">
        <v>0</v>
      </c>
      <c r="G154" s="187">
        <v>371.98685720015629</v>
      </c>
      <c r="H154" s="187">
        <v>277</v>
      </c>
      <c r="I154" s="187">
        <v>648.98681640625</v>
      </c>
      <c r="J154" s="187">
        <v>277</v>
      </c>
      <c r="K154" t="s">
        <v>9111</v>
      </c>
    </row>
    <row r="155" spans="2:11" x14ac:dyDescent="0.45">
      <c r="B155" s="187">
        <v>2026</v>
      </c>
      <c r="C155" t="s">
        <v>36</v>
      </c>
      <c r="D155" t="s">
        <v>43</v>
      </c>
      <c r="E155" s="187">
        <v>3745.7921177600001</v>
      </c>
      <c r="F155" s="187">
        <v>495</v>
      </c>
      <c r="G155" s="187">
        <v>4014.8469243311461</v>
      </c>
      <c r="H155" s="187">
        <v>3026</v>
      </c>
      <c r="I155" s="187">
        <v>11281.638671875</v>
      </c>
      <c r="J155" s="187">
        <v>6771.7919921875</v>
      </c>
      <c r="K155" t="s">
        <v>9160</v>
      </c>
    </row>
    <row r="156" spans="2:11" x14ac:dyDescent="0.45">
      <c r="B156" s="187">
        <v>2026</v>
      </c>
      <c r="C156" t="s">
        <v>36</v>
      </c>
      <c r="D156" t="s">
        <v>43</v>
      </c>
      <c r="E156" s="187">
        <v>0</v>
      </c>
      <c r="F156" s="187"/>
      <c r="G156" s="187">
        <v>0</v>
      </c>
      <c r="H156" s="187">
        <v>0</v>
      </c>
      <c r="I156" s="187">
        <v>0</v>
      </c>
      <c r="J156" s="187">
        <v>0</v>
      </c>
      <c r="K156" t="s">
        <v>9161</v>
      </c>
    </row>
    <row r="157" spans="2:11" x14ac:dyDescent="0.45">
      <c r="B157" s="187">
        <v>2026</v>
      </c>
      <c r="C157" t="s">
        <v>36</v>
      </c>
      <c r="D157" t="s">
        <v>43</v>
      </c>
      <c r="E157" s="187">
        <v>3745.7921177600001</v>
      </c>
      <c r="F157" s="187">
        <v>495</v>
      </c>
      <c r="G157" s="187">
        <v>4014.8469243311461</v>
      </c>
      <c r="H157" s="187">
        <v>3026</v>
      </c>
      <c r="I157" s="187">
        <v>11281.638671875</v>
      </c>
      <c r="J157" s="187">
        <v>6771.7919921875</v>
      </c>
      <c r="K157" t="s">
        <v>9162</v>
      </c>
    </row>
    <row r="158" spans="2:11" x14ac:dyDescent="0.45">
      <c r="B158" s="187">
        <v>2026</v>
      </c>
      <c r="C158" t="s">
        <v>36</v>
      </c>
      <c r="D158" t="s">
        <v>43</v>
      </c>
      <c r="E158" s="187">
        <v>545.88289648639989</v>
      </c>
      <c r="F158" s="187">
        <v>10</v>
      </c>
      <c r="G158" s="187">
        <v>1047.0587633010141</v>
      </c>
      <c r="H158" s="187">
        <v>1117</v>
      </c>
      <c r="I158" s="187">
        <v>2719.941650390625</v>
      </c>
      <c r="J158" s="187">
        <v>1662.8828125</v>
      </c>
      <c r="K158" t="s">
        <v>9163</v>
      </c>
    </row>
    <row r="159" spans="2:11" x14ac:dyDescent="0.45">
      <c r="B159" s="187">
        <v>2026</v>
      </c>
      <c r="C159" t="s">
        <v>36</v>
      </c>
      <c r="D159" t="s">
        <v>43</v>
      </c>
      <c r="E159" s="187">
        <v>149.8316847104</v>
      </c>
      <c r="F159" s="187"/>
      <c r="G159" s="187">
        <v>90.670029195022181</v>
      </c>
      <c r="H159" s="187">
        <v>248</v>
      </c>
      <c r="I159" s="187">
        <v>488.501708984375</v>
      </c>
      <c r="J159" s="187">
        <v>397.8316650390625</v>
      </c>
      <c r="K159" t="s">
        <v>9164</v>
      </c>
    </row>
    <row r="160" spans="2:11" x14ac:dyDescent="0.45">
      <c r="B160" s="187">
        <v>2026</v>
      </c>
      <c r="C160" t="s">
        <v>36</v>
      </c>
      <c r="D160" t="s">
        <v>43</v>
      </c>
      <c r="E160" s="187">
        <v>21.472000000000001</v>
      </c>
      <c r="F160" s="187"/>
      <c r="G160" s="187">
        <v>35.905146586203657</v>
      </c>
      <c r="H160" s="187">
        <v>0</v>
      </c>
      <c r="I160" s="187">
        <v>57.377147674560547</v>
      </c>
      <c r="J160" s="187">
        <v>21.472000122070313</v>
      </c>
      <c r="K160" t="s">
        <v>9165</v>
      </c>
    </row>
    <row r="161" spans="2:11" x14ac:dyDescent="0.45">
      <c r="B161" s="187">
        <v>2026</v>
      </c>
      <c r="C161" t="s">
        <v>36</v>
      </c>
      <c r="D161" t="s">
        <v>43</v>
      </c>
      <c r="E161" s="187">
        <v>0</v>
      </c>
      <c r="F161" s="187"/>
      <c r="G161" s="187">
        <v>17.405920268212931</v>
      </c>
      <c r="H161" s="187">
        <v>0</v>
      </c>
      <c r="I161" s="187">
        <v>17.405920028686523</v>
      </c>
      <c r="J161" s="187">
        <v>0</v>
      </c>
      <c r="K161" t="s">
        <v>9166</v>
      </c>
    </row>
    <row r="162" spans="2:11" x14ac:dyDescent="0.45">
      <c r="B162" s="187">
        <v>2026</v>
      </c>
      <c r="C162" t="s">
        <v>36</v>
      </c>
      <c r="D162" t="s">
        <v>43</v>
      </c>
      <c r="E162" s="187">
        <v>0</v>
      </c>
      <c r="F162" s="187"/>
      <c r="G162" s="187">
        <v>0.13941592867764999</v>
      </c>
      <c r="H162" s="187">
        <v>523</v>
      </c>
      <c r="I162" s="187">
        <v>523.139404296875</v>
      </c>
      <c r="J162" s="187">
        <v>523</v>
      </c>
      <c r="K162" t="s">
        <v>9167</v>
      </c>
    </row>
    <row r="163" spans="2:11" x14ac:dyDescent="0.45">
      <c r="B163" s="187">
        <v>2026</v>
      </c>
      <c r="C163" t="s">
        <v>36</v>
      </c>
      <c r="D163" t="s">
        <v>43</v>
      </c>
      <c r="E163" s="187">
        <v>374.57921177600002</v>
      </c>
      <c r="F163" s="187">
        <v>10</v>
      </c>
      <c r="G163" s="187">
        <v>902.93825132289749</v>
      </c>
      <c r="H163" s="187">
        <v>346</v>
      </c>
      <c r="I163" s="187">
        <v>1633.5174560546875</v>
      </c>
      <c r="J163" s="187">
        <v>720.5792236328125</v>
      </c>
      <c r="K163" t="s">
        <v>9168</v>
      </c>
    </row>
    <row r="164" spans="2:11" x14ac:dyDescent="0.45">
      <c r="B164" s="187">
        <v>2026</v>
      </c>
      <c r="C164" t="s">
        <v>36</v>
      </c>
      <c r="D164" t="s">
        <v>43</v>
      </c>
      <c r="E164" s="187">
        <v>0</v>
      </c>
      <c r="F164" s="187"/>
      <c r="G164" s="187">
        <v>4.09994701643311E-2</v>
      </c>
      <c r="H164" s="187">
        <v>0</v>
      </c>
      <c r="I164" s="187">
        <v>4.0999468415975571E-2</v>
      </c>
      <c r="J164" s="187">
        <v>0</v>
      </c>
      <c r="K164" t="s">
        <v>9169</v>
      </c>
    </row>
    <row r="165" spans="2:11" x14ac:dyDescent="0.45">
      <c r="B165" s="187">
        <v>2026</v>
      </c>
      <c r="C165" t="s">
        <v>36</v>
      </c>
      <c r="D165" t="s">
        <v>43</v>
      </c>
      <c r="E165" s="187">
        <v>0</v>
      </c>
      <c r="F165" s="187">
        <v>475</v>
      </c>
      <c r="G165" s="187">
        <v>2.9354299457831532</v>
      </c>
      <c r="H165" s="187">
        <v>0</v>
      </c>
      <c r="I165" s="187">
        <v>477.9354248046875</v>
      </c>
      <c r="J165" s="187">
        <v>0</v>
      </c>
      <c r="K165" t="s">
        <v>9170</v>
      </c>
    </row>
    <row r="166" spans="2:11" x14ac:dyDescent="0.45">
      <c r="B166" s="187">
        <v>2026</v>
      </c>
      <c r="C166" t="s">
        <v>36</v>
      </c>
      <c r="D166" t="s">
        <v>43</v>
      </c>
      <c r="E166" s="187">
        <v>0</v>
      </c>
      <c r="F166" s="187">
        <v>425</v>
      </c>
      <c r="G166" s="187">
        <v>1.944322017303447</v>
      </c>
      <c r="H166" s="187">
        <v>0</v>
      </c>
      <c r="I166" s="187">
        <v>426.9443359375</v>
      </c>
      <c r="J166" s="187">
        <v>0</v>
      </c>
      <c r="K166" t="s">
        <v>9171</v>
      </c>
    </row>
    <row r="167" spans="2:11" x14ac:dyDescent="0.45">
      <c r="B167" s="187">
        <v>2026</v>
      </c>
      <c r="C167" t="s">
        <v>36</v>
      </c>
      <c r="D167" t="s">
        <v>43</v>
      </c>
      <c r="E167" s="187">
        <v>0</v>
      </c>
      <c r="F167" s="187">
        <v>50</v>
      </c>
      <c r="G167" s="187">
        <v>0.94255885928950889</v>
      </c>
      <c r="H167" s="187">
        <v>0</v>
      </c>
      <c r="I167" s="187">
        <v>50.942558288574219</v>
      </c>
      <c r="J167" s="187">
        <v>0</v>
      </c>
      <c r="K167" t="s">
        <v>9172</v>
      </c>
    </row>
    <row r="168" spans="2:11" x14ac:dyDescent="0.45">
      <c r="B168" s="187">
        <v>2026</v>
      </c>
      <c r="C168" t="s">
        <v>36</v>
      </c>
      <c r="D168" t="s">
        <v>43</v>
      </c>
      <c r="E168" s="187">
        <v>0</v>
      </c>
      <c r="F168" s="187"/>
      <c r="G168" s="187">
        <v>7.5495990258655004E-3</v>
      </c>
      <c r="H168" s="187">
        <v>0</v>
      </c>
      <c r="I168" s="187">
        <v>7.5495988130569458E-3</v>
      </c>
      <c r="J168" s="187">
        <v>0</v>
      </c>
      <c r="K168" t="s">
        <v>9173</v>
      </c>
    </row>
    <row r="169" spans="2:11" x14ac:dyDescent="0.45">
      <c r="B169" s="187">
        <v>2026</v>
      </c>
      <c r="C169" t="s">
        <v>36</v>
      </c>
      <c r="D169" t="s">
        <v>43</v>
      </c>
      <c r="E169" s="187">
        <v>0</v>
      </c>
      <c r="F169" s="187"/>
      <c r="G169" s="187">
        <v>16.01712634419868</v>
      </c>
      <c r="H169" s="187">
        <v>0</v>
      </c>
      <c r="I169" s="187">
        <v>16.017126083374023</v>
      </c>
      <c r="J169" s="187">
        <v>0</v>
      </c>
      <c r="K169" t="s">
        <v>9174</v>
      </c>
    </row>
    <row r="170" spans="2:11" x14ac:dyDescent="0.45">
      <c r="B170" s="187">
        <v>2026</v>
      </c>
      <c r="C170" t="s">
        <v>36</v>
      </c>
      <c r="D170" t="s">
        <v>43</v>
      </c>
      <c r="E170" s="187">
        <v>2750.4141671423999</v>
      </c>
      <c r="F170" s="187"/>
      <c r="G170" s="187">
        <v>1919.872301625802</v>
      </c>
      <c r="H170" s="187">
        <v>1199</v>
      </c>
      <c r="I170" s="187">
        <v>5869.2861328125</v>
      </c>
      <c r="J170" s="187">
        <v>3949.4140625</v>
      </c>
      <c r="K170" t="s">
        <v>9175</v>
      </c>
    </row>
    <row r="171" spans="2:11" x14ac:dyDescent="0.45">
      <c r="B171" s="187">
        <v>2026</v>
      </c>
      <c r="C171" t="s">
        <v>36</v>
      </c>
      <c r="D171" t="s">
        <v>43</v>
      </c>
      <c r="E171" s="187">
        <v>2750.4141671423999</v>
      </c>
      <c r="F171" s="187">
        <v>10</v>
      </c>
      <c r="G171" s="187">
        <v>2869.545051099602</v>
      </c>
      <c r="H171" s="187">
        <v>1632</v>
      </c>
      <c r="I171" s="187">
        <v>7261.958984375</v>
      </c>
      <c r="J171" s="187">
        <v>4382.4140625</v>
      </c>
      <c r="K171" t="s">
        <v>9176</v>
      </c>
    </row>
    <row r="172" spans="2:11" x14ac:dyDescent="0.45">
      <c r="B172" s="187">
        <v>2026</v>
      </c>
      <c r="C172" t="s">
        <v>36</v>
      </c>
      <c r="D172" t="s">
        <v>43</v>
      </c>
      <c r="E172" s="187">
        <v>0</v>
      </c>
      <c r="F172" s="187"/>
      <c r="G172" s="187">
        <v>930.70624644349732</v>
      </c>
      <c r="H172" s="187">
        <v>433</v>
      </c>
      <c r="I172" s="187">
        <v>1363.706298828125</v>
      </c>
      <c r="J172" s="187">
        <v>433</v>
      </c>
      <c r="K172" t="s">
        <v>9177</v>
      </c>
    </row>
    <row r="173" spans="2:11" x14ac:dyDescent="0.45">
      <c r="B173" s="187">
        <v>2026</v>
      </c>
      <c r="C173" t="s">
        <v>36</v>
      </c>
      <c r="D173" t="s">
        <v>43</v>
      </c>
      <c r="E173" s="187">
        <v>0</v>
      </c>
      <c r="F173" s="187"/>
      <c r="G173" s="187">
        <v>2.9493766861047992</v>
      </c>
      <c r="H173" s="187">
        <v>0</v>
      </c>
      <c r="I173" s="187">
        <v>2.9493765830993652</v>
      </c>
      <c r="J173" s="187">
        <v>0</v>
      </c>
      <c r="K173" t="s">
        <v>9178</v>
      </c>
    </row>
    <row r="174" spans="2:11" x14ac:dyDescent="0.45">
      <c r="B174" s="187">
        <v>2026</v>
      </c>
      <c r="C174" t="s">
        <v>36</v>
      </c>
      <c r="D174" t="s">
        <v>43</v>
      </c>
      <c r="E174" s="187">
        <v>0</v>
      </c>
      <c r="F174" s="187">
        <v>10</v>
      </c>
      <c r="G174" s="187">
        <v>0</v>
      </c>
      <c r="H174" s="187">
        <v>0</v>
      </c>
      <c r="I174" s="187">
        <v>10</v>
      </c>
      <c r="J174" s="187">
        <v>0</v>
      </c>
      <c r="K174" t="s">
        <v>9179</v>
      </c>
    </row>
    <row r="175" spans="2:11" x14ac:dyDescent="0.45">
      <c r="B175" s="187">
        <v>2026</v>
      </c>
      <c r="C175" t="s">
        <v>36</v>
      </c>
      <c r="D175" t="s">
        <v>43</v>
      </c>
      <c r="E175" s="187">
        <v>149.8316847104</v>
      </c>
      <c r="F175" s="187"/>
      <c r="G175" s="187"/>
      <c r="H175" s="187"/>
      <c r="I175" s="187">
        <v>149.83168029785156</v>
      </c>
      <c r="J175" s="187">
        <v>149.83168029785156</v>
      </c>
      <c r="K175" t="s">
        <v>9180</v>
      </c>
    </row>
    <row r="176" spans="2:11" x14ac:dyDescent="0.45">
      <c r="B176" s="187">
        <v>2026</v>
      </c>
      <c r="C176" t="s">
        <v>36</v>
      </c>
      <c r="D176" t="s">
        <v>43</v>
      </c>
      <c r="E176" s="187">
        <v>149.8316847104</v>
      </c>
      <c r="F176" s="187"/>
      <c r="G176" s="187"/>
      <c r="H176" s="187"/>
      <c r="I176" s="187">
        <v>149.83168029785156</v>
      </c>
      <c r="J176" s="187">
        <v>149.83168029785156</v>
      </c>
      <c r="K176" t="s">
        <v>9181</v>
      </c>
    </row>
    <row r="177" spans="2:11" x14ac:dyDescent="0.45">
      <c r="B177" s="187">
        <v>2026</v>
      </c>
      <c r="C177" t="s">
        <v>36</v>
      </c>
      <c r="D177" t="s">
        <v>43</v>
      </c>
      <c r="E177" s="187">
        <v>149.8316847104</v>
      </c>
      <c r="F177" s="187"/>
      <c r="G177" s="187"/>
      <c r="H177" s="187"/>
      <c r="I177" s="187">
        <v>149.83168029785156</v>
      </c>
      <c r="J177" s="187">
        <v>149.83168029785156</v>
      </c>
      <c r="K177" t="s">
        <v>9182</v>
      </c>
    </row>
    <row r="178" spans="2:11" x14ac:dyDescent="0.45">
      <c r="B178" s="187">
        <v>2026</v>
      </c>
      <c r="C178" t="s">
        <v>36</v>
      </c>
      <c r="D178" t="s">
        <v>43</v>
      </c>
      <c r="E178" s="187">
        <v>449.49505413119999</v>
      </c>
      <c r="F178" s="187"/>
      <c r="G178" s="187"/>
      <c r="H178" s="187"/>
      <c r="I178" s="187">
        <v>449.49505615234375</v>
      </c>
      <c r="J178" s="187">
        <v>449.49505615234375</v>
      </c>
      <c r="K178" t="s">
        <v>9183</v>
      </c>
    </row>
    <row r="179" spans="2:11" x14ac:dyDescent="0.45">
      <c r="B179" s="187">
        <v>2026</v>
      </c>
      <c r="C179" t="s">
        <v>36</v>
      </c>
      <c r="D179" t="s">
        <v>43</v>
      </c>
      <c r="E179" s="187"/>
      <c r="F179" s="187"/>
      <c r="G179" s="187">
        <v>95.307679984746784</v>
      </c>
      <c r="H179" s="187">
        <v>55</v>
      </c>
      <c r="I179" s="187">
        <v>150.30767822265625</v>
      </c>
      <c r="J179" s="187">
        <v>55</v>
      </c>
      <c r="K179" t="s">
        <v>9184</v>
      </c>
    </row>
    <row r="180" spans="2:11" x14ac:dyDescent="0.45">
      <c r="B180" s="187">
        <v>2026</v>
      </c>
      <c r="C180" t="s">
        <v>36</v>
      </c>
      <c r="D180" t="s">
        <v>43</v>
      </c>
      <c r="E180" s="187"/>
      <c r="F180" s="187"/>
      <c r="G180" s="187">
        <v>0</v>
      </c>
      <c r="H180" s="187">
        <v>222</v>
      </c>
      <c r="I180" s="187">
        <v>222</v>
      </c>
      <c r="J180" s="187">
        <v>222</v>
      </c>
      <c r="K180" t="s">
        <v>9185</v>
      </c>
    </row>
    <row r="181" spans="2:11" x14ac:dyDescent="0.45">
      <c r="B181" s="187">
        <v>2026</v>
      </c>
      <c r="C181" t="s">
        <v>36</v>
      </c>
      <c r="D181" t="s">
        <v>43</v>
      </c>
      <c r="E181" s="187"/>
      <c r="F181" s="187"/>
      <c r="G181" s="187">
        <v>0</v>
      </c>
      <c r="H181" s="187">
        <v>0</v>
      </c>
      <c r="I181" s="187">
        <v>0</v>
      </c>
      <c r="J181" s="187">
        <v>0</v>
      </c>
      <c r="K181" t="s">
        <v>9186</v>
      </c>
    </row>
    <row r="182" spans="2:11" x14ac:dyDescent="0.45">
      <c r="B182" s="187">
        <v>2026</v>
      </c>
      <c r="C182" t="s">
        <v>36</v>
      </c>
      <c r="D182" t="s">
        <v>43</v>
      </c>
      <c r="E182" s="187"/>
      <c r="F182" s="187">
        <v>0</v>
      </c>
      <c r="G182" s="187">
        <v>95.307679984746784</v>
      </c>
      <c r="H182" s="187">
        <v>277</v>
      </c>
      <c r="I182" s="187">
        <v>372.30767822265625</v>
      </c>
      <c r="J182" s="187">
        <v>277</v>
      </c>
      <c r="K182" t="s">
        <v>9187</v>
      </c>
    </row>
    <row r="183" spans="2:11" x14ac:dyDescent="0.45">
      <c r="B183" s="187">
        <v>2027</v>
      </c>
      <c r="C183" t="s">
        <v>36</v>
      </c>
      <c r="D183" t="s">
        <v>43</v>
      </c>
      <c r="E183" s="187">
        <v>3344.4572480000002</v>
      </c>
      <c r="F183" s="187">
        <v>495</v>
      </c>
      <c r="G183" s="187">
        <v>4722.2196321019637</v>
      </c>
      <c r="H183" s="187">
        <v>2938</v>
      </c>
      <c r="I183" s="187">
        <v>11499.6767578125</v>
      </c>
      <c r="J183" s="187">
        <v>6282.45703125</v>
      </c>
      <c r="K183" t="s">
        <v>9236</v>
      </c>
    </row>
    <row r="184" spans="2:11" x14ac:dyDescent="0.45">
      <c r="B184" s="187">
        <v>2027</v>
      </c>
      <c r="C184" t="s">
        <v>36</v>
      </c>
      <c r="D184" t="s">
        <v>43</v>
      </c>
      <c r="E184" s="187">
        <v>0</v>
      </c>
      <c r="F184" s="187"/>
      <c r="G184" s="187">
        <v>0</v>
      </c>
      <c r="H184" s="187">
        <v>0</v>
      </c>
      <c r="I184" s="187">
        <v>0</v>
      </c>
      <c r="J184" s="187">
        <v>0</v>
      </c>
      <c r="K184" t="s">
        <v>9237</v>
      </c>
    </row>
    <row r="185" spans="2:11" x14ac:dyDescent="0.45">
      <c r="B185" s="187">
        <v>2027</v>
      </c>
      <c r="C185" t="s">
        <v>36</v>
      </c>
      <c r="D185" t="s">
        <v>43</v>
      </c>
      <c r="E185" s="187">
        <v>3344.4572480000002</v>
      </c>
      <c r="F185" s="187">
        <v>495</v>
      </c>
      <c r="G185" s="187">
        <v>4722.2196321019637</v>
      </c>
      <c r="H185" s="187">
        <v>2938</v>
      </c>
      <c r="I185" s="187">
        <v>11499.6767578125</v>
      </c>
      <c r="J185" s="187">
        <v>6282.45703125</v>
      </c>
      <c r="K185" t="s">
        <v>9238</v>
      </c>
    </row>
    <row r="186" spans="2:11" x14ac:dyDescent="0.45">
      <c r="B186" s="187">
        <v>2027</v>
      </c>
      <c r="C186" t="s">
        <v>36</v>
      </c>
      <c r="D186" t="s">
        <v>43</v>
      </c>
      <c r="E186" s="187">
        <v>489.69601472000011</v>
      </c>
      <c r="F186" s="187">
        <v>10</v>
      </c>
      <c r="G186" s="187">
        <v>952.75967226097157</v>
      </c>
      <c r="H186" s="187">
        <v>1029</v>
      </c>
      <c r="I186" s="187">
        <v>2481.45556640625</v>
      </c>
      <c r="J186" s="187">
        <v>1518.696044921875</v>
      </c>
      <c r="K186" t="s">
        <v>9239</v>
      </c>
    </row>
    <row r="187" spans="2:11" x14ac:dyDescent="0.45">
      <c r="B187" s="187">
        <v>2027</v>
      </c>
      <c r="C187" t="s">
        <v>36</v>
      </c>
      <c r="D187" t="s">
        <v>43</v>
      </c>
      <c r="E187" s="187">
        <v>133.77828991999999</v>
      </c>
      <c r="F187" s="187"/>
      <c r="G187" s="187">
        <v>0.75365397934920053</v>
      </c>
      <c r="H187" s="187">
        <v>248</v>
      </c>
      <c r="I187" s="187">
        <v>382.53192138671875</v>
      </c>
      <c r="J187" s="187">
        <v>381.77828979492188</v>
      </c>
      <c r="K187" t="s">
        <v>9240</v>
      </c>
    </row>
    <row r="188" spans="2:11" x14ac:dyDescent="0.45">
      <c r="B188" s="187">
        <v>2027</v>
      </c>
      <c r="C188" t="s">
        <v>36</v>
      </c>
      <c r="D188" t="s">
        <v>43</v>
      </c>
      <c r="E188" s="187">
        <v>21.472000000000001</v>
      </c>
      <c r="F188" s="187"/>
      <c r="G188" s="187">
        <v>35.740608832351143</v>
      </c>
      <c r="H188" s="187">
        <v>0</v>
      </c>
      <c r="I188" s="187">
        <v>57.212608337402344</v>
      </c>
      <c r="J188" s="187">
        <v>21.472000122070313</v>
      </c>
      <c r="K188" t="s">
        <v>9241</v>
      </c>
    </row>
    <row r="189" spans="2:11" x14ac:dyDescent="0.45">
      <c r="B189" s="187">
        <v>2027</v>
      </c>
      <c r="C189" t="s">
        <v>36</v>
      </c>
      <c r="D189" t="s">
        <v>43</v>
      </c>
      <c r="E189" s="187">
        <v>0</v>
      </c>
      <c r="F189" s="187"/>
      <c r="G189" s="187">
        <v>17.326156465611771</v>
      </c>
      <c r="H189" s="187">
        <v>0</v>
      </c>
      <c r="I189" s="187">
        <v>17.326156616210938</v>
      </c>
      <c r="J189" s="187">
        <v>0</v>
      </c>
      <c r="K189" t="s">
        <v>9242</v>
      </c>
    </row>
    <row r="190" spans="2:11" x14ac:dyDescent="0.45">
      <c r="B190" s="187">
        <v>2027</v>
      </c>
      <c r="C190" t="s">
        <v>36</v>
      </c>
      <c r="D190" t="s">
        <v>43</v>
      </c>
      <c r="E190" s="187">
        <v>0</v>
      </c>
      <c r="F190" s="187"/>
      <c r="G190" s="187">
        <v>0.13877704578934849</v>
      </c>
      <c r="H190" s="187">
        <v>403</v>
      </c>
      <c r="I190" s="187">
        <v>403.13876342773438</v>
      </c>
      <c r="J190" s="187">
        <v>403</v>
      </c>
      <c r="K190" t="s">
        <v>9243</v>
      </c>
    </row>
    <row r="191" spans="2:11" x14ac:dyDescent="0.45">
      <c r="B191" s="187">
        <v>2027</v>
      </c>
      <c r="C191" t="s">
        <v>36</v>
      </c>
      <c r="D191" t="s">
        <v>43</v>
      </c>
      <c r="E191" s="187">
        <v>334.44572480000011</v>
      </c>
      <c r="F191" s="187">
        <v>10</v>
      </c>
      <c r="G191" s="187">
        <v>898.80047593787015</v>
      </c>
      <c r="H191" s="187">
        <v>378</v>
      </c>
      <c r="I191" s="187">
        <v>1621.2462158203125</v>
      </c>
      <c r="J191" s="187">
        <v>712.44573974609375</v>
      </c>
      <c r="K191" t="s">
        <v>9244</v>
      </c>
    </row>
    <row r="192" spans="2:11" x14ac:dyDescent="0.45">
      <c r="B192" s="187">
        <v>2027</v>
      </c>
      <c r="C192" t="s">
        <v>36</v>
      </c>
      <c r="D192" t="s">
        <v>43</v>
      </c>
      <c r="E192" s="187">
        <v>0</v>
      </c>
      <c r="F192" s="187"/>
      <c r="G192" s="187">
        <v>4.0811587329379097E-2</v>
      </c>
      <c r="H192" s="187">
        <v>0</v>
      </c>
      <c r="I192" s="187">
        <v>4.0811587125062943E-2</v>
      </c>
      <c r="J192" s="187">
        <v>0</v>
      </c>
      <c r="K192" t="s">
        <v>9245</v>
      </c>
    </row>
    <row r="193" spans="2:11" x14ac:dyDescent="0.45">
      <c r="B193" s="187">
        <v>2027</v>
      </c>
      <c r="C193" t="s">
        <v>36</v>
      </c>
      <c r="D193" t="s">
        <v>43</v>
      </c>
      <c r="E193" s="187">
        <v>0</v>
      </c>
      <c r="F193" s="187">
        <v>475</v>
      </c>
      <c r="G193" s="187">
        <v>2.9219781402401508</v>
      </c>
      <c r="H193" s="187">
        <v>0</v>
      </c>
      <c r="I193" s="187">
        <v>477.92196655273438</v>
      </c>
      <c r="J193" s="187">
        <v>0</v>
      </c>
      <c r="K193" t="s">
        <v>9246</v>
      </c>
    </row>
    <row r="194" spans="2:11" x14ac:dyDescent="0.45">
      <c r="B194" s="187">
        <v>2027</v>
      </c>
      <c r="C194" t="s">
        <v>36</v>
      </c>
      <c r="D194" t="s">
        <v>43</v>
      </c>
      <c r="E194" s="187">
        <v>0</v>
      </c>
      <c r="F194" s="187">
        <v>425</v>
      </c>
      <c r="G194" s="187">
        <v>1.9354120306327329</v>
      </c>
      <c r="H194" s="187">
        <v>0</v>
      </c>
      <c r="I194" s="187">
        <v>426.9354248046875</v>
      </c>
      <c r="J194" s="187">
        <v>0</v>
      </c>
      <c r="K194" t="s">
        <v>9247</v>
      </c>
    </row>
    <row r="195" spans="2:11" x14ac:dyDescent="0.45">
      <c r="B195" s="187">
        <v>2027</v>
      </c>
      <c r="C195" t="s">
        <v>36</v>
      </c>
      <c r="D195" t="s">
        <v>43</v>
      </c>
      <c r="E195" s="187">
        <v>0</v>
      </c>
      <c r="F195" s="187">
        <v>50</v>
      </c>
      <c r="G195" s="187">
        <v>0.9382395197984712</v>
      </c>
      <c r="H195" s="187">
        <v>0</v>
      </c>
      <c r="I195" s="187">
        <v>50.938240051269531</v>
      </c>
      <c r="J195" s="187">
        <v>0</v>
      </c>
      <c r="K195" t="s">
        <v>9248</v>
      </c>
    </row>
    <row r="196" spans="2:11" x14ac:dyDescent="0.45">
      <c r="B196" s="187">
        <v>2027</v>
      </c>
      <c r="C196" t="s">
        <v>36</v>
      </c>
      <c r="D196" t="s">
        <v>43</v>
      </c>
      <c r="E196" s="187">
        <v>0</v>
      </c>
      <c r="F196" s="187"/>
      <c r="G196" s="187">
        <v>7.5150024795675998E-3</v>
      </c>
      <c r="H196" s="187">
        <v>0</v>
      </c>
      <c r="I196" s="187">
        <v>7.5150025077164173E-3</v>
      </c>
      <c r="J196" s="187">
        <v>0</v>
      </c>
      <c r="K196" t="s">
        <v>9249</v>
      </c>
    </row>
    <row r="197" spans="2:11" x14ac:dyDescent="0.45">
      <c r="B197" s="187">
        <v>2027</v>
      </c>
      <c r="C197" t="s">
        <v>36</v>
      </c>
      <c r="D197" t="s">
        <v>43</v>
      </c>
      <c r="E197" s="187">
        <v>0</v>
      </c>
      <c r="F197" s="187"/>
      <c r="G197" s="187">
        <v>15.943726783344101</v>
      </c>
      <c r="H197" s="187">
        <v>0</v>
      </c>
      <c r="I197" s="187">
        <v>15.943726539611816</v>
      </c>
      <c r="J197" s="187">
        <v>0</v>
      </c>
      <c r="K197" t="s">
        <v>9250</v>
      </c>
    </row>
    <row r="198" spans="2:11" x14ac:dyDescent="0.45">
      <c r="B198" s="187">
        <v>2027</v>
      </c>
      <c r="C198" t="s">
        <v>36</v>
      </c>
      <c r="D198" t="s">
        <v>43</v>
      </c>
      <c r="E198" s="187">
        <v>2453.42636352</v>
      </c>
      <c r="F198" s="187"/>
      <c r="G198" s="187">
        <v>2521.924679436192</v>
      </c>
      <c r="H198" s="187">
        <v>1199</v>
      </c>
      <c r="I198" s="187">
        <v>6174.35107421875</v>
      </c>
      <c r="J198" s="187">
        <v>3652.42626953125</v>
      </c>
      <c r="K198" t="s">
        <v>9251</v>
      </c>
    </row>
    <row r="199" spans="2:11" x14ac:dyDescent="0.45">
      <c r="B199" s="187">
        <v>2027</v>
      </c>
      <c r="C199" t="s">
        <v>36</v>
      </c>
      <c r="D199" t="s">
        <v>43</v>
      </c>
      <c r="E199" s="187">
        <v>2453.42636352</v>
      </c>
      <c r="F199" s="187">
        <v>10</v>
      </c>
      <c r="G199" s="187">
        <v>3763.3705025694112</v>
      </c>
      <c r="H199" s="187">
        <v>1632</v>
      </c>
      <c r="I199" s="187">
        <v>7858.796875</v>
      </c>
      <c r="J199" s="187">
        <v>4085.42626953125</v>
      </c>
      <c r="K199" t="s">
        <v>9252</v>
      </c>
    </row>
    <row r="200" spans="2:11" x14ac:dyDescent="0.45">
      <c r="B200" s="187">
        <v>2027</v>
      </c>
      <c r="C200" t="s">
        <v>36</v>
      </c>
      <c r="D200" t="s">
        <v>43</v>
      </c>
      <c r="E200" s="187">
        <v>0</v>
      </c>
      <c r="F200" s="187"/>
      <c r="G200" s="187">
        <v>1222.5662353811899</v>
      </c>
      <c r="H200" s="187">
        <v>433</v>
      </c>
      <c r="I200" s="187">
        <v>1655.5662841796875</v>
      </c>
      <c r="J200" s="187">
        <v>433</v>
      </c>
      <c r="K200" t="s">
        <v>9253</v>
      </c>
    </row>
    <row r="201" spans="2:11" x14ac:dyDescent="0.45">
      <c r="B201" s="187">
        <v>2027</v>
      </c>
      <c r="C201" t="s">
        <v>36</v>
      </c>
      <c r="D201" t="s">
        <v>43</v>
      </c>
      <c r="E201" s="187">
        <v>0</v>
      </c>
      <c r="F201" s="187"/>
      <c r="G201" s="187">
        <v>2.935860968684413</v>
      </c>
      <c r="H201" s="187">
        <v>0</v>
      </c>
      <c r="I201" s="187">
        <v>2.9358608722686768</v>
      </c>
      <c r="J201" s="187">
        <v>0</v>
      </c>
      <c r="K201" t="s">
        <v>9254</v>
      </c>
    </row>
    <row r="202" spans="2:11" x14ac:dyDescent="0.45">
      <c r="B202" s="187">
        <v>2027</v>
      </c>
      <c r="C202" t="s">
        <v>36</v>
      </c>
      <c r="D202" t="s">
        <v>43</v>
      </c>
      <c r="E202" s="187">
        <v>0</v>
      </c>
      <c r="F202" s="187">
        <v>10</v>
      </c>
      <c r="G202" s="187">
        <v>0</v>
      </c>
      <c r="H202" s="187">
        <v>0</v>
      </c>
      <c r="I202" s="187">
        <v>10</v>
      </c>
      <c r="J202" s="187">
        <v>0</v>
      </c>
      <c r="K202" t="s">
        <v>9255</v>
      </c>
    </row>
    <row r="203" spans="2:11" x14ac:dyDescent="0.45">
      <c r="B203" s="187">
        <v>2027</v>
      </c>
      <c r="C203" t="s">
        <v>36</v>
      </c>
      <c r="D203" t="s">
        <v>43</v>
      </c>
      <c r="E203" s="187">
        <v>133.77828991999999</v>
      </c>
      <c r="F203" s="187"/>
      <c r="G203" s="187"/>
      <c r="H203" s="187"/>
      <c r="I203" s="187">
        <v>133.77828979492188</v>
      </c>
      <c r="J203" s="187">
        <v>133.77828979492188</v>
      </c>
      <c r="K203" t="s">
        <v>9256</v>
      </c>
    </row>
    <row r="204" spans="2:11" x14ac:dyDescent="0.45">
      <c r="B204" s="187">
        <v>2027</v>
      </c>
      <c r="C204" t="s">
        <v>36</v>
      </c>
      <c r="D204" t="s">
        <v>43</v>
      </c>
      <c r="E204" s="187">
        <v>133.77828991999999</v>
      </c>
      <c r="F204" s="187"/>
      <c r="G204" s="187"/>
      <c r="H204" s="187"/>
      <c r="I204" s="187">
        <v>133.77828979492188</v>
      </c>
      <c r="J204" s="187">
        <v>133.77828979492188</v>
      </c>
      <c r="K204" t="s">
        <v>9257</v>
      </c>
    </row>
    <row r="205" spans="2:11" x14ac:dyDescent="0.45">
      <c r="B205" s="187">
        <v>2027</v>
      </c>
      <c r="C205" t="s">
        <v>36</v>
      </c>
      <c r="D205" t="s">
        <v>43</v>
      </c>
      <c r="E205" s="187">
        <v>133.77828991999999</v>
      </c>
      <c r="F205" s="187"/>
      <c r="G205" s="187"/>
      <c r="H205" s="187"/>
      <c r="I205" s="187">
        <v>133.77828979492188</v>
      </c>
      <c r="J205" s="187">
        <v>133.77828979492188</v>
      </c>
      <c r="K205" t="s">
        <v>9258</v>
      </c>
    </row>
    <row r="206" spans="2:11" x14ac:dyDescent="0.45">
      <c r="B206" s="187">
        <v>2027</v>
      </c>
      <c r="C206" t="s">
        <v>36</v>
      </c>
      <c r="D206" t="s">
        <v>43</v>
      </c>
      <c r="E206" s="187">
        <v>401.33486976000012</v>
      </c>
      <c r="F206" s="187"/>
      <c r="G206" s="187"/>
      <c r="H206" s="187"/>
      <c r="I206" s="187">
        <v>401.33486938476563</v>
      </c>
      <c r="J206" s="187">
        <v>401.33486938476563</v>
      </c>
      <c r="K206" t="s">
        <v>9259</v>
      </c>
    </row>
    <row r="207" spans="2:11" x14ac:dyDescent="0.45">
      <c r="B207" s="187">
        <v>2027</v>
      </c>
      <c r="C207" t="s">
        <v>36</v>
      </c>
      <c r="D207" t="s">
        <v>43</v>
      </c>
      <c r="E207" s="187"/>
      <c r="F207" s="187"/>
      <c r="G207" s="187">
        <v>0</v>
      </c>
      <c r="H207" s="187">
        <v>55</v>
      </c>
      <c r="I207" s="187">
        <v>55</v>
      </c>
      <c r="J207" s="187">
        <v>55</v>
      </c>
      <c r="K207" t="s">
        <v>9260</v>
      </c>
    </row>
    <row r="208" spans="2:11" x14ac:dyDescent="0.45">
      <c r="B208" s="187">
        <v>2027</v>
      </c>
      <c r="C208" t="s">
        <v>36</v>
      </c>
      <c r="D208" t="s">
        <v>43</v>
      </c>
      <c r="E208" s="187"/>
      <c r="F208" s="187"/>
      <c r="G208" s="187">
        <v>3.167479131341584</v>
      </c>
      <c r="H208" s="187">
        <v>222</v>
      </c>
      <c r="I208" s="187">
        <v>225.16748046875</v>
      </c>
      <c r="J208" s="187">
        <v>222</v>
      </c>
      <c r="K208" t="s">
        <v>9261</v>
      </c>
    </row>
    <row r="209" spans="2:11" x14ac:dyDescent="0.45">
      <c r="B209" s="187">
        <v>2027</v>
      </c>
      <c r="C209" t="s">
        <v>36</v>
      </c>
      <c r="D209" t="s">
        <v>43</v>
      </c>
      <c r="E209" s="187"/>
      <c r="F209" s="187"/>
      <c r="G209" s="187">
        <v>0</v>
      </c>
      <c r="H209" s="187">
        <v>0</v>
      </c>
      <c r="I209" s="187">
        <v>0</v>
      </c>
      <c r="J209" s="187">
        <v>0</v>
      </c>
      <c r="K209" t="s">
        <v>9262</v>
      </c>
    </row>
    <row r="210" spans="2:11" x14ac:dyDescent="0.45">
      <c r="B210" s="187">
        <v>2027</v>
      </c>
      <c r="C210" t="s">
        <v>36</v>
      </c>
      <c r="D210" t="s">
        <v>43</v>
      </c>
      <c r="E210" s="187"/>
      <c r="F210" s="187">
        <v>0</v>
      </c>
      <c r="G210" s="187">
        <v>3.167479131341584</v>
      </c>
      <c r="H210" s="187">
        <v>277</v>
      </c>
      <c r="I210" s="187">
        <v>280.16748046875</v>
      </c>
      <c r="J210" s="187">
        <v>277</v>
      </c>
      <c r="K210" t="s">
        <v>9263</v>
      </c>
    </row>
    <row r="237" spans="2:11" x14ac:dyDescent="0.45">
      <c r="B237" s="4" t="s">
        <v>203</v>
      </c>
      <c r="C237" s="4" t="s">
        <v>30</v>
      </c>
      <c r="D237" s="4" t="s">
        <v>270</v>
      </c>
      <c r="E237" s="4" t="s">
        <v>266</v>
      </c>
      <c r="F237" s="4" t="s">
        <v>156</v>
      </c>
      <c r="G237" s="4" t="s">
        <v>32</v>
      </c>
      <c r="H237" s="4" t="s">
        <v>299</v>
      </c>
      <c r="I237" s="4" t="s">
        <v>298</v>
      </c>
      <c r="J237" s="4" t="s">
        <v>300</v>
      </c>
      <c r="K237" s="164" t="s">
        <v>33</v>
      </c>
    </row>
    <row r="238" spans="2:11" x14ac:dyDescent="0.45">
      <c r="B238" s="187">
        <v>2022</v>
      </c>
      <c r="C238" t="s">
        <v>37</v>
      </c>
      <c r="D238" t="s">
        <v>43</v>
      </c>
      <c r="E238">
        <f t="shared" ref="E238:J238" si="3">IF(E43="","",E43*INDEX($A$29:$J$40,MATCH($B238&amp;"modifier",$D$29:$D$40,0),MATCH(E$29,$A$29:$J$29,0)))</f>
        <v>5462.1459999999997</v>
      </c>
      <c r="F238">
        <f t="shared" si="3"/>
        <v>373</v>
      </c>
      <c r="G238">
        <f>IF(G43="","",G43*INDEX($A$29:$J$40,MATCH($B238&amp;"modifier",$D$29:$D$40,0),MATCH(G$29,$A$29:$J$29,0)))</f>
        <v>6024.8596397085357</v>
      </c>
      <c r="H238">
        <f t="shared" si="3"/>
        <v>4670</v>
      </c>
      <c r="I238">
        <f t="shared" si="3"/>
        <v>16530.005859375</v>
      </c>
      <c r="J238">
        <f t="shared" si="3"/>
        <v>10132.146484375</v>
      </c>
      <c r="K238" s="163" t="str">
        <f t="shared" ref="K238:K269" si="4">LEFT(K43,LEN(K43)-8)&amp;C238</f>
        <v>2022AMP2022Capital ExpenditureAsset replacement and renewalAsset replacement and renewal expenditure - Asset replacement and renewal expenditurenominal</v>
      </c>
    </row>
    <row r="239" spans="2:11" x14ac:dyDescent="0.45">
      <c r="B239" s="187">
        <v>2022</v>
      </c>
      <c r="C239" t="s">
        <v>37</v>
      </c>
      <c r="D239" t="s">
        <v>43</v>
      </c>
      <c r="E239">
        <f t="shared" ref="E239:I248" si="5">IF(E44="","",E44*INDEX($A$29:$I$40,MATCH($B239&amp;"modifier",$D$29:$D$40,0),MATCH(E$29,$A$29:$I$29,0)))</f>
        <v>0</v>
      </c>
      <c r="F239" t="str">
        <f t="shared" si="5"/>
        <v/>
      </c>
      <c r="G239">
        <f t="shared" si="5"/>
        <v>0</v>
      </c>
      <c r="H239">
        <f t="shared" si="5"/>
        <v>0</v>
      </c>
      <c r="I239">
        <f t="shared" si="5"/>
        <v>0</v>
      </c>
      <c r="J239">
        <f t="shared" ref="J239:J270" si="6">IF(J44="","",J44*INDEX($A$29:$J$40,MATCH($B239&amp;"modifier",$D$29:$D$40,0),MATCH(J$29,$A$29:$J$29,0)))</f>
        <v>0</v>
      </c>
      <c r="K239" s="163" t="str">
        <f t="shared" si="4"/>
        <v>2022AMP2022Capital ExpenditureAsset replacement and renewalAsset replacement and renewal expenditure - Capital contributions funding asset replacement and renewalnominal</v>
      </c>
    </row>
    <row r="240" spans="2:11" x14ac:dyDescent="0.45">
      <c r="B240" s="187">
        <v>2022</v>
      </c>
      <c r="C240" t="s">
        <v>37</v>
      </c>
      <c r="D240" t="s">
        <v>43</v>
      </c>
      <c r="E240">
        <f t="shared" si="5"/>
        <v>5462.1459999999997</v>
      </c>
      <c r="F240">
        <f t="shared" si="5"/>
        <v>373</v>
      </c>
      <c r="G240">
        <f t="shared" si="5"/>
        <v>6024.8596397085357</v>
      </c>
      <c r="H240">
        <f t="shared" si="5"/>
        <v>4670</v>
      </c>
      <c r="I240">
        <f t="shared" si="5"/>
        <v>16530.005859375</v>
      </c>
      <c r="J240">
        <f t="shared" si="6"/>
        <v>10132.146484375</v>
      </c>
      <c r="K240" s="163" t="str">
        <f t="shared" si="4"/>
        <v>2022AMP2022Capital ExpenditureAsset replacement and renewalAsset replacement and renewal less capital contributions - Asset replacement and renewal less capital contributionsnominal</v>
      </c>
    </row>
    <row r="241" spans="2:11" x14ac:dyDescent="0.45">
      <c r="B241" s="187">
        <v>2022</v>
      </c>
      <c r="C241" t="s">
        <v>37</v>
      </c>
      <c r="D241" t="s">
        <v>43</v>
      </c>
      <c r="E241">
        <f t="shared" si="5"/>
        <v>333.39100000000008</v>
      </c>
      <c r="F241">
        <f t="shared" si="5"/>
        <v>4</v>
      </c>
      <c r="G241">
        <f t="shared" si="5"/>
        <v>1979.661475485796</v>
      </c>
      <c r="H241">
        <f t="shared" si="5"/>
        <v>1456</v>
      </c>
      <c r="I241">
        <f t="shared" si="5"/>
        <v>3773.052490234375</v>
      </c>
      <c r="J241">
        <f t="shared" si="6"/>
        <v>1789.3909912109375</v>
      </c>
      <c r="K241" s="163" t="str">
        <f t="shared" si="4"/>
        <v>2022AMP2022Capital ExpenditureAsset replacement and renewalIntermediate pressure - Intermediate Pressure totalnominal</v>
      </c>
    </row>
    <row r="242" spans="2:11" x14ac:dyDescent="0.45">
      <c r="B242" s="187">
        <v>2022</v>
      </c>
      <c r="C242" t="s">
        <v>37</v>
      </c>
      <c r="D242" t="s">
        <v>43</v>
      </c>
      <c r="E242">
        <f t="shared" si="5"/>
        <v>0</v>
      </c>
      <c r="F242" t="str">
        <f t="shared" si="5"/>
        <v/>
      </c>
      <c r="G242">
        <f t="shared" si="5"/>
        <v>698.37192862592781</v>
      </c>
      <c r="H242">
        <f t="shared" si="5"/>
        <v>531</v>
      </c>
      <c r="I242">
        <f t="shared" si="5"/>
        <v>1229.3719482421875</v>
      </c>
      <c r="J242">
        <f t="shared" si="6"/>
        <v>531</v>
      </c>
      <c r="K242" s="163" t="str">
        <f t="shared" si="4"/>
        <v>2022AMP2022Capital ExpenditureAsset replacement and renewalIntermediate pressure - Line valvenominal</v>
      </c>
    </row>
    <row r="243" spans="2:11" x14ac:dyDescent="0.45">
      <c r="B243" s="187">
        <v>2022</v>
      </c>
      <c r="C243" t="s">
        <v>37</v>
      </c>
      <c r="D243" t="s">
        <v>43</v>
      </c>
      <c r="E243">
        <f t="shared" si="5"/>
        <v>0</v>
      </c>
      <c r="F243" t="str">
        <f t="shared" si="5"/>
        <v/>
      </c>
      <c r="G243">
        <f t="shared" si="5"/>
        <v>33.314598508782417</v>
      </c>
      <c r="H243">
        <f t="shared" si="5"/>
        <v>0</v>
      </c>
      <c r="I243">
        <f t="shared" si="5"/>
        <v>33.314598083496094</v>
      </c>
      <c r="J243">
        <f t="shared" si="6"/>
        <v>0</v>
      </c>
      <c r="K243" s="163" t="str">
        <f t="shared" si="4"/>
        <v>2022AMP2022Capital ExpenditureAsset replacement and renewalIntermediate pressure - Main pipenominal</v>
      </c>
    </row>
    <row r="244" spans="2:11" x14ac:dyDescent="0.45">
      <c r="B244" s="187">
        <v>2022</v>
      </c>
      <c r="C244" t="s">
        <v>37</v>
      </c>
      <c r="D244" t="s">
        <v>43</v>
      </c>
      <c r="E244">
        <f t="shared" si="5"/>
        <v>0</v>
      </c>
      <c r="F244" t="str">
        <f t="shared" si="5"/>
        <v/>
      </c>
      <c r="G244">
        <f t="shared" si="5"/>
        <v>16.150087119661119</v>
      </c>
      <c r="H244">
        <f t="shared" si="5"/>
        <v>0</v>
      </c>
      <c r="I244">
        <f t="shared" si="5"/>
        <v>16.150087356567383</v>
      </c>
      <c r="J244">
        <f t="shared" si="6"/>
        <v>0</v>
      </c>
      <c r="K244" s="163" t="str">
        <f t="shared" si="4"/>
        <v>2022AMP2022Capital ExpenditureAsset replacement and renewalIntermediate pressure - Service pipenominal</v>
      </c>
    </row>
    <row r="245" spans="2:11" x14ac:dyDescent="0.45">
      <c r="B245" s="187">
        <v>2022</v>
      </c>
      <c r="C245" t="s">
        <v>37</v>
      </c>
      <c r="D245" t="s">
        <v>43</v>
      </c>
      <c r="E245">
        <f t="shared" si="5"/>
        <v>0</v>
      </c>
      <c r="F245" t="str">
        <f t="shared" si="5"/>
        <v/>
      </c>
      <c r="G245">
        <f t="shared" si="5"/>
        <v>325.22339143408732</v>
      </c>
      <c r="H245">
        <f t="shared" si="5"/>
        <v>488</v>
      </c>
      <c r="I245">
        <f t="shared" si="5"/>
        <v>813.223388671875</v>
      </c>
      <c r="J245">
        <f t="shared" si="6"/>
        <v>488</v>
      </c>
      <c r="K245" s="163" t="str">
        <f t="shared" si="4"/>
        <v>2022AMP2022Capital ExpenditureAsset replacement and renewalIntermediate pressure - Special crossingsnominal</v>
      </c>
    </row>
    <row r="246" spans="2:11" x14ac:dyDescent="0.45">
      <c r="B246" s="187">
        <v>2022</v>
      </c>
      <c r="C246" t="s">
        <v>37</v>
      </c>
      <c r="D246" t="s">
        <v>43</v>
      </c>
      <c r="E246">
        <f t="shared" si="5"/>
        <v>333.39100000000008</v>
      </c>
      <c r="F246">
        <f t="shared" si="5"/>
        <v>4</v>
      </c>
      <c r="G246">
        <f t="shared" si="5"/>
        <v>906.60146979733759</v>
      </c>
      <c r="H246">
        <f t="shared" si="5"/>
        <v>437</v>
      </c>
      <c r="I246">
        <f t="shared" si="5"/>
        <v>1680.992431640625</v>
      </c>
      <c r="J246">
        <f t="shared" si="6"/>
        <v>770.3909912109375</v>
      </c>
      <c r="K246" s="163" t="str">
        <f t="shared" si="4"/>
        <v>2022AMP2022Capital ExpenditureAsset replacement and renewalIntermediate pressure - Stationsnominal</v>
      </c>
    </row>
    <row r="247" spans="2:11" x14ac:dyDescent="0.45">
      <c r="B247" s="187">
        <v>2022</v>
      </c>
      <c r="C247" t="s">
        <v>37</v>
      </c>
      <c r="D247" t="s">
        <v>43</v>
      </c>
      <c r="E247">
        <f t="shared" si="5"/>
        <v>0</v>
      </c>
      <c r="F247" t="str">
        <f t="shared" si="5"/>
        <v/>
      </c>
      <c r="G247">
        <f t="shared" si="5"/>
        <v>2.7389179457250001E-2</v>
      </c>
      <c r="H247">
        <f t="shared" si="5"/>
        <v>0</v>
      </c>
      <c r="I247">
        <f t="shared" si="5"/>
        <v>2.7389179915189743E-2</v>
      </c>
      <c r="J247">
        <f t="shared" si="6"/>
        <v>0</v>
      </c>
      <c r="K247" s="163" t="str">
        <f t="shared" si="4"/>
        <v>2022AMP2022Capital ExpenditureAsset replacement and renewalLow Pressure - Line valvenominal</v>
      </c>
    </row>
    <row r="248" spans="2:11" x14ac:dyDescent="0.45">
      <c r="B248" s="187">
        <v>2022</v>
      </c>
      <c r="C248" t="s">
        <v>37</v>
      </c>
      <c r="D248" t="s">
        <v>43</v>
      </c>
      <c r="E248">
        <f t="shared" si="5"/>
        <v>0</v>
      </c>
      <c r="F248">
        <f t="shared" si="5"/>
        <v>237</v>
      </c>
      <c r="G248">
        <f t="shared" si="5"/>
        <v>1.9609769893852489</v>
      </c>
      <c r="H248">
        <f t="shared" si="5"/>
        <v>0</v>
      </c>
      <c r="I248">
        <f t="shared" si="5"/>
        <v>238.96098327636719</v>
      </c>
      <c r="J248">
        <f t="shared" si="6"/>
        <v>0</v>
      </c>
      <c r="K248" s="163" t="str">
        <f t="shared" si="4"/>
        <v>2022AMP2022Capital ExpenditureAsset replacement and renewalLow Pressure - Low Pressure totalnominal</v>
      </c>
    </row>
    <row r="249" spans="2:11" x14ac:dyDescent="0.45">
      <c r="B249" s="187">
        <v>2022</v>
      </c>
      <c r="C249" t="s">
        <v>37</v>
      </c>
      <c r="D249" t="s">
        <v>43</v>
      </c>
      <c r="E249">
        <f t="shared" ref="E249:I258" si="7">IF(E54="","",E54*INDEX($A$29:$I$40,MATCH($B249&amp;"modifier",$D$29:$D$40,0),MATCH(E$29,$A$29:$I$29,0)))</f>
        <v>0</v>
      </c>
      <c r="F249">
        <f t="shared" si="7"/>
        <v>237</v>
      </c>
      <c r="G249">
        <f t="shared" si="7"/>
        <v>1.2988798255479901</v>
      </c>
      <c r="H249">
        <f t="shared" si="7"/>
        <v>0</v>
      </c>
      <c r="I249">
        <f t="shared" si="7"/>
        <v>238.29887390136719</v>
      </c>
      <c r="J249">
        <f t="shared" si="6"/>
        <v>0</v>
      </c>
      <c r="K249" s="163" t="str">
        <f t="shared" si="4"/>
        <v>2022AMP2022Capital ExpenditureAsset replacement and renewalLow Pressure - Main pipenominal</v>
      </c>
    </row>
    <row r="250" spans="2:11" x14ac:dyDescent="0.45">
      <c r="B250" s="187">
        <v>2022</v>
      </c>
      <c r="C250" t="s">
        <v>37</v>
      </c>
      <c r="D250" t="s">
        <v>43</v>
      </c>
      <c r="E250">
        <f t="shared" si="7"/>
        <v>0</v>
      </c>
      <c r="F250" t="str">
        <f t="shared" si="7"/>
        <v/>
      </c>
      <c r="G250">
        <f t="shared" si="7"/>
        <v>0.62966456987438402</v>
      </c>
      <c r="H250">
        <f t="shared" si="7"/>
        <v>0</v>
      </c>
      <c r="I250">
        <f t="shared" si="7"/>
        <v>0.62966454029083252</v>
      </c>
      <c r="J250">
        <f t="shared" si="6"/>
        <v>0</v>
      </c>
      <c r="K250" s="163" t="str">
        <f t="shared" si="4"/>
        <v>2022AMP2022Capital ExpenditureAsset replacement and renewalLow Pressure - Service pipenominal</v>
      </c>
    </row>
    <row r="251" spans="2:11" x14ac:dyDescent="0.45">
      <c r="B251" s="187">
        <v>2022</v>
      </c>
      <c r="C251" t="s">
        <v>37</v>
      </c>
      <c r="D251" t="s">
        <v>43</v>
      </c>
      <c r="E251">
        <f t="shared" si="7"/>
        <v>0</v>
      </c>
      <c r="F251" t="str">
        <f t="shared" si="7"/>
        <v/>
      </c>
      <c r="G251">
        <f t="shared" si="7"/>
        <v>5.0434145056245999E-3</v>
      </c>
      <c r="H251">
        <f t="shared" si="7"/>
        <v>0</v>
      </c>
      <c r="I251">
        <f t="shared" si="7"/>
        <v>5.0434144213795662E-3</v>
      </c>
      <c r="J251">
        <f t="shared" si="6"/>
        <v>0</v>
      </c>
      <c r="K251" s="163" t="str">
        <f t="shared" si="4"/>
        <v>2022AMP2022Capital ExpenditureAsset replacement and renewalLow Pressure - Special crossingsnominal</v>
      </c>
    </row>
    <row r="252" spans="2:11" x14ac:dyDescent="0.45">
      <c r="B252" s="187">
        <v>2022</v>
      </c>
      <c r="C252" t="s">
        <v>37</v>
      </c>
      <c r="D252" t="s">
        <v>43</v>
      </c>
      <c r="E252">
        <f t="shared" si="7"/>
        <v>0</v>
      </c>
      <c r="F252" t="str">
        <f t="shared" si="7"/>
        <v/>
      </c>
      <c r="G252">
        <f t="shared" si="7"/>
        <v>10.70003944129898</v>
      </c>
      <c r="H252">
        <f t="shared" si="7"/>
        <v>0</v>
      </c>
      <c r="I252">
        <f t="shared" si="7"/>
        <v>10.700039863586426</v>
      </c>
      <c r="J252">
        <f t="shared" si="6"/>
        <v>0</v>
      </c>
      <c r="K252" s="163" t="str">
        <f t="shared" si="4"/>
        <v>2022AMP2022Capital ExpenditureAsset replacement and renewalMedium pressure - Line valvenominal</v>
      </c>
    </row>
    <row r="253" spans="2:11" x14ac:dyDescent="0.45">
      <c r="B253" s="187">
        <v>2022</v>
      </c>
      <c r="C253" t="s">
        <v>37</v>
      </c>
      <c r="D253" t="s">
        <v>43</v>
      </c>
      <c r="E253">
        <f t="shared" si="7"/>
        <v>5009.5830000000005</v>
      </c>
      <c r="F253">
        <f t="shared" si="7"/>
        <v>132</v>
      </c>
      <c r="G253">
        <f t="shared" si="7"/>
        <v>2363.615263384439</v>
      </c>
      <c r="H253">
        <f t="shared" si="7"/>
        <v>2362</v>
      </c>
      <c r="I253">
        <f t="shared" si="7"/>
        <v>9867.1982421875</v>
      </c>
      <c r="J253">
        <f t="shared" si="6"/>
        <v>7371.5830078125</v>
      </c>
      <c r="K253" s="163" t="str">
        <f t="shared" si="4"/>
        <v>2022AMP2022Capital ExpenditureAsset replacement and renewalMedium pressure - Main pipenominal</v>
      </c>
    </row>
    <row r="254" spans="2:11" x14ac:dyDescent="0.45">
      <c r="B254" s="187">
        <v>2022</v>
      </c>
      <c r="C254" t="s">
        <v>37</v>
      </c>
      <c r="D254" t="s">
        <v>43</v>
      </c>
      <c r="E254">
        <f t="shared" si="7"/>
        <v>5009.5830000000005</v>
      </c>
      <c r="F254">
        <f t="shared" si="7"/>
        <v>132</v>
      </c>
      <c r="G254">
        <f t="shared" si="7"/>
        <v>3610.871881652291</v>
      </c>
      <c r="H254">
        <f t="shared" si="7"/>
        <v>3136</v>
      </c>
      <c r="I254">
        <f t="shared" si="7"/>
        <v>11888.455078125</v>
      </c>
      <c r="J254">
        <f t="shared" si="6"/>
        <v>8145.5830078125</v>
      </c>
      <c r="K254" s="163" t="str">
        <f t="shared" si="4"/>
        <v>2022AMP2022Capital ExpenditureAsset replacement and renewalMedium pressure - Medium Pressure totalnominal</v>
      </c>
    </row>
    <row r="255" spans="2:11" x14ac:dyDescent="0.45">
      <c r="B255" s="187">
        <v>2022</v>
      </c>
      <c r="C255" t="s">
        <v>37</v>
      </c>
      <c r="D255" t="s">
        <v>43</v>
      </c>
      <c r="E255">
        <f t="shared" si="7"/>
        <v>0</v>
      </c>
      <c r="F255" t="str">
        <f t="shared" si="7"/>
        <v/>
      </c>
      <c r="G255">
        <f t="shared" si="7"/>
        <v>1177.0067124973359</v>
      </c>
      <c r="H255">
        <f t="shared" si="7"/>
        <v>488</v>
      </c>
      <c r="I255">
        <f t="shared" si="7"/>
        <v>1665.0067138671875</v>
      </c>
      <c r="J255">
        <f t="shared" si="6"/>
        <v>488</v>
      </c>
      <c r="K255" s="163" t="str">
        <f t="shared" si="4"/>
        <v>2022AMP2022Capital ExpenditureAsset replacement and renewalMedium pressure - Service pipenominal</v>
      </c>
    </row>
    <row r="256" spans="2:11" x14ac:dyDescent="0.45">
      <c r="B256" s="187">
        <v>2022</v>
      </c>
      <c r="C256" t="s">
        <v>37</v>
      </c>
      <c r="D256" t="s">
        <v>43</v>
      </c>
      <c r="E256">
        <f t="shared" si="7"/>
        <v>0</v>
      </c>
      <c r="F256" t="str">
        <f t="shared" si="7"/>
        <v/>
      </c>
      <c r="G256">
        <f t="shared" si="7"/>
        <v>59.549866329217089</v>
      </c>
      <c r="H256">
        <f t="shared" si="7"/>
        <v>0</v>
      </c>
      <c r="I256">
        <f t="shared" si="7"/>
        <v>59.54986572265625</v>
      </c>
      <c r="J256">
        <f t="shared" si="6"/>
        <v>0</v>
      </c>
      <c r="K256" s="163" t="str">
        <f t="shared" si="4"/>
        <v>2022AMP2022Capital ExpenditureAsset replacement and renewalMedium pressure - Special crossingsnominal</v>
      </c>
    </row>
    <row r="257" spans="2:11" x14ac:dyDescent="0.45">
      <c r="B257" s="187">
        <v>2022</v>
      </c>
      <c r="C257" t="s">
        <v>37</v>
      </c>
      <c r="D257" t="s">
        <v>43</v>
      </c>
      <c r="E257">
        <f t="shared" si="7"/>
        <v>0</v>
      </c>
      <c r="F257" t="str">
        <f t="shared" si="7"/>
        <v/>
      </c>
      <c r="G257">
        <f t="shared" si="7"/>
        <v>0</v>
      </c>
      <c r="H257">
        <f t="shared" si="7"/>
        <v>286</v>
      </c>
      <c r="I257">
        <f t="shared" si="7"/>
        <v>286</v>
      </c>
      <c r="J257">
        <f t="shared" si="6"/>
        <v>286</v>
      </c>
      <c r="K257" s="163" t="str">
        <f t="shared" si="4"/>
        <v>2022AMP2022Capital ExpenditureAsset replacement and renewalMedium pressure - Stationnominal</v>
      </c>
    </row>
    <row r="258" spans="2:11" x14ac:dyDescent="0.45">
      <c r="B258" s="187">
        <v>2022</v>
      </c>
      <c r="C258" t="s">
        <v>37</v>
      </c>
      <c r="D258" t="s">
        <v>43</v>
      </c>
      <c r="E258">
        <f t="shared" si="7"/>
        <v>45.720000000000006</v>
      </c>
      <c r="F258" t="str">
        <f t="shared" si="7"/>
        <v/>
      </c>
      <c r="G258" t="str">
        <f t="shared" si="7"/>
        <v/>
      </c>
      <c r="H258" t="str">
        <f t="shared" si="7"/>
        <v/>
      </c>
      <c r="I258">
        <f t="shared" si="7"/>
        <v>45.720001220703125</v>
      </c>
      <c r="J258">
        <f t="shared" si="6"/>
        <v>45.720001220703125</v>
      </c>
      <c r="K258" s="163" t="str">
        <f t="shared" si="4"/>
        <v>2022AMP2022Capital ExpenditureAsset replacement and renewalOther assets - Cathodic protection systemsnominal</v>
      </c>
    </row>
    <row r="259" spans="2:11" x14ac:dyDescent="0.45">
      <c r="B259" s="187">
        <v>2022</v>
      </c>
      <c r="C259" t="s">
        <v>37</v>
      </c>
      <c r="D259" t="s">
        <v>43</v>
      </c>
      <c r="E259">
        <f t="shared" ref="E259:I268" si="8">IF(E64="","",E64*INDEX($A$29:$I$40,MATCH($B259&amp;"modifier",$D$29:$D$40,0),MATCH(E$29,$A$29:$I$29,0)))</f>
        <v>27.248000000000008</v>
      </c>
      <c r="F259" t="str">
        <f t="shared" si="8"/>
        <v/>
      </c>
      <c r="G259" t="str">
        <f t="shared" si="8"/>
        <v/>
      </c>
      <c r="H259" t="str">
        <f t="shared" si="8"/>
        <v/>
      </c>
      <c r="I259">
        <f t="shared" si="8"/>
        <v>27.24799919128418</v>
      </c>
      <c r="J259">
        <f t="shared" si="6"/>
        <v>27.24799919128418</v>
      </c>
      <c r="K259" s="163" t="str">
        <f t="shared" si="4"/>
        <v>2022AMP2022Capital ExpenditureAsset replacement and renewalOther assets - Monitoring and control systemsnominal</v>
      </c>
    </row>
    <row r="260" spans="2:11" x14ac:dyDescent="0.45">
      <c r="B260" s="187">
        <v>2022</v>
      </c>
      <c r="C260" t="s">
        <v>37</v>
      </c>
      <c r="D260" t="s">
        <v>43</v>
      </c>
      <c r="E260">
        <f t="shared" si="8"/>
        <v>46.204000000000008</v>
      </c>
      <c r="F260" t="str">
        <f t="shared" si="8"/>
        <v/>
      </c>
      <c r="G260" t="str">
        <f t="shared" si="8"/>
        <v/>
      </c>
      <c r="H260" t="str">
        <f t="shared" si="8"/>
        <v/>
      </c>
      <c r="I260">
        <f t="shared" si="8"/>
        <v>46.203998565673828</v>
      </c>
      <c r="J260">
        <f t="shared" si="6"/>
        <v>46.203998565673828</v>
      </c>
      <c r="K260" s="163" t="str">
        <f t="shared" si="4"/>
        <v>2022AMP2022Capital ExpenditureAsset replacement and renewalOther assets - Other assets (other than above)nominal</v>
      </c>
    </row>
    <row r="261" spans="2:11" x14ac:dyDescent="0.45">
      <c r="B261" s="187">
        <v>2022</v>
      </c>
      <c r="C261" t="s">
        <v>37</v>
      </c>
      <c r="D261" t="s">
        <v>43</v>
      </c>
      <c r="E261">
        <f t="shared" si="8"/>
        <v>119.17200000000003</v>
      </c>
      <c r="F261" t="str">
        <f t="shared" si="8"/>
        <v/>
      </c>
      <c r="G261" t="str">
        <f t="shared" si="8"/>
        <v/>
      </c>
      <c r="H261" t="str">
        <f t="shared" si="8"/>
        <v/>
      </c>
      <c r="I261">
        <f t="shared" si="8"/>
        <v>119.1719970703125</v>
      </c>
      <c r="J261">
        <f t="shared" si="6"/>
        <v>119.1719970703125</v>
      </c>
      <c r="K261" s="163" t="str">
        <f t="shared" si="4"/>
        <v>2022AMP2022Capital ExpenditureAsset replacement and renewalOther assets - Other totalnominal</v>
      </c>
    </row>
    <row r="262" spans="2:11" x14ac:dyDescent="0.45">
      <c r="B262" s="187">
        <v>2022</v>
      </c>
      <c r="C262" t="s">
        <v>37</v>
      </c>
      <c r="D262" t="s">
        <v>43</v>
      </c>
      <c r="E262" t="str">
        <f t="shared" si="8"/>
        <v/>
      </c>
      <c r="F262" t="str">
        <f t="shared" si="8"/>
        <v/>
      </c>
      <c r="G262">
        <f t="shared" si="8"/>
        <v>432.36530558106358</v>
      </c>
      <c r="H262">
        <f t="shared" si="8"/>
        <v>22</v>
      </c>
      <c r="I262">
        <f t="shared" si="8"/>
        <v>454.36529541015625</v>
      </c>
      <c r="J262">
        <f t="shared" si="6"/>
        <v>22</v>
      </c>
      <c r="K262" s="163" t="str">
        <f t="shared" si="4"/>
        <v>2022AMP2022Capital ExpenditureAsset replacement and renewalOther network assets - Cathodic protection systemsnominal</v>
      </c>
    </row>
    <row r="263" spans="2:11" x14ac:dyDescent="0.45">
      <c r="B263" s="187">
        <v>2022</v>
      </c>
      <c r="C263" t="s">
        <v>37</v>
      </c>
      <c r="D263" t="s">
        <v>43</v>
      </c>
      <c r="E263" t="str">
        <f t="shared" si="8"/>
        <v/>
      </c>
      <c r="F263" t="str">
        <f t="shared" si="8"/>
        <v/>
      </c>
      <c r="G263">
        <f t="shared" si="8"/>
        <v>0</v>
      </c>
      <c r="H263">
        <f t="shared" si="8"/>
        <v>56</v>
      </c>
      <c r="I263">
        <f t="shared" si="8"/>
        <v>56</v>
      </c>
      <c r="J263">
        <f t="shared" si="6"/>
        <v>56</v>
      </c>
      <c r="K263" s="163" t="str">
        <f t="shared" si="4"/>
        <v>2022AMP2022Capital ExpenditureAsset replacement and renewalOther network assets - Monitoring and control systemsnominal</v>
      </c>
    </row>
    <row r="264" spans="2:11" x14ac:dyDescent="0.45">
      <c r="B264" s="187">
        <v>2022</v>
      </c>
      <c r="C264" t="s">
        <v>37</v>
      </c>
      <c r="D264" t="s">
        <v>43</v>
      </c>
      <c r="E264" t="str">
        <f t="shared" si="8"/>
        <v/>
      </c>
      <c r="F264" t="str">
        <f t="shared" si="8"/>
        <v/>
      </c>
      <c r="G264">
        <f t="shared" si="8"/>
        <v>0</v>
      </c>
      <c r="H264">
        <f t="shared" si="8"/>
        <v>0</v>
      </c>
      <c r="I264">
        <f t="shared" si="8"/>
        <v>0</v>
      </c>
      <c r="J264">
        <f t="shared" si="6"/>
        <v>0</v>
      </c>
      <c r="K264" s="163" t="str">
        <f t="shared" si="4"/>
        <v>2022AMP2022Capital ExpenditureAsset replacement and renewalOther network assets - Other assets (other than above)nominal</v>
      </c>
    </row>
    <row r="265" spans="2:11" x14ac:dyDescent="0.45">
      <c r="B265" s="187">
        <v>2022</v>
      </c>
      <c r="C265" t="s">
        <v>37</v>
      </c>
      <c r="D265" t="s">
        <v>43</v>
      </c>
      <c r="E265" t="str">
        <f t="shared" si="8"/>
        <v/>
      </c>
      <c r="F265">
        <f t="shared" si="8"/>
        <v>0</v>
      </c>
      <c r="G265">
        <f t="shared" si="8"/>
        <v>432.36530558106358</v>
      </c>
      <c r="H265">
        <f t="shared" si="8"/>
        <v>78</v>
      </c>
      <c r="I265">
        <f t="shared" si="8"/>
        <v>510.36529541015625</v>
      </c>
      <c r="J265">
        <f t="shared" si="6"/>
        <v>78</v>
      </c>
      <c r="K265" s="163" t="str">
        <f t="shared" si="4"/>
        <v>2022AMP2022Capital ExpenditureAsset replacement and renewalOther network assets - Other network assets totalnominal</v>
      </c>
    </row>
    <row r="266" spans="2:11" x14ac:dyDescent="0.45">
      <c r="B266" s="187">
        <v>2023</v>
      </c>
      <c r="C266" t="s">
        <v>37</v>
      </c>
      <c r="D266" t="s">
        <v>43</v>
      </c>
      <c r="E266">
        <f t="shared" si="8"/>
        <v>2899.644434016001</v>
      </c>
      <c r="F266">
        <f t="shared" si="8"/>
        <v>109</v>
      </c>
      <c r="G266">
        <f t="shared" si="8"/>
        <v>6581.7570014576404</v>
      </c>
      <c r="H266">
        <f t="shared" si="8"/>
        <v>3714.9999999999995</v>
      </c>
      <c r="I266">
        <f t="shared" si="8"/>
        <v>13305.4013671875</v>
      </c>
      <c r="J266">
        <f t="shared" si="6"/>
        <v>6614.64453125</v>
      </c>
      <c r="K266" s="163" t="str">
        <f t="shared" si="4"/>
        <v>2023AMP2022Capital ExpenditureAsset replacement and renewalAsset replacement and renewal expenditure - Asset replacement and renewal expenditurenominal</v>
      </c>
    </row>
    <row r="267" spans="2:11" x14ac:dyDescent="0.45">
      <c r="B267" s="187">
        <v>2023</v>
      </c>
      <c r="C267" t="s">
        <v>37</v>
      </c>
      <c r="D267" t="s">
        <v>43</v>
      </c>
      <c r="E267">
        <f t="shared" si="8"/>
        <v>0</v>
      </c>
      <c r="F267" t="str">
        <f t="shared" si="8"/>
        <v/>
      </c>
      <c r="G267">
        <f t="shared" si="8"/>
        <v>0</v>
      </c>
      <c r="H267">
        <f t="shared" si="8"/>
        <v>0</v>
      </c>
      <c r="I267">
        <f t="shared" si="8"/>
        <v>0</v>
      </c>
      <c r="J267">
        <f t="shared" si="6"/>
        <v>0</v>
      </c>
      <c r="K267" s="163" t="str">
        <f t="shared" si="4"/>
        <v>2023AMP2022Capital ExpenditureAsset replacement and renewalAsset replacement and renewal expenditure - Capital contributions funding asset replacement and renewalnominal</v>
      </c>
    </row>
    <row r="268" spans="2:11" x14ac:dyDescent="0.45">
      <c r="B268" s="187">
        <v>2023</v>
      </c>
      <c r="C268" t="s">
        <v>37</v>
      </c>
      <c r="D268" t="s">
        <v>43</v>
      </c>
      <c r="E268">
        <f t="shared" si="8"/>
        <v>2899.644434016001</v>
      </c>
      <c r="F268">
        <f t="shared" si="8"/>
        <v>109</v>
      </c>
      <c r="G268">
        <f t="shared" si="8"/>
        <v>6581.7570014576404</v>
      </c>
      <c r="H268">
        <f t="shared" si="8"/>
        <v>3714.9999999999995</v>
      </c>
      <c r="I268">
        <f t="shared" si="8"/>
        <v>13305.4013671875</v>
      </c>
      <c r="J268">
        <f t="shared" si="6"/>
        <v>6614.64453125</v>
      </c>
      <c r="K268" s="163" t="str">
        <f t="shared" si="4"/>
        <v>2023AMP2022Capital ExpenditureAsset replacement and renewalAsset replacement and renewal less capital contributions - Asset replacement and renewal less capital contributionsnominal</v>
      </c>
    </row>
    <row r="269" spans="2:11" x14ac:dyDescent="0.45">
      <c r="B269" s="187">
        <v>2023</v>
      </c>
      <c r="C269" t="s">
        <v>37</v>
      </c>
      <c r="D269" t="s">
        <v>43</v>
      </c>
      <c r="E269">
        <f t="shared" ref="E269:I278" si="9">IF(E74="","",E74*INDEX($A$29:$I$40,MATCH($B269&amp;"modifier",$D$29:$D$40,0),MATCH(E$29,$A$29:$I$29,0)))</f>
        <v>427.85166076224021</v>
      </c>
      <c r="F269">
        <f t="shared" si="9"/>
        <v>14</v>
      </c>
      <c r="G269">
        <f t="shared" si="9"/>
        <v>2706.6728742139831</v>
      </c>
      <c r="H269">
        <f t="shared" si="9"/>
        <v>1256.6999429549344</v>
      </c>
      <c r="I269">
        <f t="shared" si="9"/>
        <v>4402.2501652252049</v>
      </c>
      <c r="J269">
        <f t="shared" si="6"/>
        <v>1672.6912505662331</v>
      </c>
      <c r="K269" s="163" t="str">
        <f t="shared" si="4"/>
        <v>2023AMP2022Capital ExpenditureAsset replacement and renewalIntermediate pressure - Intermediate Pressure totalnominal</v>
      </c>
    </row>
    <row r="270" spans="2:11" x14ac:dyDescent="0.45">
      <c r="B270" s="187">
        <v>2023</v>
      </c>
      <c r="C270" t="s">
        <v>37</v>
      </c>
      <c r="D270" t="s">
        <v>43</v>
      </c>
      <c r="E270">
        <f t="shared" si="9"/>
        <v>115.98577736064006</v>
      </c>
      <c r="F270">
        <f t="shared" si="9"/>
        <v>14</v>
      </c>
      <c r="G270">
        <f t="shared" si="9"/>
        <v>570.19407753923156</v>
      </c>
      <c r="H270">
        <f t="shared" si="9"/>
        <v>262.78379920136905</v>
      </c>
      <c r="I270">
        <f t="shared" si="9"/>
        <v>963.04768773484841</v>
      </c>
      <c r="J270">
        <f t="shared" si="6"/>
        <v>376.85824372891972</v>
      </c>
      <c r="K270" s="163" t="str">
        <f t="shared" ref="K270:K301" si="10">LEFT(K75,LEN(K75)-8)&amp;C270</f>
        <v>2023AMP2022Capital ExpenditureAsset replacement and renewalIntermediate pressure - Line valvenominal</v>
      </c>
    </row>
    <row r="271" spans="2:11" x14ac:dyDescent="0.45">
      <c r="B271" s="187">
        <v>2023</v>
      </c>
      <c r="C271" t="s">
        <v>37</v>
      </c>
      <c r="D271" t="s">
        <v>43</v>
      </c>
      <c r="E271">
        <f t="shared" si="9"/>
        <v>21.901440000000012</v>
      </c>
      <c r="F271" t="str">
        <f t="shared" si="9"/>
        <v/>
      </c>
      <c r="G271">
        <f t="shared" si="9"/>
        <v>28.449471968457441</v>
      </c>
      <c r="H271">
        <f t="shared" si="9"/>
        <v>0</v>
      </c>
      <c r="I271">
        <f t="shared" si="9"/>
        <v>50.864146985100426</v>
      </c>
      <c r="J271">
        <f t="shared" ref="J271:J302" si="11">IF(J76="","",J76*INDEX($A$29:$J$40,MATCH($B271&amp;"modifier",$D$29:$D$40,0),MATCH(J$29,$A$29:$J$29,0)))</f>
        <v>22.371141600022359</v>
      </c>
      <c r="K271" s="163" t="str">
        <f t="shared" si="10"/>
        <v>2023AMP2022Capital ExpenditureAsset replacement and renewalIntermediate pressure - Main pipenominal</v>
      </c>
    </row>
    <row r="272" spans="2:11" x14ac:dyDescent="0.45">
      <c r="B272" s="187">
        <v>2023</v>
      </c>
      <c r="C272" t="s">
        <v>37</v>
      </c>
      <c r="D272" t="s">
        <v>43</v>
      </c>
      <c r="E272">
        <f t="shared" si="9"/>
        <v>0</v>
      </c>
      <c r="F272" t="str">
        <f t="shared" si="9"/>
        <v/>
      </c>
      <c r="G272">
        <f t="shared" si="9"/>
        <v>13.791595017356158</v>
      </c>
      <c r="H272">
        <f t="shared" si="9"/>
        <v>0</v>
      </c>
      <c r="I272">
        <f t="shared" si="9"/>
        <v>13.914926083129107</v>
      </c>
      <c r="J272">
        <f t="shared" si="11"/>
        <v>0</v>
      </c>
      <c r="K272" s="163" t="str">
        <f t="shared" si="10"/>
        <v>2023AMP2022Capital ExpenditureAsset replacement and renewalIntermediate pressure - Service pipenominal</v>
      </c>
    </row>
    <row r="273" spans="2:11" x14ac:dyDescent="0.45">
      <c r="B273" s="187">
        <v>2023</v>
      </c>
      <c r="C273" t="s">
        <v>37</v>
      </c>
      <c r="D273" t="s">
        <v>43</v>
      </c>
      <c r="E273">
        <f t="shared" si="9"/>
        <v>0</v>
      </c>
      <c r="F273" t="str">
        <f t="shared" si="9"/>
        <v/>
      </c>
      <c r="G273">
        <f t="shared" si="9"/>
        <v>451.27051641347788</v>
      </c>
      <c r="H273">
        <f t="shared" si="9"/>
        <v>615.63462635482028</v>
      </c>
      <c r="I273">
        <f t="shared" si="9"/>
        <v>1054.9294203794241</v>
      </c>
      <c r="J273">
        <f t="shared" si="11"/>
        <v>605.32941485284277</v>
      </c>
      <c r="K273" s="163" t="str">
        <f t="shared" si="10"/>
        <v>2023AMP2022Capital ExpenditureAsset replacement and renewalIntermediate pressure - Special crossingsnominal</v>
      </c>
    </row>
    <row r="274" spans="2:11" x14ac:dyDescent="0.45">
      <c r="B274" s="187">
        <v>2023</v>
      </c>
      <c r="C274" t="s">
        <v>37</v>
      </c>
      <c r="D274" t="s">
        <v>43</v>
      </c>
      <c r="E274">
        <f t="shared" si="9"/>
        <v>289.96444340160014</v>
      </c>
      <c r="F274" t="str">
        <f t="shared" si="9"/>
        <v/>
      </c>
      <c r="G274">
        <f t="shared" si="9"/>
        <v>1642.9672132754608</v>
      </c>
      <c r="H274">
        <f t="shared" si="9"/>
        <v>378.281517398745</v>
      </c>
      <c r="I274">
        <f t="shared" si="9"/>
        <v>2319.493832469198</v>
      </c>
      <c r="J274">
        <f t="shared" si="11"/>
        <v>668.13246628220008</v>
      </c>
      <c r="K274" s="163" t="str">
        <f t="shared" si="10"/>
        <v>2023AMP2022Capital ExpenditureAsset replacement and renewalIntermediate pressure - Stationsnominal</v>
      </c>
    </row>
    <row r="275" spans="2:11" x14ac:dyDescent="0.45">
      <c r="B275" s="187">
        <v>2023</v>
      </c>
      <c r="C275" t="s">
        <v>37</v>
      </c>
      <c r="D275" t="s">
        <v>43</v>
      </c>
      <c r="E275">
        <f t="shared" si="9"/>
        <v>0</v>
      </c>
      <c r="F275" t="str">
        <f t="shared" si="9"/>
        <v/>
      </c>
      <c r="G275">
        <f t="shared" si="9"/>
        <v>3.2485963380245154E-2</v>
      </c>
      <c r="H275">
        <f t="shared" si="9"/>
        <v>0</v>
      </c>
      <c r="I275">
        <f t="shared" si="9"/>
        <v>3.2776467059558612E-2</v>
      </c>
      <c r="J275">
        <f t="shared" si="11"/>
        <v>0</v>
      </c>
      <c r="K275" s="163" t="str">
        <f t="shared" si="10"/>
        <v>2023AMP2022Capital ExpenditureAsset replacement and renewalLow Pressure - Line valvenominal</v>
      </c>
    </row>
    <row r="276" spans="2:11" x14ac:dyDescent="0.45">
      <c r="B276" s="187">
        <v>2023</v>
      </c>
      <c r="C276" t="s">
        <v>37</v>
      </c>
      <c r="D276" t="s">
        <v>43</v>
      </c>
      <c r="E276">
        <f t="shared" si="9"/>
        <v>0</v>
      </c>
      <c r="F276">
        <f t="shared" si="9"/>
        <v>80</v>
      </c>
      <c r="G276">
        <f t="shared" si="9"/>
        <v>2.325890294234787</v>
      </c>
      <c r="H276">
        <f t="shared" si="9"/>
        <v>0</v>
      </c>
      <c r="I276">
        <f t="shared" si="9"/>
        <v>84.911020700750598</v>
      </c>
      <c r="J276">
        <f t="shared" si="11"/>
        <v>0</v>
      </c>
      <c r="K276" s="163" t="str">
        <f t="shared" si="10"/>
        <v>2023AMP2022Capital ExpenditureAsset replacement and renewalLow Pressure - Low Pressure totalnominal</v>
      </c>
    </row>
    <row r="277" spans="2:11" x14ac:dyDescent="0.45">
      <c r="B277" s="187">
        <v>2023</v>
      </c>
      <c r="C277" t="s">
        <v>37</v>
      </c>
      <c r="D277" t="s">
        <v>43</v>
      </c>
      <c r="E277">
        <f t="shared" si="9"/>
        <v>0</v>
      </c>
      <c r="F277">
        <f t="shared" si="9"/>
        <v>80</v>
      </c>
      <c r="G277">
        <f t="shared" si="9"/>
        <v>1.5405851246457101</v>
      </c>
      <c r="H277">
        <f t="shared" si="9"/>
        <v>0</v>
      </c>
      <c r="I277">
        <f t="shared" si="9"/>
        <v>84.118696778976727</v>
      </c>
      <c r="J277">
        <f t="shared" si="11"/>
        <v>0</v>
      </c>
      <c r="K277" s="163" t="str">
        <f t="shared" si="10"/>
        <v>2023AMP2022Capital ExpenditureAsset replacement and renewalLow Pressure - Main pipenominal</v>
      </c>
    </row>
    <row r="278" spans="2:11" x14ac:dyDescent="0.45">
      <c r="B278" s="187">
        <v>2023</v>
      </c>
      <c r="C278" t="s">
        <v>37</v>
      </c>
      <c r="D278" t="s">
        <v>43</v>
      </c>
      <c r="E278">
        <f t="shared" si="9"/>
        <v>0</v>
      </c>
      <c r="F278">
        <f t="shared" si="9"/>
        <v>0</v>
      </c>
      <c r="G278">
        <f t="shared" si="9"/>
        <v>0.74683727530809563</v>
      </c>
      <c r="H278">
        <f t="shared" si="9"/>
        <v>0</v>
      </c>
      <c r="I278">
        <f t="shared" si="9"/>
        <v>0.75351581423569713</v>
      </c>
      <c r="J278">
        <f t="shared" si="11"/>
        <v>0</v>
      </c>
      <c r="K278" s="163" t="str">
        <f t="shared" si="10"/>
        <v>2023AMP2022Capital ExpenditureAsset replacement and renewalLow Pressure - Service pipenominal</v>
      </c>
    </row>
    <row r="279" spans="2:11" x14ac:dyDescent="0.45">
      <c r="B279" s="187">
        <v>2023</v>
      </c>
      <c r="C279" t="s">
        <v>37</v>
      </c>
      <c r="D279" t="s">
        <v>43</v>
      </c>
      <c r="E279">
        <f t="shared" ref="E279:I288" si="12">IF(E84="","",E84*INDEX($A$29:$I$40,MATCH($B279&amp;"modifier",$D$29:$D$40,0),MATCH(E$29,$A$29:$I$29,0)))</f>
        <v>0</v>
      </c>
      <c r="F279" t="str">
        <f t="shared" si="12"/>
        <v/>
      </c>
      <c r="G279">
        <f t="shared" si="12"/>
        <v>5.9819309007356925E-3</v>
      </c>
      <c r="H279">
        <f t="shared" si="12"/>
        <v>0</v>
      </c>
      <c r="I279">
        <f t="shared" si="12"/>
        <v>6.0354241453039279E-3</v>
      </c>
      <c r="J279">
        <f t="shared" si="11"/>
        <v>0</v>
      </c>
      <c r="K279" s="163" t="str">
        <f t="shared" si="10"/>
        <v>2023AMP2022Capital ExpenditureAsset replacement and renewalLow Pressure - Special crossingsnominal</v>
      </c>
    </row>
    <row r="280" spans="2:11" x14ac:dyDescent="0.45">
      <c r="B280" s="187">
        <v>2023</v>
      </c>
      <c r="C280" t="s">
        <v>37</v>
      </c>
      <c r="D280" t="s">
        <v>43</v>
      </c>
      <c r="E280">
        <f t="shared" si="12"/>
        <v>0</v>
      </c>
      <c r="F280" t="str">
        <f t="shared" si="12"/>
        <v/>
      </c>
      <c r="G280">
        <f t="shared" si="12"/>
        <v>12.691183027215748</v>
      </c>
      <c r="H280">
        <f t="shared" si="12"/>
        <v>0</v>
      </c>
      <c r="I280">
        <f t="shared" si="12"/>
        <v>12.804673782303652</v>
      </c>
      <c r="J280">
        <f t="shared" si="11"/>
        <v>0</v>
      </c>
      <c r="K280" s="163" t="str">
        <f t="shared" si="10"/>
        <v>2023AMP2022Capital ExpenditureAsset replacement and renewalMedium pressure - Line valvenominal</v>
      </c>
    </row>
    <row r="281" spans="2:11" x14ac:dyDescent="0.45">
      <c r="B281" s="187">
        <v>2023</v>
      </c>
      <c r="C281" t="s">
        <v>37</v>
      </c>
      <c r="D281" t="s">
        <v>43</v>
      </c>
      <c r="E281">
        <f t="shared" si="12"/>
        <v>2123.835441171841</v>
      </c>
      <c r="F281">
        <f t="shared" si="12"/>
        <v>15</v>
      </c>
      <c r="G281">
        <f t="shared" si="12"/>
        <v>2319.1691093929626</v>
      </c>
      <c r="H281">
        <f t="shared" si="12"/>
        <v>1639.219908727895</v>
      </c>
      <c r="I281">
        <f t="shared" si="12"/>
        <v>6100.9115203450938</v>
      </c>
      <c r="J281">
        <f t="shared" si="11"/>
        <v>3781.1642996898104</v>
      </c>
      <c r="K281" s="163" t="str">
        <f t="shared" si="10"/>
        <v>2023AMP2022Capital ExpenditureAsset replacement and renewalMedium pressure - Main pipenominal</v>
      </c>
    </row>
    <row r="282" spans="2:11" x14ac:dyDescent="0.45">
      <c r="B282" s="187">
        <v>2023</v>
      </c>
      <c r="C282" t="s">
        <v>37</v>
      </c>
      <c r="D282" t="s">
        <v>43</v>
      </c>
      <c r="E282">
        <f t="shared" si="12"/>
        <v>2123.835441171841</v>
      </c>
      <c r="F282">
        <f t="shared" si="12"/>
        <v>15</v>
      </c>
      <c r="G282">
        <f t="shared" si="12"/>
        <v>3458.472621347285</v>
      </c>
      <c r="H282">
        <f t="shared" si="12"/>
        <v>2298.2986309184253</v>
      </c>
      <c r="I282">
        <f t="shared" si="12"/>
        <v>7892.3408367387738</v>
      </c>
      <c r="J282">
        <f t="shared" si="11"/>
        <v>4429.2103379909577</v>
      </c>
      <c r="K282" s="163" t="str">
        <f t="shared" si="10"/>
        <v>2023AMP2022Capital ExpenditureAsset replacement and renewalMedium pressure - Medium Pressure totalnominal</v>
      </c>
    </row>
    <row r="283" spans="2:11" x14ac:dyDescent="0.45">
      <c r="B283" s="187">
        <v>2023</v>
      </c>
      <c r="C283" t="s">
        <v>37</v>
      </c>
      <c r="D283" t="s">
        <v>43</v>
      </c>
      <c r="E283">
        <f t="shared" si="12"/>
        <v>0</v>
      </c>
      <c r="F283">
        <f t="shared" si="12"/>
        <v>0</v>
      </c>
      <c r="G283">
        <f t="shared" si="12"/>
        <v>1124.2753879218856</v>
      </c>
      <c r="H283">
        <f t="shared" si="12"/>
        <v>458.81203650884197</v>
      </c>
      <c r="I283">
        <f t="shared" si="12"/>
        <v>1581.2086289128817</v>
      </c>
      <c r="J283">
        <f t="shared" si="11"/>
        <v>451.13190470099988</v>
      </c>
      <c r="K283" s="163" t="str">
        <f t="shared" si="10"/>
        <v>2023AMP2022Capital ExpenditureAsset replacement and renewalMedium pressure - Service pipenominal</v>
      </c>
    </row>
    <row r="284" spans="2:11" x14ac:dyDescent="0.45">
      <c r="B284" s="187">
        <v>2023</v>
      </c>
      <c r="C284" t="s">
        <v>37</v>
      </c>
      <c r="D284" t="s">
        <v>43</v>
      </c>
      <c r="E284">
        <f t="shared" si="12"/>
        <v>0</v>
      </c>
      <c r="F284" t="str">
        <f t="shared" si="12"/>
        <v/>
      </c>
      <c r="G284">
        <f t="shared" si="12"/>
        <v>2.3369410052207287</v>
      </c>
      <c r="H284">
        <f t="shared" si="12"/>
        <v>0</v>
      </c>
      <c r="I284">
        <f t="shared" si="12"/>
        <v>2.3578390551928257</v>
      </c>
      <c r="J284">
        <f t="shared" si="11"/>
        <v>0</v>
      </c>
      <c r="K284" s="163" t="str">
        <f t="shared" si="10"/>
        <v>2023AMP2022Capital ExpenditureAsset replacement and renewalMedium pressure - Special crossingsnominal</v>
      </c>
    </row>
    <row r="285" spans="2:11" x14ac:dyDescent="0.45">
      <c r="B285" s="187">
        <v>2023</v>
      </c>
      <c r="C285" t="s">
        <v>37</v>
      </c>
      <c r="D285" t="s">
        <v>43</v>
      </c>
      <c r="E285">
        <f t="shared" si="12"/>
        <v>0</v>
      </c>
      <c r="F285">
        <f t="shared" si="12"/>
        <v>0</v>
      </c>
      <c r="G285">
        <f t="shared" si="12"/>
        <v>0</v>
      </c>
      <c r="H285">
        <f t="shared" si="12"/>
        <v>200.26668568168853</v>
      </c>
      <c r="I285">
        <f t="shared" si="12"/>
        <v>195.05823468215817</v>
      </c>
      <c r="J285">
        <f t="shared" si="11"/>
        <v>196.91438796417776</v>
      </c>
      <c r="K285" s="163" t="str">
        <f t="shared" si="10"/>
        <v>2023AMP2022Capital ExpenditureAsset replacement and renewalMedium pressure - Stationnominal</v>
      </c>
    </row>
    <row r="286" spans="2:11" x14ac:dyDescent="0.45">
      <c r="B286" s="187">
        <v>2023</v>
      </c>
      <c r="C286" t="s">
        <v>37</v>
      </c>
      <c r="D286" t="s">
        <v>43</v>
      </c>
      <c r="E286">
        <f t="shared" si="12"/>
        <v>115.98577736064006</v>
      </c>
      <c r="F286" t="str">
        <f t="shared" si="12"/>
        <v/>
      </c>
      <c r="G286" t="str">
        <f t="shared" si="12"/>
        <v/>
      </c>
      <c r="H286" t="str">
        <f t="shared" si="12"/>
        <v/>
      </c>
      <c r="I286">
        <f t="shared" si="12"/>
        <v>117.3564750629711</v>
      </c>
      <c r="J286">
        <f t="shared" si="11"/>
        <v>118.47322671772351</v>
      </c>
      <c r="K286" s="163" t="str">
        <f t="shared" si="10"/>
        <v>2023AMP2022Capital ExpenditureAsset replacement and renewalOther assets - Cathodic protection systemsnominal</v>
      </c>
    </row>
    <row r="287" spans="2:11" x14ac:dyDescent="0.45">
      <c r="B287" s="187">
        <v>2023</v>
      </c>
      <c r="C287" t="s">
        <v>37</v>
      </c>
      <c r="D287" t="s">
        <v>43</v>
      </c>
      <c r="E287">
        <f t="shared" si="12"/>
        <v>115.98577736064006</v>
      </c>
      <c r="F287" t="str">
        <f t="shared" si="12"/>
        <v/>
      </c>
      <c r="G287" t="str">
        <f t="shared" si="12"/>
        <v/>
      </c>
      <c r="H287" t="str">
        <f t="shared" si="12"/>
        <v/>
      </c>
      <c r="I287">
        <f t="shared" si="12"/>
        <v>117.3564750629711</v>
      </c>
      <c r="J287">
        <f t="shared" si="11"/>
        <v>118.47322671772351</v>
      </c>
      <c r="K287" s="163" t="str">
        <f t="shared" si="10"/>
        <v>2023AMP2022Capital ExpenditureAsset replacement and renewalOther assets - Monitoring and control systemsnominal</v>
      </c>
    </row>
    <row r="288" spans="2:11" x14ac:dyDescent="0.45">
      <c r="B288" s="187">
        <v>2023</v>
      </c>
      <c r="C288" t="s">
        <v>37</v>
      </c>
      <c r="D288" t="s">
        <v>43</v>
      </c>
      <c r="E288">
        <f t="shared" si="12"/>
        <v>115.98577736064006</v>
      </c>
      <c r="F288" t="str">
        <f t="shared" si="12"/>
        <v/>
      </c>
      <c r="G288" t="str">
        <f t="shared" si="12"/>
        <v/>
      </c>
      <c r="H288" t="str">
        <f t="shared" si="12"/>
        <v/>
      </c>
      <c r="I288">
        <f t="shared" si="12"/>
        <v>117.3564750629711</v>
      </c>
      <c r="J288">
        <f t="shared" si="11"/>
        <v>118.47322671772351</v>
      </c>
      <c r="K288" s="163" t="str">
        <f t="shared" si="10"/>
        <v>2023AMP2022Capital ExpenditureAsset replacement and renewalOther assets - Other assets (other than above)nominal</v>
      </c>
    </row>
    <row r="289" spans="2:11" x14ac:dyDescent="0.45">
      <c r="B289" s="187">
        <v>2023</v>
      </c>
      <c r="C289" t="s">
        <v>37</v>
      </c>
      <c r="D289" t="s">
        <v>43</v>
      </c>
      <c r="E289">
        <f t="shared" ref="E289:I298" si="13">IF(E94="","",E94*INDEX($A$29:$I$40,MATCH($B289&amp;"modifier",$D$29:$D$40,0),MATCH(E$29,$A$29:$I$29,0)))</f>
        <v>347.95733208192013</v>
      </c>
      <c r="F289" t="str">
        <f t="shared" si="13"/>
        <v/>
      </c>
      <c r="G289" t="str">
        <f t="shared" si="13"/>
        <v/>
      </c>
      <c r="H289" t="str">
        <f t="shared" si="13"/>
        <v/>
      </c>
      <c r="I289">
        <f t="shared" si="13"/>
        <v>352.06942518891327</v>
      </c>
      <c r="J289">
        <f t="shared" si="11"/>
        <v>355.41968015317053</v>
      </c>
      <c r="K289" s="163" t="str">
        <f t="shared" si="10"/>
        <v>2023AMP2022Capital ExpenditureAsset replacement and renewalOther assets - Other totalnominal</v>
      </c>
    </row>
    <row r="290" spans="2:11" x14ac:dyDescent="0.45">
      <c r="B290" s="187">
        <v>2023</v>
      </c>
      <c r="C290" t="s">
        <v>37</v>
      </c>
      <c r="D290" t="s">
        <v>43</v>
      </c>
      <c r="E290" t="str">
        <f t="shared" si="13"/>
        <v/>
      </c>
      <c r="F290" t="str">
        <f t="shared" si="13"/>
        <v/>
      </c>
      <c r="G290">
        <f t="shared" si="13"/>
        <v>414.28561560213683</v>
      </c>
      <c r="H290">
        <f t="shared" si="13"/>
        <v>58.278665145464913</v>
      </c>
      <c r="I290">
        <f t="shared" si="13"/>
        <v>474.75331918521317</v>
      </c>
      <c r="J290">
        <f t="shared" si="11"/>
        <v>57.303128772644328</v>
      </c>
      <c r="K290" s="163" t="str">
        <f t="shared" si="10"/>
        <v>2023AMP2022Capital ExpenditureAsset replacement and renewalOther network assets - Cathodic protection systemsnominal</v>
      </c>
    </row>
    <row r="291" spans="2:11" x14ac:dyDescent="0.45">
      <c r="B291" s="187">
        <v>2023</v>
      </c>
      <c r="C291" t="s">
        <v>37</v>
      </c>
      <c r="D291" t="s">
        <v>43</v>
      </c>
      <c r="E291" t="str">
        <f t="shared" si="13"/>
        <v/>
      </c>
      <c r="F291" t="str">
        <f t="shared" si="13"/>
        <v/>
      </c>
      <c r="G291">
        <f t="shared" si="13"/>
        <v>0</v>
      </c>
      <c r="H291">
        <f t="shared" si="13"/>
        <v>101.72276098117513</v>
      </c>
      <c r="I291">
        <f t="shared" si="13"/>
        <v>99.077198568715261</v>
      </c>
      <c r="J291">
        <f t="shared" si="11"/>
        <v>100.02000658497919</v>
      </c>
      <c r="K291" s="163" t="str">
        <f t="shared" si="10"/>
        <v>2023AMP2022Capital ExpenditureAsset replacement and renewalOther network assets - Monitoring and control systemsnominal</v>
      </c>
    </row>
    <row r="292" spans="2:11" x14ac:dyDescent="0.45">
      <c r="B292" s="187">
        <v>2023</v>
      </c>
      <c r="C292" t="s">
        <v>37</v>
      </c>
      <c r="D292" t="s">
        <v>43</v>
      </c>
      <c r="E292" t="str">
        <f t="shared" si="13"/>
        <v/>
      </c>
      <c r="F292" t="str">
        <f t="shared" si="13"/>
        <v/>
      </c>
      <c r="G292">
        <f t="shared" si="13"/>
        <v>0</v>
      </c>
      <c r="H292">
        <f t="shared" si="13"/>
        <v>0</v>
      </c>
      <c r="I292">
        <f t="shared" si="13"/>
        <v>0</v>
      </c>
      <c r="J292">
        <f t="shared" si="11"/>
        <v>0</v>
      </c>
      <c r="K292" s="163" t="str">
        <f t="shared" si="10"/>
        <v>2023AMP2022Capital ExpenditureAsset replacement and renewalOther network assets - Other assets (other than above)nominal</v>
      </c>
    </row>
    <row r="293" spans="2:11" x14ac:dyDescent="0.45">
      <c r="B293" s="187">
        <v>2023</v>
      </c>
      <c r="C293" t="s">
        <v>37</v>
      </c>
      <c r="D293" t="s">
        <v>43</v>
      </c>
      <c r="E293" t="str">
        <f t="shared" si="13"/>
        <v/>
      </c>
      <c r="F293">
        <f t="shared" si="13"/>
        <v>0</v>
      </c>
      <c r="G293">
        <f t="shared" si="13"/>
        <v>414.28561560213683</v>
      </c>
      <c r="H293">
        <f t="shared" si="13"/>
        <v>160.00142612664004</v>
      </c>
      <c r="I293">
        <f t="shared" si="13"/>
        <v>573.83054924972157</v>
      </c>
      <c r="J293">
        <f t="shared" si="11"/>
        <v>157.3231353576235</v>
      </c>
      <c r="K293" s="163" t="str">
        <f t="shared" si="10"/>
        <v>2023AMP2022Capital ExpenditureAsset replacement and renewalOther network assets - Other network assets totalnominal</v>
      </c>
    </row>
    <row r="294" spans="2:11" x14ac:dyDescent="0.45">
      <c r="B294" s="187">
        <v>2024</v>
      </c>
      <c r="C294" t="s">
        <v>37</v>
      </c>
      <c r="D294" t="s">
        <v>43</v>
      </c>
      <c r="E294">
        <f t="shared" si="13"/>
        <v>3166.411721945472</v>
      </c>
      <c r="F294">
        <f t="shared" si="13"/>
        <v>495</v>
      </c>
      <c r="G294">
        <f t="shared" si="13"/>
        <v>6116.4371452678452</v>
      </c>
      <c r="H294">
        <f t="shared" si="13"/>
        <v>3386</v>
      </c>
      <c r="I294">
        <f t="shared" si="13"/>
        <v>13163.8486328125</v>
      </c>
      <c r="J294">
        <f t="shared" si="11"/>
        <v>6552.4116210937491</v>
      </c>
      <c r="K294" s="163" t="str">
        <f t="shared" si="10"/>
        <v>2024AMP2022Capital ExpenditureAsset replacement and renewalAsset replacement and renewal expenditure - Asset replacement and renewal expenditurenominal</v>
      </c>
    </row>
    <row r="295" spans="2:11" x14ac:dyDescent="0.45">
      <c r="B295" s="187">
        <v>2024</v>
      </c>
      <c r="C295" t="s">
        <v>37</v>
      </c>
      <c r="D295" t="s">
        <v>43</v>
      </c>
      <c r="E295">
        <f t="shared" si="13"/>
        <v>0</v>
      </c>
      <c r="F295" t="str">
        <f t="shared" si="13"/>
        <v/>
      </c>
      <c r="G295">
        <f t="shared" si="13"/>
        <v>0</v>
      </c>
      <c r="H295">
        <f t="shared" si="13"/>
        <v>0</v>
      </c>
      <c r="I295">
        <f t="shared" si="13"/>
        <v>0</v>
      </c>
      <c r="J295">
        <f t="shared" si="11"/>
        <v>0</v>
      </c>
      <c r="K295" s="163" t="str">
        <f t="shared" si="10"/>
        <v>2024AMP2022Capital ExpenditureAsset replacement and renewalAsset replacement and renewal expenditure - Capital contributions funding asset replacement and renewalnominal</v>
      </c>
    </row>
    <row r="296" spans="2:11" x14ac:dyDescent="0.45">
      <c r="B296" s="187">
        <v>2024</v>
      </c>
      <c r="C296" t="s">
        <v>37</v>
      </c>
      <c r="D296" t="s">
        <v>43</v>
      </c>
      <c r="E296">
        <f t="shared" si="13"/>
        <v>3166.411721945472</v>
      </c>
      <c r="F296">
        <f t="shared" si="13"/>
        <v>495</v>
      </c>
      <c r="G296">
        <f t="shared" si="13"/>
        <v>6116.4371452678452</v>
      </c>
      <c r="H296">
        <f t="shared" si="13"/>
        <v>3386</v>
      </c>
      <c r="I296">
        <f t="shared" si="13"/>
        <v>13163.8486328125</v>
      </c>
      <c r="J296">
        <f t="shared" si="11"/>
        <v>6552.4116210937491</v>
      </c>
      <c r="K296" s="163" t="str">
        <f t="shared" si="10"/>
        <v>2024AMP2022Capital ExpenditureAsset replacement and renewalAsset replacement and renewal less capital contributions - Asset replacement and renewal less capital contributionsnominal</v>
      </c>
    </row>
    <row r="297" spans="2:11" x14ac:dyDescent="0.45">
      <c r="B297" s="187">
        <v>2024</v>
      </c>
      <c r="C297" t="s">
        <v>37</v>
      </c>
      <c r="D297" t="s">
        <v>43</v>
      </c>
      <c r="E297">
        <f t="shared" si="13"/>
        <v>465.63710987236607</v>
      </c>
      <c r="F297">
        <f t="shared" si="13"/>
        <v>10</v>
      </c>
      <c r="G297">
        <f t="shared" si="13"/>
        <v>2552.2575713937381</v>
      </c>
      <c r="H297">
        <f t="shared" si="13"/>
        <v>1324.9565217391305</v>
      </c>
      <c r="I297">
        <f t="shared" si="13"/>
        <v>4332.2782185120004</v>
      </c>
      <c r="J297">
        <f t="shared" si="11"/>
        <v>1765.8148043804895</v>
      </c>
      <c r="K297" s="163" t="str">
        <f t="shared" si="10"/>
        <v>2024AMP2022Capital ExpenditureAsset replacement and renewalIntermediate pressure - Intermediate Pressure totalnominal</v>
      </c>
    </row>
    <row r="298" spans="2:11" x14ac:dyDescent="0.45">
      <c r="B298" s="187">
        <v>2024</v>
      </c>
      <c r="C298" t="s">
        <v>37</v>
      </c>
      <c r="D298" t="s">
        <v>43</v>
      </c>
      <c r="E298">
        <f t="shared" si="13"/>
        <v>126.65646887781887</v>
      </c>
      <c r="F298" t="str">
        <f t="shared" si="13"/>
        <v/>
      </c>
      <c r="G298">
        <f t="shared" si="13"/>
        <v>310.25641814636867</v>
      </c>
      <c r="H298">
        <f t="shared" si="13"/>
        <v>274.51062438705458</v>
      </c>
      <c r="I298">
        <f t="shared" si="13"/>
        <v>704.80821484770343</v>
      </c>
      <c r="J298">
        <f t="shared" si="11"/>
        <v>397.00035348899507</v>
      </c>
      <c r="K298" s="163" t="str">
        <f t="shared" si="10"/>
        <v>2024AMP2022Capital ExpenditureAsset replacement and renewalIntermediate pressure - Line valvenominal</v>
      </c>
    </row>
    <row r="299" spans="2:11" x14ac:dyDescent="0.45">
      <c r="B299" s="187">
        <v>2024</v>
      </c>
      <c r="C299" t="s">
        <v>37</v>
      </c>
      <c r="D299" t="s">
        <v>43</v>
      </c>
      <c r="E299">
        <f t="shared" ref="E299:I308" si="14">IF(E104="","",E104*INDEX($A$29:$I$40,MATCH($B299&amp;"modifier",$D$29:$D$40,0),MATCH(E$29,$A$29:$I$29,0)))</f>
        <v>22.339468800000002</v>
      </c>
      <c r="F299" t="str">
        <f t="shared" si="14"/>
        <v/>
      </c>
      <c r="G299">
        <f t="shared" si="14"/>
        <v>33.665423399399167</v>
      </c>
      <c r="H299">
        <f t="shared" si="14"/>
        <v>0</v>
      </c>
      <c r="I299">
        <f t="shared" si="14"/>
        <v>56.772373942076584</v>
      </c>
      <c r="J299">
        <f t="shared" si="11"/>
        <v>23.055206275497657</v>
      </c>
      <c r="K299" s="163" t="str">
        <f t="shared" si="10"/>
        <v>2024AMP2022Capital ExpenditureAsset replacement and renewalIntermediate pressure - Main pipenominal</v>
      </c>
    </row>
    <row r="300" spans="2:11" x14ac:dyDescent="0.45">
      <c r="B300" s="187">
        <v>2024</v>
      </c>
      <c r="C300" t="s">
        <v>37</v>
      </c>
      <c r="D300" t="s">
        <v>43</v>
      </c>
      <c r="E300">
        <f t="shared" si="14"/>
        <v>0</v>
      </c>
      <c r="F300" t="str">
        <f t="shared" si="14"/>
        <v/>
      </c>
      <c r="G300">
        <f t="shared" si="14"/>
        <v>16.320158283679874</v>
      </c>
      <c r="H300">
        <f t="shared" si="14"/>
        <v>0</v>
      </c>
      <c r="I300">
        <f t="shared" si="14"/>
        <v>16.522433409235699</v>
      </c>
      <c r="J300">
        <f t="shared" si="11"/>
        <v>0</v>
      </c>
      <c r="K300" s="163" t="str">
        <f t="shared" si="10"/>
        <v>2024AMP2022Capital ExpenditureAsset replacement and renewalIntermediate pressure - Service pipenominal</v>
      </c>
    </row>
    <row r="301" spans="2:11" x14ac:dyDescent="0.45">
      <c r="B301" s="187">
        <v>2024</v>
      </c>
      <c r="C301" t="s">
        <v>37</v>
      </c>
      <c r="D301" t="s">
        <v>43</v>
      </c>
      <c r="E301">
        <f t="shared" si="14"/>
        <v>0</v>
      </c>
      <c r="F301" t="str">
        <f t="shared" si="14"/>
        <v/>
      </c>
      <c r="G301">
        <f t="shared" si="14"/>
        <v>373.83437296585771</v>
      </c>
      <c r="H301">
        <f t="shared" si="14"/>
        <v>703.98692383131743</v>
      </c>
      <c r="I301">
        <f t="shared" si="14"/>
        <v>1050.5358367802289</v>
      </c>
      <c r="J301">
        <f t="shared" si="11"/>
        <v>682.89451880846514</v>
      </c>
      <c r="K301" s="163" t="str">
        <f t="shared" si="10"/>
        <v>2024AMP2022Capital ExpenditureAsset replacement and renewalIntermediate pressure - Special crossingsnominal</v>
      </c>
    </row>
    <row r="302" spans="2:11" x14ac:dyDescent="0.45">
      <c r="B302" s="187">
        <v>2024</v>
      </c>
      <c r="C302" t="s">
        <v>37</v>
      </c>
      <c r="D302" t="s">
        <v>43</v>
      </c>
      <c r="E302">
        <f t="shared" si="14"/>
        <v>316.64117219454721</v>
      </c>
      <c r="F302">
        <f t="shared" si="14"/>
        <v>10</v>
      </c>
      <c r="G302">
        <f t="shared" si="14"/>
        <v>1818.1811985984325</v>
      </c>
      <c r="H302">
        <f t="shared" si="14"/>
        <v>346.45897352075843</v>
      </c>
      <c r="I302">
        <f t="shared" si="14"/>
        <v>2503.6390400734672</v>
      </c>
      <c r="J302">
        <f t="shared" si="11"/>
        <v>662.86464388816523</v>
      </c>
      <c r="K302" s="163" t="str">
        <f t="shared" ref="K302:K333" si="15">LEFT(K107,LEN(K107)-8)&amp;C302</f>
        <v>2024AMP2022Capital ExpenditureAsset replacement and renewalIntermediate pressure - Stationsnominal</v>
      </c>
    </row>
    <row r="303" spans="2:11" x14ac:dyDescent="0.45">
      <c r="B303" s="187">
        <v>2024</v>
      </c>
      <c r="C303" t="s">
        <v>37</v>
      </c>
      <c r="D303" t="s">
        <v>43</v>
      </c>
      <c r="E303">
        <f t="shared" si="14"/>
        <v>0</v>
      </c>
      <c r="F303" t="str">
        <f t="shared" si="14"/>
        <v/>
      </c>
      <c r="G303">
        <f t="shared" si="14"/>
        <v>3.8441968727781196E-2</v>
      </c>
      <c r="H303">
        <f t="shared" si="14"/>
        <v>0</v>
      </c>
      <c r="I303">
        <f t="shared" si="14"/>
        <v>3.8918425462204018E-2</v>
      </c>
      <c r="J303">
        <f t="shared" ref="J303:J334" si="16">IF(J108="","",J108*INDEX($A$29:$J$40,MATCH($B303&amp;"modifier",$D$29:$D$40,0),MATCH(J$29,$A$29:$J$29,0)))</f>
        <v>0</v>
      </c>
      <c r="K303" s="163" t="str">
        <f t="shared" si="15"/>
        <v>2024AMP2022Capital ExpenditureAsset replacement and renewalLow Pressure - Line valvenominal</v>
      </c>
    </row>
    <row r="304" spans="2:11" x14ac:dyDescent="0.45">
      <c r="B304" s="187">
        <v>2024</v>
      </c>
      <c r="C304" t="s">
        <v>37</v>
      </c>
      <c r="D304" t="s">
        <v>43</v>
      </c>
      <c r="E304">
        <f t="shared" si="14"/>
        <v>0</v>
      </c>
      <c r="F304">
        <f t="shared" si="14"/>
        <v>475</v>
      </c>
      <c r="G304">
        <f t="shared" si="14"/>
        <v>2.7523210842992949</v>
      </c>
      <c r="H304">
        <f t="shared" si="14"/>
        <v>0</v>
      </c>
      <c r="I304">
        <f t="shared" si="14"/>
        <v>504.72410222841933</v>
      </c>
      <c r="J304">
        <f t="shared" si="16"/>
        <v>0</v>
      </c>
      <c r="K304" s="163" t="str">
        <f t="shared" si="15"/>
        <v>2024AMP2022Capital ExpenditureAsset replacement and renewalLow Pressure - Low Pressure totalnominal</v>
      </c>
    </row>
    <row r="305" spans="2:11" x14ac:dyDescent="0.45">
      <c r="B305" s="187">
        <v>2024</v>
      </c>
      <c r="C305" t="s">
        <v>37</v>
      </c>
      <c r="D305" t="s">
        <v>43</v>
      </c>
      <c r="E305">
        <f t="shared" si="14"/>
        <v>0</v>
      </c>
      <c r="F305">
        <f t="shared" si="14"/>
        <v>425</v>
      </c>
      <c r="G305">
        <f t="shared" si="14"/>
        <v>1.8230373681985101</v>
      </c>
      <c r="H305">
        <f t="shared" si="14"/>
        <v>0</v>
      </c>
      <c r="I305">
        <f t="shared" si="14"/>
        <v>450.94774850529706</v>
      </c>
      <c r="J305">
        <f t="shared" si="16"/>
        <v>0</v>
      </c>
      <c r="K305" s="163" t="str">
        <f t="shared" si="15"/>
        <v>2024AMP2022Capital ExpenditureAsset replacement and renewalLow Pressure - Main pipenominal</v>
      </c>
    </row>
    <row r="306" spans="2:11" x14ac:dyDescent="0.45">
      <c r="B306" s="187">
        <v>2024</v>
      </c>
      <c r="C306" t="s">
        <v>37</v>
      </c>
      <c r="D306" t="s">
        <v>43</v>
      </c>
      <c r="E306">
        <f t="shared" si="14"/>
        <v>0</v>
      </c>
      <c r="F306">
        <f t="shared" si="14"/>
        <v>50</v>
      </c>
      <c r="G306">
        <f t="shared" si="14"/>
        <v>0.88376308395378389</v>
      </c>
      <c r="H306">
        <f t="shared" si="14"/>
        <v>0</v>
      </c>
      <c r="I306">
        <f t="shared" si="14"/>
        <v>53.730258871797574</v>
      </c>
      <c r="J306">
        <f t="shared" si="16"/>
        <v>0</v>
      </c>
      <c r="K306" s="163" t="str">
        <f t="shared" si="15"/>
        <v>2024AMP2022Capital ExpenditureAsset replacement and renewalLow Pressure - Service pipenominal</v>
      </c>
    </row>
    <row r="307" spans="2:11" x14ac:dyDescent="0.45">
      <c r="B307" s="187">
        <v>2024</v>
      </c>
      <c r="C307" t="s">
        <v>37</v>
      </c>
      <c r="D307" t="s">
        <v>43</v>
      </c>
      <c r="E307">
        <f t="shared" si="14"/>
        <v>0</v>
      </c>
      <c r="F307" t="str">
        <f t="shared" si="14"/>
        <v/>
      </c>
      <c r="G307">
        <f t="shared" si="14"/>
        <v>7.0786634192189562E-3</v>
      </c>
      <c r="H307">
        <f t="shared" si="14"/>
        <v>0</v>
      </c>
      <c r="I307">
        <f t="shared" si="14"/>
        <v>7.1663979814424504E-3</v>
      </c>
      <c r="J307">
        <f t="shared" si="16"/>
        <v>0</v>
      </c>
      <c r="K307" s="163" t="str">
        <f t="shared" si="15"/>
        <v>2024AMP2022Capital ExpenditureAsset replacement and renewalLow Pressure - Special crossingsnominal</v>
      </c>
    </row>
    <row r="308" spans="2:11" x14ac:dyDescent="0.45">
      <c r="B308" s="187">
        <v>2024</v>
      </c>
      <c r="C308" t="s">
        <v>37</v>
      </c>
      <c r="D308" t="s">
        <v>43</v>
      </c>
      <c r="E308">
        <f t="shared" si="14"/>
        <v>0</v>
      </c>
      <c r="F308" t="str">
        <f t="shared" si="14"/>
        <v/>
      </c>
      <c r="G308">
        <f t="shared" si="14"/>
        <v>15.017995782986501</v>
      </c>
      <c r="H308">
        <f t="shared" si="14"/>
        <v>0</v>
      </c>
      <c r="I308">
        <f t="shared" si="14"/>
        <v>15.204131746686475</v>
      </c>
      <c r="J308">
        <f t="shared" si="16"/>
        <v>0</v>
      </c>
      <c r="K308" s="163" t="str">
        <f t="shared" si="15"/>
        <v>2024AMP2022Capital ExpenditureAsset replacement and renewalMedium pressure - Line valvenominal</v>
      </c>
    </row>
    <row r="309" spans="2:11" x14ac:dyDescent="0.45">
      <c r="B309" s="187">
        <v>2024</v>
      </c>
      <c r="C309" t="s">
        <v>37</v>
      </c>
      <c r="D309" t="s">
        <v>43</v>
      </c>
      <c r="E309">
        <f t="shared" ref="E309:I318" si="17">IF(E114="","",E114*INDEX($A$29:$I$40,MATCH($B309&amp;"modifier",$D$29:$D$40,0),MATCH(E$29,$A$29:$I$29,0)))</f>
        <v>2320.8052054396494</v>
      </c>
      <c r="F309" t="str">
        <f t="shared" si="17"/>
        <v/>
      </c>
      <c r="G309">
        <f t="shared" si="17"/>
        <v>2061.2734137512598</v>
      </c>
      <c r="H309">
        <f t="shared" si="17"/>
        <v>1327.1703170970907</v>
      </c>
      <c r="I309">
        <f t="shared" si="17"/>
        <v>5711.0072683394037</v>
      </c>
      <c r="J309">
        <f t="shared" si="16"/>
        <v>3682.5683352162746</v>
      </c>
      <c r="K309" s="163" t="str">
        <f t="shared" si="15"/>
        <v>2024AMP2022Capital ExpenditureAsset replacement and renewalMedium pressure - Main pipenominal</v>
      </c>
    </row>
    <row r="310" spans="2:11" x14ac:dyDescent="0.45">
      <c r="B310" s="187">
        <v>2024</v>
      </c>
      <c r="C310" t="s">
        <v>37</v>
      </c>
      <c r="D310" t="s">
        <v>43</v>
      </c>
      <c r="E310">
        <f t="shared" si="17"/>
        <v>2320.8052054396494</v>
      </c>
      <c r="F310">
        <f t="shared" si="17"/>
        <v>10</v>
      </c>
      <c r="G310">
        <f t="shared" si="17"/>
        <v>3078.3107891032969</v>
      </c>
      <c r="H310">
        <f t="shared" si="17"/>
        <v>1927.1088591042824</v>
      </c>
      <c r="I310">
        <f t="shared" si="17"/>
        <v>7323.9541136210946</v>
      </c>
      <c r="J310">
        <f t="shared" si="16"/>
        <v>4264.5319031316649</v>
      </c>
      <c r="K310" s="163" t="str">
        <f t="shared" si="15"/>
        <v>2024AMP2022Capital ExpenditureAsset replacement and renewalMedium pressure - Medium Pressure totalnominal</v>
      </c>
    </row>
    <row r="311" spans="2:11" x14ac:dyDescent="0.45">
      <c r="B311" s="187">
        <v>2024</v>
      </c>
      <c r="C311" t="s">
        <v>37</v>
      </c>
      <c r="D311" t="s">
        <v>43</v>
      </c>
      <c r="E311">
        <f t="shared" si="17"/>
        <v>0</v>
      </c>
      <c r="F311" t="str">
        <f t="shared" si="17"/>
        <v/>
      </c>
      <c r="G311">
        <f t="shared" si="17"/>
        <v>999.25398172660755</v>
      </c>
      <c r="H311">
        <f t="shared" si="17"/>
        <v>479.28669499836548</v>
      </c>
      <c r="I311">
        <f t="shared" si="17"/>
        <v>1469.1946961994563</v>
      </c>
      <c r="J311">
        <f t="shared" si="16"/>
        <v>464.9266142202286</v>
      </c>
      <c r="K311" s="163" t="str">
        <f t="shared" si="15"/>
        <v>2024AMP2022Capital ExpenditureAsset replacement and renewalMedium pressure - Service pipenominal</v>
      </c>
    </row>
    <row r="312" spans="2:11" x14ac:dyDescent="0.45">
      <c r="B312" s="187">
        <v>2024</v>
      </c>
      <c r="C312" t="s">
        <v>37</v>
      </c>
      <c r="D312" t="s">
        <v>43</v>
      </c>
      <c r="E312">
        <f t="shared" si="17"/>
        <v>0</v>
      </c>
      <c r="F312" t="str">
        <f t="shared" si="17"/>
        <v/>
      </c>
      <c r="G312">
        <f t="shared" si="17"/>
        <v>2.7653978424415411</v>
      </c>
      <c r="H312">
        <f t="shared" si="17"/>
        <v>0</v>
      </c>
      <c r="I312">
        <f t="shared" si="17"/>
        <v>2.7996726795422675</v>
      </c>
      <c r="J312">
        <f t="shared" si="16"/>
        <v>0</v>
      </c>
      <c r="K312" s="163" t="str">
        <f t="shared" si="15"/>
        <v>2024AMP2022Capital ExpenditureAsset replacement and renewalMedium pressure - Special crossingsnominal</v>
      </c>
    </row>
    <row r="313" spans="2:11" x14ac:dyDescent="0.45">
      <c r="B313" s="187">
        <v>2024</v>
      </c>
      <c r="C313" t="s">
        <v>37</v>
      </c>
      <c r="D313" t="s">
        <v>43</v>
      </c>
      <c r="E313">
        <f t="shared" si="17"/>
        <v>0</v>
      </c>
      <c r="F313">
        <f t="shared" si="17"/>
        <v>10</v>
      </c>
      <c r="G313">
        <f t="shared" si="17"/>
        <v>0</v>
      </c>
      <c r="H313">
        <f t="shared" si="17"/>
        <v>120.65184700882642</v>
      </c>
      <c r="I313">
        <f t="shared" si="17"/>
        <v>125.7485925644759</v>
      </c>
      <c r="J313">
        <f t="shared" si="16"/>
        <v>117.03695369516147</v>
      </c>
      <c r="K313" s="163" t="str">
        <f t="shared" si="15"/>
        <v>2024AMP2022Capital ExpenditureAsset replacement and renewalMedium pressure - Stationnominal</v>
      </c>
    </row>
    <row r="314" spans="2:11" x14ac:dyDescent="0.45">
      <c r="B314" s="187">
        <v>2024</v>
      </c>
      <c r="C314" t="s">
        <v>37</v>
      </c>
      <c r="D314" t="s">
        <v>43</v>
      </c>
      <c r="E314">
        <f t="shared" si="17"/>
        <v>126.65646887781887</v>
      </c>
      <c r="F314" t="str">
        <f t="shared" si="17"/>
        <v/>
      </c>
      <c r="G314" t="str">
        <f t="shared" si="17"/>
        <v/>
      </c>
      <c r="H314" t="str">
        <f t="shared" si="17"/>
        <v/>
      </c>
      <c r="I314">
        <f t="shared" si="17"/>
        <v>128.6421237939303</v>
      </c>
      <c r="J314">
        <f t="shared" si="16"/>
        <v>130.71443230256259</v>
      </c>
      <c r="K314" s="163" t="str">
        <f t="shared" si="15"/>
        <v>2024AMP2022Capital ExpenditureAsset replacement and renewalOther assets - Cathodic protection systemsnominal</v>
      </c>
    </row>
    <row r="315" spans="2:11" x14ac:dyDescent="0.45">
      <c r="B315" s="187">
        <v>2024</v>
      </c>
      <c r="C315" t="s">
        <v>37</v>
      </c>
      <c r="D315" t="s">
        <v>43</v>
      </c>
      <c r="E315">
        <f t="shared" si="17"/>
        <v>126.65646887781887</v>
      </c>
      <c r="F315" t="str">
        <f t="shared" si="17"/>
        <v/>
      </c>
      <c r="G315" t="str">
        <f t="shared" si="17"/>
        <v/>
      </c>
      <c r="H315" t="str">
        <f t="shared" si="17"/>
        <v/>
      </c>
      <c r="I315">
        <f t="shared" si="17"/>
        <v>128.6421237939303</v>
      </c>
      <c r="J315">
        <f t="shared" si="16"/>
        <v>130.71443230256259</v>
      </c>
      <c r="K315" s="163" t="str">
        <f t="shared" si="15"/>
        <v>2024AMP2022Capital ExpenditureAsset replacement and renewalOther assets - Monitoring and control systemsnominal</v>
      </c>
    </row>
    <row r="316" spans="2:11" x14ac:dyDescent="0.45">
      <c r="B316" s="187">
        <v>2024</v>
      </c>
      <c r="C316" t="s">
        <v>37</v>
      </c>
      <c r="D316" t="s">
        <v>43</v>
      </c>
      <c r="E316">
        <f t="shared" si="17"/>
        <v>126.65646887781887</v>
      </c>
      <c r="F316" t="str">
        <f t="shared" si="17"/>
        <v/>
      </c>
      <c r="G316" t="str">
        <f t="shared" si="17"/>
        <v/>
      </c>
      <c r="H316" t="str">
        <f t="shared" si="17"/>
        <v/>
      </c>
      <c r="I316">
        <f t="shared" si="17"/>
        <v>128.6421237939303</v>
      </c>
      <c r="J316">
        <f t="shared" si="16"/>
        <v>130.71443230256259</v>
      </c>
      <c r="K316" s="163" t="str">
        <f t="shared" si="15"/>
        <v>2024AMP2022Capital ExpenditureAsset replacement and renewalOther assets - Other assets (other than above)nominal</v>
      </c>
    </row>
    <row r="317" spans="2:11" x14ac:dyDescent="0.45">
      <c r="B317" s="187">
        <v>2024</v>
      </c>
      <c r="C317" t="s">
        <v>37</v>
      </c>
      <c r="D317" t="s">
        <v>43</v>
      </c>
      <c r="E317">
        <f t="shared" si="17"/>
        <v>379.96940663345663</v>
      </c>
      <c r="F317" t="str">
        <f t="shared" si="17"/>
        <v/>
      </c>
      <c r="G317" t="str">
        <f t="shared" si="17"/>
        <v/>
      </c>
      <c r="H317" t="str">
        <f t="shared" si="17"/>
        <v/>
      </c>
      <c r="I317">
        <f t="shared" si="17"/>
        <v>385.92636331972676</v>
      </c>
      <c r="J317">
        <f t="shared" si="16"/>
        <v>392.14328871575111</v>
      </c>
      <c r="K317" s="163" t="str">
        <f t="shared" si="15"/>
        <v>2024AMP2022Capital ExpenditureAsset replacement and renewalOther assets - Other totalnominal</v>
      </c>
    </row>
    <row r="318" spans="2:11" x14ac:dyDescent="0.45">
      <c r="B318" s="187">
        <v>2024</v>
      </c>
      <c r="C318" t="s">
        <v>37</v>
      </c>
      <c r="D318" t="s">
        <v>43</v>
      </c>
      <c r="E318" t="str">
        <f t="shared" si="17"/>
        <v/>
      </c>
      <c r="F318" t="str">
        <f t="shared" si="17"/>
        <v/>
      </c>
      <c r="G318">
        <f t="shared" si="17"/>
        <v>483.11646368651259</v>
      </c>
      <c r="H318">
        <f t="shared" si="17"/>
        <v>60.879372343903235</v>
      </c>
      <c r="I318">
        <f t="shared" si="17"/>
        <v>547.22336972234825</v>
      </c>
      <c r="J318">
        <f t="shared" si="16"/>
        <v>59.055343607650286</v>
      </c>
      <c r="K318" s="163" t="str">
        <f t="shared" si="15"/>
        <v>2024AMP2022Capital ExpenditureAsset replacement and renewalOther network assets - Cathodic protection systemsnominal</v>
      </c>
    </row>
    <row r="319" spans="2:11" x14ac:dyDescent="0.45">
      <c r="B319" s="187">
        <v>2024</v>
      </c>
      <c r="C319" t="s">
        <v>37</v>
      </c>
      <c r="D319" t="s">
        <v>43</v>
      </c>
      <c r="E319" t="str">
        <f t="shared" ref="E319:I328" si="18">IF(E124="","",E124*INDEX($A$29:$I$40,MATCH($B319&amp;"modifier",$D$29:$D$40,0),MATCH(E$29,$A$29:$I$29,0)))</f>
        <v/>
      </c>
      <c r="F319" t="str">
        <f t="shared" si="18"/>
        <v/>
      </c>
      <c r="G319">
        <f t="shared" si="18"/>
        <v>0</v>
      </c>
      <c r="H319">
        <f t="shared" si="18"/>
        <v>73.05524681268389</v>
      </c>
      <c r="I319">
        <f t="shared" si="18"/>
        <v>69.742916884499238</v>
      </c>
      <c r="J319">
        <f t="shared" si="16"/>
        <v>70.866412329180335</v>
      </c>
      <c r="K319" s="163" t="str">
        <f t="shared" si="15"/>
        <v>2024AMP2022Capital ExpenditureAsset replacement and renewalOther network assets - Monitoring and control systemsnominal</v>
      </c>
    </row>
    <row r="320" spans="2:11" x14ac:dyDescent="0.45">
      <c r="B320" s="187">
        <v>2024</v>
      </c>
      <c r="C320" t="s">
        <v>37</v>
      </c>
      <c r="D320" t="s">
        <v>43</v>
      </c>
      <c r="E320" t="str">
        <f t="shared" si="18"/>
        <v/>
      </c>
      <c r="F320" t="str">
        <f t="shared" si="18"/>
        <v/>
      </c>
      <c r="G320">
        <f t="shared" si="18"/>
        <v>0</v>
      </c>
      <c r="H320">
        <f t="shared" si="18"/>
        <v>0</v>
      </c>
      <c r="I320">
        <f t="shared" si="18"/>
        <v>0</v>
      </c>
      <c r="J320">
        <f t="shared" si="16"/>
        <v>0</v>
      </c>
      <c r="K320" s="163" t="str">
        <f t="shared" si="15"/>
        <v>2024AMP2022Capital ExpenditureAsset replacement and renewalOther network assets - Other assets (other than above)nominal</v>
      </c>
    </row>
    <row r="321" spans="2:11" x14ac:dyDescent="0.45">
      <c r="B321" s="187">
        <v>2024</v>
      </c>
      <c r="C321" t="s">
        <v>37</v>
      </c>
      <c r="D321" t="s">
        <v>43</v>
      </c>
      <c r="E321" t="str">
        <f t="shared" si="18"/>
        <v/>
      </c>
      <c r="F321">
        <f t="shared" si="18"/>
        <v>0</v>
      </c>
      <c r="G321">
        <f t="shared" si="18"/>
        <v>483.11646368651259</v>
      </c>
      <c r="H321">
        <f t="shared" si="18"/>
        <v>133.93461915658713</v>
      </c>
      <c r="I321">
        <f t="shared" si="18"/>
        <v>616.96628660684746</v>
      </c>
      <c r="J321">
        <f t="shared" si="16"/>
        <v>129.92175593683064</v>
      </c>
      <c r="K321" s="163" t="str">
        <f t="shared" si="15"/>
        <v>2024AMP2022Capital ExpenditureAsset replacement and renewalOther network assets - Other network assets totalnominal</v>
      </c>
    </row>
    <row r="322" spans="2:11" x14ac:dyDescent="0.45">
      <c r="B322" s="187">
        <v>2025</v>
      </c>
      <c r="C322" t="s">
        <v>37</v>
      </c>
      <c r="D322" t="s">
        <v>43</v>
      </c>
      <c r="E322">
        <f t="shared" si="18"/>
        <v>3975.0645617038549</v>
      </c>
      <c r="F322">
        <f t="shared" si="18"/>
        <v>495</v>
      </c>
      <c r="G322">
        <f t="shared" si="18"/>
        <v>4865.8172798009382</v>
      </c>
      <c r="H322">
        <f t="shared" si="18"/>
        <v>3566</v>
      </c>
      <c r="I322">
        <f t="shared" si="18"/>
        <v>12901.8818359375</v>
      </c>
      <c r="J322">
        <f t="shared" si="16"/>
        <v>7541.064453125</v>
      </c>
      <c r="K322" s="163" t="str">
        <f t="shared" si="15"/>
        <v>2025AMP2022Capital ExpenditureAsset replacement and renewalAsset replacement and renewal expenditure - Asset replacement and renewal expenditurenominal</v>
      </c>
    </row>
    <row r="323" spans="2:11" x14ac:dyDescent="0.45">
      <c r="B323" s="187">
        <v>2025</v>
      </c>
      <c r="C323" t="s">
        <v>37</v>
      </c>
      <c r="D323" t="s">
        <v>43</v>
      </c>
      <c r="E323">
        <f t="shared" si="18"/>
        <v>0</v>
      </c>
      <c r="F323" t="str">
        <f t="shared" si="18"/>
        <v/>
      </c>
      <c r="G323">
        <f t="shared" si="18"/>
        <v>0</v>
      </c>
      <c r="H323">
        <f t="shared" si="18"/>
        <v>0</v>
      </c>
      <c r="I323">
        <f t="shared" si="18"/>
        <v>0</v>
      </c>
      <c r="J323">
        <f t="shared" si="16"/>
        <v>0</v>
      </c>
      <c r="K323" s="163" t="str">
        <f t="shared" si="15"/>
        <v>2025AMP2022Capital ExpenditureAsset replacement and renewalAsset replacement and renewal expenditure - Capital contributions funding asset replacement and renewalnominal</v>
      </c>
    </row>
    <row r="324" spans="2:11" x14ac:dyDescent="0.45">
      <c r="B324" s="187">
        <v>2025</v>
      </c>
      <c r="C324" t="s">
        <v>37</v>
      </c>
      <c r="D324" t="s">
        <v>43</v>
      </c>
      <c r="E324">
        <f t="shared" si="18"/>
        <v>3975.0645617038549</v>
      </c>
      <c r="F324">
        <f t="shared" si="18"/>
        <v>495</v>
      </c>
      <c r="G324">
        <f t="shared" si="18"/>
        <v>4865.8172798009382</v>
      </c>
      <c r="H324">
        <f t="shared" si="18"/>
        <v>3566</v>
      </c>
      <c r="I324">
        <f t="shared" si="18"/>
        <v>12901.8818359375</v>
      </c>
      <c r="J324">
        <f t="shared" si="16"/>
        <v>7541.064453125</v>
      </c>
      <c r="K324" s="163" t="str">
        <f t="shared" si="15"/>
        <v>2025AMP2022Capital ExpenditureAsset replacement and renewalAsset replacement and renewal less capital contributions - Asset replacement and renewal less capital contributionsnominal</v>
      </c>
    </row>
    <row r="325" spans="2:11" x14ac:dyDescent="0.45">
      <c r="B325" s="187">
        <v>2025</v>
      </c>
      <c r="C325" t="s">
        <v>37</v>
      </c>
      <c r="D325" t="s">
        <v>43</v>
      </c>
      <c r="E325">
        <f t="shared" si="18"/>
        <v>579.29529681453948</v>
      </c>
      <c r="F325">
        <f t="shared" si="18"/>
        <v>10</v>
      </c>
      <c r="G325">
        <f t="shared" si="18"/>
        <v>1669.4684464073162</v>
      </c>
      <c r="H325">
        <f t="shared" si="18"/>
        <v>1265.7982653389013</v>
      </c>
      <c r="I325">
        <f t="shared" si="18"/>
        <v>3493.3262157995282</v>
      </c>
      <c r="J325">
        <f t="shared" si="16"/>
        <v>1815.1029667905466</v>
      </c>
      <c r="K325" s="163" t="str">
        <f t="shared" si="15"/>
        <v>2025AMP2022Capital ExpenditureAsset replacement and renewalIntermediate pressure - Intermediate Pressure totalnominal</v>
      </c>
    </row>
    <row r="326" spans="2:11" x14ac:dyDescent="0.45">
      <c r="B326" s="187">
        <v>2025</v>
      </c>
      <c r="C326" t="s">
        <v>37</v>
      </c>
      <c r="D326" t="s">
        <v>43</v>
      </c>
      <c r="E326">
        <f t="shared" si="18"/>
        <v>159.00258246815417</v>
      </c>
      <c r="F326" t="str">
        <f t="shared" si="18"/>
        <v/>
      </c>
      <c r="G326">
        <f t="shared" si="18"/>
        <v>135.27793751565835</v>
      </c>
      <c r="H326">
        <f t="shared" si="18"/>
        <v>284.08866045615162</v>
      </c>
      <c r="I326">
        <f t="shared" si="18"/>
        <v>568.02795595114708</v>
      </c>
      <c r="J326">
        <f t="shared" si="16"/>
        <v>437.40562929606813</v>
      </c>
      <c r="K326" s="163" t="str">
        <f t="shared" si="15"/>
        <v>2025AMP2022Capital ExpenditureAsset replacement and renewalIntermediate pressure - Line valvenominal</v>
      </c>
    </row>
    <row r="327" spans="2:11" x14ac:dyDescent="0.45">
      <c r="B327" s="187">
        <v>2025</v>
      </c>
      <c r="C327" t="s">
        <v>37</v>
      </c>
      <c r="D327" t="s">
        <v>43</v>
      </c>
      <c r="E327">
        <f t="shared" si="18"/>
        <v>22.786258176000004</v>
      </c>
      <c r="F327" t="str">
        <f t="shared" si="18"/>
        <v/>
      </c>
      <c r="G327">
        <f t="shared" si="18"/>
        <v>38.258224956899063</v>
      </c>
      <c r="H327">
        <f t="shared" si="18"/>
        <v>0</v>
      </c>
      <c r="I327">
        <f t="shared" si="18"/>
        <v>62.096751190598297</v>
      </c>
      <c r="J327">
        <f t="shared" si="16"/>
        <v>23.607908949925424</v>
      </c>
      <c r="K327" s="163" t="str">
        <f t="shared" si="15"/>
        <v>2025AMP2022Capital ExpenditureAsset replacement and renewalIntermediate pressure - Main pipenominal</v>
      </c>
    </row>
    <row r="328" spans="2:11" x14ac:dyDescent="0.45">
      <c r="B328" s="187">
        <v>2025</v>
      </c>
      <c r="C328" t="s">
        <v>37</v>
      </c>
      <c r="D328" t="s">
        <v>43</v>
      </c>
      <c r="E328">
        <f t="shared" si="18"/>
        <v>0</v>
      </c>
      <c r="F328" t="str">
        <f t="shared" si="18"/>
        <v/>
      </c>
      <c r="G328">
        <f t="shared" si="18"/>
        <v>18.546634020957178</v>
      </c>
      <c r="H328">
        <f t="shared" si="18"/>
        <v>0</v>
      </c>
      <c r="I328">
        <f t="shared" si="18"/>
        <v>18.835344283008403</v>
      </c>
      <c r="J328">
        <f t="shared" si="16"/>
        <v>0</v>
      </c>
      <c r="K328" s="163" t="str">
        <f t="shared" si="15"/>
        <v>2025AMP2022Capital ExpenditureAsset replacement and renewalIntermediate pressure - Service pipenominal</v>
      </c>
    </row>
    <row r="329" spans="2:11" x14ac:dyDescent="0.45">
      <c r="B329" s="187">
        <v>2025</v>
      </c>
      <c r="C329" t="s">
        <v>37</v>
      </c>
      <c r="D329" t="s">
        <v>43</v>
      </c>
      <c r="E329">
        <f t="shared" ref="E329:I338" si="19">IF(E134="","",E134*INDEX($A$29:$I$40,MATCH($B329&amp;"modifier",$D$29:$D$40,0),MATCH(E$29,$A$29:$I$29,0)))</f>
        <v>0</v>
      </c>
      <c r="F329" t="str">
        <f t="shared" si="19"/>
        <v/>
      </c>
      <c r="G329">
        <f t="shared" si="19"/>
        <v>0.1485526858696635</v>
      </c>
      <c r="H329">
        <f t="shared" si="19"/>
        <v>615.1435913909412</v>
      </c>
      <c r="I329">
        <f t="shared" si="19"/>
        <v>581.44166131002623</v>
      </c>
      <c r="J329">
        <f t="shared" si="16"/>
        <v>590.41761522156708</v>
      </c>
      <c r="K329" s="163" t="str">
        <f t="shared" si="15"/>
        <v>2025AMP2022Capital ExpenditureAsset replacement and renewalIntermediate pressure - Special crossingsnominal</v>
      </c>
    </row>
    <row r="330" spans="2:11" x14ac:dyDescent="0.45">
      <c r="B330" s="187">
        <v>2025</v>
      </c>
      <c r="C330" t="s">
        <v>37</v>
      </c>
      <c r="D330" t="s">
        <v>43</v>
      </c>
      <c r="E330">
        <f t="shared" si="19"/>
        <v>397.50645617038549</v>
      </c>
      <c r="F330">
        <f t="shared" si="19"/>
        <v>10</v>
      </c>
      <c r="G330">
        <f t="shared" si="19"/>
        <v>1477.2370972279314</v>
      </c>
      <c r="H330">
        <f t="shared" si="19"/>
        <v>366.56601349180852</v>
      </c>
      <c r="I330">
        <f t="shared" si="19"/>
        <v>2262.924501000085</v>
      </c>
      <c r="J330">
        <f t="shared" si="16"/>
        <v>763.67189720620615</v>
      </c>
      <c r="K330" s="163" t="str">
        <f t="shared" si="15"/>
        <v>2025AMP2022Capital ExpenditureAsset replacement and renewalIntermediate pressure - Stationsnominal</v>
      </c>
    </row>
    <row r="331" spans="2:11" x14ac:dyDescent="0.45">
      <c r="B331" s="187">
        <v>2025</v>
      </c>
      <c r="C331" t="s">
        <v>37</v>
      </c>
      <c r="D331" t="s">
        <v>43</v>
      </c>
      <c r="E331">
        <f t="shared" si="19"/>
        <v>0</v>
      </c>
      <c r="F331" t="str">
        <f t="shared" si="19"/>
        <v/>
      </c>
      <c r="G331">
        <f t="shared" si="19"/>
        <v>4.3686409938327994E-2</v>
      </c>
      <c r="H331">
        <f t="shared" si="19"/>
        <v>0</v>
      </c>
      <c r="I331">
        <f t="shared" si="19"/>
        <v>4.4366463616437257E-2</v>
      </c>
      <c r="J331">
        <f t="shared" si="16"/>
        <v>0</v>
      </c>
      <c r="K331" s="163" t="str">
        <f t="shared" si="15"/>
        <v>2025AMP2022Capital ExpenditureAsset replacement and renewalLow Pressure - Line valvenominal</v>
      </c>
    </row>
    <row r="332" spans="2:11" x14ac:dyDescent="0.45">
      <c r="B332" s="187">
        <v>2025</v>
      </c>
      <c r="C332" t="s">
        <v>37</v>
      </c>
      <c r="D332" t="s">
        <v>43</v>
      </c>
      <c r="E332">
        <f t="shared" si="19"/>
        <v>0</v>
      </c>
      <c r="F332">
        <f t="shared" si="19"/>
        <v>475</v>
      </c>
      <c r="G332">
        <f t="shared" si="19"/>
        <v>3.1278061751220418</v>
      </c>
      <c r="H332">
        <f t="shared" si="19"/>
        <v>0</v>
      </c>
      <c r="I332">
        <f t="shared" si="19"/>
        <v>517.35368264025749</v>
      </c>
      <c r="J332">
        <f t="shared" si="16"/>
        <v>0</v>
      </c>
      <c r="K332" s="163" t="str">
        <f t="shared" si="15"/>
        <v>2025AMP2022Capital ExpenditureAsset replacement and renewalLow Pressure - Low Pressure totalnominal</v>
      </c>
    </row>
    <row r="333" spans="2:11" x14ac:dyDescent="0.45">
      <c r="B333" s="187">
        <v>2025</v>
      </c>
      <c r="C333" t="s">
        <v>37</v>
      </c>
      <c r="D333" t="s">
        <v>43</v>
      </c>
      <c r="E333">
        <f t="shared" si="19"/>
        <v>0</v>
      </c>
      <c r="F333">
        <f t="shared" si="19"/>
        <v>425</v>
      </c>
      <c r="G333">
        <f t="shared" si="19"/>
        <v>2.0717450337670984</v>
      </c>
      <c r="H333">
        <f t="shared" si="19"/>
        <v>0</v>
      </c>
      <c r="I333">
        <f t="shared" si="19"/>
        <v>462.15726786826139</v>
      </c>
      <c r="J333">
        <f t="shared" si="16"/>
        <v>0</v>
      </c>
      <c r="K333" s="163" t="str">
        <f t="shared" si="15"/>
        <v>2025AMP2022Capital ExpenditureAsset replacement and renewalLow Pressure - Main pipenominal</v>
      </c>
    </row>
    <row r="334" spans="2:11" x14ac:dyDescent="0.45">
      <c r="B334" s="187">
        <v>2025</v>
      </c>
      <c r="C334" t="s">
        <v>37</v>
      </c>
      <c r="D334" t="s">
        <v>43</v>
      </c>
      <c r="E334">
        <f t="shared" si="19"/>
        <v>0</v>
      </c>
      <c r="F334">
        <f t="shared" si="19"/>
        <v>50</v>
      </c>
      <c r="G334">
        <f t="shared" si="19"/>
        <v>1.0043303621456958</v>
      </c>
      <c r="H334">
        <f t="shared" si="19"/>
        <v>0</v>
      </c>
      <c r="I334">
        <f t="shared" si="19"/>
        <v>55.143877346407855</v>
      </c>
      <c r="J334">
        <f t="shared" si="16"/>
        <v>0</v>
      </c>
      <c r="K334" s="163" t="str">
        <f t="shared" ref="K334:K365" si="20">LEFT(K139,LEN(K139)-8)&amp;C334</f>
        <v>2025AMP2022Capital ExpenditureAsset replacement and renewalLow Pressure - Service pipenominal</v>
      </c>
    </row>
    <row r="335" spans="2:11" x14ac:dyDescent="0.45">
      <c r="B335" s="187">
        <v>2025</v>
      </c>
      <c r="C335" t="s">
        <v>37</v>
      </c>
      <c r="D335" t="s">
        <v>43</v>
      </c>
      <c r="E335">
        <f t="shared" si="19"/>
        <v>0</v>
      </c>
      <c r="F335" t="str">
        <f t="shared" si="19"/>
        <v/>
      </c>
      <c r="G335">
        <f t="shared" si="19"/>
        <v>8.0443692709204432E-3</v>
      </c>
      <c r="H335">
        <f t="shared" si="19"/>
        <v>0</v>
      </c>
      <c r="I335">
        <f t="shared" si="19"/>
        <v>8.1695934266419572E-3</v>
      </c>
      <c r="J335">
        <f t="shared" ref="J335:J366" si="21">IF(J140="","",J140*INDEX($A$29:$J$40,MATCH($B335&amp;"modifier",$D$29:$D$40,0),MATCH(J$29,$A$29:$J$29,0)))</f>
        <v>0</v>
      </c>
      <c r="K335" s="163" t="str">
        <f t="shared" si="20"/>
        <v>2025AMP2022Capital ExpenditureAsset replacement and renewalLow Pressure - Special crossingsnominal</v>
      </c>
    </row>
    <row r="336" spans="2:11" x14ac:dyDescent="0.45">
      <c r="B336" s="187">
        <v>2025</v>
      </c>
      <c r="C336" t="s">
        <v>37</v>
      </c>
      <c r="D336" t="s">
        <v>43</v>
      </c>
      <c r="E336">
        <f t="shared" si="19"/>
        <v>0</v>
      </c>
      <c r="F336" t="str">
        <f t="shared" si="19"/>
        <v/>
      </c>
      <c r="G336">
        <f t="shared" si="19"/>
        <v>17.066824149240126</v>
      </c>
      <c r="H336">
        <f t="shared" si="19"/>
        <v>0</v>
      </c>
      <c r="I336">
        <f t="shared" si="19"/>
        <v>17.332498485081853</v>
      </c>
      <c r="J336">
        <f t="shared" si="21"/>
        <v>0</v>
      </c>
      <c r="K336" s="163" t="str">
        <f t="shared" si="20"/>
        <v>2025AMP2022Capital ExpenditureAsset replacement and renewalMedium pressure - Line valvenominal</v>
      </c>
    </row>
    <row r="337" spans="2:11" x14ac:dyDescent="0.45">
      <c r="B337" s="187">
        <v>2025</v>
      </c>
      <c r="C337" t="s">
        <v>37</v>
      </c>
      <c r="D337" t="s">
        <v>43</v>
      </c>
      <c r="E337">
        <f t="shared" si="19"/>
        <v>2918.7615174848524</v>
      </c>
      <c r="F337" t="str">
        <f t="shared" si="19"/>
        <v/>
      </c>
      <c r="G337">
        <f t="shared" si="19"/>
        <v>1869.9909618238762</v>
      </c>
      <c r="H337">
        <f t="shared" si="19"/>
        <v>1373.4770318021201</v>
      </c>
      <c r="I337">
        <f t="shared" si="19"/>
        <v>6174.255669297122</v>
      </c>
      <c r="J337">
        <f t="shared" si="21"/>
        <v>4342.2786448859797</v>
      </c>
      <c r="K337" s="163" t="str">
        <f t="shared" si="20"/>
        <v>2025AMP2022Capital ExpenditureAsset replacement and renewalMedium pressure - Main pipenominal</v>
      </c>
    </row>
    <row r="338" spans="2:11" x14ac:dyDescent="0.45">
      <c r="B338" s="187">
        <v>2025</v>
      </c>
      <c r="C338" t="s">
        <v>37</v>
      </c>
      <c r="D338" t="s">
        <v>43</v>
      </c>
      <c r="E338">
        <f t="shared" si="19"/>
        <v>2918.7615174848524</v>
      </c>
      <c r="F338">
        <f t="shared" si="19"/>
        <v>10</v>
      </c>
      <c r="G338">
        <f t="shared" si="19"/>
        <v>2796.7254689084348</v>
      </c>
      <c r="H338">
        <f t="shared" si="19"/>
        <v>1982.8930292322518</v>
      </c>
      <c r="I338">
        <f t="shared" si="19"/>
        <v>7702.1192912920005</v>
      </c>
      <c r="J338">
        <f t="shared" si="21"/>
        <v>4927.1988893885382</v>
      </c>
      <c r="K338" s="163" t="str">
        <f t="shared" si="20"/>
        <v>2025AMP2022Capital ExpenditureAsset replacement and renewalMedium pressure - Medium Pressure totalnominal</v>
      </c>
    </row>
    <row r="339" spans="2:11" x14ac:dyDescent="0.45">
      <c r="B339" s="187">
        <v>2025</v>
      </c>
      <c r="C339" t="s">
        <v>37</v>
      </c>
      <c r="D339" t="s">
        <v>43</v>
      </c>
      <c r="E339">
        <f t="shared" ref="E339:I348" si="22">IF(E144="","",E144*INDEX($A$29:$I$40,MATCH($B339&amp;"modifier",$D$29:$D$40,0),MATCH(E$29,$A$29:$I$29,0)))</f>
        <v>0</v>
      </c>
      <c r="F339" t="str">
        <f t="shared" si="22"/>
        <v/>
      </c>
      <c r="G339">
        <f t="shared" si="22"/>
        <v>906.52501600681205</v>
      </c>
      <c r="H339">
        <f t="shared" si="22"/>
        <v>496.00963700610345</v>
      </c>
      <c r="I339">
        <f t="shared" si="22"/>
        <v>1389.3497462156945</v>
      </c>
      <c r="J339">
        <f t="shared" si="21"/>
        <v>476.0723042661798</v>
      </c>
      <c r="K339" s="163" t="str">
        <f t="shared" si="20"/>
        <v>2025AMP2022Capital ExpenditureAsset replacement and renewalMedium pressure - Service pipenominal</v>
      </c>
    </row>
    <row r="340" spans="2:11" x14ac:dyDescent="0.45">
      <c r="B340" s="187">
        <v>2025</v>
      </c>
      <c r="C340" t="s">
        <v>37</v>
      </c>
      <c r="D340" t="s">
        <v>43</v>
      </c>
      <c r="E340">
        <f t="shared" si="22"/>
        <v>0</v>
      </c>
      <c r="F340" t="str">
        <f t="shared" si="22"/>
        <v/>
      </c>
      <c r="G340">
        <f t="shared" si="22"/>
        <v>3.1426669285062387</v>
      </c>
      <c r="H340">
        <f t="shared" si="22"/>
        <v>0</v>
      </c>
      <c r="I340">
        <f t="shared" si="22"/>
        <v>3.1915879550007702</v>
      </c>
      <c r="J340">
        <f t="shared" si="21"/>
        <v>0</v>
      </c>
      <c r="K340" s="163" t="str">
        <f t="shared" si="20"/>
        <v>2025AMP2022Capital ExpenditureAsset replacement and renewalMedium pressure - Special crossingsnominal</v>
      </c>
    </row>
    <row r="341" spans="2:11" x14ac:dyDescent="0.45">
      <c r="B341" s="187">
        <v>2025</v>
      </c>
      <c r="C341" t="s">
        <v>37</v>
      </c>
      <c r="D341" t="s">
        <v>43</v>
      </c>
      <c r="E341">
        <f t="shared" si="22"/>
        <v>0</v>
      </c>
      <c r="F341">
        <f t="shared" si="22"/>
        <v>10</v>
      </c>
      <c r="G341">
        <f t="shared" si="22"/>
        <v>0</v>
      </c>
      <c r="H341">
        <f t="shared" si="22"/>
        <v>113.40636042402826</v>
      </c>
      <c r="I341">
        <f t="shared" si="22"/>
        <v>117.9901302666497</v>
      </c>
      <c r="J341">
        <f t="shared" si="21"/>
        <v>108.84794023637829</v>
      </c>
      <c r="K341" s="163" t="str">
        <f t="shared" si="20"/>
        <v>2025AMP2022Capital ExpenditureAsset replacement and renewalMedium pressure - Stationnominal</v>
      </c>
    </row>
    <row r="342" spans="2:11" x14ac:dyDescent="0.45">
      <c r="B342" s="187">
        <v>2025</v>
      </c>
      <c r="C342" t="s">
        <v>37</v>
      </c>
      <c r="D342" t="s">
        <v>43</v>
      </c>
      <c r="E342">
        <f t="shared" si="22"/>
        <v>159.00258246815417</v>
      </c>
      <c r="F342" t="str">
        <f t="shared" si="22"/>
        <v/>
      </c>
      <c r="G342" t="str">
        <f t="shared" si="22"/>
        <v/>
      </c>
      <c r="H342" t="str">
        <f t="shared" si="22"/>
        <v/>
      </c>
      <c r="I342">
        <f t="shared" si="22"/>
        <v>162.18953648086713</v>
      </c>
      <c r="J342">
        <f t="shared" si="21"/>
        <v>164.73605840986551</v>
      </c>
      <c r="K342" s="163" t="str">
        <f t="shared" si="20"/>
        <v>2025AMP2022Capital ExpenditureAsset replacement and renewalOther assets - Cathodic protection systemsnominal</v>
      </c>
    </row>
    <row r="343" spans="2:11" x14ac:dyDescent="0.45">
      <c r="B343" s="187">
        <v>2025</v>
      </c>
      <c r="C343" t="s">
        <v>37</v>
      </c>
      <c r="D343" t="s">
        <v>43</v>
      </c>
      <c r="E343">
        <f t="shared" si="22"/>
        <v>159.00258246815417</v>
      </c>
      <c r="F343" t="str">
        <f t="shared" si="22"/>
        <v/>
      </c>
      <c r="G343" t="str">
        <f t="shared" si="22"/>
        <v/>
      </c>
      <c r="H343" t="str">
        <f t="shared" si="22"/>
        <v/>
      </c>
      <c r="I343">
        <f t="shared" si="22"/>
        <v>162.18953648086713</v>
      </c>
      <c r="J343">
        <f t="shared" si="21"/>
        <v>164.73605840986551</v>
      </c>
      <c r="K343" s="163" t="str">
        <f t="shared" si="20"/>
        <v>2025AMP2022Capital ExpenditureAsset replacement and renewalOther assets - Monitoring and control systemsnominal</v>
      </c>
    </row>
    <row r="344" spans="2:11" x14ac:dyDescent="0.45">
      <c r="B344" s="187">
        <v>2025</v>
      </c>
      <c r="C344" t="s">
        <v>37</v>
      </c>
      <c r="D344" t="s">
        <v>43</v>
      </c>
      <c r="E344">
        <f t="shared" si="22"/>
        <v>159.00258246815417</v>
      </c>
      <c r="F344" t="str">
        <f t="shared" si="22"/>
        <v/>
      </c>
      <c r="G344" t="str">
        <f t="shared" si="22"/>
        <v/>
      </c>
      <c r="H344" t="str">
        <f t="shared" si="22"/>
        <v/>
      </c>
      <c r="I344">
        <f t="shared" si="22"/>
        <v>162.18953648086713</v>
      </c>
      <c r="J344">
        <f t="shared" si="21"/>
        <v>164.73605840986551</v>
      </c>
      <c r="K344" s="163" t="str">
        <f t="shared" si="20"/>
        <v>2025AMP2022Capital ExpenditureAsset replacement and renewalOther assets - Other assets (other than above)nominal</v>
      </c>
    </row>
    <row r="345" spans="2:11" x14ac:dyDescent="0.45">
      <c r="B345" s="187">
        <v>2025</v>
      </c>
      <c r="C345" t="s">
        <v>37</v>
      </c>
      <c r="D345" t="s">
        <v>43</v>
      </c>
      <c r="E345">
        <f t="shared" si="22"/>
        <v>477.00774740446258</v>
      </c>
      <c r="F345" t="str">
        <f t="shared" si="22"/>
        <v/>
      </c>
      <c r="G345" t="str">
        <f t="shared" si="22"/>
        <v/>
      </c>
      <c r="H345" t="str">
        <f t="shared" si="22"/>
        <v/>
      </c>
      <c r="I345">
        <f t="shared" si="22"/>
        <v>486.56862595990879</v>
      </c>
      <c r="J345">
        <f t="shared" si="21"/>
        <v>494.20819200624061</v>
      </c>
      <c r="K345" s="163" t="str">
        <f t="shared" si="20"/>
        <v>2025AMP2022Capital ExpenditureAsset replacement and renewalOther assets - Other totalnominal</v>
      </c>
    </row>
    <row r="346" spans="2:11" x14ac:dyDescent="0.45">
      <c r="B346" s="187">
        <v>2025</v>
      </c>
      <c r="C346" t="s">
        <v>37</v>
      </c>
      <c r="D346" t="s">
        <v>43</v>
      </c>
      <c r="E346" t="str">
        <f t="shared" si="22"/>
        <v/>
      </c>
      <c r="F346" t="str">
        <f t="shared" si="22"/>
        <v/>
      </c>
      <c r="G346">
        <f t="shared" si="22"/>
        <v>396.49555831006484</v>
      </c>
      <c r="H346">
        <f t="shared" si="22"/>
        <v>63.003533568904594</v>
      </c>
      <c r="I346">
        <f t="shared" si="22"/>
        <v>462.20397881365591</v>
      </c>
      <c r="J346">
        <f t="shared" si="21"/>
        <v>60.471077909099051</v>
      </c>
      <c r="K346" s="163" t="str">
        <f t="shared" si="20"/>
        <v>2025AMP2022Capital ExpenditureAsset replacement and renewalOther network assets - Cathodic protection systemsnominal</v>
      </c>
    </row>
    <row r="347" spans="2:11" x14ac:dyDescent="0.45">
      <c r="B347" s="187">
        <v>2025</v>
      </c>
      <c r="C347" t="s">
        <v>37</v>
      </c>
      <c r="D347" t="s">
        <v>43</v>
      </c>
      <c r="E347" t="str">
        <f t="shared" si="22"/>
        <v/>
      </c>
      <c r="F347" t="str">
        <f t="shared" si="22"/>
        <v/>
      </c>
      <c r="G347">
        <f t="shared" si="22"/>
        <v>0</v>
      </c>
      <c r="H347">
        <f t="shared" si="22"/>
        <v>254.30517185994216</v>
      </c>
      <c r="I347">
        <f t="shared" si="22"/>
        <v>240.31017357060765</v>
      </c>
      <c r="J347">
        <f t="shared" si="21"/>
        <v>244.0832599239998</v>
      </c>
      <c r="K347" s="163" t="str">
        <f t="shared" si="20"/>
        <v>2025AMP2022Capital ExpenditureAsset replacement and renewalOther network assets - Monitoring and control systemsnominal</v>
      </c>
    </row>
    <row r="348" spans="2:11" x14ac:dyDescent="0.45">
      <c r="B348" s="187">
        <v>2025</v>
      </c>
      <c r="C348" t="s">
        <v>37</v>
      </c>
      <c r="D348" t="s">
        <v>43</v>
      </c>
      <c r="E348" t="str">
        <f t="shared" si="22"/>
        <v/>
      </c>
      <c r="F348" t="str">
        <f t="shared" si="22"/>
        <v/>
      </c>
      <c r="G348">
        <f t="shared" si="22"/>
        <v>0</v>
      </c>
      <c r="H348">
        <f t="shared" si="22"/>
        <v>0</v>
      </c>
      <c r="I348">
        <f t="shared" si="22"/>
        <v>0</v>
      </c>
      <c r="J348">
        <f t="shared" si="21"/>
        <v>0</v>
      </c>
      <c r="K348" s="163" t="str">
        <f t="shared" si="20"/>
        <v>2025AMP2022Capital ExpenditureAsset replacement and renewalOther network assets - Other assets (other than above)nominal</v>
      </c>
    </row>
    <row r="349" spans="2:11" x14ac:dyDescent="0.45">
      <c r="B349" s="187">
        <v>2025</v>
      </c>
      <c r="C349" t="s">
        <v>37</v>
      </c>
      <c r="D349" t="s">
        <v>43</v>
      </c>
      <c r="E349" t="str">
        <f t="shared" ref="E349:I358" si="23">IF(E154="","",E154*INDEX($A$29:$I$40,MATCH($B349&amp;"modifier",$D$29:$D$40,0),MATCH(E$29,$A$29:$I$29,0)))</f>
        <v/>
      </c>
      <c r="F349">
        <f t="shared" si="23"/>
        <v>0</v>
      </c>
      <c r="G349">
        <f t="shared" si="23"/>
        <v>396.49555831006484</v>
      </c>
      <c r="H349">
        <f t="shared" si="23"/>
        <v>317.30870542884674</v>
      </c>
      <c r="I349">
        <f t="shared" si="23"/>
        <v>702.51411934964869</v>
      </c>
      <c r="J349">
        <f t="shared" si="21"/>
        <v>304.55433783309888</v>
      </c>
      <c r="K349" s="163" t="str">
        <f t="shared" si="20"/>
        <v>2025AMP2022Capital ExpenditureAsset replacement and renewalOther network assets - Other network assets totalnominal</v>
      </c>
    </row>
    <row r="350" spans="2:11" x14ac:dyDescent="0.45">
      <c r="B350" s="187">
        <v>2026</v>
      </c>
      <c r="C350" t="s">
        <v>37</v>
      </c>
      <c r="D350" t="s">
        <v>43</v>
      </c>
      <c r="E350">
        <f t="shared" si="23"/>
        <v>4054.565852937932</v>
      </c>
      <c r="F350">
        <f t="shared" si="23"/>
        <v>495</v>
      </c>
      <c r="G350">
        <f t="shared" si="23"/>
        <v>4364.9562365433094</v>
      </c>
      <c r="H350">
        <f t="shared" si="23"/>
        <v>3561.9999999999995</v>
      </c>
      <c r="I350">
        <f t="shared" si="23"/>
        <v>12476.522460937502</v>
      </c>
      <c r="J350">
        <f t="shared" si="21"/>
        <v>7616.56591796875</v>
      </c>
      <c r="K350" s="163" t="str">
        <f t="shared" si="20"/>
        <v>2026AMP2022Capital ExpenditureAsset replacement and renewalAsset replacement and renewal expenditure - Asset replacement and renewal expenditurenominal</v>
      </c>
    </row>
    <row r="351" spans="2:11" x14ac:dyDescent="0.45">
      <c r="B351" s="187">
        <v>2026</v>
      </c>
      <c r="C351" t="s">
        <v>37</v>
      </c>
      <c r="D351" t="s">
        <v>43</v>
      </c>
      <c r="E351">
        <f t="shared" si="23"/>
        <v>0</v>
      </c>
      <c r="F351" t="str">
        <f t="shared" si="23"/>
        <v/>
      </c>
      <c r="G351">
        <f t="shared" si="23"/>
        <v>0</v>
      </c>
      <c r="H351">
        <f t="shared" si="23"/>
        <v>0</v>
      </c>
      <c r="I351">
        <f t="shared" si="23"/>
        <v>0</v>
      </c>
      <c r="J351">
        <f t="shared" si="21"/>
        <v>0</v>
      </c>
      <c r="K351" s="163" t="str">
        <f t="shared" si="20"/>
        <v>2026AMP2022Capital ExpenditureAsset replacement and renewalAsset replacement and renewal expenditure - Capital contributions funding asset replacement and renewalnominal</v>
      </c>
    </row>
    <row r="352" spans="2:11" x14ac:dyDescent="0.45">
      <c r="B352" s="187">
        <v>2026</v>
      </c>
      <c r="C352" t="s">
        <v>37</v>
      </c>
      <c r="D352" t="s">
        <v>43</v>
      </c>
      <c r="E352">
        <f t="shared" si="23"/>
        <v>4054.565852937932</v>
      </c>
      <c r="F352">
        <f t="shared" si="23"/>
        <v>495</v>
      </c>
      <c r="G352">
        <f t="shared" si="23"/>
        <v>4364.9562365433094</v>
      </c>
      <c r="H352">
        <f t="shared" si="23"/>
        <v>3561.9999999999995</v>
      </c>
      <c r="I352">
        <f t="shared" si="23"/>
        <v>12476.522460937502</v>
      </c>
      <c r="J352">
        <f t="shared" si="21"/>
        <v>7616.56591796875</v>
      </c>
      <c r="K352" s="163" t="str">
        <f t="shared" si="20"/>
        <v>2026AMP2022Capital ExpenditureAsset replacement and renewalAsset replacement and renewal less capital contributions - Asset replacement and renewal less capital contributionsnominal</v>
      </c>
    </row>
    <row r="353" spans="2:11" x14ac:dyDescent="0.45">
      <c r="B353" s="187">
        <v>2026</v>
      </c>
      <c r="C353" t="s">
        <v>37</v>
      </c>
      <c r="D353" t="s">
        <v>43</v>
      </c>
      <c r="E353">
        <f t="shared" si="23"/>
        <v>590.88120275083031</v>
      </c>
      <c r="F353">
        <f t="shared" si="23"/>
        <v>10</v>
      </c>
      <c r="G353">
        <f t="shared" si="23"/>
        <v>1138.3661108472988</v>
      </c>
      <c r="H353">
        <f t="shared" si="23"/>
        <v>1314.8559153998676</v>
      </c>
      <c r="I353">
        <f t="shared" si="23"/>
        <v>3008.0216252749397</v>
      </c>
      <c r="J353">
        <f t="shared" si="21"/>
        <v>1870.3256936827709</v>
      </c>
      <c r="K353" s="163" t="str">
        <f t="shared" si="20"/>
        <v>2026AMP2022Capital ExpenditureAsset replacement and renewalIntermediate pressure - Intermediate Pressure totalnominal</v>
      </c>
    </row>
    <row r="354" spans="2:11" x14ac:dyDescent="0.45">
      <c r="B354" s="187">
        <v>2026</v>
      </c>
      <c r="C354" t="s">
        <v>37</v>
      </c>
      <c r="D354" t="s">
        <v>43</v>
      </c>
      <c r="E354">
        <f t="shared" si="23"/>
        <v>162.18263411751727</v>
      </c>
      <c r="F354" t="str">
        <f t="shared" si="23"/>
        <v/>
      </c>
      <c r="G354">
        <f t="shared" si="23"/>
        <v>98.576786826887428</v>
      </c>
      <c r="H354">
        <f t="shared" si="23"/>
        <v>291.92861863846662</v>
      </c>
      <c r="I354">
        <f t="shared" si="23"/>
        <v>540.24089244625293</v>
      </c>
      <c r="J354">
        <f t="shared" si="21"/>
        <v>447.46074665628691</v>
      </c>
      <c r="K354" s="163" t="str">
        <f t="shared" si="20"/>
        <v>2026AMP2022Capital ExpenditureAsset replacement and renewalIntermediate pressure - Line valvenominal</v>
      </c>
    </row>
    <row r="355" spans="2:11" x14ac:dyDescent="0.45">
      <c r="B355" s="187">
        <v>2026</v>
      </c>
      <c r="C355" t="s">
        <v>37</v>
      </c>
      <c r="D355" t="s">
        <v>43</v>
      </c>
      <c r="E355">
        <f t="shared" si="23"/>
        <v>23.241983339520004</v>
      </c>
      <c r="F355" t="str">
        <f t="shared" si="23"/>
        <v/>
      </c>
      <c r="G355">
        <f t="shared" si="23"/>
        <v>39.036206477924658</v>
      </c>
      <c r="H355">
        <f t="shared" si="23"/>
        <v>0</v>
      </c>
      <c r="I355">
        <f t="shared" si="23"/>
        <v>63.4541924739029</v>
      </c>
      <c r="J355">
        <f t="shared" si="21"/>
        <v>24.15060954457228</v>
      </c>
      <c r="K355" s="163" t="str">
        <f t="shared" si="20"/>
        <v>2026AMP2022Capital ExpenditureAsset replacement and renewalIntermediate pressure - Main pipenominal</v>
      </c>
    </row>
    <row r="356" spans="2:11" x14ac:dyDescent="0.45">
      <c r="B356" s="187">
        <v>2026</v>
      </c>
      <c r="C356" t="s">
        <v>37</v>
      </c>
      <c r="D356" t="s">
        <v>43</v>
      </c>
      <c r="E356">
        <f t="shared" si="23"/>
        <v>0</v>
      </c>
      <c r="F356" t="str">
        <f t="shared" si="23"/>
        <v/>
      </c>
      <c r="G356">
        <f t="shared" si="23"/>
        <v>18.923780074172782</v>
      </c>
      <c r="H356">
        <f t="shared" si="23"/>
        <v>0</v>
      </c>
      <c r="I356">
        <f t="shared" si="23"/>
        <v>19.249451122076806</v>
      </c>
      <c r="J356">
        <f t="shared" si="21"/>
        <v>0</v>
      </c>
      <c r="K356" s="163" t="str">
        <f t="shared" si="20"/>
        <v>2026AMP2022Capital ExpenditureAsset replacement and renewalIntermediate pressure - Service pipenominal</v>
      </c>
    </row>
    <row r="357" spans="2:11" x14ac:dyDescent="0.45">
      <c r="B357" s="187">
        <v>2026</v>
      </c>
      <c r="C357" t="s">
        <v>37</v>
      </c>
      <c r="D357" t="s">
        <v>43</v>
      </c>
      <c r="E357">
        <f t="shared" si="23"/>
        <v>0</v>
      </c>
      <c r="F357" t="str">
        <f t="shared" si="23"/>
        <v/>
      </c>
      <c r="G357">
        <f t="shared" si="23"/>
        <v>0.15157350674244349</v>
      </c>
      <c r="H357">
        <f t="shared" si="23"/>
        <v>615.63978849966952</v>
      </c>
      <c r="I357">
        <f t="shared" si="23"/>
        <v>578.54720557422786</v>
      </c>
      <c r="J357">
        <f t="shared" si="21"/>
        <v>588.24369970213354</v>
      </c>
      <c r="K357" s="163" t="str">
        <f t="shared" si="20"/>
        <v>2026AMP2022Capital ExpenditureAsset replacement and renewalIntermediate pressure - Special crossingsnominal</v>
      </c>
    </row>
    <row r="358" spans="2:11" x14ac:dyDescent="0.45">
      <c r="B358" s="187">
        <v>2026</v>
      </c>
      <c r="C358" t="s">
        <v>37</v>
      </c>
      <c r="D358" t="s">
        <v>43</v>
      </c>
      <c r="E358">
        <f t="shared" si="23"/>
        <v>405.45658529379324</v>
      </c>
      <c r="F358">
        <f t="shared" si="23"/>
        <v>10</v>
      </c>
      <c r="G358">
        <f t="shared" si="23"/>
        <v>981.67776396157137</v>
      </c>
      <c r="H358">
        <f t="shared" si="23"/>
        <v>407.2875082617316</v>
      </c>
      <c r="I358">
        <f t="shared" si="23"/>
        <v>1806.5298688929338</v>
      </c>
      <c r="J358">
        <f t="shared" si="21"/>
        <v>810.47072359131289</v>
      </c>
      <c r="K358" s="163" t="str">
        <f t="shared" si="20"/>
        <v>2026AMP2022Capital ExpenditureAsset replacement and renewalIntermediate pressure - Stationsnominal</v>
      </c>
    </row>
    <row r="359" spans="2:11" x14ac:dyDescent="0.45">
      <c r="B359" s="187">
        <v>2026</v>
      </c>
      <c r="C359" t="s">
        <v>37</v>
      </c>
      <c r="D359" t="s">
        <v>43</v>
      </c>
      <c r="E359">
        <f t="shared" ref="E359:I368" si="24">IF(E164="","",E164*INDEX($A$29:$I$40,MATCH($B359&amp;"modifier",$D$29:$D$40,0),MATCH(E$29,$A$29:$I$29,0)))</f>
        <v>0</v>
      </c>
      <c r="F359" t="str">
        <f t="shared" si="24"/>
        <v/>
      </c>
      <c r="G359">
        <f t="shared" si="24"/>
        <v>4.4574773674237254E-2</v>
      </c>
      <c r="H359">
        <f t="shared" si="24"/>
        <v>0</v>
      </c>
      <c r="I359">
        <f t="shared" si="24"/>
        <v>4.5341887243176601E-2</v>
      </c>
      <c r="J359">
        <f t="shared" si="21"/>
        <v>0</v>
      </c>
      <c r="K359" s="163" t="str">
        <f t="shared" si="20"/>
        <v>2026AMP2022Capital ExpenditureAsset replacement and renewalLow Pressure - Line valvenominal</v>
      </c>
    </row>
    <row r="360" spans="2:11" x14ac:dyDescent="0.45">
      <c r="B360" s="187">
        <v>2026</v>
      </c>
      <c r="C360" t="s">
        <v>37</v>
      </c>
      <c r="D360" t="s">
        <v>43</v>
      </c>
      <c r="E360">
        <f t="shared" si="24"/>
        <v>0</v>
      </c>
      <c r="F360">
        <f t="shared" si="24"/>
        <v>475</v>
      </c>
      <c r="G360">
        <f t="shared" si="24"/>
        <v>3.191410155921885</v>
      </c>
      <c r="H360">
        <f t="shared" si="24"/>
        <v>0</v>
      </c>
      <c r="I360">
        <f t="shared" si="24"/>
        <v>528.55549055289396</v>
      </c>
      <c r="J360">
        <f t="shared" si="21"/>
        <v>0</v>
      </c>
      <c r="K360" s="163" t="str">
        <f t="shared" si="20"/>
        <v>2026AMP2022Capital ExpenditureAsset replacement and renewalLow Pressure - Low Pressure totalnominal</v>
      </c>
    </row>
    <row r="361" spans="2:11" x14ac:dyDescent="0.45">
      <c r="B361" s="187">
        <v>2026</v>
      </c>
      <c r="C361" t="s">
        <v>37</v>
      </c>
      <c r="D361" t="s">
        <v>43</v>
      </c>
      <c r="E361">
        <f t="shared" si="24"/>
        <v>0</v>
      </c>
      <c r="F361">
        <f t="shared" si="24"/>
        <v>425</v>
      </c>
      <c r="G361">
        <f t="shared" si="24"/>
        <v>2.1138739969995299</v>
      </c>
      <c r="H361">
        <f t="shared" si="24"/>
        <v>0</v>
      </c>
      <c r="I361">
        <f t="shared" si="24"/>
        <v>472.16373009480168</v>
      </c>
      <c r="J361">
        <f t="shared" si="21"/>
        <v>0</v>
      </c>
      <c r="K361" s="163" t="str">
        <f t="shared" si="20"/>
        <v>2026AMP2022Capital ExpenditureAsset replacement and renewalLow Pressure - Main pipenominal</v>
      </c>
    </row>
    <row r="362" spans="2:11" x14ac:dyDescent="0.45">
      <c r="B362" s="187">
        <v>2026</v>
      </c>
      <c r="C362" t="s">
        <v>37</v>
      </c>
      <c r="D362" t="s">
        <v>43</v>
      </c>
      <c r="E362">
        <f t="shared" si="24"/>
        <v>0</v>
      </c>
      <c r="F362">
        <f t="shared" si="24"/>
        <v>50</v>
      </c>
      <c r="G362">
        <f t="shared" si="24"/>
        <v>1.0247534336194648</v>
      </c>
      <c r="H362">
        <f t="shared" si="24"/>
        <v>0</v>
      </c>
      <c r="I362">
        <f t="shared" si="24"/>
        <v>56.338089810438873</v>
      </c>
      <c r="J362">
        <f t="shared" si="21"/>
        <v>0</v>
      </c>
      <c r="K362" s="163" t="str">
        <f t="shared" si="20"/>
        <v>2026AMP2022Capital ExpenditureAsset replacement and renewalLow Pressure - Service pipenominal</v>
      </c>
    </row>
    <row r="363" spans="2:11" x14ac:dyDescent="0.45">
      <c r="B363" s="187">
        <v>2026</v>
      </c>
      <c r="C363" t="s">
        <v>37</v>
      </c>
      <c r="D363" t="s">
        <v>43</v>
      </c>
      <c r="E363">
        <f t="shared" si="24"/>
        <v>0</v>
      </c>
      <c r="F363" t="str">
        <f t="shared" si="24"/>
        <v/>
      </c>
      <c r="G363">
        <f t="shared" si="24"/>
        <v>8.207951628652151E-3</v>
      </c>
      <c r="H363">
        <f t="shared" si="24"/>
        <v>0</v>
      </c>
      <c r="I363">
        <f t="shared" si="24"/>
        <v>8.3492072297079983E-3</v>
      </c>
      <c r="J363">
        <f t="shared" si="21"/>
        <v>0</v>
      </c>
      <c r="K363" s="163" t="str">
        <f t="shared" si="20"/>
        <v>2026AMP2022Capital ExpenditureAsset replacement and renewalLow Pressure - Special crossingsnominal</v>
      </c>
    </row>
    <row r="364" spans="2:11" x14ac:dyDescent="0.45">
      <c r="B364" s="187">
        <v>2026</v>
      </c>
      <c r="C364" t="s">
        <v>37</v>
      </c>
      <c r="D364" t="s">
        <v>43</v>
      </c>
      <c r="E364">
        <f t="shared" si="24"/>
        <v>0</v>
      </c>
      <c r="F364" t="str">
        <f t="shared" si="24"/>
        <v/>
      </c>
      <c r="G364">
        <f t="shared" si="24"/>
        <v>17.413878248735351</v>
      </c>
      <c r="H364">
        <f t="shared" si="24"/>
        <v>0</v>
      </c>
      <c r="I364">
        <f t="shared" si="24"/>
        <v>17.713564416584081</v>
      </c>
      <c r="J364">
        <f t="shared" si="21"/>
        <v>0</v>
      </c>
      <c r="K364" s="163" t="str">
        <f t="shared" si="20"/>
        <v>2026AMP2022Capital ExpenditureAsset replacement and renewalMedium pressure - Line valvenominal</v>
      </c>
    </row>
    <row r="365" spans="2:11" x14ac:dyDescent="0.45">
      <c r="B365" s="187">
        <v>2026</v>
      </c>
      <c r="C365" t="s">
        <v>37</v>
      </c>
      <c r="D365" t="s">
        <v>43</v>
      </c>
      <c r="E365">
        <f t="shared" si="24"/>
        <v>2977.1367478345496</v>
      </c>
      <c r="F365" t="str">
        <f t="shared" si="24"/>
        <v/>
      </c>
      <c r="G365">
        <f t="shared" si="24"/>
        <v>2087.2921768354581</v>
      </c>
      <c r="H365">
        <f t="shared" si="24"/>
        <v>1411.3807005948445</v>
      </c>
      <c r="I365">
        <f t="shared" si="24"/>
        <v>6490.925865961427</v>
      </c>
      <c r="J365">
        <f t="shared" si="21"/>
        <v>4442.0993112440401</v>
      </c>
      <c r="K365" s="163" t="str">
        <f t="shared" si="20"/>
        <v>2026AMP2022Capital ExpenditureAsset replacement and renewalMedium pressure - Main pipenominal</v>
      </c>
    </row>
    <row r="366" spans="2:11" x14ac:dyDescent="0.45">
      <c r="B366" s="187">
        <v>2026</v>
      </c>
      <c r="C366" t="s">
        <v>37</v>
      </c>
      <c r="D366" t="s">
        <v>43</v>
      </c>
      <c r="E366">
        <f t="shared" si="24"/>
        <v>2977.1367478345496</v>
      </c>
      <c r="F366">
        <f t="shared" si="24"/>
        <v>10</v>
      </c>
      <c r="G366">
        <f t="shared" si="24"/>
        <v>3119.7798578400034</v>
      </c>
      <c r="H366">
        <f t="shared" si="24"/>
        <v>1921.0786516853932</v>
      </c>
      <c r="I366">
        <f t="shared" si="24"/>
        <v>8031.1023082875645</v>
      </c>
      <c r="J366">
        <f t="shared" si="21"/>
        <v>4929.1156056437039</v>
      </c>
      <c r="K366" s="163" t="str">
        <f t="shared" ref="K366:K377" si="25">LEFT(K171,LEN(K171)-8)&amp;C366</f>
        <v>2026AMP2022Capital ExpenditureAsset replacement and renewalMedium pressure - Medium Pressure totalnominal</v>
      </c>
    </row>
    <row r="367" spans="2:11" x14ac:dyDescent="0.45">
      <c r="B367" s="187">
        <v>2026</v>
      </c>
      <c r="C367" t="s">
        <v>37</v>
      </c>
      <c r="D367" t="s">
        <v>43</v>
      </c>
      <c r="E367">
        <f t="shared" si="24"/>
        <v>0</v>
      </c>
      <c r="F367" t="str">
        <f t="shared" si="24"/>
        <v/>
      </c>
      <c r="G367">
        <f t="shared" si="24"/>
        <v>1011.8672296528838</v>
      </c>
      <c r="H367">
        <f t="shared" si="24"/>
        <v>509.69795109054854</v>
      </c>
      <c r="I367">
        <f t="shared" si="24"/>
        <v>1508.1419253275271</v>
      </c>
      <c r="J367">
        <f t="shared" ref="J367:J377" si="26">IF(J172="","",J172*INDEX($A$29:$J$40,MATCH($B367&amp;"modifier",$D$29:$D$40,0),MATCH(J$29,$A$29:$J$29,0)))</f>
        <v>487.01629439966314</v>
      </c>
      <c r="K367" s="163" t="str">
        <f t="shared" si="25"/>
        <v>2026AMP2022Capital ExpenditureAsset replacement and renewalMedium pressure - Service pipenominal</v>
      </c>
    </row>
    <row r="368" spans="2:11" x14ac:dyDescent="0.45">
      <c r="B368" s="187">
        <v>2026</v>
      </c>
      <c r="C368" t="s">
        <v>37</v>
      </c>
      <c r="D368" t="s">
        <v>43</v>
      </c>
      <c r="E368">
        <f t="shared" si="24"/>
        <v>0</v>
      </c>
      <c r="F368" t="str">
        <f t="shared" si="24"/>
        <v/>
      </c>
      <c r="G368">
        <f t="shared" si="24"/>
        <v>3.206573102926785</v>
      </c>
      <c r="H368">
        <f t="shared" si="24"/>
        <v>0</v>
      </c>
      <c r="I368">
        <f t="shared" si="24"/>
        <v>3.2617569357667202</v>
      </c>
      <c r="J368">
        <f t="shared" si="26"/>
        <v>0</v>
      </c>
      <c r="K368" s="163" t="str">
        <f t="shared" si="25"/>
        <v>2026AMP2022Capital ExpenditureAsset replacement and renewalMedium pressure - Special crossingsnominal</v>
      </c>
    </row>
    <row r="369" spans="2:11" x14ac:dyDescent="0.45">
      <c r="B369" s="187">
        <v>2026</v>
      </c>
      <c r="C369" t="s">
        <v>37</v>
      </c>
      <c r="D369" t="s">
        <v>43</v>
      </c>
      <c r="E369">
        <f t="shared" ref="E369:I377" si="27">IF(E174="","",E174*INDEX($A$29:$I$40,MATCH($B369&amp;"modifier",$D$29:$D$40,0),MATCH(E$29,$A$29:$I$29,0)))</f>
        <v>0</v>
      </c>
      <c r="F369">
        <f t="shared" si="27"/>
        <v>10</v>
      </c>
      <c r="G369">
        <f t="shared" si="27"/>
        <v>0</v>
      </c>
      <c r="H369">
        <f t="shared" si="27"/>
        <v>0</v>
      </c>
      <c r="I369">
        <f t="shared" si="27"/>
        <v>11.059140275464888</v>
      </c>
      <c r="J369">
        <f t="shared" si="26"/>
        <v>0</v>
      </c>
      <c r="K369" s="163" t="str">
        <f t="shared" si="25"/>
        <v>2026AMP2022Capital ExpenditureAsset replacement and renewalMedium pressure - Stationnominal</v>
      </c>
    </row>
    <row r="370" spans="2:11" x14ac:dyDescent="0.45">
      <c r="B370" s="187">
        <v>2026</v>
      </c>
      <c r="C370" t="s">
        <v>37</v>
      </c>
      <c r="D370" t="s">
        <v>43</v>
      </c>
      <c r="E370">
        <f t="shared" si="27"/>
        <v>162.18263411751727</v>
      </c>
      <c r="F370" t="str">
        <f t="shared" si="27"/>
        <v/>
      </c>
      <c r="G370" t="str">
        <f t="shared" si="27"/>
        <v/>
      </c>
      <c r="H370" t="str">
        <f t="shared" si="27"/>
        <v/>
      </c>
      <c r="I370">
        <f t="shared" si="27"/>
        <v>165.70095701225489</v>
      </c>
      <c r="J370">
        <f t="shared" si="26"/>
        <v>168.52302476289765</v>
      </c>
      <c r="K370" s="163" t="str">
        <f t="shared" si="25"/>
        <v>2026AMP2022Capital ExpenditureAsset replacement and renewalOther assets - Cathodic protection systemsnominal</v>
      </c>
    </row>
    <row r="371" spans="2:11" x14ac:dyDescent="0.45">
      <c r="B371" s="187">
        <v>2026</v>
      </c>
      <c r="C371" t="s">
        <v>37</v>
      </c>
      <c r="D371" t="s">
        <v>43</v>
      </c>
      <c r="E371">
        <f t="shared" si="27"/>
        <v>162.18263411751727</v>
      </c>
      <c r="F371" t="str">
        <f t="shared" si="27"/>
        <v/>
      </c>
      <c r="G371" t="str">
        <f t="shared" si="27"/>
        <v/>
      </c>
      <c r="H371" t="str">
        <f t="shared" si="27"/>
        <v/>
      </c>
      <c r="I371">
        <f t="shared" si="27"/>
        <v>165.70095701225489</v>
      </c>
      <c r="J371">
        <f t="shared" si="26"/>
        <v>168.52302476289765</v>
      </c>
      <c r="K371" s="163" t="str">
        <f t="shared" si="25"/>
        <v>2026AMP2022Capital ExpenditureAsset replacement and renewalOther assets - Monitoring and control systemsnominal</v>
      </c>
    </row>
    <row r="372" spans="2:11" x14ac:dyDescent="0.45">
      <c r="B372" s="187">
        <v>2026</v>
      </c>
      <c r="C372" t="s">
        <v>37</v>
      </c>
      <c r="D372" t="s">
        <v>43</v>
      </c>
      <c r="E372">
        <f t="shared" si="27"/>
        <v>162.18263411751727</v>
      </c>
      <c r="F372" t="str">
        <f t="shared" si="27"/>
        <v/>
      </c>
      <c r="G372" t="str">
        <f t="shared" si="27"/>
        <v/>
      </c>
      <c r="H372" t="str">
        <f t="shared" si="27"/>
        <v/>
      </c>
      <c r="I372">
        <f t="shared" si="27"/>
        <v>165.70095701225489</v>
      </c>
      <c r="J372">
        <f t="shared" si="26"/>
        <v>168.52302476289765</v>
      </c>
      <c r="K372" s="163" t="str">
        <f t="shared" si="25"/>
        <v>2026AMP2022Capital ExpenditureAsset replacement and renewalOther assets - Other assets (other than above)nominal</v>
      </c>
    </row>
    <row r="373" spans="2:11" x14ac:dyDescent="0.45">
      <c r="B373" s="187">
        <v>2026</v>
      </c>
      <c r="C373" t="s">
        <v>37</v>
      </c>
      <c r="D373" t="s">
        <v>43</v>
      </c>
      <c r="E373">
        <f t="shared" si="27"/>
        <v>486.54790235255183</v>
      </c>
      <c r="F373" t="str">
        <f t="shared" si="27"/>
        <v/>
      </c>
      <c r="G373" t="str">
        <f t="shared" si="27"/>
        <v/>
      </c>
      <c r="H373" t="str">
        <f t="shared" si="27"/>
        <v/>
      </c>
      <c r="I373">
        <f t="shared" si="27"/>
        <v>497.10288791167358</v>
      </c>
      <c r="J373">
        <f t="shared" si="26"/>
        <v>505.56909145099991</v>
      </c>
      <c r="K373" s="163" t="str">
        <f t="shared" si="25"/>
        <v>2026AMP2022Capital ExpenditureAsset replacement and renewalOther assets - Other totalnominal</v>
      </c>
    </row>
    <row r="374" spans="2:11" x14ac:dyDescent="0.45">
      <c r="B374" s="187">
        <v>2026</v>
      </c>
      <c r="C374" t="s">
        <v>37</v>
      </c>
      <c r="D374" t="s">
        <v>43</v>
      </c>
      <c r="E374" t="str">
        <f t="shared" si="27"/>
        <v/>
      </c>
      <c r="F374" t="str">
        <f t="shared" si="27"/>
        <v/>
      </c>
      <c r="G374">
        <f t="shared" si="27"/>
        <v>103.61885770008537</v>
      </c>
      <c r="H374">
        <f t="shared" si="27"/>
        <v>64.74223397224057</v>
      </c>
      <c r="I374">
        <f t="shared" si="27"/>
        <v>166.22736979437943</v>
      </c>
      <c r="J374">
        <f t="shared" si="26"/>
        <v>61.86119212928746</v>
      </c>
      <c r="K374" s="163" t="str">
        <f t="shared" si="25"/>
        <v>2026AMP2022Capital ExpenditureAsset replacement and renewalOther network assets - Cathodic protection systemsnominal</v>
      </c>
    </row>
    <row r="375" spans="2:11" x14ac:dyDescent="0.45">
      <c r="B375" s="187">
        <v>2026</v>
      </c>
      <c r="C375" t="s">
        <v>37</v>
      </c>
      <c r="D375" t="s">
        <v>43</v>
      </c>
      <c r="E375" t="str">
        <f t="shared" si="27"/>
        <v/>
      </c>
      <c r="F375" t="str">
        <f t="shared" si="27"/>
        <v/>
      </c>
      <c r="G375">
        <f t="shared" si="27"/>
        <v>0</v>
      </c>
      <c r="H375">
        <f t="shared" si="27"/>
        <v>261.32319894249832</v>
      </c>
      <c r="I375">
        <f t="shared" si="27"/>
        <v>245.51291411532048</v>
      </c>
      <c r="J375">
        <f t="shared" si="26"/>
        <v>249.6942664127603</v>
      </c>
      <c r="K375" s="163" t="str">
        <f t="shared" si="25"/>
        <v>2026AMP2022Capital ExpenditureAsset replacement and renewalOther network assets - Monitoring and control systemsnominal</v>
      </c>
    </row>
    <row r="376" spans="2:11" x14ac:dyDescent="0.45">
      <c r="B376" s="187">
        <v>2026</v>
      </c>
      <c r="C376" t="s">
        <v>37</v>
      </c>
      <c r="D376" t="s">
        <v>43</v>
      </c>
      <c r="E376" t="str">
        <f t="shared" si="27"/>
        <v/>
      </c>
      <c r="F376" t="str">
        <f t="shared" si="27"/>
        <v/>
      </c>
      <c r="G376">
        <f t="shared" si="27"/>
        <v>0</v>
      </c>
      <c r="H376">
        <f t="shared" si="27"/>
        <v>0</v>
      </c>
      <c r="I376">
        <f t="shared" si="27"/>
        <v>0</v>
      </c>
      <c r="J376">
        <f t="shared" si="26"/>
        <v>0</v>
      </c>
      <c r="K376" s="163" t="str">
        <f t="shared" si="25"/>
        <v>2026AMP2022Capital ExpenditureAsset replacement and renewalOther network assets - Other assets (other than above)nominal</v>
      </c>
    </row>
    <row r="377" spans="2:11" x14ac:dyDescent="0.45">
      <c r="B377" s="187">
        <v>2026</v>
      </c>
      <c r="C377" t="s">
        <v>37</v>
      </c>
      <c r="D377" t="s">
        <v>43</v>
      </c>
      <c r="E377" t="str">
        <f t="shared" si="27"/>
        <v/>
      </c>
      <c r="F377">
        <f t="shared" si="27"/>
        <v>0</v>
      </c>
      <c r="G377">
        <f t="shared" si="27"/>
        <v>103.61885770008537</v>
      </c>
      <c r="H377">
        <f t="shared" si="27"/>
        <v>326.06543291473889</v>
      </c>
      <c r="I377">
        <f t="shared" si="27"/>
        <v>411.74028390969994</v>
      </c>
      <c r="J377">
        <f t="shared" si="26"/>
        <v>311.55545854204775</v>
      </c>
      <c r="K377" s="163" t="str">
        <f t="shared" si="25"/>
        <v>2026AMP2022Capital ExpenditureAsset replacement and renewalOther network assets - Other network assets totalnominal</v>
      </c>
    </row>
    <row r="378" spans="2:11" x14ac:dyDescent="0.45">
      <c r="B378" s="187">
        <v>2027</v>
      </c>
      <c r="C378" t="s">
        <v>37</v>
      </c>
      <c r="D378" t="s">
        <v>43</v>
      </c>
      <c r="E378">
        <f>IF(E183="","",E183*INDEX($A$29:$I$40,MATCH($B378&amp;"modifier",$D$29:$D$40,0),MATCH(E$29,$A$29:$I$29,0)))</f>
        <v>3692.5510446399012</v>
      </c>
      <c r="F378">
        <f t="shared" ref="F378:I378" si="28">IF(F183="","",F183*INDEX($A$29:$I$40,MATCH($B378&amp;"modifier",$D$29:$D$40,0),MATCH(F$29,$A$29:$I$29,0)))</f>
        <v>495</v>
      </c>
      <c r="G378">
        <f t="shared" si="28"/>
        <v>5236.6947159866413</v>
      </c>
      <c r="H378">
        <f t="shared" si="28"/>
        <v>3527</v>
      </c>
      <c r="I378">
        <f t="shared" si="28"/>
        <v>12951.2451171875</v>
      </c>
      <c r="J378">
        <f t="shared" ref="J378:J405" si="29">IF(J183="","",J183*INDEX($A$29:$J$40,MATCH($B378&amp;"modifier",$D$29:$D$40,0),MATCH(J$29,$A$29:$J$29,0)))</f>
        <v>7219.55078125</v>
      </c>
      <c r="K378" s="163" t="str">
        <f t="shared" ref="K378:K405" si="30">LEFT(K183,LEN(K183)-8)&amp;C378</f>
        <v>2027AMP2022Capital ExpenditureAsset replacement and renewalAsset replacement and renewal expenditure - Asset replacement and renewal expenditurenominal</v>
      </c>
    </row>
    <row r="379" spans="2:11" x14ac:dyDescent="0.45">
      <c r="B379" s="187">
        <v>2027</v>
      </c>
      <c r="C379" t="s">
        <v>37</v>
      </c>
      <c r="D379" t="s">
        <v>43</v>
      </c>
      <c r="E379">
        <f t="shared" ref="E379:I379" si="31">IF(E184="","",E184*INDEX($A$29:$I$40,MATCH($B379&amp;"modifier",$D$29:$D$40,0),MATCH(E$29,$A$29:$I$29,0)))</f>
        <v>0</v>
      </c>
      <c r="F379" t="str">
        <f t="shared" si="31"/>
        <v/>
      </c>
      <c r="G379">
        <f t="shared" si="31"/>
        <v>0</v>
      </c>
      <c r="H379">
        <f t="shared" si="31"/>
        <v>0</v>
      </c>
      <c r="I379">
        <f t="shared" si="31"/>
        <v>0</v>
      </c>
      <c r="J379">
        <f t="shared" si="29"/>
        <v>0</v>
      </c>
      <c r="K379" s="163" t="str">
        <f t="shared" si="30"/>
        <v>2027AMP2022Capital ExpenditureAsset replacement and renewalAsset replacement and renewal expenditure - Capital contributions funding asset replacement and renewalnominal</v>
      </c>
    </row>
    <row r="380" spans="2:11" x14ac:dyDescent="0.45">
      <c r="B380" s="187">
        <v>2027</v>
      </c>
      <c r="C380" t="s">
        <v>37</v>
      </c>
      <c r="D380" t="s">
        <v>43</v>
      </c>
      <c r="E380">
        <f t="shared" ref="E380:I380" si="32">IF(E185="","",E185*INDEX($A$29:$I$40,MATCH($B380&amp;"modifier",$D$29:$D$40,0),MATCH(E$29,$A$29:$I$29,0)))</f>
        <v>3692.5510446399012</v>
      </c>
      <c r="F380">
        <f t="shared" si="32"/>
        <v>495</v>
      </c>
      <c r="G380">
        <f t="shared" si="32"/>
        <v>5236.6947159866413</v>
      </c>
      <c r="H380">
        <f t="shared" si="32"/>
        <v>3527</v>
      </c>
      <c r="I380">
        <f t="shared" si="32"/>
        <v>12951.2451171875</v>
      </c>
      <c r="J380">
        <f t="shared" si="29"/>
        <v>7219.55078125</v>
      </c>
      <c r="K380" s="163" t="str">
        <f t="shared" si="30"/>
        <v>2027AMP2022Capital ExpenditureAsset replacement and renewalAsset replacement and renewal less capital contributions - Asset replacement and renewal less capital contributionsnominal</v>
      </c>
    </row>
    <row r="381" spans="2:11" x14ac:dyDescent="0.45">
      <c r="B381" s="187">
        <v>2027</v>
      </c>
      <c r="C381" t="s">
        <v>37</v>
      </c>
      <c r="D381" t="s">
        <v>43</v>
      </c>
      <c r="E381">
        <f t="shared" ref="E381:I381" si="33">IF(E186="","",E186*INDEX($A$29:$I$40,MATCH($B381&amp;"modifier",$D$29:$D$40,0),MATCH(E$29,$A$29:$I$29,0)))</f>
        <v>540.66396925589663</v>
      </c>
      <c r="F381">
        <f t="shared" si="33"/>
        <v>10</v>
      </c>
      <c r="G381">
        <f t="shared" si="33"/>
        <v>1056.5606706254241</v>
      </c>
      <c r="H381">
        <f t="shared" si="33"/>
        <v>1235.290333560245</v>
      </c>
      <c r="I381">
        <f t="shared" si="33"/>
        <v>2794.6819693086795</v>
      </c>
      <c r="J381">
        <f t="shared" si="29"/>
        <v>1745.2253414641302</v>
      </c>
      <c r="K381" s="163" t="str">
        <f t="shared" si="30"/>
        <v>2027AMP2022Capital ExpenditureAsset replacement and renewalIntermediate pressure - Intermediate Pressure totalnominal</v>
      </c>
    </row>
    <row r="382" spans="2:11" x14ac:dyDescent="0.45">
      <c r="B382" s="187">
        <v>2027</v>
      </c>
      <c r="C382" t="s">
        <v>37</v>
      </c>
      <c r="D382" t="s">
        <v>43</v>
      </c>
      <c r="E382">
        <f t="shared" ref="E382:I382" si="34">IF(E187="","",E187*INDEX($A$29:$I$40,MATCH($B382&amp;"modifier",$D$29:$D$40,0),MATCH(E$29,$A$29:$I$29,0)))</f>
        <v>147.70204178559604</v>
      </c>
      <c r="F382" t="str">
        <f t="shared" si="34"/>
        <v/>
      </c>
      <c r="G382">
        <f t="shared" si="34"/>
        <v>0.83576286551998447</v>
      </c>
      <c r="H382">
        <f t="shared" si="34"/>
        <v>297.71817562968005</v>
      </c>
      <c r="I382">
        <f t="shared" si="34"/>
        <v>430.81773369519539</v>
      </c>
      <c r="J382">
        <f t="shared" si="29"/>
        <v>438.72448894486291</v>
      </c>
      <c r="K382" s="163" t="str">
        <f t="shared" si="30"/>
        <v>2027AMP2022Capital ExpenditureAsset replacement and renewalIntermediate pressure - Line valvenominal</v>
      </c>
    </row>
    <row r="383" spans="2:11" x14ac:dyDescent="0.45">
      <c r="B383" s="187">
        <v>2027</v>
      </c>
      <c r="C383" t="s">
        <v>37</v>
      </c>
      <c r="D383" t="s">
        <v>43</v>
      </c>
      <c r="E383">
        <f t="shared" ref="E383:I383" si="35">IF(E188="","",E188*INDEX($A$29:$I$40,MATCH($B383&amp;"modifier",$D$29:$D$40,0),MATCH(E$29,$A$29:$I$29,0)))</f>
        <v>23.706823006310398</v>
      </c>
      <c r="F383" t="str">
        <f t="shared" si="35"/>
        <v/>
      </c>
      <c r="G383">
        <f t="shared" si="35"/>
        <v>39.634466839740895</v>
      </c>
      <c r="H383">
        <f t="shared" si="35"/>
        <v>0</v>
      </c>
      <c r="I383">
        <f t="shared" si="35"/>
        <v>64.434377589609142</v>
      </c>
      <c r="J383">
        <f t="shared" si="29"/>
        <v>24.674772065325108</v>
      </c>
      <c r="K383" s="163" t="str">
        <f t="shared" si="30"/>
        <v>2027AMP2022Capital ExpenditureAsset replacement and renewalIntermediate pressure - Main pipenominal</v>
      </c>
    </row>
    <row r="384" spans="2:11" x14ac:dyDescent="0.45">
      <c r="B384" s="187">
        <v>2027</v>
      </c>
      <c r="C384" t="s">
        <v>37</v>
      </c>
      <c r="D384" t="s">
        <v>43</v>
      </c>
      <c r="E384">
        <f t="shared" ref="E384:I384" si="36">IF(E189="","",E189*INDEX($A$29:$I$40,MATCH($B384&amp;"modifier",$D$29:$D$40,0),MATCH(E$29,$A$29:$I$29,0)))</f>
        <v>0</v>
      </c>
      <c r="F384" t="str">
        <f t="shared" si="36"/>
        <v/>
      </c>
      <c r="G384">
        <f t="shared" si="36"/>
        <v>19.213801788257829</v>
      </c>
      <c r="H384">
        <f t="shared" si="36"/>
        <v>0</v>
      </c>
      <c r="I384">
        <f t="shared" si="36"/>
        <v>19.513183370383089</v>
      </c>
      <c r="J384">
        <f t="shared" si="29"/>
        <v>0</v>
      </c>
      <c r="K384" s="163" t="str">
        <f t="shared" si="30"/>
        <v>2027AMP2022Capital ExpenditureAsset replacement and renewalIntermediate pressure - Service pipenominal</v>
      </c>
    </row>
    <row r="385" spans="2:11" x14ac:dyDescent="0.45">
      <c r="B385" s="187">
        <v>2027</v>
      </c>
      <c r="C385" t="s">
        <v>37</v>
      </c>
      <c r="D385" t="s">
        <v>43</v>
      </c>
      <c r="E385">
        <f t="shared" ref="E385:I385" si="37">IF(E190="","",E190*INDEX($A$29:$I$40,MATCH($B385&amp;"modifier",$D$29:$D$40,0),MATCH(E$29,$A$29:$I$29,0)))</f>
        <v>0</v>
      </c>
      <c r="F385" t="str">
        <f t="shared" si="37"/>
        <v/>
      </c>
      <c r="G385">
        <f t="shared" si="37"/>
        <v>0.1538964891520373</v>
      </c>
      <c r="H385">
        <f t="shared" si="37"/>
        <v>483.7920353982301</v>
      </c>
      <c r="I385">
        <f t="shared" si="37"/>
        <v>454.02571318757941</v>
      </c>
      <c r="J385">
        <f t="shared" si="29"/>
        <v>463.11163775120326</v>
      </c>
      <c r="K385" s="163" t="str">
        <f t="shared" si="30"/>
        <v>2027AMP2022Capital ExpenditureAsset replacement and renewalIntermediate pressure - Special crossingsnominal</v>
      </c>
    </row>
    <row r="386" spans="2:11" x14ac:dyDescent="0.45">
      <c r="B386" s="187">
        <v>2027</v>
      </c>
      <c r="C386" t="s">
        <v>37</v>
      </c>
      <c r="D386" t="s">
        <v>43</v>
      </c>
      <c r="E386">
        <f t="shared" ref="E386:I386" si="38">IF(E191="","",E191*INDEX($A$29:$I$40,MATCH($B386&amp;"modifier",$D$29:$D$40,0),MATCH(E$29,$A$29:$I$29,0)))</f>
        <v>369.25510446399022</v>
      </c>
      <c r="F386">
        <f t="shared" si="38"/>
        <v>10</v>
      </c>
      <c r="G386">
        <f t="shared" si="38"/>
        <v>996.72274264275336</v>
      </c>
      <c r="H386">
        <f t="shared" si="38"/>
        <v>453.78012253233493</v>
      </c>
      <c r="I386">
        <f t="shared" si="38"/>
        <v>1825.8910731674923</v>
      </c>
      <c r="J386">
        <f t="shared" si="29"/>
        <v>818.71442516794298</v>
      </c>
      <c r="K386" s="163" t="str">
        <f t="shared" si="30"/>
        <v>2027AMP2022Capital ExpenditureAsset replacement and renewalIntermediate pressure - Stationsnominal</v>
      </c>
    </row>
    <row r="387" spans="2:11" x14ac:dyDescent="0.45">
      <c r="B387" s="187">
        <v>2027</v>
      </c>
      <c r="C387" t="s">
        <v>37</v>
      </c>
      <c r="D387" t="s">
        <v>43</v>
      </c>
      <c r="E387">
        <f t="shared" ref="E387:I387" si="39">IF(E192="","",E192*INDEX($A$29:$I$40,MATCH($B387&amp;"modifier",$D$29:$D$40,0),MATCH(E$29,$A$29:$I$29,0)))</f>
        <v>0</v>
      </c>
      <c r="F387" t="str">
        <f t="shared" si="39"/>
        <v/>
      </c>
      <c r="G387">
        <f t="shared" si="39"/>
        <v>4.5257916905414329E-2</v>
      </c>
      <c r="H387">
        <f t="shared" si="39"/>
        <v>0</v>
      </c>
      <c r="I387">
        <f t="shared" si="39"/>
        <v>4.5963106582022566E-2</v>
      </c>
      <c r="J387">
        <f t="shared" si="29"/>
        <v>0</v>
      </c>
      <c r="K387" s="163" t="str">
        <f t="shared" si="30"/>
        <v>2027AMP2022Capital ExpenditureAsset replacement and renewalLow Pressure - Line valvenominal</v>
      </c>
    </row>
    <row r="388" spans="2:11" x14ac:dyDescent="0.45">
      <c r="B388" s="187">
        <v>2027</v>
      </c>
      <c r="C388" t="s">
        <v>37</v>
      </c>
      <c r="D388" t="s">
        <v>43</v>
      </c>
      <c r="E388">
        <f t="shared" ref="E388:I388" si="40">IF(E193="","",E193*INDEX($A$29:$I$40,MATCH($B388&amp;"modifier",$D$29:$D$40,0),MATCH(E$29,$A$29:$I$29,0)))</f>
        <v>0</v>
      </c>
      <c r="F388">
        <f t="shared" si="40"/>
        <v>475</v>
      </c>
      <c r="G388">
        <f t="shared" si="40"/>
        <v>3.2403210098919168</v>
      </c>
      <c r="H388">
        <f t="shared" si="40"/>
        <v>0</v>
      </c>
      <c r="I388">
        <f t="shared" si="40"/>
        <v>538.24856698756173</v>
      </c>
      <c r="J388">
        <f t="shared" si="29"/>
        <v>0</v>
      </c>
      <c r="K388" s="163" t="str">
        <f t="shared" si="30"/>
        <v>2027AMP2022Capital ExpenditureAsset replacement and renewalLow Pressure - Low Pressure totalnominal</v>
      </c>
    </row>
    <row r="389" spans="2:11" x14ac:dyDescent="0.45">
      <c r="B389" s="187">
        <v>2027</v>
      </c>
      <c r="C389" t="s">
        <v>37</v>
      </c>
      <c r="D389" t="s">
        <v>43</v>
      </c>
      <c r="E389">
        <f t="shared" ref="E389:I389" si="41">IF(E194="","",E194*INDEX($A$29:$I$40,MATCH($B389&amp;"modifier",$D$29:$D$40,0),MATCH(E$29,$A$29:$I$29,0)))</f>
        <v>0</v>
      </c>
      <c r="F389">
        <f t="shared" si="41"/>
        <v>425</v>
      </c>
      <c r="G389">
        <f t="shared" si="41"/>
        <v>2.1462707674949937</v>
      </c>
      <c r="H389">
        <f t="shared" si="41"/>
        <v>0</v>
      </c>
      <c r="I389">
        <f t="shared" si="41"/>
        <v>480.82615296987592</v>
      </c>
      <c r="J389">
        <f t="shared" si="29"/>
        <v>0</v>
      </c>
      <c r="K389" s="163" t="str">
        <f t="shared" si="30"/>
        <v>2027AMP2022Capital ExpenditureAsset replacement and renewalLow Pressure - Main pipenominal</v>
      </c>
    </row>
    <row r="390" spans="2:11" x14ac:dyDescent="0.45">
      <c r="B390" s="187">
        <v>2027</v>
      </c>
      <c r="C390" t="s">
        <v>37</v>
      </c>
      <c r="D390" t="s">
        <v>43</v>
      </c>
      <c r="E390">
        <f t="shared" ref="E390:I390" si="42">IF(E195="","",E195*INDEX($A$29:$I$40,MATCH($B390&amp;"modifier",$D$29:$D$40,0),MATCH(E$29,$A$29:$I$29,0)))</f>
        <v>0</v>
      </c>
      <c r="F390">
        <f t="shared" si="42"/>
        <v>50</v>
      </c>
      <c r="G390">
        <f t="shared" si="42"/>
        <v>1.0404585805915791</v>
      </c>
      <c r="H390">
        <f t="shared" si="42"/>
        <v>0</v>
      </c>
      <c r="I390">
        <f t="shared" si="42"/>
        <v>57.368015348252428</v>
      </c>
      <c r="J390">
        <f t="shared" si="29"/>
        <v>0</v>
      </c>
      <c r="K390" s="163" t="str">
        <f t="shared" si="30"/>
        <v>2027AMP2022Capital ExpenditureAsset replacement and renewalLow Pressure - Service pipenominal</v>
      </c>
    </row>
    <row r="391" spans="2:11" x14ac:dyDescent="0.45">
      <c r="B391" s="187">
        <v>2027</v>
      </c>
      <c r="C391" t="s">
        <v>37</v>
      </c>
      <c r="D391" t="s">
        <v>43</v>
      </c>
      <c r="E391">
        <f t="shared" ref="E391:I391" si="43">IF(E196="","",E196*INDEX($A$29:$I$40,MATCH($B391&amp;"modifier",$D$29:$D$40,0),MATCH(E$29,$A$29:$I$29,0)))</f>
        <v>0</v>
      </c>
      <c r="F391" t="str">
        <f t="shared" si="43"/>
        <v/>
      </c>
      <c r="G391">
        <f t="shared" si="43"/>
        <v>8.3337448999298083E-3</v>
      </c>
      <c r="H391">
        <f t="shared" si="43"/>
        <v>0</v>
      </c>
      <c r="I391">
        <f t="shared" si="43"/>
        <v>8.4635978543998822E-3</v>
      </c>
      <c r="J391">
        <f t="shared" si="29"/>
        <v>0</v>
      </c>
      <c r="K391" s="163" t="str">
        <f t="shared" si="30"/>
        <v>2027AMP2022Capital ExpenditureAsset replacement and renewalLow Pressure - Special crossingsnominal</v>
      </c>
    </row>
    <row r="392" spans="2:11" x14ac:dyDescent="0.45">
      <c r="B392" s="187">
        <v>2027</v>
      </c>
      <c r="C392" t="s">
        <v>37</v>
      </c>
      <c r="D392" t="s">
        <v>43</v>
      </c>
      <c r="E392">
        <f t="shared" ref="E392:I392" si="44">IF(E197="","",E197*INDEX($A$29:$I$40,MATCH($B392&amp;"modifier",$D$29:$D$40,0),MATCH(E$29,$A$29:$I$29,0)))</f>
        <v>0</v>
      </c>
      <c r="F392" t="str">
        <f t="shared" si="44"/>
        <v/>
      </c>
      <c r="G392">
        <f t="shared" si="44"/>
        <v>17.680759537715197</v>
      </c>
      <c r="H392">
        <f t="shared" si="44"/>
        <v>0</v>
      </c>
      <c r="I392">
        <f t="shared" si="44"/>
        <v>17.95625345344051</v>
      </c>
      <c r="J392">
        <f t="shared" si="29"/>
        <v>0</v>
      </c>
      <c r="K392" s="163" t="str">
        <f t="shared" si="30"/>
        <v>2027AMP2022Capital ExpenditureAsset replacement and renewalMedium pressure - Line valvenominal</v>
      </c>
    </row>
    <row r="393" spans="2:11" x14ac:dyDescent="0.45">
      <c r="B393" s="187">
        <v>2027</v>
      </c>
      <c r="C393" t="s">
        <v>37</v>
      </c>
      <c r="D393" t="s">
        <v>43</v>
      </c>
      <c r="E393">
        <f t="shared" ref="E393:I393" si="45">IF(E198="","",E198*INDEX($A$29:$I$40,MATCH($B393&amp;"modifier",$D$29:$D$40,0),MATCH(E$29,$A$29:$I$29,0)))</f>
        <v>2708.7809500272165</v>
      </c>
      <c r="F393" t="str">
        <f t="shared" si="45"/>
        <v/>
      </c>
      <c r="G393">
        <f t="shared" si="45"/>
        <v>2796.6826348229988</v>
      </c>
      <c r="H393">
        <f t="shared" si="45"/>
        <v>1439.3713410483322</v>
      </c>
      <c r="I393">
        <f t="shared" si="45"/>
        <v>6953.7201684778693</v>
      </c>
      <c r="J393">
        <f t="shared" si="29"/>
        <v>4197.2236016082752</v>
      </c>
      <c r="K393" s="163" t="str">
        <f t="shared" si="30"/>
        <v>2027AMP2022Capital ExpenditureAsset replacement and renewalMedium pressure - Main pipenominal</v>
      </c>
    </row>
    <row r="394" spans="2:11" x14ac:dyDescent="0.45">
      <c r="B394" s="187">
        <v>2027</v>
      </c>
      <c r="C394" t="s">
        <v>37</v>
      </c>
      <c r="D394" t="s">
        <v>43</v>
      </c>
      <c r="E394">
        <f t="shared" ref="E394:I394" si="46">IF(E199="","",E199*INDEX($A$29:$I$40,MATCH($B394&amp;"modifier",$D$29:$D$40,0),MATCH(E$29,$A$29:$I$29,0)))</f>
        <v>2708.7809500272165</v>
      </c>
      <c r="F394">
        <f t="shared" si="46"/>
        <v>10</v>
      </c>
      <c r="G394">
        <f t="shared" si="46"/>
        <v>4173.3811555759703</v>
      </c>
      <c r="H394">
        <f t="shared" si="46"/>
        <v>1959.1776718856365</v>
      </c>
      <c r="I394">
        <f t="shared" si="46"/>
        <v>8850.7883132597926</v>
      </c>
      <c r="J394">
        <f t="shared" si="29"/>
        <v>4694.8100511027442</v>
      </c>
      <c r="K394" s="163" t="str">
        <f t="shared" si="30"/>
        <v>2027AMP2022Capital ExpenditureAsset replacement and renewalMedium pressure - Medium Pressure totalnominal</v>
      </c>
    </row>
    <row r="395" spans="2:11" x14ac:dyDescent="0.45">
      <c r="B395" s="187">
        <v>2027</v>
      </c>
      <c r="C395" t="s">
        <v>37</v>
      </c>
      <c r="D395" t="s">
        <v>43</v>
      </c>
      <c r="E395">
        <f t="shared" ref="E395:I395" si="47">IF(E200="","",E200*INDEX($A$29:$I$40,MATCH($B395&amp;"modifier",$D$29:$D$40,0),MATCH(E$29,$A$29:$I$29,0)))</f>
        <v>0</v>
      </c>
      <c r="F395" t="str">
        <f t="shared" si="47"/>
        <v/>
      </c>
      <c r="G395">
        <f t="shared" si="47"/>
        <v>1355.7620448743498</v>
      </c>
      <c r="H395">
        <f t="shared" si="47"/>
        <v>519.80633083730436</v>
      </c>
      <c r="I395">
        <f t="shared" si="47"/>
        <v>1864.5432568002998</v>
      </c>
      <c r="J395">
        <f t="shared" si="29"/>
        <v>497.58644949446904</v>
      </c>
      <c r="K395" s="163" t="str">
        <f t="shared" si="30"/>
        <v>2027AMP2022Capital ExpenditureAsset replacement and renewalMedium pressure - Service pipenominal</v>
      </c>
    </row>
    <row r="396" spans="2:11" x14ac:dyDescent="0.45">
      <c r="B396" s="187">
        <v>2027</v>
      </c>
      <c r="C396" t="s">
        <v>37</v>
      </c>
      <c r="D396" t="s">
        <v>43</v>
      </c>
      <c r="E396">
        <f t="shared" ref="E396:I396" si="48">IF(E201="","",E201*INDEX($A$29:$I$40,MATCH($B396&amp;"modifier",$D$29:$D$40,0),MATCH(E$29,$A$29:$I$29,0)))</f>
        <v>0</v>
      </c>
      <c r="F396" t="str">
        <f t="shared" si="48"/>
        <v/>
      </c>
      <c r="G396">
        <f t="shared" si="48"/>
        <v>3.2557163409059164</v>
      </c>
      <c r="H396">
        <f t="shared" si="48"/>
        <v>0</v>
      </c>
      <c r="I396">
        <f t="shared" si="48"/>
        <v>3.3064454408146671</v>
      </c>
      <c r="J396">
        <f t="shared" si="29"/>
        <v>0</v>
      </c>
      <c r="K396" s="163" t="str">
        <f t="shared" si="30"/>
        <v>2027AMP2022Capital ExpenditureAsset replacement and renewalMedium pressure - Special crossingsnominal</v>
      </c>
    </row>
    <row r="397" spans="2:11" x14ac:dyDescent="0.45">
      <c r="B397" s="187">
        <v>2027</v>
      </c>
      <c r="C397" t="s">
        <v>37</v>
      </c>
      <c r="D397" t="s">
        <v>43</v>
      </c>
      <c r="E397">
        <f t="shared" ref="E397:I397" si="49">IF(E202="","",E202*INDEX($A$29:$I$40,MATCH($B397&amp;"modifier",$D$29:$D$40,0),MATCH(E$29,$A$29:$I$29,0)))</f>
        <v>0</v>
      </c>
      <c r="F397">
        <f t="shared" si="49"/>
        <v>10</v>
      </c>
      <c r="G397">
        <f t="shared" si="49"/>
        <v>0</v>
      </c>
      <c r="H397">
        <f t="shared" si="49"/>
        <v>0</v>
      </c>
      <c r="I397">
        <f t="shared" si="49"/>
        <v>11.262268835851279</v>
      </c>
      <c r="J397">
        <f t="shared" si="29"/>
        <v>0</v>
      </c>
      <c r="K397" s="163" t="str">
        <f t="shared" si="30"/>
        <v>2027AMP2022Capital ExpenditureAsset replacement and renewalMedium pressure - Stationnominal</v>
      </c>
    </row>
    <row r="398" spans="2:11" x14ac:dyDescent="0.45">
      <c r="B398" s="187">
        <v>2027</v>
      </c>
      <c r="C398" t="s">
        <v>37</v>
      </c>
      <c r="D398" t="s">
        <v>43</v>
      </c>
      <c r="E398">
        <f t="shared" ref="E398:I398" si="50">IF(E203="","",E203*INDEX($A$29:$I$40,MATCH($B398&amp;"modifier",$D$29:$D$40,0),MATCH(E$29,$A$29:$I$29,0)))</f>
        <v>147.70204178559604</v>
      </c>
      <c r="F398" t="str">
        <f t="shared" si="50"/>
        <v/>
      </c>
      <c r="G398" t="str">
        <f t="shared" si="50"/>
        <v/>
      </c>
      <c r="H398" t="str">
        <f t="shared" si="50"/>
        <v/>
      </c>
      <c r="I398">
        <f t="shared" si="50"/>
        <v>150.66470640708297</v>
      </c>
      <c r="J398">
        <f t="shared" si="29"/>
        <v>153.73271186719938</v>
      </c>
      <c r="K398" s="163" t="str">
        <f t="shared" si="30"/>
        <v>2027AMP2022Capital ExpenditureAsset replacement and renewalOther assets - Cathodic protection systemsnominal</v>
      </c>
    </row>
    <row r="399" spans="2:11" x14ac:dyDescent="0.45">
      <c r="B399" s="187">
        <v>2027</v>
      </c>
      <c r="C399" t="s">
        <v>37</v>
      </c>
      <c r="D399" t="s">
        <v>43</v>
      </c>
      <c r="E399">
        <f t="shared" ref="E399:I399" si="51">IF(E204="","",E204*INDEX($A$29:$I$40,MATCH($B399&amp;"modifier",$D$29:$D$40,0),MATCH(E$29,$A$29:$I$29,0)))</f>
        <v>147.70204178559604</v>
      </c>
      <c r="F399" t="str">
        <f t="shared" si="51"/>
        <v/>
      </c>
      <c r="G399" t="str">
        <f t="shared" si="51"/>
        <v/>
      </c>
      <c r="H399" t="str">
        <f t="shared" si="51"/>
        <v/>
      </c>
      <c r="I399">
        <f t="shared" si="51"/>
        <v>150.66470640708297</v>
      </c>
      <c r="J399">
        <f t="shared" si="29"/>
        <v>153.73271186719938</v>
      </c>
      <c r="K399" s="163" t="str">
        <f t="shared" si="30"/>
        <v>2027AMP2022Capital ExpenditureAsset replacement and renewalOther assets - Monitoring and control systemsnominal</v>
      </c>
    </row>
    <row r="400" spans="2:11" x14ac:dyDescent="0.45">
      <c r="B400" s="187">
        <v>2027</v>
      </c>
      <c r="C400" t="s">
        <v>37</v>
      </c>
      <c r="D400" t="s">
        <v>43</v>
      </c>
      <c r="E400">
        <f t="shared" ref="E400:I400" si="52">IF(E205="","",E205*INDEX($A$29:$I$40,MATCH($B400&amp;"modifier",$D$29:$D$40,0),MATCH(E$29,$A$29:$I$29,0)))</f>
        <v>147.70204178559604</v>
      </c>
      <c r="F400" t="str">
        <f t="shared" si="52"/>
        <v/>
      </c>
      <c r="G400" t="str">
        <f t="shared" si="52"/>
        <v/>
      </c>
      <c r="H400" t="str">
        <f t="shared" si="52"/>
        <v/>
      </c>
      <c r="I400">
        <f t="shared" si="52"/>
        <v>150.66470640708297</v>
      </c>
      <c r="J400">
        <f t="shared" si="29"/>
        <v>153.73271186719938</v>
      </c>
      <c r="K400" s="163" t="str">
        <f t="shared" si="30"/>
        <v>2027AMP2022Capital ExpenditureAsset replacement and renewalOther assets - Other assets (other than above)nominal</v>
      </c>
    </row>
    <row r="401" spans="2:11" x14ac:dyDescent="0.45">
      <c r="B401" s="187">
        <v>2027</v>
      </c>
      <c r="C401" t="s">
        <v>37</v>
      </c>
      <c r="D401" t="s">
        <v>43</v>
      </c>
      <c r="E401">
        <f t="shared" ref="E401:I401" si="53">IF(E206="","",E206*INDEX($A$29:$I$40,MATCH($B401&amp;"modifier",$D$29:$D$40,0),MATCH(E$29,$A$29:$I$29,0)))</f>
        <v>443.10612535678825</v>
      </c>
      <c r="F401" t="str">
        <f t="shared" si="53"/>
        <v/>
      </c>
      <c r="G401" t="str">
        <f t="shared" si="53"/>
        <v/>
      </c>
      <c r="H401" t="str">
        <f t="shared" si="53"/>
        <v/>
      </c>
      <c r="I401">
        <f t="shared" si="53"/>
        <v>451.99411922124892</v>
      </c>
      <c r="J401">
        <f t="shared" si="29"/>
        <v>461.19813560159815</v>
      </c>
      <c r="K401" s="163" t="str">
        <f t="shared" si="30"/>
        <v>2027AMP2022Capital ExpenditureAsset replacement and renewalOther assets - Other totalnominal</v>
      </c>
    </row>
    <row r="402" spans="2:11" x14ac:dyDescent="0.45">
      <c r="B402" s="187">
        <v>2027</v>
      </c>
      <c r="C402" t="s">
        <v>37</v>
      </c>
      <c r="D402" t="s">
        <v>43</v>
      </c>
      <c r="E402" t="str">
        <f t="shared" ref="E402:I402" si="54">IF(E207="","",E207*INDEX($A$29:$I$40,MATCH($B402&amp;"modifier",$D$29:$D$40,0),MATCH(E$29,$A$29:$I$29,0)))</f>
        <v/>
      </c>
      <c r="F402" t="str">
        <f t="shared" si="54"/>
        <v/>
      </c>
      <c r="G402">
        <f t="shared" si="54"/>
        <v>0</v>
      </c>
      <c r="H402">
        <f t="shared" si="54"/>
        <v>66.026208304969373</v>
      </c>
      <c r="I402">
        <f t="shared" si="54"/>
        <v>61.942478597182031</v>
      </c>
      <c r="J402">
        <f t="shared" si="29"/>
        <v>63.203821529320543</v>
      </c>
      <c r="K402" s="163" t="str">
        <f t="shared" si="30"/>
        <v>2027AMP2022Capital ExpenditureAsset replacement and renewalOther network assets - Cathodic protection systemsnominal</v>
      </c>
    </row>
    <row r="403" spans="2:11" x14ac:dyDescent="0.45">
      <c r="B403" s="187">
        <v>2027</v>
      </c>
      <c r="C403" t="s">
        <v>37</v>
      </c>
      <c r="D403" t="s">
        <v>43</v>
      </c>
      <c r="E403" t="str">
        <f t="shared" ref="E403:I403" si="55">IF(E208="","",E208*INDEX($A$29:$I$40,MATCH($B403&amp;"modifier",$D$29:$D$40,0),MATCH(E$29,$A$29:$I$29,0)))</f>
        <v/>
      </c>
      <c r="F403" t="str">
        <f t="shared" si="55"/>
        <v/>
      </c>
      <c r="G403">
        <f t="shared" si="55"/>
        <v>3.5125687753559944</v>
      </c>
      <c r="H403">
        <f t="shared" si="55"/>
        <v>266.50578624914908</v>
      </c>
      <c r="I403">
        <f t="shared" si="55"/>
        <v>253.58966981303547</v>
      </c>
      <c r="J403">
        <f t="shared" si="29"/>
        <v>255.11360690016656</v>
      </c>
      <c r="K403" s="163" t="str">
        <f t="shared" si="30"/>
        <v>2027AMP2022Capital ExpenditureAsset replacement and renewalOther network assets - Monitoring and control systemsnominal</v>
      </c>
    </row>
    <row r="404" spans="2:11" x14ac:dyDescent="0.45">
      <c r="B404" s="187">
        <v>2027</v>
      </c>
      <c r="C404" t="s">
        <v>37</v>
      </c>
      <c r="D404" t="s">
        <v>43</v>
      </c>
      <c r="E404" t="str">
        <f t="shared" ref="E404:I404" si="56">IF(E209="","",E209*INDEX($A$29:$I$40,MATCH($B404&amp;"modifier",$D$29:$D$40,0),MATCH(E$29,$A$29:$I$29,0)))</f>
        <v/>
      </c>
      <c r="F404" t="str">
        <f t="shared" si="56"/>
        <v/>
      </c>
      <c r="G404">
        <f t="shared" si="56"/>
        <v>0</v>
      </c>
      <c r="H404">
        <f t="shared" si="56"/>
        <v>0</v>
      </c>
      <c r="I404">
        <f t="shared" si="56"/>
        <v>0</v>
      </c>
      <c r="J404">
        <f t="shared" si="29"/>
        <v>0</v>
      </c>
      <c r="K404" s="163" t="str">
        <f t="shared" si="30"/>
        <v>2027AMP2022Capital ExpenditureAsset replacement and renewalOther network assets - Other assets (other than above)nominal</v>
      </c>
    </row>
    <row r="405" spans="2:11" x14ac:dyDescent="0.45">
      <c r="B405" s="187">
        <v>2027</v>
      </c>
      <c r="C405" t="s">
        <v>37</v>
      </c>
      <c r="D405" t="s">
        <v>43</v>
      </c>
      <c r="E405" t="str">
        <f t="shared" ref="E405:I405" si="57">IF(E210="","",E210*INDEX($A$29:$I$40,MATCH($B405&amp;"modifier",$D$29:$D$40,0),MATCH(E$29,$A$29:$I$29,0)))</f>
        <v/>
      </c>
      <c r="F405">
        <f t="shared" si="57"/>
        <v>0</v>
      </c>
      <c r="G405">
        <f t="shared" si="57"/>
        <v>3.5125687753559944</v>
      </c>
      <c r="H405">
        <f t="shared" si="57"/>
        <v>332.53199455411846</v>
      </c>
      <c r="I405">
        <f t="shared" si="57"/>
        <v>315.53214841021747</v>
      </c>
      <c r="J405">
        <f t="shared" si="29"/>
        <v>318.31742842948711</v>
      </c>
      <c r="K405" s="163" t="str">
        <f t="shared" si="30"/>
        <v>2027AMP2022Capital ExpenditureAsset replacement and renewalOther network assets - Other network assets totalnominal</v>
      </c>
    </row>
  </sheetData>
  <phoneticPr fontId="60"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sheetPr>
  <dimension ref="A1:P32"/>
  <sheetViews>
    <sheetView workbookViewId="0">
      <selection activeCell="F46" activeCellId="1" sqref="K91 F46"/>
    </sheetView>
  </sheetViews>
  <sheetFormatPr defaultRowHeight="14.25" x14ac:dyDescent="0.45"/>
  <cols>
    <col min="1" max="1" width="25.59765625" bestFit="1" customWidth="1"/>
    <col min="2" max="2" width="9.1328125"/>
    <col min="3" max="3" width="9" bestFit="1" customWidth="1"/>
    <col min="4" max="4" width="15.73046875" bestFit="1" customWidth="1"/>
    <col min="6" max="6" width="12.73046875" bestFit="1" customWidth="1"/>
    <col min="8" max="8" width="9" bestFit="1" customWidth="1"/>
    <col min="9" max="9" width="15.73046875" bestFit="1" customWidth="1"/>
    <col min="11" max="11" width="12.73046875" bestFit="1" customWidth="1"/>
    <col min="13" max="13" width="9.1328125"/>
    <col min="14" max="14" width="25.59765625" bestFit="1" customWidth="1"/>
    <col min="15" max="15" width="15.73046875" bestFit="1" customWidth="1"/>
  </cols>
  <sheetData>
    <row r="1" spans="1:16" ht="14.65" thickBot="1" x14ac:dyDescent="0.5"/>
    <row r="2" spans="1:16" ht="14.65" thickBot="1" x14ac:dyDescent="0.5">
      <c r="C2" s="176" t="s">
        <v>289</v>
      </c>
      <c r="H2" s="176" t="s">
        <v>283</v>
      </c>
      <c r="N2" s="176" t="s">
        <v>275</v>
      </c>
    </row>
    <row r="3" spans="1:16" ht="42.75" x14ac:dyDescent="0.45">
      <c r="A3" s="177">
        <v>2017</v>
      </c>
      <c r="C3" s="175" t="s">
        <v>282</v>
      </c>
      <c r="D3" s="175" t="s">
        <v>281</v>
      </c>
      <c r="E3" s="175" t="s">
        <v>280</v>
      </c>
      <c r="F3" s="175" t="s">
        <v>288</v>
      </c>
      <c r="H3" s="175" t="s">
        <v>282</v>
      </c>
      <c r="I3" s="175" t="s">
        <v>281</v>
      </c>
      <c r="J3" s="175" t="s">
        <v>280</v>
      </c>
      <c r="K3" s="175" t="s">
        <v>288</v>
      </c>
      <c r="M3" s="178"/>
      <c r="N3" s="178"/>
      <c r="O3" s="175" t="s">
        <v>281</v>
      </c>
      <c r="P3" s="175" t="s">
        <v>280</v>
      </c>
    </row>
    <row r="4" spans="1:16" x14ac:dyDescent="0.45">
      <c r="A4" t="s">
        <v>284</v>
      </c>
      <c r="C4">
        <v>365</v>
      </c>
      <c r="D4" s="172">
        <v>42551</v>
      </c>
      <c r="E4">
        <v>-351350</v>
      </c>
      <c r="F4">
        <f>E4/(1+E$11)^((365-C4)/365)</f>
        <v>-351350</v>
      </c>
      <c r="H4">
        <v>457</v>
      </c>
      <c r="I4" s="172">
        <v>42551</v>
      </c>
      <c r="J4">
        <v>-127405.79999999999</v>
      </c>
      <c r="K4">
        <f>J4/(1+J$11)^((365-H4)/365)</f>
        <v>-130677.55210513325</v>
      </c>
      <c r="M4" t="s">
        <v>289</v>
      </c>
      <c r="N4" t="s">
        <v>284</v>
      </c>
      <c r="O4" s="172">
        <f t="shared" ref="O4:P8" si="0">D4</f>
        <v>42551</v>
      </c>
      <c r="P4">
        <f t="shared" si="0"/>
        <v>-351350</v>
      </c>
    </row>
    <row r="5" spans="1:16" x14ac:dyDescent="0.45">
      <c r="A5" t="s">
        <v>285</v>
      </c>
      <c r="C5">
        <v>182</v>
      </c>
      <c r="D5" s="172">
        <v>42734</v>
      </c>
      <c r="E5">
        <v>-38455.837550620752</v>
      </c>
      <c r="F5">
        <f>E5/(1+E$11)^((365-C5)/365)</f>
        <v>-36984.099684921581</v>
      </c>
      <c r="H5">
        <v>228</v>
      </c>
      <c r="I5" s="172">
        <v>42780</v>
      </c>
      <c r="J5">
        <v>-33974.029308906393</v>
      </c>
      <c r="K5">
        <f>J5/(1+J$11)^((365-H5)/365)</f>
        <v>-32715.161118521566</v>
      </c>
      <c r="N5" t="s">
        <v>285</v>
      </c>
      <c r="O5" s="172">
        <f t="shared" si="0"/>
        <v>42734</v>
      </c>
      <c r="P5">
        <f t="shared" si="0"/>
        <v>-38455.837550620752</v>
      </c>
    </row>
    <row r="6" spans="1:16" x14ac:dyDescent="0.45">
      <c r="A6" t="s">
        <v>11</v>
      </c>
      <c r="C6">
        <v>148</v>
      </c>
      <c r="D6" s="172">
        <v>42768</v>
      </c>
      <c r="E6">
        <v>53888</v>
      </c>
      <c r="F6">
        <f>E6/(1+E$11)^((365-C6)/365)</f>
        <v>51451.279278461523</v>
      </c>
      <c r="H6">
        <v>185</v>
      </c>
      <c r="I6" s="172">
        <v>42823</v>
      </c>
      <c r="J6">
        <v>36688.088340000002</v>
      </c>
      <c r="K6">
        <f>J6/(1+J$11)^((365-H6)/365)</f>
        <v>34912.445758953705</v>
      </c>
      <c r="N6" t="s">
        <v>11</v>
      </c>
      <c r="O6" s="172">
        <f t="shared" si="0"/>
        <v>42768</v>
      </c>
      <c r="P6">
        <f t="shared" si="0"/>
        <v>53888</v>
      </c>
    </row>
    <row r="7" spans="1:16" x14ac:dyDescent="0.45">
      <c r="A7" t="s">
        <v>286</v>
      </c>
      <c r="C7">
        <v>0</v>
      </c>
      <c r="D7" s="172">
        <v>42916</v>
      </c>
      <c r="E7">
        <v>-103.20232497094948</v>
      </c>
      <c r="F7">
        <f>E7/(1+E$11)^((365-C7)/365)</f>
        <v>-95.474554824989198</v>
      </c>
      <c r="H7">
        <v>0</v>
      </c>
      <c r="I7" s="172">
        <v>43008</v>
      </c>
      <c r="J7">
        <v>0</v>
      </c>
      <c r="K7">
        <f>J7/(1+J$11)^((365-H7)/365)</f>
        <v>0</v>
      </c>
      <c r="N7" t="s">
        <v>286</v>
      </c>
      <c r="O7" s="172">
        <f t="shared" si="0"/>
        <v>42916</v>
      </c>
      <c r="P7">
        <f t="shared" si="0"/>
        <v>-103.20232497094948</v>
      </c>
    </row>
    <row r="8" spans="1:16" x14ac:dyDescent="0.45">
      <c r="A8" t="s">
        <v>287</v>
      </c>
      <c r="C8">
        <v>0</v>
      </c>
      <c r="D8" s="172">
        <v>42916</v>
      </c>
      <c r="E8">
        <v>364253.52837533265</v>
      </c>
      <c r="F8">
        <f>E8/(1+E$11)^((365-C8)/365)</f>
        <v>336978.29457675351</v>
      </c>
      <c r="H8">
        <v>0</v>
      </c>
      <c r="I8" s="172">
        <v>43008</v>
      </c>
      <c r="J8">
        <v>142077.24198786309</v>
      </c>
      <c r="K8">
        <f>J8/(1+J$11)^((365-H8)/365)</f>
        <v>128480.26768550262</v>
      </c>
      <c r="M8" s="178"/>
      <c r="N8" t="s">
        <v>287</v>
      </c>
      <c r="O8" s="172">
        <f t="shared" si="0"/>
        <v>42916</v>
      </c>
      <c r="P8">
        <f t="shared" si="0"/>
        <v>364253.52837533265</v>
      </c>
    </row>
    <row r="9" spans="1:16" x14ac:dyDescent="0.45">
      <c r="M9" t="s">
        <v>283</v>
      </c>
      <c r="N9" s="173" t="s">
        <v>284</v>
      </c>
      <c r="O9" s="174">
        <f t="shared" ref="O9:P13" si="1">I4</f>
        <v>42551</v>
      </c>
      <c r="P9" s="173">
        <f t="shared" si="1"/>
        <v>-127405.79999999999</v>
      </c>
    </row>
    <row r="10" spans="1:16" x14ac:dyDescent="0.45">
      <c r="D10" t="s">
        <v>276</v>
      </c>
      <c r="E10">
        <f>0.1*SIGN(SUM(E4:E8))</f>
        <v>0.1</v>
      </c>
      <c r="I10" t="s">
        <v>276</v>
      </c>
      <c r="J10">
        <f>0.1*SIGN(SUM(J4:J8))</f>
        <v>0.1</v>
      </c>
      <c r="N10" t="s">
        <v>285</v>
      </c>
      <c r="O10" s="172">
        <f t="shared" si="1"/>
        <v>42780</v>
      </c>
      <c r="P10">
        <f t="shared" si="1"/>
        <v>-33974.029308906393</v>
      </c>
    </row>
    <row r="11" spans="1:16" x14ac:dyDescent="0.45">
      <c r="D11" t="s">
        <v>277</v>
      </c>
      <c r="E11">
        <f>XIRR(E4:E8,D4:D8,E10)</f>
        <v>8.0940625071525565E-2</v>
      </c>
      <c r="I11" t="s">
        <v>277</v>
      </c>
      <c r="J11">
        <f>XIRR(J4:J8,I4:I8,J10)</f>
        <v>0.10582928061485292</v>
      </c>
      <c r="N11" t="s">
        <v>11</v>
      </c>
      <c r="O11" s="172">
        <f t="shared" si="1"/>
        <v>42823</v>
      </c>
      <c r="P11">
        <f t="shared" si="1"/>
        <v>36688.088340000002</v>
      </c>
    </row>
    <row r="12" spans="1:16" x14ac:dyDescent="0.45">
      <c r="D12" t="s">
        <v>278</v>
      </c>
      <c r="E12">
        <f>SUM(F4:F8)</f>
        <v>-3.845315077342093E-4</v>
      </c>
      <c r="I12" t="s">
        <v>278</v>
      </c>
      <c r="J12">
        <f>SUM(K4:K8)</f>
        <v>2.208015212090686E-4</v>
      </c>
      <c r="N12" t="s">
        <v>286</v>
      </c>
      <c r="O12" s="172">
        <f t="shared" si="1"/>
        <v>43008</v>
      </c>
      <c r="P12">
        <f t="shared" si="1"/>
        <v>0</v>
      </c>
    </row>
    <row r="13" spans="1:16" x14ac:dyDescent="0.45">
      <c r="D13" t="s">
        <v>279</v>
      </c>
      <c r="E13">
        <f>IF(ABS(E12)&lt;0.01,E11,"ERROR")</f>
        <v>8.0940625071525565E-2</v>
      </c>
      <c r="I13" t="s">
        <v>279</v>
      </c>
      <c r="J13">
        <f>IF(ABS(J12)&lt;0.01,J11,"ERROR")</f>
        <v>0.10582928061485292</v>
      </c>
      <c r="N13" t="s">
        <v>287</v>
      </c>
      <c r="O13" s="172">
        <f t="shared" si="1"/>
        <v>43008</v>
      </c>
      <c r="P13">
        <f t="shared" si="1"/>
        <v>142077.24198786309</v>
      </c>
    </row>
    <row r="15" spans="1:16" x14ac:dyDescent="0.45">
      <c r="O15" t="s">
        <v>276</v>
      </c>
      <c r="P15">
        <f>0.1*SIGN(SUM(P4:P13))</f>
        <v>0.1</v>
      </c>
    </row>
    <row r="16" spans="1:16" x14ac:dyDescent="0.45">
      <c r="O16" t="s">
        <v>277</v>
      </c>
      <c r="P16">
        <f>XIRR(P4:P13,O4:O13,P15)</f>
        <v>8.8848683238029497E-2</v>
      </c>
    </row>
    <row r="19" spans="1:16" ht="42.75" x14ac:dyDescent="0.45">
      <c r="A19" s="177">
        <v>2016</v>
      </c>
      <c r="C19" s="175" t="s">
        <v>282</v>
      </c>
      <c r="D19" s="175" t="s">
        <v>281</v>
      </c>
      <c r="E19" s="175" t="s">
        <v>280</v>
      </c>
      <c r="F19" s="175" t="s">
        <v>288</v>
      </c>
      <c r="H19" s="175" t="s">
        <v>282</v>
      </c>
      <c r="I19" s="175" t="s">
        <v>281</v>
      </c>
      <c r="J19" s="175" t="s">
        <v>280</v>
      </c>
      <c r="K19" s="175" t="s">
        <v>288</v>
      </c>
      <c r="M19" s="178"/>
      <c r="N19" s="178"/>
      <c r="O19" s="175" t="s">
        <v>281</v>
      </c>
      <c r="P19" s="175" t="s">
        <v>280</v>
      </c>
    </row>
    <row r="20" spans="1:16" x14ac:dyDescent="0.45">
      <c r="A20" t="s">
        <v>284</v>
      </c>
      <c r="C20">
        <v>365</v>
      </c>
      <c r="D20" s="172">
        <v>42186</v>
      </c>
      <c r="E20">
        <v>-342640</v>
      </c>
      <c r="F20">
        <f>E20/(1+E$27)^((365-C20)/365)</f>
        <v>-342640</v>
      </c>
      <c r="H20">
        <v>365</v>
      </c>
      <c r="I20" s="172">
        <v>42186</v>
      </c>
      <c r="J20">
        <v>-127474</v>
      </c>
      <c r="K20">
        <f>J20/(1+J$27)^((365-H20)/365)</f>
        <v>-127474</v>
      </c>
      <c r="M20" t="s">
        <v>289</v>
      </c>
      <c r="N20" t="s">
        <v>284</v>
      </c>
      <c r="O20" s="172">
        <f t="shared" ref="O20:P24" si="2">D20</f>
        <v>42186</v>
      </c>
      <c r="P20">
        <f t="shared" si="2"/>
        <v>-342640</v>
      </c>
    </row>
    <row r="21" spans="1:16" x14ac:dyDescent="0.45">
      <c r="A21" t="s">
        <v>285</v>
      </c>
      <c r="C21">
        <v>182</v>
      </c>
      <c r="D21" s="172">
        <v>42369</v>
      </c>
      <c r="E21">
        <v>-35892.460053708681</v>
      </c>
      <c r="F21">
        <f>E21/(1+E$27)^((365-C21)/365)</f>
        <v>-34673.393475185541</v>
      </c>
      <c r="H21">
        <v>182</v>
      </c>
      <c r="I21" s="172">
        <v>42369</v>
      </c>
      <c r="J21">
        <v>-15940.475351532768</v>
      </c>
      <c r="K21">
        <f>J21/(1+J$27)^((365-H21)/365)</f>
        <v>-15299.950469711215</v>
      </c>
      <c r="N21" t="s">
        <v>285</v>
      </c>
      <c r="O21" s="172">
        <f t="shared" si="2"/>
        <v>42369</v>
      </c>
      <c r="P21">
        <f t="shared" si="2"/>
        <v>-35892.460053708681</v>
      </c>
    </row>
    <row r="22" spans="1:16" x14ac:dyDescent="0.45">
      <c r="A22" t="s">
        <v>11</v>
      </c>
      <c r="C22">
        <v>148</v>
      </c>
      <c r="D22" s="172">
        <v>42403</v>
      </c>
      <c r="E22">
        <v>52159</v>
      </c>
      <c r="F22">
        <f>E22/(1+E$27)^((365-C22)/365)</f>
        <v>50064.999444396999</v>
      </c>
      <c r="H22">
        <v>148</v>
      </c>
      <c r="I22" s="172">
        <v>42403</v>
      </c>
      <c r="J22">
        <v>25879</v>
      </c>
      <c r="K22">
        <f>J22/(1+J$27)^((365-H22)/365)</f>
        <v>24650.575031527023</v>
      </c>
      <c r="N22" t="s">
        <v>11</v>
      </c>
      <c r="O22" s="172">
        <f t="shared" si="2"/>
        <v>42403</v>
      </c>
      <c r="P22">
        <f t="shared" si="2"/>
        <v>52159</v>
      </c>
    </row>
    <row r="23" spans="1:16" x14ac:dyDescent="0.45">
      <c r="A23" t="s">
        <v>286</v>
      </c>
      <c r="C23">
        <v>0</v>
      </c>
      <c r="D23" s="172">
        <v>42551</v>
      </c>
      <c r="E23">
        <v>-83.866079748653831</v>
      </c>
      <c r="F23">
        <f>E23/(1+E$27)^((365-C23)/365)</f>
        <v>-78.28068046377058</v>
      </c>
      <c r="H23">
        <v>0</v>
      </c>
      <c r="I23" s="172">
        <v>42551</v>
      </c>
      <c r="J23">
        <v>0</v>
      </c>
      <c r="K23">
        <f>J23/(1+J$27)^((365-H23)/365)</f>
        <v>0</v>
      </c>
      <c r="N23" t="s">
        <v>286</v>
      </c>
      <c r="O23" s="172">
        <f t="shared" si="2"/>
        <v>42551</v>
      </c>
      <c r="P23">
        <f t="shared" si="2"/>
        <v>-83.866079748653831</v>
      </c>
    </row>
    <row r="24" spans="1:16" x14ac:dyDescent="0.45">
      <c r="A24" t="s">
        <v>287</v>
      </c>
      <c r="C24">
        <v>0</v>
      </c>
      <c r="D24" s="172">
        <v>42551</v>
      </c>
      <c r="E24">
        <v>350681.73641907022</v>
      </c>
      <c r="F24">
        <f>E24/(1+E$27)^((365-C24)/365)</f>
        <v>327326.67409009411</v>
      </c>
      <c r="H24">
        <v>0</v>
      </c>
      <c r="I24" s="172">
        <v>42551</v>
      </c>
      <c r="J24">
        <v>128192.0245045045</v>
      </c>
      <c r="K24">
        <f>J24/(1+J$27)^((365-H24)/365)</f>
        <v>118123.37554988425</v>
      </c>
      <c r="M24" s="178"/>
      <c r="N24" t="s">
        <v>287</v>
      </c>
      <c r="O24" s="172">
        <f t="shared" si="2"/>
        <v>42551</v>
      </c>
      <c r="P24">
        <f t="shared" si="2"/>
        <v>350681.73641907022</v>
      </c>
    </row>
    <row r="25" spans="1:16" x14ac:dyDescent="0.45">
      <c r="M25" t="s">
        <v>283</v>
      </c>
      <c r="N25" s="173" t="s">
        <v>284</v>
      </c>
      <c r="O25" s="174">
        <f t="shared" ref="O25:P29" si="3">I20</f>
        <v>42186</v>
      </c>
      <c r="P25" s="173">
        <f t="shared" si="3"/>
        <v>-127474</v>
      </c>
    </row>
    <row r="26" spans="1:16" x14ac:dyDescent="0.45">
      <c r="D26" t="s">
        <v>276</v>
      </c>
      <c r="E26">
        <f>0.1*SIGN(SUM(E20:E24))</f>
        <v>0.1</v>
      </c>
      <c r="I26" t="s">
        <v>276</v>
      </c>
      <c r="J26">
        <f>0.1*SIGN(SUM(J20:J24))</f>
        <v>0.1</v>
      </c>
      <c r="N26" t="s">
        <v>285</v>
      </c>
      <c r="O26" s="172">
        <f t="shared" si="3"/>
        <v>42369</v>
      </c>
      <c r="P26">
        <f t="shared" si="3"/>
        <v>-15940.475351532768</v>
      </c>
    </row>
    <row r="27" spans="1:16" x14ac:dyDescent="0.45">
      <c r="D27" t="s">
        <v>277</v>
      </c>
      <c r="E27">
        <f>XIRR(E20:E24,D20:D24,E26)</f>
        <v>7.1350929141044642E-2</v>
      </c>
      <c r="I27" t="s">
        <v>277</v>
      </c>
      <c r="J27">
        <f>XIRR(J20:J24,I20:I24,J26)</f>
        <v>8.5238412022590651E-2</v>
      </c>
      <c r="N27" t="s">
        <v>11</v>
      </c>
      <c r="O27" s="172">
        <f t="shared" si="3"/>
        <v>42403</v>
      </c>
      <c r="P27">
        <f t="shared" si="3"/>
        <v>25879</v>
      </c>
    </row>
    <row r="28" spans="1:16" x14ac:dyDescent="0.45">
      <c r="D28" t="s">
        <v>278</v>
      </c>
      <c r="E28">
        <f>SUM(F20:F24)</f>
        <v>-6.2115822220221162E-4</v>
      </c>
      <c r="I28" t="s">
        <v>278</v>
      </c>
      <c r="J28">
        <f>SUM(K20:K24)</f>
        <v>1.117000647354871E-4</v>
      </c>
      <c r="N28" t="s">
        <v>286</v>
      </c>
      <c r="O28" s="172">
        <f t="shared" si="3"/>
        <v>42551</v>
      </c>
      <c r="P28">
        <f t="shared" si="3"/>
        <v>0</v>
      </c>
    </row>
    <row r="29" spans="1:16" x14ac:dyDescent="0.45">
      <c r="D29" t="s">
        <v>279</v>
      </c>
      <c r="E29">
        <f>IF(ABS(E28)&lt;0.01,E27,"ERROR")</f>
        <v>7.1350929141044642E-2</v>
      </c>
      <c r="I29" t="s">
        <v>279</v>
      </c>
      <c r="J29">
        <f>IF(ABS(J28)&lt;0.01,J27,"ERROR")</f>
        <v>8.5238412022590651E-2</v>
      </c>
      <c r="N29" t="s">
        <v>287</v>
      </c>
      <c r="O29" s="172">
        <f t="shared" si="3"/>
        <v>42551</v>
      </c>
      <c r="P29">
        <f t="shared" si="3"/>
        <v>128192.0245045045</v>
      </c>
    </row>
    <row r="31" spans="1:16" x14ac:dyDescent="0.45">
      <c r="O31" t="s">
        <v>276</v>
      </c>
      <c r="P31">
        <f>0.1*SIGN(SUM(P20:P29))</f>
        <v>0.1</v>
      </c>
    </row>
    <row r="32" spans="1:16" x14ac:dyDescent="0.45">
      <c r="O32" t="s">
        <v>277</v>
      </c>
      <c r="P32">
        <f>XIRR(P20:P29,O20:O29,P31)</f>
        <v>7.5089189410209659E-2</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sheetPr>
  <dimension ref="A1:F13"/>
  <sheetViews>
    <sheetView workbookViewId="0">
      <selection activeCell="F46" activeCellId="1" sqref="K91 F46"/>
    </sheetView>
  </sheetViews>
  <sheetFormatPr defaultColWidth="9.1328125" defaultRowHeight="14.25" x14ac:dyDescent="0.45"/>
  <cols>
    <col min="1" max="1" width="15.265625" customWidth="1"/>
    <col min="2" max="2" width="37" customWidth="1"/>
    <col min="3" max="3" width="32.1328125" customWidth="1"/>
    <col min="4" max="4" width="23.86328125" customWidth="1"/>
    <col min="5" max="5" width="30.265625" bestFit="1" customWidth="1"/>
    <col min="6" max="6" width="11.59765625" bestFit="1" customWidth="1"/>
  </cols>
  <sheetData>
    <row r="1" spans="1:6" x14ac:dyDescent="0.45">
      <c r="B1" t="s">
        <v>266</v>
      </c>
      <c r="C1" t="s">
        <v>156</v>
      </c>
      <c r="D1" t="s">
        <v>32</v>
      </c>
      <c r="E1" t="s">
        <v>299</v>
      </c>
      <c r="F1" t="s">
        <v>298</v>
      </c>
    </row>
    <row r="2" spans="1:6" x14ac:dyDescent="0.45">
      <c r="A2" t="s">
        <v>67</v>
      </c>
      <c r="B2" t="s">
        <v>198</v>
      </c>
      <c r="C2" t="s">
        <v>198</v>
      </c>
      <c r="D2" t="s">
        <v>198</v>
      </c>
      <c r="E2" t="s">
        <v>198</v>
      </c>
      <c r="F2" s="65" t="s">
        <v>121</v>
      </c>
    </row>
    <row r="3" spans="1:6" x14ac:dyDescent="0.45">
      <c r="A3" t="s">
        <v>78</v>
      </c>
      <c r="B3" t="s">
        <v>211</v>
      </c>
      <c r="C3" t="s">
        <v>211</v>
      </c>
      <c r="D3" t="s">
        <v>211</v>
      </c>
      <c r="E3" t="s">
        <v>211</v>
      </c>
      <c r="F3" s="65">
        <f>COUNTIF(A3:E3,"*" &amp;latest_year&amp;"*")</f>
        <v>0</v>
      </c>
    </row>
    <row r="4" spans="1:6" x14ac:dyDescent="0.45">
      <c r="A4" t="s">
        <v>79</v>
      </c>
      <c r="B4" t="s">
        <v>211</v>
      </c>
      <c r="C4" t="s">
        <v>211</v>
      </c>
      <c r="D4" t="s">
        <v>211</v>
      </c>
      <c r="E4" t="s">
        <v>211</v>
      </c>
      <c r="F4" s="65">
        <f>COUNTIF(A4:E4,"*" &amp;latest_year&amp;"*")</f>
        <v>0</v>
      </c>
    </row>
    <row r="5" spans="1:6" x14ac:dyDescent="0.45">
      <c r="A5" t="s">
        <v>147</v>
      </c>
      <c r="B5" t="s">
        <v>148</v>
      </c>
      <c r="C5" t="s">
        <v>149</v>
      </c>
      <c r="D5" t="s">
        <v>148</v>
      </c>
      <c r="E5" t="s">
        <v>305</v>
      </c>
      <c r="F5" s="65"/>
    </row>
    <row r="6" spans="1:6" x14ac:dyDescent="0.45">
      <c r="A6" t="s">
        <v>146</v>
      </c>
      <c r="B6" t="s">
        <v>163</v>
      </c>
      <c r="C6" t="s">
        <v>9529</v>
      </c>
      <c r="D6" t="s">
        <v>304</v>
      </c>
      <c r="E6" t="s">
        <v>95</v>
      </c>
      <c r="F6" s="21" t="s">
        <v>121</v>
      </c>
    </row>
    <row r="7" spans="1:6" x14ac:dyDescent="0.45">
      <c r="A7" t="s">
        <v>80</v>
      </c>
      <c r="B7" t="s">
        <v>8569</v>
      </c>
      <c r="C7" t="s">
        <v>272</v>
      </c>
      <c r="D7" t="s">
        <v>167</v>
      </c>
      <c r="E7" t="s">
        <v>260</v>
      </c>
      <c r="F7" s="21" t="s">
        <v>121</v>
      </c>
    </row>
    <row r="8" spans="1:6" x14ac:dyDescent="0.45">
      <c r="A8" t="s">
        <v>81</v>
      </c>
      <c r="B8" s="103" t="s">
        <v>197</v>
      </c>
      <c r="C8" s="103" t="s">
        <v>197</v>
      </c>
      <c r="D8" t="s">
        <v>168</v>
      </c>
      <c r="E8" t="s">
        <v>261</v>
      </c>
      <c r="F8" t="s">
        <v>93</v>
      </c>
    </row>
    <row r="9" spans="1:6" x14ac:dyDescent="0.45">
      <c r="A9" t="s">
        <v>2</v>
      </c>
      <c r="B9" t="s">
        <v>161</v>
      </c>
      <c r="C9" t="s">
        <v>8563</v>
      </c>
      <c r="D9" t="s">
        <v>9526</v>
      </c>
      <c r="E9" t="s">
        <v>9528</v>
      </c>
      <c r="F9" s="21" t="s">
        <v>122</v>
      </c>
    </row>
    <row r="10" spans="1:6" x14ac:dyDescent="0.45">
      <c r="A10" t="s">
        <v>3</v>
      </c>
      <c r="B10" t="s">
        <v>8555</v>
      </c>
      <c r="C10" t="s">
        <v>164</v>
      </c>
      <c r="D10" t="s">
        <v>166</v>
      </c>
      <c r="E10" t="s">
        <v>9527</v>
      </c>
      <c r="F10" s="21" t="s">
        <v>121</v>
      </c>
    </row>
    <row r="11" spans="1:6" x14ac:dyDescent="0.45">
      <c r="A11" t="s">
        <v>5</v>
      </c>
      <c r="B11" s="22" t="s">
        <v>162</v>
      </c>
      <c r="C11" s="22" t="s">
        <v>165</v>
      </c>
      <c r="D11" s="22" t="s">
        <v>97</v>
      </c>
      <c r="E11" s="22" t="s">
        <v>94</v>
      </c>
      <c r="F11" s="21"/>
    </row>
    <row r="12" spans="1:6" x14ac:dyDescent="0.45">
      <c r="A12" t="s">
        <v>217</v>
      </c>
      <c r="B12" s="157">
        <v>43373</v>
      </c>
      <c r="C12" s="157">
        <v>43281</v>
      </c>
      <c r="D12" s="157">
        <v>43373</v>
      </c>
      <c r="E12" s="157">
        <v>43281</v>
      </c>
      <c r="F12" s="21" t="s">
        <v>121</v>
      </c>
    </row>
    <row r="13" spans="1:6" x14ac:dyDescent="0.45">
      <c r="A13" t="s">
        <v>96</v>
      </c>
      <c r="B13" s="23">
        <v>44756</v>
      </c>
      <c r="C13" s="23">
        <v>44756</v>
      </c>
      <c r="D13" s="23">
        <v>45189</v>
      </c>
      <c r="E13" s="23">
        <v>44756</v>
      </c>
      <c r="F13" s="23">
        <v>44756</v>
      </c>
    </row>
  </sheetData>
  <hyperlinks>
    <hyperlink ref="B11" r:id="rId1" xr:uid="{00000000-0004-0000-0C00-000000000000}"/>
    <hyperlink ref="E11" r:id="rId2" xr:uid="{00000000-0004-0000-0C00-000001000000}"/>
    <hyperlink ref="C11" r:id="rId3" xr:uid="{00000000-0004-0000-0C00-000002000000}"/>
    <hyperlink ref="D11" r:id="rId4" xr:uid="{00000000-0004-0000-0C00-000003000000}"/>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C14"/>
  <sheetViews>
    <sheetView showGridLines="0" view="pageBreakPreview" zoomScaleNormal="100" zoomScaleSheetLayoutView="100" workbookViewId="0">
      <selection activeCell="B5" sqref="B5"/>
    </sheetView>
  </sheetViews>
  <sheetFormatPr defaultRowHeight="14.25" x14ac:dyDescent="0.45"/>
  <cols>
    <col min="1" max="1" width="2.73046875" customWidth="1"/>
    <col min="2" max="2" width="140.73046875" customWidth="1"/>
  </cols>
  <sheetData>
    <row r="1" spans="1:3" ht="25.5" x14ac:dyDescent="0.75">
      <c r="A1" s="180" t="s">
        <v>291</v>
      </c>
      <c r="B1" s="181"/>
      <c r="C1" s="181"/>
    </row>
    <row r="2" spans="1:3" x14ac:dyDescent="0.45">
      <c r="A2" s="181"/>
      <c r="B2" s="181"/>
      <c r="C2" s="181"/>
    </row>
    <row r="3" spans="1:3" ht="23.25" x14ac:dyDescent="0.7">
      <c r="A3" s="162" t="s">
        <v>292</v>
      </c>
      <c r="B3" s="181"/>
      <c r="C3" s="181"/>
    </row>
    <row r="4" spans="1:3" ht="228" x14ac:dyDescent="0.45">
      <c r="A4" s="181"/>
      <c r="B4" s="183" t="s">
        <v>9530</v>
      </c>
      <c r="C4" s="181"/>
    </row>
    <row r="5" spans="1:3" x14ac:dyDescent="0.45">
      <c r="A5" s="181"/>
      <c r="B5" s="182"/>
      <c r="C5" s="181"/>
    </row>
    <row r="6" spans="1:3" ht="23.25" x14ac:dyDescent="0.7">
      <c r="A6" s="162" t="s">
        <v>293</v>
      </c>
      <c r="B6" s="181"/>
      <c r="C6" s="181"/>
    </row>
    <row r="7" spans="1:3" ht="30.4" x14ac:dyDescent="0.7">
      <c r="A7" s="162"/>
      <c r="B7" s="183" t="s">
        <v>297</v>
      </c>
      <c r="C7" s="181"/>
    </row>
    <row r="8" spans="1:3" x14ac:dyDescent="0.45">
      <c r="A8" s="181"/>
      <c r="B8" s="181"/>
      <c r="C8" s="181"/>
    </row>
    <row r="9" spans="1:3" ht="23.25" x14ac:dyDescent="0.7">
      <c r="A9" s="162" t="s">
        <v>294</v>
      </c>
      <c r="B9" s="181"/>
      <c r="C9" s="181"/>
    </row>
    <row r="10" spans="1:3" ht="28.5" x14ac:dyDescent="0.45">
      <c r="A10" s="181"/>
      <c r="B10" s="184" t="s">
        <v>306</v>
      </c>
      <c r="C10" s="181"/>
    </row>
    <row r="11" spans="1:3" x14ac:dyDescent="0.45">
      <c r="A11" s="181"/>
      <c r="B11" s="181"/>
      <c r="C11" s="181"/>
    </row>
    <row r="12" spans="1:3" x14ac:dyDescent="0.45">
      <c r="A12" s="181"/>
      <c r="B12" s="181"/>
      <c r="C12" s="181"/>
    </row>
    <row r="13" spans="1:3" x14ac:dyDescent="0.45">
      <c r="A13" s="181"/>
      <c r="B13" s="181"/>
      <c r="C13" s="181"/>
    </row>
    <row r="14" spans="1:3" x14ac:dyDescent="0.45">
      <c r="A14" s="181"/>
      <c r="B14" s="181"/>
      <c r="C14" s="181"/>
    </row>
  </sheetData>
  <pageMargins left="0.7" right="0.7" top="0.75" bottom="0.75" header="0.3" footer="0.3"/>
  <pageSetup paperSize="9" scale="57"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CC99"/>
  </sheetPr>
  <dimension ref="B1:BL72"/>
  <sheetViews>
    <sheetView showGridLines="0" view="pageBreakPreview" topLeftCell="A18" zoomScale="115" zoomScaleNormal="100" zoomScaleSheetLayoutView="115" workbookViewId="0">
      <selection activeCell="B2" sqref="B2:N2"/>
    </sheetView>
  </sheetViews>
  <sheetFormatPr defaultColWidth="9.1328125" defaultRowHeight="14.25" x14ac:dyDescent="0.45"/>
  <cols>
    <col min="1" max="1" width="1.73046875" customWidth="1"/>
    <col min="2" max="10" width="3.3984375" customWidth="1"/>
    <col min="11" max="11" width="4.53125" customWidth="1"/>
    <col min="12" max="21" width="3.3984375" customWidth="1"/>
    <col min="22" max="22" width="7" customWidth="1"/>
    <col min="23" max="41" width="3.3984375" customWidth="1"/>
    <col min="42" max="42" width="6.86328125" customWidth="1"/>
    <col min="43" max="45" width="3.3984375" customWidth="1"/>
    <col min="46" max="46" width="6.3984375" customWidth="1"/>
    <col min="47" max="54" width="3.3984375" customWidth="1"/>
    <col min="55" max="55" width="1.73046875" customWidth="1"/>
    <col min="56" max="68" width="3.3984375" customWidth="1"/>
  </cols>
  <sheetData>
    <row r="1" spans="2:64" ht="3" customHeight="1" x14ac:dyDescent="0.45"/>
    <row r="2" spans="2:64" ht="30" customHeight="1" x14ac:dyDescent="0.9">
      <c r="B2" s="241" t="s">
        <v>298</v>
      </c>
      <c r="C2" s="241"/>
      <c r="D2" s="241"/>
      <c r="E2" s="241"/>
      <c r="F2" s="241"/>
      <c r="G2" s="241"/>
      <c r="H2" s="241"/>
      <c r="I2" s="241"/>
      <c r="J2" s="241"/>
      <c r="K2" s="241"/>
      <c r="L2" s="241"/>
      <c r="M2" s="241"/>
      <c r="N2" s="241"/>
      <c r="O2" s="2"/>
      <c r="P2" s="2"/>
      <c r="Q2" s="2"/>
      <c r="R2" s="2"/>
      <c r="V2" s="2"/>
      <c r="W2" s="2"/>
      <c r="X2" s="2"/>
      <c r="Z2" s="55"/>
      <c r="AC2" s="55" t="s">
        <v>126</v>
      </c>
      <c r="AD2" s="188" t="s">
        <v>131</v>
      </c>
      <c r="AE2" s="179"/>
      <c r="AF2" s="179"/>
      <c r="AG2" s="73"/>
      <c r="AL2" s="73"/>
      <c r="AM2" s="55" t="s">
        <v>127</v>
      </c>
      <c r="AN2" s="188" t="s">
        <v>131</v>
      </c>
      <c r="AP2" s="227" t="s">
        <v>9525</v>
      </c>
      <c r="AQ2" s="227"/>
      <c r="AR2" s="227"/>
      <c r="AS2" s="227"/>
      <c r="AT2" s="1"/>
      <c r="AU2" s="1"/>
      <c r="AV2" s="1"/>
      <c r="BK2" s="74"/>
      <c r="BL2" s="74"/>
    </row>
    <row r="3" spans="2:64" ht="3.75" customHeight="1" x14ac:dyDescent="0.9">
      <c r="B3" s="72"/>
      <c r="C3" s="72"/>
      <c r="D3" s="72"/>
      <c r="E3" s="72"/>
      <c r="F3" s="72"/>
      <c r="G3" s="72"/>
      <c r="H3" s="72"/>
      <c r="I3" s="72"/>
      <c r="J3" s="72"/>
      <c r="K3" s="72"/>
      <c r="L3" s="72"/>
      <c r="M3" s="72"/>
      <c r="N3" s="72"/>
      <c r="O3" s="72"/>
      <c r="P3" s="72"/>
      <c r="Q3" s="72"/>
      <c r="R3" s="2"/>
      <c r="S3" s="2"/>
      <c r="T3" s="2"/>
      <c r="U3" s="2"/>
      <c r="V3" s="2"/>
      <c r="W3" s="2"/>
      <c r="X3" s="2"/>
      <c r="Y3" s="2"/>
      <c r="Z3" s="2"/>
      <c r="AA3" s="2"/>
      <c r="AB3" s="2"/>
      <c r="AC3" s="55"/>
      <c r="AD3" s="73"/>
      <c r="AE3" s="73"/>
      <c r="AF3" s="73"/>
      <c r="AG3" s="73"/>
      <c r="AH3" s="73"/>
      <c r="AI3" s="1"/>
      <c r="AJ3" s="1"/>
      <c r="AK3" s="1"/>
      <c r="AL3" s="1"/>
      <c r="AM3" s="1"/>
      <c r="AN3" s="1"/>
      <c r="AO3" s="1"/>
      <c r="AP3" s="1"/>
      <c r="AQ3" s="1"/>
      <c r="AR3" s="1"/>
      <c r="AS3" s="1"/>
      <c r="AT3" s="1"/>
      <c r="AU3" s="1"/>
      <c r="AV3" s="1"/>
      <c r="AW3" s="74"/>
      <c r="AX3" s="74"/>
      <c r="AY3" s="74"/>
      <c r="AZ3" s="74"/>
      <c r="BA3" s="74"/>
      <c r="BB3" s="74"/>
    </row>
    <row r="4" spans="2:64" ht="15" customHeight="1" x14ac:dyDescent="0.55000000000000004">
      <c r="B4" s="45" t="s">
        <v>8</v>
      </c>
      <c r="C4" s="38"/>
      <c r="D4" s="38"/>
      <c r="E4" s="38"/>
      <c r="F4" s="38"/>
      <c r="H4" s="38"/>
      <c r="I4" s="197"/>
      <c r="J4" s="234"/>
      <c r="K4" s="235"/>
      <c r="L4" s="234" t="s">
        <v>133</v>
      </c>
      <c r="M4" s="235"/>
      <c r="N4" s="235"/>
      <c r="O4" s="236" t="s">
        <v>132</v>
      </c>
      <c r="P4" s="235"/>
      <c r="R4" s="45" t="s">
        <v>14</v>
      </c>
      <c r="S4" s="36"/>
      <c r="T4" s="36"/>
      <c r="U4" s="36"/>
      <c r="V4" s="36"/>
      <c r="W4" s="36"/>
      <c r="X4" s="36"/>
      <c r="Y4" s="36"/>
      <c r="Z4" s="36"/>
      <c r="AA4" s="36"/>
      <c r="AB4" s="196"/>
      <c r="AC4" s="36"/>
      <c r="AD4" s="196"/>
      <c r="AE4" s="36"/>
      <c r="AF4" s="36"/>
      <c r="AG4" s="36"/>
      <c r="AH4" s="36"/>
      <c r="AI4" s="45" t="s">
        <v>4</v>
      </c>
      <c r="AK4" s="36"/>
      <c r="AL4" s="36"/>
      <c r="AM4" s="36"/>
      <c r="AN4" s="36"/>
      <c r="AO4" s="36"/>
      <c r="AP4" s="36"/>
      <c r="AQ4" s="36"/>
      <c r="AR4" s="39"/>
      <c r="AW4" s="40"/>
      <c r="AX4" s="40"/>
      <c r="AY4" s="41"/>
      <c r="AZ4" s="114"/>
      <c r="BA4" s="114"/>
      <c r="BB4" s="114"/>
    </row>
    <row r="5" spans="2:64" ht="15" customHeight="1" x14ac:dyDescent="0.45">
      <c r="B5" s="120"/>
      <c r="C5" s="121"/>
      <c r="D5" s="121"/>
      <c r="E5" s="121"/>
      <c r="F5" s="121"/>
      <c r="H5" s="121"/>
      <c r="I5" s="122"/>
      <c r="J5" s="235"/>
      <c r="K5" s="235"/>
      <c r="L5" s="235"/>
      <c r="M5" s="235"/>
      <c r="N5" s="235"/>
      <c r="O5" s="235"/>
      <c r="P5" s="235"/>
      <c r="R5" s="30"/>
      <c r="S5" s="30"/>
      <c r="T5" s="30"/>
      <c r="U5" s="30"/>
      <c r="V5" s="30"/>
      <c r="W5" s="30"/>
      <c r="X5" s="30"/>
      <c r="Y5" s="30"/>
      <c r="Z5" s="30"/>
      <c r="AA5" s="30"/>
      <c r="AB5" s="30"/>
      <c r="AC5" s="30"/>
      <c r="AD5" s="30"/>
      <c r="AE5" s="30"/>
      <c r="AF5" s="30"/>
      <c r="AG5" s="30"/>
      <c r="AI5" s="28" t="s">
        <v>67</v>
      </c>
      <c r="AJ5" s="30"/>
      <c r="AK5" s="30"/>
      <c r="AL5" s="30"/>
      <c r="AM5" s="115"/>
      <c r="AN5" s="115" t="str">
        <f>INDEX('company details'!$A$1:$F$13,2,MATCH(gdb_name,'company details'!$A$1:$F$1,0))</f>
        <v>-</v>
      </c>
      <c r="AO5" s="30"/>
      <c r="AP5" s="29"/>
      <c r="AQ5" s="115"/>
      <c r="AS5" s="28"/>
      <c r="AU5" s="29" t="str">
        <f>IF($AN$5="Yes","Known price breach:","")</f>
        <v/>
      </c>
      <c r="AV5" s="115" t="str">
        <f>IF($AN$5="Yes",INDEX('company details'!$A$1:$F$13,3,MATCH(gdb_name,'company details'!$A$1:$F$1,0)),"")</f>
        <v/>
      </c>
      <c r="AX5" s="115"/>
      <c r="AY5" s="115"/>
      <c r="AZ5" s="115"/>
      <c r="BA5" s="115"/>
      <c r="BB5" s="115"/>
    </row>
    <row r="6" spans="2:64" ht="15" customHeight="1" x14ac:dyDescent="0.45">
      <c r="B6" s="123" t="s">
        <v>47</v>
      </c>
      <c r="C6" s="124"/>
      <c r="D6" s="124"/>
      <c r="E6" s="124"/>
      <c r="F6" s="124"/>
      <c r="G6" s="112"/>
      <c r="H6" s="124"/>
      <c r="I6" s="223" t="str">
        <f>"$"&amp;TEXT(Calculations!G7,"#,##0")&amp;"m"</f>
        <v>$1,159m</v>
      </c>
      <c r="J6" s="224"/>
      <c r="K6" s="224"/>
      <c r="L6" s="123"/>
      <c r="M6" s="123"/>
      <c r="N6" s="123"/>
      <c r="O6" s="242" t="str">
        <f>IFERROR(TEXT(Calculations!I7,"+0.0%;-0.0%"),"")</f>
        <v>+5.2%</v>
      </c>
      <c r="P6" s="243"/>
      <c r="R6" s="30"/>
      <c r="S6" s="30"/>
      <c r="T6" s="30"/>
      <c r="U6" s="30"/>
      <c r="V6" s="30"/>
      <c r="W6" s="30"/>
      <c r="X6" s="30"/>
      <c r="Y6" s="30"/>
      <c r="Z6" s="30"/>
      <c r="AA6" s="30"/>
      <c r="AB6" s="30"/>
      <c r="AC6" s="30"/>
      <c r="AD6" s="30"/>
      <c r="AE6" s="30"/>
      <c r="AF6" s="30"/>
      <c r="AG6" s="30"/>
      <c r="AI6" s="28" t="s">
        <v>217</v>
      </c>
      <c r="AJ6" s="30"/>
      <c r="AK6" s="30"/>
      <c r="AL6" s="30"/>
      <c r="AM6" s="30"/>
      <c r="AN6" s="115" t="str">
        <f>TEXT(INDEX('company details'!$A$1:$F$13,12,MATCH(gdb_name,'company details'!$A$1:$F$1,0)),"dd mmmm")</f>
        <v>-</v>
      </c>
      <c r="AO6" s="30"/>
      <c r="AP6" s="29"/>
      <c r="AQ6" s="115"/>
      <c r="AU6" s="29" t="str">
        <f>IF($AN$5="Yes","Known quality breach:","")</f>
        <v/>
      </c>
      <c r="AV6" s="115" t="str">
        <f>IF($AN$5="Yes",INDEX('company details'!$A$1:$F$13,4,MATCH(gdb_name,'company details'!$A$1:$F$1,0)),"")</f>
        <v/>
      </c>
      <c r="AX6" s="115"/>
      <c r="AY6" s="115"/>
      <c r="AZ6" s="115"/>
      <c r="BA6" s="115"/>
      <c r="BB6" s="115"/>
    </row>
    <row r="7" spans="2:64" ht="15" customHeight="1" x14ac:dyDescent="0.45">
      <c r="B7" s="7" t="s">
        <v>9</v>
      </c>
      <c r="C7" s="27"/>
      <c r="D7" s="27"/>
      <c r="E7" s="27"/>
      <c r="F7" s="27"/>
      <c r="H7" s="27"/>
      <c r="I7" s="225" t="str">
        <f>"$"&amp;TEXT(Calculations!G8,"#,##0.0")&amp;"m"</f>
        <v>$110.5m</v>
      </c>
      <c r="J7" s="226"/>
      <c r="K7" s="226"/>
      <c r="L7" s="7"/>
      <c r="M7" s="7"/>
      <c r="N7" s="7"/>
      <c r="O7" s="215" t="str">
        <f>IFERROR(TEXT(Calculations!I8,"+0.0%;-0.0%"),"")</f>
        <v>+27.0%</v>
      </c>
      <c r="P7" s="216"/>
      <c r="R7" s="30"/>
      <c r="S7" s="30"/>
      <c r="T7" s="30"/>
      <c r="U7" s="30"/>
      <c r="V7" s="30"/>
      <c r="W7" s="30"/>
      <c r="X7" s="30"/>
      <c r="Y7" s="30"/>
      <c r="Z7" s="30"/>
      <c r="AA7" s="30"/>
      <c r="AB7" s="30"/>
      <c r="AC7" s="30"/>
      <c r="AD7" s="30"/>
      <c r="AE7" s="30"/>
      <c r="AF7" s="30"/>
      <c r="AG7" s="30"/>
      <c r="AI7" s="28" t="str">
        <f>INDEX('company details'!$A$1:$F$13,5,MATCH(gdb_name,'company details'!$A$1:$F$1,0))&amp;":"</f>
        <v>:</v>
      </c>
      <c r="AJ7" s="30"/>
      <c r="AK7" s="30"/>
      <c r="AL7" s="30"/>
      <c r="AM7" s="115"/>
      <c r="AN7" s="115" t="str">
        <f>INDEX('company details'!$A$1:$F$13,6,MATCH(gdb_name,'company details'!$A$1:$F$1,0))</f>
        <v>-</v>
      </c>
      <c r="AO7" s="115"/>
      <c r="AP7" s="115"/>
      <c r="AQ7" s="115"/>
      <c r="AX7" s="115"/>
      <c r="AY7" s="115"/>
      <c r="AZ7" s="115"/>
      <c r="BA7" s="115"/>
      <c r="BB7" s="115"/>
    </row>
    <row r="8" spans="2:64" ht="15" customHeight="1" x14ac:dyDescent="0.45">
      <c r="B8" s="47" t="s">
        <v>10</v>
      </c>
      <c r="C8" s="46"/>
      <c r="D8" s="46"/>
      <c r="E8" s="46"/>
      <c r="F8" s="46"/>
      <c r="G8" s="49"/>
      <c r="H8" s="46"/>
      <c r="I8" s="221" t="str">
        <f>TEXT(Calculations!G9,"0.00%")</f>
        <v>11.10%</v>
      </c>
      <c r="J8" s="222"/>
      <c r="K8" s="222"/>
      <c r="L8" s="47"/>
      <c r="M8" s="47"/>
      <c r="N8" s="47"/>
      <c r="O8" s="215" t="str">
        <f>IFERROR(TEXT(Calculations!I9,"+0.0%;-0.0%"),"")</f>
        <v>+20.2%</v>
      </c>
      <c r="P8" s="216"/>
      <c r="R8" s="30"/>
      <c r="S8" s="30"/>
      <c r="T8" s="30"/>
      <c r="U8" s="30"/>
      <c r="V8" s="30"/>
      <c r="W8" s="30"/>
      <c r="X8" s="30"/>
      <c r="Y8" s="30"/>
      <c r="Z8" s="30"/>
      <c r="AA8" s="30"/>
      <c r="AB8" s="30"/>
      <c r="AC8" s="30"/>
      <c r="AD8" s="30"/>
      <c r="AE8" s="30"/>
      <c r="AF8" s="30"/>
      <c r="AG8" s="30"/>
      <c r="AI8" s="28" t="s">
        <v>1</v>
      </c>
      <c r="AJ8" s="30"/>
      <c r="AK8" s="30"/>
      <c r="AL8" s="30"/>
      <c r="AM8" s="115"/>
      <c r="AN8" s="115" t="str">
        <f>INDEX('company details'!$A$1:$F$13,7,MATCH(gdb_name,'company details'!$A$1:$F$1,0))</f>
        <v>-</v>
      </c>
      <c r="AO8" s="115"/>
      <c r="AP8" s="115"/>
      <c r="AQ8" s="115"/>
      <c r="AR8" s="115"/>
      <c r="AX8" s="115"/>
      <c r="AY8" s="115"/>
      <c r="AZ8" s="115"/>
      <c r="BA8" s="115"/>
      <c r="BB8" s="115"/>
    </row>
    <row r="9" spans="2:64" ht="15" customHeight="1" x14ac:dyDescent="0.45">
      <c r="B9" s="125" t="s">
        <v>11</v>
      </c>
      <c r="C9" s="126"/>
      <c r="D9" s="126"/>
      <c r="E9" s="126"/>
      <c r="F9" s="126"/>
      <c r="G9" s="127"/>
      <c r="H9" s="126"/>
      <c r="I9" s="219" t="str">
        <f>"$"&amp;TEXT(Calculations!G10,"#,##0.0")&amp;"m"</f>
        <v>$132.8m</v>
      </c>
      <c r="J9" s="220"/>
      <c r="K9" s="220"/>
      <c r="L9" s="125"/>
      <c r="M9" s="125"/>
      <c r="N9" s="125"/>
      <c r="O9" s="213" t="str">
        <f>IFERROR(TEXT(Calculations!I10,"+0.0%;-0.0%"),"")</f>
        <v>+1.2%</v>
      </c>
      <c r="P9" s="214"/>
      <c r="R9" s="30"/>
      <c r="S9" s="30"/>
      <c r="T9" s="30"/>
      <c r="U9" s="30"/>
      <c r="V9" s="30"/>
      <c r="W9" s="30"/>
      <c r="X9" s="30"/>
      <c r="Y9" s="30"/>
      <c r="Z9" s="30"/>
      <c r="AA9" s="30"/>
      <c r="AB9" s="30"/>
      <c r="AC9" s="30"/>
      <c r="AD9" s="30"/>
      <c r="AE9" s="30"/>
      <c r="AF9" s="30"/>
      <c r="AG9" s="30"/>
      <c r="AI9" s="30"/>
      <c r="AJ9" s="30"/>
      <c r="AK9" s="30"/>
      <c r="AL9" s="30"/>
      <c r="AM9" s="115"/>
      <c r="AN9" s="115" t="str">
        <f>INDEX('company details'!$A$1:$F$13,8,MATCH(gdb_name,'company details'!$A$1:$F$1,0))</f>
        <v xml:space="preserve"> </v>
      </c>
      <c r="AO9" s="115"/>
      <c r="AP9" s="115"/>
      <c r="AQ9" s="115"/>
      <c r="AR9" s="115"/>
      <c r="AX9" s="115"/>
      <c r="AY9" s="115"/>
      <c r="AZ9" s="115"/>
      <c r="BA9" s="115"/>
      <c r="BB9" s="115"/>
    </row>
    <row r="10" spans="2:64" ht="15" customHeight="1" x14ac:dyDescent="0.45">
      <c r="B10" s="7" t="s">
        <v>15</v>
      </c>
      <c r="C10" s="27"/>
      <c r="D10" s="27"/>
      <c r="E10" s="27"/>
      <c r="F10" s="27"/>
      <c r="H10" s="27"/>
      <c r="I10" s="225" t="str">
        <f>"$"&amp;TEXT(Calculations!G11,"#,##0.0")&amp;"m"</f>
        <v>$2.3m</v>
      </c>
      <c r="J10" s="226"/>
      <c r="K10" s="226"/>
      <c r="L10" s="7"/>
      <c r="M10" s="7"/>
      <c r="N10" s="7"/>
      <c r="O10" s="215" t="str">
        <f>IFERROR(TEXT(Calculations!I11,"+0.0%;-0.0%"),"")</f>
        <v>+51.8%</v>
      </c>
      <c r="P10" s="216"/>
      <c r="AI10" s="28" t="s">
        <v>2</v>
      </c>
      <c r="AJ10" s="30"/>
      <c r="AK10" s="30"/>
      <c r="AL10" s="30"/>
      <c r="AM10" s="115"/>
      <c r="AN10" s="115" t="str">
        <f>INDEX('company details'!$A$1:$F$13,9,MATCH(gdb_name,'company details'!$A$1:$F$1,0))</f>
        <v>New Zealand</v>
      </c>
      <c r="AO10" s="115"/>
      <c r="AP10" s="115"/>
      <c r="AQ10" s="115"/>
      <c r="AR10" s="115"/>
      <c r="AX10" s="115"/>
      <c r="AY10" s="115"/>
      <c r="AZ10" s="115"/>
      <c r="BA10" s="115"/>
      <c r="BB10" s="115"/>
    </row>
    <row r="11" spans="2:64" ht="15" customHeight="1" x14ac:dyDescent="0.45">
      <c r="B11" s="47" t="s">
        <v>8562</v>
      </c>
      <c r="C11" s="46"/>
      <c r="D11" s="46"/>
      <c r="E11" s="46"/>
      <c r="F11" s="46"/>
      <c r="G11" s="49"/>
      <c r="H11" s="46"/>
      <c r="I11" s="221" t="str">
        <f>TEXT(Calculations!G12,"#,##0")</f>
        <v>308,791</v>
      </c>
      <c r="J11" s="222"/>
      <c r="K11" s="222"/>
      <c r="L11" s="47"/>
      <c r="M11" s="47"/>
      <c r="N11" s="47"/>
      <c r="O11" s="217" t="str">
        <f>IFERROR(TEXT(Calculations!I12,"+0.0%;-0.0%"),"")</f>
        <v>+1.4%</v>
      </c>
      <c r="P11" s="218"/>
      <c r="AI11" s="28" t="s">
        <v>3</v>
      </c>
      <c r="AJ11" s="30"/>
      <c r="AK11" s="30"/>
      <c r="AL11" s="30"/>
      <c r="AM11" s="115"/>
      <c r="AN11" s="115" t="str">
        <f>INDEX('company details'!$A$1:$F$13,10,MATCH(gdb_name,'company details'!$A$1:$F$1,0))</f>
        <v>-</v>
      </c>
      <c r="AO11" s="115"/>
      <c r="AP11" s="115"/>
      <c r="AQ11" s="115"/>
      <c r="AR11" s="240"/>
      <c r="AS11" s="226"/>
      <c r="AT11" s="237"/>
      <c r="AU11" s="238"/>
      <c r="AV11" s="238"/>
      <c r="AW11" s="238"/>
      <c r="AX11" s="115"/>
      <c r="AY11" s="115"/>
      <c r="AZ11" s="115"/>
      <c r="BA11" s="115"/>
      <c r="BB11" s="115"/>
    </row>
    <row r="12" spans="2:64" ht="15" customHeight="1" x14ac:dyDescent="0.45">
      <c r="B12" s="125" t="s">
        <v>154</v>
      </c>
      <c r="C12" s="126"/>
      <c r="D12" s="126"/>
      <c r="E12" s="126"/>
      <c r="F12" s="126"/>
      <c r="G12" s="127"/>
      <c r="H12" s="127"/>
      <c r="I12" s="219" t="str">
        <f>TEXT(Calculations!G13,"#,##0")&amp;" TJ"</f>
        <v>32,481 TJ</v>
      </c>
      <c r="J12" s="220"/>
      <c r="K12" s="220"/>
      <c r="L12" s="125"/>
      <c r="M12" s="125"/>
      <c r="N12" s="125"/>
      <c r="O12" s="213" t="str">
        <f>IFERROR(TEXT(Calculations!I13,"+0.0%;-0.0%"),"")</f>
        <v>-2.4%</v>
      </c>
      <c r="P12" s="214"/>
      <c r="AI12" s="28" t="s">
        <v>5</v>
      </c>
      <c r="AJ12" s="30"/>
      <c r="AK12" s="30"/>
      <c r="AL12" s="30"/>
      <c r="AM12" s="161"/>
      <c r="AN12" s="169" t="str">
        <f>HYPERLINK(INDEX('company details'!$A$1:$F$11,11,MATCH(gdb_name,'company details'!$A$1:$F$1,0)))</f>
        <v/>
      </c>
      <c r="AO12" s="115"/>
      <c r="AP12" s="115"/>
      <c r="AQ12" s="115"/>
      <c r="AR12" s="115"/>
      <c r="AT12" s="238"/>
      <c r="AU12" s="238"/>
      <c r="AV12" s="238"/>
      <c r="AW12" s="238"/>
      <c r="AX12" s="115"/>
      <c r="AY12" s="115"/>
      <c r="AZ12" s="115"/>
      <c r="BA12" s="115"/>
      <c r="BB12" s="115"/>
    </row>
    <row r="13" spans="2:64" ht="15" customHeight="1" x14ac:dyDescent="0.45">
      <c r="B13" s="7" t="s">
        <v>152</v>
      </c>
      <c r="C13" s="27"/>
      <c r="D13" s="27"/>
      <c r="E13" s="27"/>
      <c r="F13" s="27"/>
      <c r="I13" s="225" t="str">
        <f>TEXT(Calculations!G14,"#,##0.0")&amp;" TJ"</f>
        <v>137.6 TJ</v>
      </c>
      <c r="J13" s="225"/>
      <c r="K13" s="225"/>
      <c r="L13" s="7"/>
      <c r="M13" s="7"/>
      <c r="N13" s="7"/>
      <c r="O13" s="215" t="str">
        <f>IFERROR(TEXT(Calculations!I14,"+0.0%;-0.0%"),"")</f>
        <v>-1.7%</v>
      </c>
      <c r="P13" s="216"/>
      <c r="R13" s="150" t="s">
        <v>8553</v>
      </c>
      <c r="S13" s="79"/>
      <c r="T13" s="79"/>
      <c r="U13" s="79"/>
      <c r="V13" s="79"/>
      <c r="W13" s="79"/>
      <c r="X13" s="79"/>
      <c r="Y13" s="79"/>
      <c r="Z13" s="79"/>
      <c r="AA13" s="78"/>
      <c r="AB13" s="79"/>
      <c r="AC13" s="79"/>
      <c r="AD13" s="79"/>
      <c r="AE13" s="79"/>
      <c r="AF13" s="151"/>
      <c r="AG13" s="80"/>
      <c r="AT13" s="239"/>
      <c r="AU13" s="239"/>
      <c r="AV13" s="239"/>
      <c r="AW13" s="239"/>
      <c r="AX13" s="115"/>
      <c r="AY13" s="115"/>
      <c r="AZ13" s="115"/>
      <c r="BA13" s="115"/>
      <c r="BB13" s="115"/>
    </row>
    <row r="14" spans="2:64" ht="15" customHeight="1" x14ac:dyDescent="0.45">
      <c r="B14" s="47" t="s">
        <v>6</v>
      </c>
      <c r="C14" s="46"/>
      <c r="D14" s="46"/>
      <c r="E14" s="46"/>
      <c r="F14" s="46"/>
      <c r="G14" s="49"/>
      <c r="H14" s="49"/>
      <c r="I14" s="221" t="str">
        <f>TEXT(Calculations!G17,"0.00%")</f>
        <v>79.51%</v>
      </c>
      <c r="J14" s="222"/>
      <c r="K14" s="222"/>
      <c r="L14" s="47"/>
      <c r="M14" s="47"/>
      <c r="N14" s="47"/>
      <c r="O14" s="217" t="str">
        <f>IFERROR(TEXT(Calculations!I17,"+0.0%;-0.0%"),"")</f>
        <v>-0.1%</v>
      </c>
      <c r="P14" s="218"/>
      <c r="R14" s="244" t="s">
        <v>59</v>
      </c>
      <c r="S14" s="245"/>
      <c r="T14" s="245"/>
      <c r="U14" s="245"/>
      <c r="V14" s="244" t="s">
        <v>213</v>
      </c>
      <c r="W14" s="245"/>
      <c r="X14" s="245"/>
      <c r="Y14" s="245"/>
      <c r="Z14" s="244" t="s">
        <v>196</v>
      </c>
      <c r="AA14" s="245"/>
      <c r="AB14" s="245"/>
      <c r="AC14" s="245"/>
      <c r="AD14" s="244" t="s">
        <v>82</v>
      </c>
      <c r="AE14" s="245"/>
      <c r="AF14" s="245"/>
      <c r="AG14" s="245"/>
      <c r="AT14" s="207"/>
      <c r="AU14" s="207"/>
      <c r="AV14" s="207"/>
      <c r="AW14" s="207"/>
      <c r="AX14" s="115"/>
      <c r="AY14" s="115"/>
      <c r="AZ14" s="115"/>
      <c r="BA14" s="115"/>
      <c r="BB14" s="115"/>
    </row>
    <row r="15" spans="2:64" ht="15" customHeight="1" x14ac:dyDescent="0.55000000000000004">
      <c r="B15" s="125" t="s">
        <v>14</v>
      </c>
      <c r="C15" s="126"/>
      <c r="D15" s="126"/>
      <c r="E15" s="126"/>
      <c r="F15" s="126"/>
      <c r="G15" s="127"/>
      <c r="H15" s="126"/>
      <c r="I15" s="219" t="str">
        <f>"$"&amp;TEXT(Calculations!G18,"#,##0.0")&amp;"m"</f>
        <v>$61.5m</v>
      </c>
      <c r="J15" s="220"/>
      <c r="K15" s="220"/>
      <c r="L15" s="125"/>
      <c r="M15" s="125"/>
      <c r="N15" s="125"/>
      <c r="O15" s="213" t="str">
        <f>IFERROR(TEXT(Calculations!I18,"+0.0%;-0.0%"),"")</f>
        <v>-1.0%</v>
      </c>
      <c r="P15" s="214"/>
      <c r="R15" s="246"/>
      <c r="S15" s="246"/>
      <c r="T15" s="246"/>
      <c r="U15" s="246"/>
      <c r="V15" s="246"/>
      <c r="W15" s="246"/>
      <c r="X15" s="246"/>
      <c r="Y15" s="246"/>
      <c r="Z15" s="246"/>
      <c r="AA15" s="246"/>
      <c r="AB15" s="246"/>
      <c r="AC15" s="246"/>
      <c r="AD15" s="246"/>
      <c r="AE15" s="246"/>
      <c r="AF15" s="246"/>
      <c r="AG15" s="246"/>
      <c r="AI15" s="45" t="s">
        <v>262</v>
      </c>
      <c r="AS15" s="99"/>
    </row>
    <row r="16" spans="2:64" ht="15" customHeight="1" x14ac:dyDescent="0.45">
      <c r="B16" s="7" t="s">
        <v>13</v>
      </c>
      <c r="C16" s="27"/>
      <c r="D16" s="27"/>
      <c r="E16" s="27"/>
      <c r="F16" s="27"/>
      <c r="H16" s="27"/>
      <c r="I16" s="225" t="str">
        <f>"$"&amp;TEXT(Calculations!G19,"#,##0.0")&amp;"m"</f>
        <v>$44.9m</v>
      </c>
      <c r="J16" s="226"/>
      <c r="K16" s="226"/>
      <c r="L16" s="7"/>
      <c r="M16" s="7"/>
      <c r="N16" s="7"/>
      <c r="O16" s="215" t="str">
        <f>IFERROR(TEXT(Calculations!I19,"+0.0%;-0.0%"),"")</f>
        <v>+5.9%</v>
      </c>
      <c r="P16" s="216"/>
      <c r="R16" s="152" t="str">
        <f>TEXT(Calculations!I41,"0.0%")</f>
        <v>5.5%</v>
      </c>
      <c r="S16" s="153"/>
      <c r="T16" s="154"/>
      <c r="U16" s="155"/>
      <c r="V16" s="152" t="str">
        <f>TEXT(Calculations!I42,"$0.00")&amp;" per m"</f>
        <v>$3.20 per m</v>
      </c>
      <c r="W16" s="153"/>
      <c r="X16" s="154"/>
      <c r="Y16" s="155"/>
      <c r="Z16" s="152" t="str">
        <f>TEXT(Calculations!I43,"$0")</f>
        <v>$195</v>
      </c>
      <c r="AA16" s="153"/>
      <c r="AB16" s="154"/>
      <c r="AC16" s="155"/>
      <c r="AD16" s="152" t="str">
        <f>TEXT(Calculations!I44,"0.00")</f>
        <v>1.63</v>
      </c>
      <c r="AE16" s="153"/>
      <c r="AF16" s="154"/>
      <c r="AG16" s="155"/>
      <c r="AI16" s="30"/>
      <c r="AJ16" s="30"/>
      <c r="AK16" s="30"/>
      <c r="AL16" s="30"/>
      <c r="AM16" s="30"/>
      <c r="AN16" s="30"/>
      <c r="AO16" s="30"/>
      <c r="AP16" s="30"/>
      <c r="AQ16" s="30"/>
      <c r="AR16" s="30"/>
      <c r="AS16" s="30"/>
      <c r="AT16" s="30"/>
      <c r="AU16" s="30"/>
      <c r="AV16" s="30"/>
      <c r="AW16" s="30"/>
      <c r="AX16" s="30"/>
      <c r="AY16" s="30"/>
      <c r="AZ16" s="30"/>
      <c r="BA16" s="30"/>
      <c r="BB16" s="30"/>
    </row>
    <row r="17" spans="2:60" ht="15" customHeight="1" x14ac:dyDescent="0.45">
      <c r="B17" s="47" t="s">
        <v>101</v>
      </c>
      <c r="C17" s="46"/>
      <c r="D17" s="46"/>
      <c r="E17" s="46"/>
      <c r="F17" s="46"/>
      <c r="G17" s="49"/>
      <c r="H17" s="46"/>
      <c r="I17" s="221" t="str">
        <f>"$"&amp;TEXT(Calculations!G20,"#,##0.0")&amp;"m"</f>
        <v>$16.3m</v>
      </c>
      <c r="J17" s="222"/>
      <c r="K17" s="222"/>
      <c r="L17" s="47"/>
      <c r="M17" s="47"/>
      <c r="N17" s="47"/>
      <c r="O17" s="217" t="str">
        <f>IFERROR(TEXT(Calculations!I20,"+0.0%;-0.0%"),"")</f>
        <v>+24.5%</v>
      </c>
      <c r="P17" s="218"/>
      <c r="R17" s="247" t="s">
        <v>136</v>
      </c>
      <c r="S17" s="247"/>
      <c r="T17" s="247"/>
      <c r="U17" s="247"/>
      <c r="V17" s="247"/>
      <c r="X17" s="260" t="str">
        <f>"Average
("&amp;latest_year-2&amp;"–"&amp;latest_year&amp;")"</f>
        <v>Average
(2020–2022)</v>
      </c>
      <c r="Y17" s="260"/>
      <c r="Z17" s="260"/>
      <c r="AA17" s="260"/>
      <c r="AB17" s="260"/>
      <c r="AC17" s="258" t="s">
        <v>133</v>
      </c>
      <c r="AD17" s="258"/>
      <c r="AE17" s="258"/>
      <c r="AF17" s="259" t="s">
        <v>137</v>
      </c>
      <c r="AG17" s="259"/>
      <c r="AI17" s="248" t="s">
        <v>130</v>
      </c>
      <c r="AJ17" s="248"/>
      <c r="AK17" s="248"/>
      <c r="AL17" s="248"/>
      <c r="AM17" s="30"/>
      <c r="AN17" s="30"/>
      <c r="AO17" s="30"/>
      <c r="AP17" s="30"/>
      <c r="AQ17" s="30"/>
      <c r="AR17" s="30"/>
      <c r="AS17" s="30"/>
      <c r="AT17" s="30"/>
      <c r="AU17" s="30"/>
      <c r="AV17" s="30"/>
      <c r="AW17" s="30"/>
      <c r="AX17" s="30"/>
      <c r="AY17" s="30"/>
      <c r="AZ17" s="30"/>
      <c r="BA17" s="30"/>
      <c r="BB17" s="30"/>
    </row>
    <row r="18" spans="2:60" ht="15" customHeight="1" x14ac:dyDescent="0.45">
      <c r="B18" s="125" t="s">
        <v>102</v>
      </c>
      <c r="C18" s="126"/>
      <c r="D18" s="126"/>
      <c r="E18" s="126"/>
      <c r="F18" s="126"/>
      <c r="G18" s="127"/>
      <c r="H18" s="126"/>
      <c r="I18" s="219" t="str">
        <f>"$"&amp;TEXT(Calculations!G21,"#,##0.0")&amp;"m"</f>
        <v>$26.7m</v>
      </c>
      <c r="J18" s="220"/>
      <c r="K18" s="220"/>
      <c r="L18" s="125"/>
      <c r="M18" s="125"/>
      <c r="N18" s="125"/>
      <c r="O18" s="213" t="str">
        <f>IFERROR(TEXT(Calculations!I21,"+0.0%;-0.0%"),"")</f>
        <v>-0.6%</v>
      </c>
      <c r="P18" s="214"/>
      <c r="R18" s="247"/>
      <c r="S18" s="247"/>
      <c r="T18" s="247"/>
      <c r="U18" s="247"/>
      <c r="V18" s="247"/>
      <c r="X18" s="260"/>
      <c r="Y18" s="260"/>
      <c r="Z18" s="260"/>
      <c r="AA18" s="260"/>
      <c r="AB18" s="260"/>
      <c r="AC18" s="258"/>
      <c r="AD18" s="258"/>
      <c r="AE18" s="258"/>
      <c r="AF18" s="259"/>
      <c r="AG18" s="259"/>
      <c r="AI18" s="248"/>
      <c r="AJ18" s="248"/>
      <c r="AK18" s="248"/>
      <c r="AL18" s="248"/>
      <c r="AM18" s="251" t="s">
        <v>182</v>
      </c>
      <c r="AN18" s="251"/>
      <c r="AO18" s="251"/>
      <c r="AP18" s="251"/>
      <c r="AQ18" s="251" t="s">
        <v>178</v>
      </c>
      <c r="AR18" s="251"/>
      <c r="AS18" s="251"/>
      <c r="AT18" s="251"/>
      <c r="AU18" s="251" t="s">
        <v>183</v>
      </c>
      <c r="AV18" s="251"/>
      <c r="AW18" s="251"/>
      <c r="AX18" s="251"/>
      <c r="AY18" s="249" t="s">
        <v>184</v>
      </c>
      <c r="AZ18" s="249"/>
      <c r="BA18" s="249"/>
      <c r="BB18" s="249"/>
    </row>
    <row r="19" spans="2:60" ht="15" customHeight="1" x14ac:dyDescent="0.45">
      <c r="B19" s="128" t="s">
        <v>155</v>
      </c>
      <c r="C19" s="129"/>
      <c r="D19" s="129"/>
      <c r="E19" s="129"/>
      <c r="F19" s="129"/>
      <c r="G19" s="92"/>
      <c r="H19" s="129"/>
      <c r="I19" s="232" t="str">
        <f>TEXT(Calculations!G22,"#,##0")&amp;"km"</f>
        <v>18,855km</v>
      </c>
      <c r="J19" s="233"/>
      <c r="K19" s="233"/>
      <c r="L19" s="128"/>
      <c r="M19" s="128"/>
      <c r="N19" s="128"/>
      <c r="O19" s="230" t="str">
        <f>IFERROR(TEXT(Calculations!I22,"+0.0%;-0.0%"),"")</f>
        <v>+1.1%</v>
      </c>
      <c r="P19" s="231"/>
      <c r="R19" s="110" t="str">
        <f>Calculations!A32</f>
        <v>Consumer connection</v>
      </c>
      <c r="S19" s="110"/>
      <c r="T19" s="110"/>
      <c r="U19" s="110"/>
      <c r="V19" s="110"/>
      <c r="W19" s="112"/>
      <c r="X19" s="110"/>
      <c r="Y19" s="110"/>
      <c r="Z19" s="110"/>
      <c r="AA19" s="110"/>
      <c r="AB19" s="113" t="str">
        <f>TEXT(Calculations!I32,"$0.00")&amp;"m"</f>
        <v>$30.36m</v>
      </c>
      <c r="AC19" s="138"/>
      <c r="AD19" s="138"/>
      <c r="AE19" s="138"/>
      <c r="AF19" s="110"/>
      <c r="AG19" s="146" t="str">
        <f>TEXT(Calculations!J32,"0.0%")</f>
        <v>51.0%</v>
      </c>
      <c r="AI19" s="86"/>
      <c r="AJ19" s="86"/>
      <c r="AK19" s="86"/>
      <c r="AL19" s="86"/>
      <c r="AM19" s="252"/>
      <c r="AN19" s="252"/>
      <c r="AO19" s="252"/>
      <c r="AP19" s="252"/>
      <c r="AQ19" s="252"/>
      <c r="AR19" s="252"/>
      <c r="AS19" s="252"/>
      <c r="AT19" s="252"/>
      <c r="AU19" s="252"/>
      <c r="AV19" s="252"/>
      <c r="AW19" s="252"/>
      <c r="AX19" s="252"/>
      <c r="AY19" s="250"/>
      <c r="AZ19" s="250"/>
      <c r="BA19" s="250"/>
      <c r="BB19" s="250"/>
    </row>
    <row r="20" spans="2:60" ht="15" customHeight="1" x14ac:dyDescent="0.45">
      <c r="B20" s="131"/>
      <c r="C20" s="130"/>
      <c r="D20" s="130"/>
      <c r="E20" s="130"/>
      <c r="F20" s="130"/>
      <c r="G20" s="132"/>
      <c r="H20" s="132"/>
      <c r="I20" s="132"/>
      <c r="J20" s="132"/>
      <c r="K20" s="131"/>
      <c r="L20" s="131"/>
      <c r="M20" s="131"/>
      <c r="N20" s="133"/>
      <c r="O20" s="133"/>
      <c r="P20" s="130"/>
      <c r="R20" s="30" t="str">
        <f>Calculations!A33</f>
        <v>Asset replacement &amp; renewal</v>
      </c>
      <c r="S20" s="30"/>
      <c r="T20" s="30"/>
      <c r="U20" s="30"/>
      <c r="V20" s="30"/>
      <c r="X20" s="30"/>
      <c r="Y20" s="30"/>
      <c r="Z20" s="30"/>
      <c r="AA20" s="30"/>
      <c r="AB20" s="25" t="str">
        <f>TEXT(Calculations!I33,"$0.00")&amp;"m"</f>
        <v>$11.41m</v>
      </c>
      <c r="AC20" s="82"/>
      <c r="AD20" s="82"/>
      <c r="AE20" s="82"/>
      <c r="AF20" s="30"/>
      <c r="AG20" s="37" t="str">
        <f>TEXT(Calculations!J33,"0.0%")</f>
        <v>19.2%</v>
      </c>
      <c r="AI20" s="30" t="s">
        <v>88</v>
      </c>
      <c r="AJ20" s="30"/>
      <c r="AK20" s="30"/>
      <c r="AL20" s="30"/>
      <c r="AM20" s="140" t="str">
        <f>TEXT(Calculations!$B100,"#,##0")&amp;"km"</f>
        <v>719km</v>
      </c>
      <c r="AN20" s="141"/>
      <c r="AO20" s="141"/>
      <c r="AP20" s="141"/>
      <c r="AQ20" s="140" t="str">
        <f>TEXT(Calculations!$B117,"#,##0")&amp;"km"</f>
        <v>11,680km</v>
      </c>
      <c r="AR20" s="141"/>
      <c r="AS20" s="141"/>
      <c r="AT20" s="141"/>
      <c r="AU20" s="140" t="str">
        <f>TEXT(Calculations!$B134,"#,##0")&amp;"km"</f>
        <v>272km</v>
      </c>
      <c r="AV20" s="141"/>
      <c r="AW20" s="141"/>
      <c r="AX20" s="141"/>
      <c r="AY20" s="140" t="str">
        <f>TEXT(Calculations!$B151,"#,##0")&amp;"km"</f>
        <v>6,181km</v>
      </c>
      <c r="AZ20" s="141"/>
      <c r="BA20" s="141"/>
      <c r="BB20" s="141"/>
    </row>
    <row r="21" spans="2:60" ht="15" customHeight="1" x14ac:dyDescent="0.55000000000000004">
      <c r="B21" s="45" t="str">
        <f>IF(AND(latest_year&lt;"2019",(OR(gdb_name="First Gas Distribution",gdb_name="Vector Distribution"))),"Annualised RAB changes ("&amp;latest_year-1&amp;"–"&amp;latest_year&amp;")","Annualised RAB changes ("&amp;latest_year-2&amp;"–"&amp;latest_year&amp;")")</f>
        <v>Annualised RAB changes (2020–2022)</v>
      </c>
      <c r="C21" s="45"/>
      <c r="D21" s="36"/>
      <c r="E21" s="36"/>
      <c r="F21" s="36"/>
      <c r="G21" s="36"/>
      <c r="H21" s="36"/>
      <c r="I21" s="36"/>
      <c r="J21" s="36"/>
      <c r="K21" s="36"/>
      <c r="L21" s="36"/>
      <c r="M21" s="36"/>
      <c r="N21" s="36"/>
      <c r="O21" s="36"/>
      <c r="R21" s="48" t="str">
        <f>Calculations!A34</f>
        <v>System growth</v>
      </c>
      <c r="S21" s="48"/>
      <c r="T21" s="48"/>
      <c r="U21" s="48"/>
      <c r="V21" s="48"/>
      <c r="W21" s="49"/>
      <c r="X21" s="48"/>
      <c r="Y21" s="48"/>
      <c r="Z21" s="48"/>
      <c r="AA21" s="48"/>
      <c r="AB21" s="51" t="str">
        <f>TEXT(Calculations!I34,"$0.00")&amp;"m"</f>
        <v>$5.83m</v>
      </c>
      <c r="AC21" s="64"/>
      <c r="AD21" s="64"/>
      <c r="AE21" s="64"/>
      <c r="AF21" s="48"/>
      <c r="AG21" s="52" t="str">
        <f>TEXT(Calculations!J34,"0.0%")</f>
        <v>9.8%</v>
      </c>
      <c r="AI21" s="30" t="s">
        <v>210</v>
      </c>
      <c r="AM21" s="140" t="str">
        <f>IFERROR(TEXT(Calculations!$B103,"0.0%")&amp;"/"&amp;TEXT(Calculations!$C103,"0.0%")&amp;"/"&amp;TEXT(Calculations!$D103,"0.0%"),"·")</f>
        <v>0.5%/99.5%/0.0%</v>
      </c>
      <c r="AN21" s="141"/>
      <c r="AO21" s="141"/>
      <c r="AP21" s="141"/>
      <c r="AQ21" s="140" t="str">
        <f>IFERROR(TEXT(Calculations!$B120,"0.0%")&amp;"/"&amp;TEXT(Calculations!$C120,"0.0%")&amp;"/"&amp;TEXT(Calculations!$D120,"0.0%"),"·")</f>
        <v>95.6%/4.2%/0.2%</v>
      </c>
      <c r="AR21" s="141"/>
      <c r="AS21" s="141"/>
      <c r="AT21" s="141"/>
      <c r="AU21" s="140" t="str">
        <f>IFERROR(TEXT(Calculations!$B137,"0.0%")&amp;"/"&amp;TEXT(Calculations!$C137,"0.0%")&amp;"/"&amp;TEXT(Calculations!$D137,"0.0%"),"·")</f>
        <v>81.0%/3.7%/15.3%</v>
      </c>
      <c r="AV21" s="141"/>
      <c r="AW21" s="141"/>
      <c r="AX21" s="141"/>
      <c r="AY21" s="140" t="str">
        <f>IFERROR(TEXT(Calculations!$B154,"0.0%")&amp;"/"&amp;TEXT(Calculations!$C154,"0.0%")&amp;"/"&amp;TEXT(Calculations!$D154,"0.0%"),"·")</f>
        <v>97.4%/1.6%/1.0%</v>
      </c>
      <c r="AZ21" s="141"/>
      <c r="BA21" s="141"/>
      <c r="BB21" s="141"/>
      <c r="BC21" s="30"/>
      <c r="BD21" s="30"/>
    </row>
    <row r="22" spans="2:60" ht="15" customHeight="1" x14ac:dyDescent="0.45">
      <c r="B22" s="42" t="str">
        <f>IFERROR(IF(AND(latest_year&lt;"2019",(OR(gdb_name="First Gas Distribution",gdb_name="Vector Distribution"))),"Opening RAB: $"&amp;TEXT(Calculations!F73,"#,##0.0")&amp;"million","Opening RAB: $"&amp;TEXT(Calculations!E73,"#,##0.0")&amp;"million")," ")</f>
        <v>Opening RAB: $995.5million</v>
      </c>
      <c r="C22" s="42"/>
      <c r="D22" s="32"/>
      <c r="E22" s="26"/>
      <c r="F22" s="26"/>
      <c r="G22" s="26"/>
      <c r="H22" s="26"/>
      <c r="I22" s="26"/>
      <c r="J22" s="32"/>
      <c r="K22" s="32"/>
      <c r="L22" s="32"/>
      <c r="M22" s="32"/>
      <c r="N22" s="32"/>
      <c r="O22" s="32"/>
      <c r="P22" s="43" t="str">
        <f>"Closing RAB: $"&amp;TEXT(Calculations!G79,"#,##0.0")&amp;"million"</f>
        <v>Closing RAB: $1,159.3million</v>
      </c>
      <c r="Q22" s="30"/>
      <c r="R22" s="30" t="str">
        <f>Calculations!A35</f>
        <v>Non-network assets</v>
      </c>
      <c r="S22" s="30"/>
      <c r="T22" s="30"/>
      <c r="U22" s="30"/>
      <c r="V22" s="30"/>
      <c r="X22" s="30"/>
      <c r="Y22" s="30"/>
      <c r="Z22" s="30"/>
      <c r="AA22" s="30"/>
      <c r="AB22" s="25" t="str">
        <f>TEXT(Calculations!I35,"$0.00")&amp;"m"</f>
        <v>$4.42m</v>
      </c>
      <c r="AC22" s="82"/>
      <c r="AD22" s="82"/>
      <c r="AE22" s="82"/>
      <c r="AF22" s="30"/>
      <c r="AG22" s="37" t="str">
        <f>TEXT(Calculations!J35,"0.0%")</f>
        <v>7.4%</v>
      </c>
      <c r="AI22" s="210" t="s">
        <v>104</v>
      </c>
      <c r="AJ22" s="210"/>
      <c r="AK22" s="210"/>
      <c r="AL22" s="210"/>
      <c r="AM22" s="211" t="str">
        <f>IFERROR(TEXT(Calculations!$B108,"0.0%"),"·")</f>
        <v>303.9%</v>
      </c>
      <c r="AN22" s="212"/>
      <c r="AO22" s="212"/>
      <c r="AP22" s="212"/>
      <c r="AQ22" s="211" t="str">
        <f>IFERROR(TEXT(Calculations!$B125,"0.0%"),"·")</f>
        <v>361.7%</v>
      </c>
      <c r="AR22" s="212"/>
      <c r="AS22" s="212"/>
      <c r="AT22" s="212"/>
      <c r="AU22" s="211" t="str">
        <f>IFERROR(TEXT(Calculations!$B142,"0.0%"),"·")</f>
        <v>371.4%</v>
      </c>
      <c r="AV22" s="212"/>
      <c r="AW22" s="212"/>
      <c r="AX22" s="212"/>
      <c r="AY22" s="211" t="str">
        <f>IFERROR(TEXT(Calculations!$B159,"0.0%"),"·")</f>
        <v>326.6%</v>
      </c>
      <c r="AZ22" s="212"/>
      <c r="BA22" s="212"/>
      <c r="BB22" s="212"/>
    </row>
    <row r="23" spans="2:60" ht="15" customHeight="1" x14ac:dyDescent="0.45">
      <c r="B23" s="30"/>
      <c r="C23" s="32"/>
      <c r="D23" s="32"/>
      <c r="E23" s="32"/>
      <c r="F23" s="32"/>
      <c r="G23" s="32"/>
      <c r="H23" s="32"/>
      <c r="I23" s="32"/>
      <c r="J23" s="32"/>
      <c r="K23" s="32"/>
      <c r="L23" s="32"/>
      <c r="M23" s="32"/>
      <c r="N23" s="32"/>
      <c r="O23" s="32"/>
      <c r="P23" s="44" t="str">
        <f>IFERROR("change: $"&amp;TEXT(Calculations!I79,"#,##0.0")&amp;"m ("&amp;TEXT(Calculations!I87,"+0.0%;-0.0%")&amp;" p.a.)"," ")</f>
        <v>change: $163.8m (+5.2% p.a.)</v>
      </c>
      <c r="R23" s="30" t="str">
        <f>Calculations!A36</f>
        <v>Reliability, safety &amp; environment</v>
      </c>
      <c r="S23" s="30"/>
      <c r="T23" s="30"/>
      <c r="U23" s="30"/>
      <c r="V23" s="30"/>
      <c r="X23" s="30"/>
      <c r="Y23" s="30"/>
      <c r="Z23" s="30"/>
      <c r="AA23" s="30"/>
      <c r="AB23" s="25" t="str">
        <f>TEXT(Calculations!I36,"$0.00")&amp;"m"</f>
        <v>$3.80m</v>
      </c>
      <c r="AC23" s="82"/>
      <c r="AD23" s="82"/>
      <c r="AE23" s="82"/>
      <c r="AF23" s="30"/>
      <c r="AG23" s="37" t="str">
        <f>TEXT(Calculations!J36,"0.0%")</f>
        <v>6.4%</v>
      </c>
      <c r="AI23" s="30" t="s">
        <v>89</v>
      </c>
      <c r="AJ23" s="30"/>
      <c r="AK23" s="30"/>
      <c r="AL23" s="30"/>
      <c r="AM23" s="140" t="str">
        <f>IFERROR(TEXT(Calculations!$B106,"0.0%")&amp;" / "&amp;TEXT(Calculations!$B107,"0.0%"),"·")</f>
        <v>0.0% / 0.0%</v>
      </c>
      <c r="AN23" s="141"/>
      <c r="AO23" s="141"/>
      <c r="AP23" s="141"/>
      <c r="AQ23" s="140" t="str">
        <f>IFERROR(TEXT(Calculations!$B123,"0.0%")&amp;" / "&amp;TEXT(Calculations!$B124,"0.0%"),"·")</f>
        <v>0.1% / 0.4%</v>
      </c>
      <c r="AR23" s="141"/>
      <c r="AS23" s="141"/>
      <c r="AT23" s="141"/>
      <c r="AU23" s="140" t="str">
        <f>IFERROR(TEXT(Calculations!$B140,"0.0%")&amp;" / "&amp;TEXT(Calculations!$B141,"0.0%"),"·")</f>
        <v>0.0% / 0.6%</v>
      </c>
      <c r="AV23" s="141"/>
      <c r="AW23" s="141"/>
      <c r="AX23" s="141"/>
      <c r="AY23" s="140" t="str">
        <f>IFERROR(TEXT(Calculations!$B157,"0.0%")&amp;" / "&amp;TEXT(Calculations!$B158,"0.0%"),"·")</f>
        <v>0.2% / 0.1%</v>
      </c>
      <c r="AZ23" s="141"/>
      <c r="BA23" s="141"/>
      <c r="BB23" s="141"/>
    </row>
    <row r="24" spans="2:60" ht="15" customHeight="1" x14ac:dyDescent="0.45">
      <c r="R24" s="30" t="str">
        <f>Calculations!A37</f>
        <v>Asset relocations</v>
      </c>
      <c r="S24" s="30"/>
      <c r="T24" s="30"/>
      <c r="U24" s="30"/>
      <c r="V24" s="30"/>
      <c r="X24" s="30"/>
      <c r="Y24" s="30"/>
      <c r="Z24" s="30"/>
      <c r="AA24" s="30"/>
      <c r="AB24" s="25" t="str">
        <f>TEXT(Calculations!I37,"$0.00")&amp;"m"</f>
        <v>$3.72m</v>
      </c>
      <c r="AC24" s="82"/>
      <c r="AD24" s="82"/>
      <c r="AE24" s="82"/>
      <c r="AF24" s="30"/>
      <c r="AG24" s="37" t="str">
        <f>TEXT(Calculations!J37,"0.0%")</f>
        <v>6.3%</v>
      </c>
      <c r="AI24" s="30" t="s">
        <v>104</v>
      </c>
      <c r="AJ24" s="30"/>
      <c r="AK24" s="30"/>
      <c r="AL24" s="30"/>
      <c r="AM24" s="140" t="str">
        <f>IFERROR(TEXT(Calculations!$B110,"0.0%"),"·")</f>
        <v>7.2%</v>
      </c>
      <c r="AN24" s="141"/>
      <c r="AO24" s="141"/>
      <c r="AP24" s="141"/>
      <c r="AQ24" s="140" t="str">
        <f>IFERROR(TEXT(Calculations!$B127,"0.0%"),"·")</f>
        <v>0.8%</v>
      </c>
      <c r="AR24" s="141"/>
      <c r="AS24" s="141"/>
      <c r="AT24" s="141"/>
      <c r="AU24" s="140" t="str">
        <f>IFERROR(TEXT(Calculations!$B144,"0.0%"),"·")</f>
        <v>0.5%</v>
      </c>
      <c r="AV24" s="141"/>
      <c r="AW24" s="141"/>
      <c r="AX24" s="141"/>
      <c r="AY24" s="140" t="str">
        <f>IFERROR(TEXT(Calculations!$B161,"0.0%"),"·")</f>
        <v>1.6%</v>
      </c>
      <c r="AZ24" s="141"/>
      <c r="BA24" s="141"/>
      <c r="BB24" s="141"/>
      <c r="BF24" s="141"/>
      <c r="BG24" s="141"/>
      <c r="BH24" s="141"/>
    </row>
    <row r="25" spans="2:60" ht="15" customHeight="1" x14ac:dyDescent="0.45">
      <c r="R25" s="53" t="s">
        <v>62</v>
      </c>
      <c r="S25" s="53"/>
      <c r="T25" s="53"/>
      <c r="U25" s="53"/>
      <c r="V25" s="53"/>
      <c r="W25" s="148"/>
      <c r="X25" s="53"/>
      <c r="Y25" s="53"/>
      <c r="Z25" s="53"/>
      <c r="AA25" s="53"/>
      <c r="AB25" s="54" t="str">
        <f>"$"&amp;TEXT(Calculations!I38,"0.00")&amp;"m"</f>
        <v>$59.54m</v>
      </c>
      <c r="AC25" s="81"/>
      <c r="AD25" s="81"/>
      <c r="AE25" s="81"/>
      <c r="AF25" s="53"/>
      <c r="AG25" s="136" t="str">
        <f>TEXT(Calculations!J38,"0.0%")</f>
        <v>100.0%</v>
      </c>
      <c r="AI25" s="139" t="s">
        <v>84</v>
      </c>
      <c r="AJ25" s="139"/>
      <c r="AK25" s="139"/>
      <c r="AL25" s="139"/>
      <c r="AM25" s="144" t="str">
        <f>IFERROR(TEXT(Calculations!$B105,"0")&amp;" years","·")</f>
        <v>37 years</v>
      </c>
      <c r="AN25" s="145"/>
      <c r="AO25" s="145"/>
      <c r="AP25" s="145"/>
      <c r="AQ25" s="144" t="str">
        <f>IFERROR(TEXT(Calculations!$B122,"0")&amp;" years","·")</f>
        <v>26 years</v>
      </c>
      <c r="AR25" s="145"/>
      <c r="AS25" s="145"/>
      <c r="AT25" s="145"/>
      <c r="AU25" s="144" t="str">
        <f>IFERROR(TEXT(Calculations!$B139,"0")&amp;" years","·")</f>
        <v>34 years</v>
      </c>
      <c r="AV25" s="145"/>
      <c r="AW25" s="145"/>
      <c r="AX25" s="145"/>
      <c r="AY25" s="144" t="str">
        <f>IFERROR(TEXT(Calculations!$B156,"0")&amp;" years","·")</f>
        <v>24 years</v>
      </c>
      <c r="AZ25" s="145"/>
      <c r="BA25" s="145"/>
      <c r="BB25" s="145"/>
      <c r="BF25" s="141"/>
      <c r="BG25" s="141"/>
      <c r="BH25" s="141"/>
    </row>
    <row r="26" spans="2:60" ht="15" customHeight="1" x14ac:dyDescent="0.45">
      <c r="R26" s="94"/>
      <c r="S26" s="95" t="s">
        <v>102</v>
      </c>
      <c r="T26" s="94"/>
      <c r="U26" s="94"/>
      <c r="V26" s="94"/>
      <c r="W26" s="149"/>
      <c r="X26" s="94"/>
      <c r="Y26" s="94"/>
      <c r="Z26" s="94"/>
      <c r="AA26" s="94"/>
      <c r="AB26" s="96" t="str">
        <f>"$"&amp;TEXT(Calculations!I39,"0.00")&amp;"m"</f>
        <v>$13.47m</v>
      </c>
      <c r="AC26" s="97"/>
      <c r="AD26" s="97"/>
      <c r="AE26" s="97"/>
      <c r="AF26" s="94"/>
      <c r="AG26" s="147" t="str">
        <f>TEXT(Calculations!J39,"0.0%")</f>
        <v>22.6%</v>
      </c>
      <c r="AI26" s="30" t="s">
        <v>150</v>
      </c>
      <c r="AJ26" s="30"/>
      <c r="AK26" s="30"/>
      <c r="AL26" s="30"/>
      <c r="AM26" s="140" t="str">
        <f>IFERROR(TEXT(Calculations!$B104,"#,##0")&amp;"km ("&amp;TEXT(Calculations!$C104,"0.0%")&amp;")","·")</f>
        <v>0km (0.0%)</v>
      </c>
      <c r="AN26" s="141"/>
      <c r="AO26" s="141"/>
      <c r="AP26" s="141"/>
      <c r="AQ26" s="140" t="str">
        <f>IFERROR(TEXT(Calculations!$B121,"#,##0")&amp;"km ("&amp;TEXT(Calculations!$C121,"0.0%")&amp;")","·")</f>
        <v>0km (0.0%)</v>
      </c>
      <c r="AR26" s="141"/>
      <c r="AS26" s="141"/>
      <c r="AT26" s="141"/>
      <c r="AU26" s="140" t="str">
        <f>IFERROR(TEXT(Calculations!$B138,"#,##0")&amp;"km ("&amp;TEXT(Calculations!$C138,"0.0%")&amp;")","·")</f>
        <v>0km (0.0%)</v>
      </c>
      <c r="AV26" s="141"/>
      <c r="AW26" s="141"/>
      <c r="AX26" s="141"/>
      <c r="AY26" s="140" t="str">
        <f>IFERROR(TEXT(Calculations!$B155,"#,##0")&amp;"km"&amp;" ("&amp;TEXT(Calculations!$C155,"0.0%")&amp;")","·")</f>
        <v>0km (0.0%)</v>
      </c>
      <c r="AZ26" s="141"/>
      <c r="BA26" s="141"/>
      <c r="BB26" s="141"/>
      <c r="BF26" s="141"/>
      <c r="BG26" s="141"/>
      <c r="BH26" s="141"/>
    </row>
    <row r="27" spans="2:60" ht="15" customHeight="1" x14ac:dyDescent="0.45">
      <c r="AI27" s="30" t="s">
        <v>103</v>
      </c>
      <c r="AJ27" s="30"/>
      <c r="AK27" s="30"/>
      <c r="AL27" s="30"/>
      <c r="AM27" s="140" t="str">
        <f>IFERROR(TEXT(Calculations!$C109,"0.0%"),"·")</f>
        <v>0.0%</v>
      </c>
      <c r="AN27" s="141"/>
      <c r="AO27" s="141"/>
      <c r="AP27" s="141"/>
      <c r="AQ27" s="140" t="str">
        <f>IFERROR(TEXT(Calculations!$C126,"0.0%"),"·")</f>
        <v>0.0%</v>
      </c>
      <c r="AR27" s="141"/>
      <c r="AS27" s="141"/>
      <c r="AT27" s="141"/>
      <c r="AU27" s="140" t="str">
        <f>IFERROR(TEXT(Calculations!$C143,"0.0%"),"·")</f>
        <v>0.0%</v>
      </c>
      <c r="AV27" s="141"/>
      <c r="AW27" s="141"/>
      <c r="AX27" s="141"/>
      <c r="AY27" s="140" t="str">
        <f>IFERROR(TEXT(Calculations!$C160,"0.0%"),"·")</f>
        <v>0.0%</v>
      </c>
      <c r="AZ27" s="141"/>
      <c r="BA27" s="141"/>
      <c r="BB27" s="141"/>
    </row>
    <row r="28" spans="2:60" ht="15" customHeight="1" x14ac:dyDescent="0.55000000000000004">
      <c r="R28" s="45" t="s">
        <v>13</v>
      </c>
      <c r="S28" s="36"/>
      <c r="T28" s="36"/>
      <c r="U28" s="36"/>
      <c r="V28" s="36"/>
      <c r="W28" s="36"/>
      <c r="X28" s="36"/>
      <c r="Y28" s="36"/>
      <c r="Z28" s="36"/>
      <c r="AA28" s="36"/>
      <c r="AB28" s="36"/>
      <c r="AC28" s="36"/>
      <c r="AD28" s="36"/>
      <c r="AE28" s="36"/>
      <c r="AF28" s="36"/>
      <c r="AG28" s="36"/>
      <c r="AI28" s="139" t="s">
        <v>142</v>
      </c>
      <c r="AJ28" s="139"/>
      <c r="AK28" s="139"/>
      <c r="AL28" s="139"/>
      <c r="AM28" s="139"/>
      <c r="AN28" s="139"/>
      <c r="AO28" s="139" t="str">
        <f>IFERROR(TEXT(Calculations!$C111,"0.0%"),"·")</f>
        <v>0.0%</v>
      </c>
      <c r="AP28" s="145"/>
      <c r="AQ28" s="144" t="str">
        <f>IFERROR(TEXT(Calculations!$C128,"0.0%"),"·")</f>
        <v>0.4%</v>
      </c>
      <c r="AR28" s="145"/>
      <c r="AS28" s="145"/>
      <c r="AT28" s="145"/>
      <c r="AU28" s="144" t="str">
        <f>IFERROR(TEXT(Calculations!$C145,"0.0%"),"·")</f>
        <v>0.3%</v>
      </c>
      <c r="AV28" s="145"/>
      <c r="AW28" s="145"/>
      <c r="AX28" s="145"/>
      <c r="AY28" s="144" t="str">
        <f>IFERROR(TEXT(Calculations!$C162,"0.0%"),"·")</f>
        <v>0.2%</v>
      </c>
      <c r="AZ28" s="145"/>
      <c r="BA28" s="145"/>
      <c r="BB28" s="145"/>
      <c r="BG28" s="99"/>
    </row>
    <row r="29" spans="2:60" ht="15" customHeight="1" x14ac:dyDescent="0.45">
      <c r="R29" s="30"/>
      <c r="S29" s="30"/>
      <c r="T29" s="30"/>
      <c r="U29" s="30"/>
      <c r="V29" s="30"/>
      <c r="W29" s="30"/>
      <c r="X29" s="30"/>
      <c r="Y29" s="30"/>
      <c r="Z29" s="30"/>
      <c r="AA29" s="30"/>
      <c r="AB29" s="30"/>
      <c r="AC29" s="30"/>
      <c r="AD29" s="30"/>
      <c r="AE29" s="30"/>
      <c r="AF29" s="30"/>
      <c r="AG29" s="30"/>
      <c r="AI29" s="30" t="s">
        <v>143</v>
      </c>
      <c r="AJ29" s="30"/>
      <c r="AK29" s="30"/>
      <c r="AL29" s="30"/>
      <c r="AN29" s="30"/>
      <c r="AO29" s="30" t="str">
        <f>IFERROR(TEXT(Calculations!$B111,"0.0%"),"·")</f>
        <v>0.1%</v>
      </c>
      <c r="AP29" s="141"/>
      <c r="AQ29" s="140" t="str">
        <f>IFERROR(TEXT(Calculations!$B128,"0.0%"),"·")</f>
        <v>0.0%</v>
      </c>
      <c r="AR29" s="141"/>
      <c r="AS29" s="141"/>
      <c r="AT29" s="141"/>
      <c r="AU29" s="140" t="str">
        <f>IFERROR(TEXT(Calculations!$B145,"0.0%"),"·")</f>
        <v>7.4%</v>
      </c>
      <c r="AV29" s="141"/>
      <c r="AW29" s="141"/>
      <c r="AX29" s="141"/>
      <c r="AY29" s="140" t="str">
        <f>IFERROR(TEXT(Calculations!$B162,"0.0%"),"·")</f>
        <v>1.6%</v>
      </c>
      <c r="AZ29" s="141"/>
      <c r="BA29" s="141"/>
      <c r="BB29" s="141"/>
    </row>
    <row r="30" spans="2:60" ht="15" customHeight="1" x14ac:dyDescent="0.55000000000000004">
      <c r="B30" s="45" t="s">
        <v>28</v>
      </c>
      <c r="F30" s="29"/>
      <c r="G30" s="29"/>
      <c r="I30" s="29"/>
      <c r="J30" s="29"/>
      <c r="R30" s="30"/>
      <c r="S30" s="30"/>
      <c r="T30" s="30"/>
      <c r="U30" s="30"/>
      <c r="V30" s="30"/>
      <c r="W30" s="30"/>
      <c r="X30" s="30"/>
      <c r="Y30" s="30"/>
      <c r="Z30" s="30"/>
      <c r="AA30" s="30"/>
      <c r="AB30" s="30"/>
      <c r="AC30" s="30"/>
      <c r="AD30" s="30"/>
      <c r="AE30" s="30"/>
      <c r="AF30" s="30"/>
      <c r="AG30" s="30"/>
      <c r="AI30" s="30" t="s">
        <v>108</v>
      </c>
      <c r="AJ30" s="30"/>
      <c r="AK30" s="30"/>
      <c r="AL30" s="30"/>
      <c r="AN30" s="140"/>
      <c r="AO30" s="82" t="str">
        <f>TEXT(Calculations!$O229*1000,"$#,0")&amp;"k  ("&amp;IFERROR(TEXT(Calculations!$P229,"+0%;-0%"),"")&amp;")"</f>
        <v>$60k  (-71%)</v>
      </c>
      <c r="AQ30" s="140" t="str">
        <f>TEXT(Calculations!$O230*1000,"$#,0")&amp;"k  ("&amp;IFERROR(TEXT(Calculations!$P230,"+0%;-0%"),"")&amp;")"</f>
        <v>$6,286k  (-10%)</v>
      </c>
      <c r="AR30" s="141"/>
      <c r="AS30" s="141"/>
      <c r="AT30" s="141"/>
      <c r="AU30" s="140" t="str">
        <f>TEXT(Calculations!$O231*1000,"$#,0")&amp;"k  ("&amp;IFERROR(TEXT(Calculations!$P231,"+0%;-0%"),"")&amp;")"</f>
        <v>$390k  (+107%)</v>
      </c>
      <c r="AV30" s="141"/>
      <c r="AW30" s="141"/>
      <c r="AX30" s="141"/>
      <c r="AY30" s="140" t="str">
        <f>TEXT(Calculations!$O232*1000,"$#,0")&amp;"k ( "&amp;IFERROR(TEXT(Calculations!$P232,"+0%;-0%"),"")&amp;")"</f>
        <v>$1,625k ( +79%)</v>
      </c>
      <c r="AZ30" s="141"/>
      <c r="BA30" s="141"/>
      <c r="BB30" s="141"/>
    </row>
    <row r="31" spans="2:60" ht="15" customHeight="1" x14ac:dyDescent="0.45">
      <c r="B31" s="28"/>
      <c r="C31" s="28"/>
      <c r="D31" s="28"/>
      <c r="E31" s="29"/>
      <c r="F31" s="29"/>
      <c r="G31" s="29"/>
      <c r="H31" s="29"/>
      <c r="I31" s="29"/>
      <c r="J31" s="29"/>
      <c r="K31" s="29" t="s">
        <v>140</v>
      </c>
      <c r="O31" s="92"/>
      <c r="P31" s="29" t="s">
        <v>216</v>
      </c>
      <c r="R31" s="30"/>
      <c r="S31" s="30"/>
      <c r="T31" s="30"/>
      <c r="U31" s="30"/>
      <c r="V31" s="30"/>
      <c r="W31" s="30"/>
      <c r="X31" s="30"/>
      <c r="Y31" s="30"/>
      <c r="Z31" s="30"/>
      <c r="AA31" s="30"/>
      <c r="AB31" s="30"/>
      <c r="AC31" s="30"/>
      <c r="AD31" s="30"/>
      <c r="AE31" s="30"/>
      <c r="AF31" s="30"/>
      <c r="AG31" s="30"/>
      <c r="AI31" s="86" t="s">
        <v>109</v>
      </c>
      <c r="AJ31" s="88"/>
      <c r="AK31" s="86"/>
      <c r="AL31" s="86"/>
      <c r="AM31" s="86"/>
      <c r="AN31" s="89"/>
      <c r="AO31" s="86"/>
      <c r="AP31" s="87"/>
      <c r="AQ31" s="86"/>
      <c r="AR31" s="86"/>
      <c r="AS31" s="90"/>
      <c r="AT31" s="88"/>
      <c r="AU31" s="90"/>
      <c r="AV31" s="86"/>
      <c r="AW31" s="86"/>
      <c r="AX31" s="89"/>
      <c r="AY31" s="86"/>
      <c r="AZ31" s="86"/>
      <c r="BA31" s="91"/>
      <c r="BB31" s="87"/>
    </row>
    <row r="32" spans="2:60" ht="15" customHeight="1" x14ac:dyDescent="0.45">
      <c r="B32" s="110" t="s">
        <v>145</v>
      </c>
      <c r="C32" s="112"/>
      <c r="D32" s="110"/>
      <c r="E32" s="112"/>
      <c r="F32" s="111"/>
      <c r="G32" s="112"/>
      <c r="H32" s="110"/>
      <c r="I32" s="110"/>
      <c r="J32" s="112"/>
      <c r="K32" s="135" t="str">
        <f>TEXT(Calculations!G243,"0.0%")</f>
        <v>56.3%</v>
      </c>
      <c r="L32" s="112"/>
      <c r="M32" s="112"/>
      <c r="N32" s="112"/>
      <c r="P32" s="135" t="str">
        <f>IF(Calculations!G246=0,"N/A",TEXT(Calculations!G246,"0.0")&amp;" ¢/ICP")</f>
        <v>39.9 ¢/ICP</v>
      </c>
      <c r="Q32" s="63"/>
      <c r="R32" s="30"/>
      <c r="S32" s="30"/>
      <c r="T32" s="30"/>
      <c r="U32" s="30"/>
      <c r="V32" s="30"/>
      <c r="W32" s="30"/>
      <c r="X32" s="30"/>
      <c r="Y32" s="30"/>
      <c r="Z32" s="30"/>
      <c r="AA32" s="30"/>
      <c r="AB32" s="30"/>
      <c r="AC32" s="30"/>
      <c r="AD32" s="30"/>
      <c r="AE32" s="30"/>
      <c r="AF32" s="30"/>
      <c r="AG32" s="30"/>
      <c r="AI32" s="30"/>
      <c r="AJ32" s="208"/>
      <c r="AK32" s="30"/>
      <c r="AL32" s="30"/>
      <c r="AM32" s="30"/>
      <c r="AN32" s="209"/>
      <c r="AO32" s="30"/>
      <c r="AP32" s="31"/>
      <c r="AQ32" s="30"/>
      <c r="AR32" s="30"/>
      <c r="AS32" s="25"/>
      <c r="AT32" s="208"/>
      <c r="AU32" s="25"/>
      <c r="AV32" s="30"/>
      <c r="AW32" s="30"/>
      <c r="AX32" s="209"/>
      <c r="AY32" s="30"/>
      <c r="AZ32" s="30"/>
      <c r="BA32" s="82"/>
      <c r="BB32" s="31"/>
    </row>
    <row r="33" spans="2:54" ht="15" customHeight="1" x14ac:dyDescent="0.45">
      <c r="B33" s="86" t="s">
        <v>190</v>
      </c>
      <c r="C33" s="92"/>
      <c r="D33" s="86"/>
      <c r="E33" s="92"/>
      <c r="F33" s="93"/>
      <c r="G33" s="92"/>
      <c r="H33" s="86"/>
      <c r="I33" s="86"/>
      <c r="K33" s="87" t="str">
        <f>TEXT(Calculations!G244,"0.0%")</f>
        <v>43.7%</v>
      </c>
      <c r="L33" s="92"/>
      <c r="M33" s="92"/>
      <c r="N33" s="92"/>
      <c r="P33" s="87" t="str">
        <f>IF(Calculations!G247=0,"N/A",TEXT(Calculations!G247,"0.00")&amp;" $/GJ")</f>
        <v>1.07 $/GJ</v>
      </c>
      <c r="R33" s="30"/>
      <c r="S33" s="30"/>
      <c r="T33" s="30"/>
      <c r="U33" s="30"/>
      <c r="V33" s="30"/>
      <c r="W33" s="30"/>
      <c r="X33" s="30"/>
      <c r="Y33" s="30"/>
      <c r="Z33" s="30"/>
      <c r="AA33" s="30"/>
      <c r="AB33" s="30"/>
      <c r="AC33" s="31"/>
      <c r="AD33" s="30"/>
      <c r="AE33" s="30"/>
      <c r="AF33" s="37"/>
      <c r="AG33" s="37"/>
    </row>
    <row r="34" spans="2:54" ht="15" customHeight="1" x14ac:dyDescent="0.55000000000000004">
      <c r="B34" s="156"/>
      <c r="C34" s="112"/>
      <c r="D34" s="110"/>
      <c r="E34" s="110"/>
      <c r="F34" s="135"/>
      <c r="G34" s="110"/>
      <c r="H34" s="110"/>
      <c r="I34" s="135"/>
      <c r="J34" s="110"/>
      <c r="K34" s="112"/>
      <c r="L34" s="112"/>
      <c r="M34" s="112"/>
      <c r="N34" s="112"/>
      <c r="O34" s="112"/>
      <c r="AI34" s="45" t="s">
        <v>263</v>
      </c>
      <c r="AJ34" s="36"/>
      <c r="AK34" s="36"/>
      <c r="AL34" s="36"/>
      <c r="AM34" s="36"/>
      <c r="AN34" s="36"/>
      <c r="AO34" s="36"/>
      <c r="AP34" s="36"/>
      <c r="AQ34" s="36"/>
      <c r="AR34" s="36"/>
      <c r="AS34" s="99"/>
      <c r="AT34" s="36"/>
      <c r="AU34" s="36"/>
      <c r="AV34" s="36"/>
      <c r="AW34" s="36"/>
      <c r="AX34" s="36"/>
      <c r="AY34" s="102"/>
      <c r="AZ34" s="102"/>
      <c r="BA34" s="102"/>
      <c r="BB34" s="102"/>
    </row>
    <row r="35" spans="2:54" ht="15" customHeight="1" x14ac:dyDescent="0.45">
      <c r="B35" s="117"/>
      <c r="D35" s="30"/>
      <c r="E35" s="31"/>
      <c r="F35" s="31"/>
      <c r="G35" s="31"/>
      <c r="H35" s="31"/>
      <c r="I35" s="31"/>
      <c r="Q35" s="7"/>
      <c r="AI35" s="30"/>
      <c r="AJ35" s="30"/>
      <c r="AK35" s="30"/>
      <c r="AL35" s="30"/>
      <c r="AM35" s="30"/>
      <c r="AN35" s="30"/>
      <c r="AO35" s="30"/>
      <c r="AP35" s="30"/>
      <c r="AQ35" s="30"/>
      <c r="AR35" s="30"/>
      <c r="AS35" s="30"/>
      <c r="AT35" s="30"/>
      <c r="AU35" s="30"/>
      <c r="AV35" s="30"/>
      <c r="AW35" s="30"/>
      <c r="AX35" s="30"/>
      <c r="AY35" s="134"/>
      <c r="AZ35" s="134"/>
      <c r="BA35" s="134"/>
      <c r="BB35" s="134"/>
    </row>
    <row r="36" spans="2:54" ht="15" customHeight="1" x14ac:dyDescent="0.45">
      <c r="P36" s="253" t="s">
        <v>133</v>
      </c>
      <c r="Q36" s="253"/>
      <c r="AI36" s="248" t="s">
        <v>130</v>
      </c>
      <c r="AJ36" s="248"/>
      <c r="AK36" s="248"/>
      <c r="AL36" s="248"/>
      <c r="AM36" s="30"/>
      <c r="AN36" s="30"/>
      <c r="AO36" s="30"/>
      <c r="AP36" s="30"/>
      <c r="AQ36" s="30"/>
      <c r="AR36" s="30"/>
      <c r="AS36" s="30"/>
      <c r="AT36" s="30"/>
      <c r="AU36" s="30"/>
      <c r="AV36" s="30"/>
      <c r="AW36" s="30"/>
      <c r="AX36" s="30"/>
      <c r="AY36" s="134"/>
      <c r="AZ36" s="134"/>
      <c r="BA36" s="134"/>
      <c r="BB36" s="134"/>
    </row>
    <row r="37" spans="2:54" ht="15" customHeight="1" x14ac:dyDescent="0.55000000000000004">
      <c r="B37" s="45" t="s">
        <v>202</v>
      </c>
      <c r="O37" s="170"/>
      <c r="P37" s="253"/>
      <c r="Q37" s="253"/>
      <c r="R37" s="150" t="s">
        <v>8553</v>
      </c>
      <c r="S37" s="79"/>
      <c r="T37" s="79"/>
      <c r="U37" s="79"/>
      <c r="V37" s="79"/>
      <c r="W37" s="79"/>
      <c r="X37" s="79"/>
      <c r="Y37" s="79"/>
      <c r="Z37" s="79"/>
      <c r="AA37" s="78"/>
      <c r="AB37" s="79"/>
      <c r="AC37" s="79"/>
      <c r="AD37" s="79"/>
      <c r="AE37" s="79"/>
      <c r="AF37" s="151"/>
      <c r="AG37" s="80"/>
      <c r="AI37" s="248"/>
      <c r="AJ37" s="248"/>
      <c r="AK37" s="248"/>
      <c r="AL37" s="248"/>
      <c r="AM37" s="251" t="s">
        <v>179</v>
      </c>
      <c r="AN37" s="251"/>
      <c r="AO37" s="251"/>
      <c r="AP37" s="251"/>
      <c r="AQ37" s="251" t="s">
        <v>180</v>
      </c>
      <c r="AR37" s="251"/>
      <c r="AS37" s="251"/>
      <c r="AT37" s="251"/>
      <c r="AU37" s="251" t="s">
        <v>181</v>
      </c>
      <c r="AV37" s="251"/>
      <c r="AW37" s="251"/>
      <c r="AX37" s="251"/>
      <c r="AY37" s="251" t="s">
        <v>8554</v>
      </c>
      <c r="AZ37" s="251"/>
      <c r="BA37" s="251"/>
      <c r="BB37" s="251"/>
    </row>
    <row r="38" spans="2:54" ht="15" customHeight="1" x14ac:dyDescent="0.45">
      <c r="B38" s="110" t="s">
        <v>187</v>
      </c>
      <c r="C38" s="112"/>
      <c r="D38" s="112"/>
      <c r="E38" s="112"/>
      <c r="F38" s="111"/>
      <c r="G38" s="112"/>
      <c r="H38" s="112"/>
      <c r="I38" s="112"/>
      <c r="J38" s="112"/>
      <c r="K38" s="112"/>
      <c r="L38" s="112"/>
      <c r="M38" s="112"/>
      <c r="N38" s="112"/>
      <c r="O38" s="135" t="str">
        <f>TEXT(Calculations!G273,"#,##")</f>
        <v>299</v>
      </c>
      <c r="P38" s="138">
        <f>IFERROR(Calculations!I273,"")</f>
        <v>28.9</v>
      </c>
      <c r="R38" s="244" t="s">
        <v>212</v>
      </c>
      <c r="S38" s="245"/>
      <c r="T38" s="245"/>
      <c r="U38" s="245"/>
      <c r="V38" s="244" t="s">
        <v>195</v>
      </c>
      <c r="W38" s="245"/>
      <c r="X38" s="245"/>
      <c r="Y38" s="245"/>
      <c r="Z38" s="244" t="s">
        <v>141</v>
      </c>
      <c r="AA38" s="245"/>
      <c r="AB38" s="245"/>
      <c r="AC38" s="245"/>
      <c r="AD38" s="244" t="s">
        <v>264</v>
      </c>
      <c r="AE38" s="245"/>
      <c r="AF38" s="245"/>
      <c r="AG38" s="245"/>
      <c r="AI38" s="86"/>
      <c r="AJ38" s="86"/>
      <c r="AK38" s="86"/>
      <c r="AL38" s="86"/>
      <c r="AM38" s="252"/>
      <c r="AN38" s="252"/>
      <c r="AO38" s="252"/>
      <c r="AP38" s="252"/>
      <c r="AQ38" s="252"/>
      <c r="AR38" s="252"/>
      <c r="AS38" s="252"/>
      <c r="AT38" s="252"/>
      <c r="AU38" s="252"/>
      <c r="AV38" s="252"/>
      <c r="AW38" s="252"/>
      <c r="AX38" s="252"/>
      <c r="AY38" s="252"/>
      <c r="AZ38" s="252"/>
      <c r="BA38" s="252"/>
      <c r="BB38" s="252"/>
    </row>
    <row r="39" spans="2:54" ht="17.25" customHeight="1" x14ac:dyDescent="0.45">
      <c r="B39" s="30" t="s">
        <v>207</v>
      </c>
      <c r="N39" s="30"/>
      <c r="O39" s="31" t="str">
        <f>TEXT(Calculations!G276,"0.00")</f>
        <v>0.43</v>
      </c>
      <c r="P39" s="82">
        <f>IFERROR(Calculations!I276,"")</f>
        <v>-1.3031733367755283E-2</v>
      </c>
      <c r="R39" s="246"/>
      <c r="S39" s="246"/>
      <c r="T39" s="246"/>
      <c r="U39" s="246"/>
      <c r="V39" s="246"/>
      <c r="W39" s="246"/>
      <c r="X39" s="246"/>
      <c r="Y39" s="246"/>
      <c r="Z39" s="246"/>
      <c r="AA39" s="246"/>
      <c r="AB39" s="246"/>
      <c r="AC39" s="246"/>
      <c r="AD39" s="246"/>
      <c r="AE39" s="246"/>
      <c r="AF39" s="246"/>
      <c r="AG39" s="246"/>
      <c r="AI39" s="30" t="s">
        <v>88</v>
      </c>
      <c r="AJ39" s="30"/>
      <c r="AK39" s="30"/>
      <c r="AL39" s="32"/>
      <c r="AM39" s="140" t="str">
        <f>TEXT(Calculations!$B168,"#,##0")</f>
        <v>527</v>
      </c>
      <c r="AN39" s="141"/>
      <c r="AO39" s="141"/>
      <c r="AP39" s="141"/>
      <c r="AQ39" s="228" t="str">
        <f>TEXT(Calculations!$B183,"#,##0")</f>
        <v>7,666</v>
      </c>
      <c r="AR39" s="229"/>
      <c r="AS39" s="229"/>
      <c r="AT39" s="229"/>
      <c r="AU39" s="228" t="str">
        <f>TEXT(Calculations!$B198,"#,##0")</f>
        <v>603</v>
      </c>
      <c r="AV39" s="229"/>
      <c r="AW39" s="229"/>
      <c r="AX39" s="229"/>
      <c r="AY39" s="228" t="str">
        <f>TEXT(Calculations!$B213,"#,##0")</f>
        <v>346</v>
      </c>
      <c r="AZ39" s="229"/>
      <c r="BA39" s="229"/>
      <c r="BB39" s="229"/>
    </row>
    <row r="40" spans="2:54" ht="15" customHeight="1" x14ac:dyDescent="0.45">
      <c r="B40" s="32" t="s">
        <v>159</v>
      </c>
      <c r="D40" s="26"/>
      <c r="E40" s="26"/>
      <c r="F40" s="26"/>
      <c r="G40" s="26"/>
      <c r="H40" s="26"/>
      <c r="I40" s="26"/>
      <c r="O40" s="193" t="str">
        <f>TEXT(Calculations!G274,"0.0%")</f>
        <v>97.3%</v>
      </c>
      <c r="P40" s="119">
        <f>IFERROR(Calculations!I274,"")</f>
        <v>8.9312439119408897E-4</v>
      </c>
      <c r="R40" s="152" t="str">
        <f>TEXT(Calculations!I65,"0.0%")</f>
        <v>4.0%</v>
      </c>
      <c r="S40" s="153"/>
      <c r="T40" s="154"/>
      <c r="U40" s="155"/>
      <c r="V40" s="152" t="str">
        <f>TEXT(Calculations!I66,"$0.00")&amp;" per m"</f>
        <v>$0.91 per m</v>
      </c>
      <c r="W40" s="153"/>
      <c r="X40" s="154"/>
      <c r="Y40" s="155"/>
      <c r="Z40" s="152" t="str">
        <f>TEXT(Calculations!I67,"$0")</f>
        <v>$87</v>
      </c>
      <c r="AA40" s="153"/>
      <c r="AB40" s="154"/>
      <c r="AC40" s="155"/>
      <c r="AD40" s="152" t="str">
        <f>TEXT(Calculations!I68,"0.0¢")&amp;" per GJ"</f>
        <v>50.1¢ per GJ</v>
      </c>
      <c r="AE40" s="153"/>
      <c r="AF40" s="154"/>
      <c r="AG40" s="155"/>
      <c r="AI40" s="210" t="s">
        <v>125</v>
      </c>
      <c r="AJ40" s="210"/>
      <c r="AK40" s="210"/>
      <c r="AL40" s="210"/>
      <c r="AM40" s="211" t="str">
        <f>TEXT(Calculations!$B169,"$#,##0.0")&amp;"m"</f>
        <v>$21.1m</v>
      </c>
      <c r="AN40" s="212"/>
      <c r="AO40" s="212"/>
      <c r="AP40" s="212"/>
      <c r="AQ40" s="211" t="str">
        <f>TEXT(Calculations!$B184,"$#,##0.0")&amp;"m"</f>
        <v>$13.1m</v>
      </c>
      <c r="AR40" s="212"/>
      <c r="AS40" s="212"/>
      <c r="AT40" s="212"/>
      <c r="AU40" s="211" t="str">
        <f>TEXT(Calculations!$B199,"$#,##0.0")&amp;"m"</f>
        <v>$8.1m</v>
      </c>
      <c r="AV40" s="212"/>
      <c r="AW40" s="212"/>
      <c r="AX40" s="212"/>
      <c r="AY40" s="211" t="str">
        <f>TEXT(Calculations!$B214,"$#,##0.0")&amp;"m"</f>
        <v>$55.1m</v>
      </c>
      <c r="AZ40" s="212"/>
      <c r="BA40" s="212"/>
      <c r="BB40" s="212"/>
    </row>
    <row r="41" spans="2:54" ht="15" customHeight="1" x14ac:dyDescent="0.45">
      <c r="B41" s="143" t="s">
        <v>160</v>
      </c>
      <c r="C41" s="92"/>
      <c r="D41" s="137"/>
      <c r="E41" s="137"/>
      <c r="F41" s="137"/>
      <c r="G41" s="137"/>
      <c r="H41" s="137"/>
      <c r="I41" s="137"/>
      <c r="J41" s="92"/>
      <c r="K41" s="92"/>
      <c r="L41" s="92"/>
      <c r="M41" s="92"/>
      <c r="N41" s="92"/>
      <c r="O41" s="194" t="str">
        <f>TEXT(Calculations!G275,"0.0%")</f>
        <v>100.0%</v>
      </c>
      <c r="P41" s="116">
        <f>IFERROR(Calculations!I275,"")</f>
        <v>0</v>
      </c>
      <c r="R41" s="247" t="s">
        <v>138</v>
      </c>
      <c r="S41" s="247"/>
      <c r="T41" s="247"/>
      <c r="U41" s="247"/>
      <c r="V41" s="247"/>
      <c r="X41" s="256" t="str">
        <f>"Average
("&amp;latest_year-2&amp;"–"&amp;latest_year&amp;")"</f>
        <v>Average
(2020–2022)</v>
      </c>
      <c r="Y41" s="256"/>
      <c r="Z41" s="256"/>
      <c r="AA41" s="256"/>
      <c r="AB41" s="256"/>
      <c r="AC41" s="258" t="s">
        <v>133</v>
      </c>
      <c r="AD41" s="258"/>
      <c r="AE41" s="258"/>
      <c r="AF41" s="259" t="s">
        <v>139</v>
      </c>
      <c r="AG41" s="259"/>
      <c r="AI41" s="30" t="s">
        <v>89</v>
      </c>
      <c r="AJ41" s="30"/>
      <c r="AK41" s="30"/>
      <c r="AL41" s="30"/>
      <c r="AM41" s="140" t="str">
        <f>IFERROR(TEXT(Calculations!$B172,"0.0%")&amp;" / "&amp;TEXT(Calculations!$B173,"0.0%"),"·")</f>
        <v>1.5% / 3.2%</v>
      </c>
      <c r="AN41" s="141"/>
      <c r="AO41" s="141"/>
      <c r="AP41" s="141"/>
      <c r="AQ41" s="140" t="str">
        <f>IFERROR(TEXT(Calculations!$B187,"0.0%")&amp;" / "&amp;TEXT(Calculations!$B188,"0.0%"),"·")</f>
        <v>0.1% / 2.0%</v>
      </c>
      <c r="AR41" s="141"/>
      <c r="AS41" s="141"/>
      <c r="AT41" s="141"/>
      <c r="AU41" s="140" t="str">
        <f>IFERROR(TEXT(Calculations!$B202,"0.0%")&amp;" / "&amp;TEXT(Calculations!$B203,"0.0%"),"·")</f>
        <v>0.2% / 1.8%</v>
      </c>
      <c r="AV41" s="141"/>
      <c r="AW41" s="141"/>
      <c r="AX41" s="141"/>
      <c r="AY41" s="140" t="str">
        <f>IFERROR(TEXT(Calculations!$B217,"0.0%")&amp;" / "&amp;TEXT(Calculations!$B218,"0.0%"),"·")</f>
        <v>0.3% / 23.5%</v>
      </c>
      <c r="AZ41" s="141"/>
      <c r="BA41" s="141"/>
      <c r="BB41" s="141"/>
    </row>
    <row r="42" spans="2:54" ht="15" customHeight="1" x14ac:dyDescent="0.45">
      <c r="P42" s="253" t="s">
        <v>133</v>
      </c>
      <c r="Q42" s="253"/>
      <c r="R42" s="247"/>
      <c r="S42" s="247"/>
      <c r="T42" s="247"/>
      <c r="U42" s="247"/>
      <c r="V42" s="247"/>
      <c r="X42" s="257"/>
      <c r="Y42" s="257"/>
      <c r="Z42" s="257"/>
      <c r="AA42" s="257"/>
      <c r="AB42" s="257"/>
      <c r="AC42" s="258"/>
      <c r="AD42" s="258"/>
      <c r="AE42" s="258"/>
      <c r="AF42" s="259"/>
      <c r="AG42" s="259"/>
      <c r="AI42" s="30" t="s">
        <v>104</v>
      </c>
      <c r="AJ42" s="30"/>
      <c r="AK42" s="30"/>
      <c r="AL42" s="30"/>
      <c r="AM42" s="140" t="str">
        <f>IFERROR(TEXT(Calculations!$B176,"0.0%"),"·")</f>
        <v>0.0%</v>
      </c>
      <c r="AN42" s="141"/>
      <c r="AO42" s="141"/>
      <c r="AP42" s="141"/>
      <c r="AQ42" s="140" t="str">
        <f>IFERROR(TEXT(Calculations!$B191,"0.0%"),"·")</f>
        <v>20.1%</v>
      </c>
      <c r="AR42" s="141"/>
      <c r="AS42" s="141"/>
      <c r="AT42" s="141"/>
      <c r="AU42" s="140" t="str">
        <f>IFERROR(TEXT(Calculations!$B206,"0.0%"),"·")</f>
        <v>0.2%</v>
      </c>
      <c r="AV42" s="141"/>
      <c r="AW42" s="141"/>
      <c r="AX42" s="141"/>
      <c r="AY42" s="140" t="str">
        <f>IFERROR(TEXT(Calculations!$B221,"0.0%"),"·")</f>
        <v>1.8%</v>
      </c>
      <c r="AZ42" s="141"/>
      <c r="BA42" s="141"/>
      <c r="BB42" s="141"/>
    </row>
    <row r="43" spans="2:54" ht="15" customHeight="1" x14ac:dyDescent="0.55000000000000004">
      <c r="B43" s="109" t="s">
        <v>8560</v>
      </c>
      <c r="C43" s="92"/>
      <c r="D43" s="92"/>
      <c r="E43" s="92"/>
      <c r="F43" s="92"/>
      <c r="G43" s="92"/>
      <c r="H43" s="92"/>
      <c r="I43" s="92"/>
      <c r="J43" s="92"/>
      <c r="K43" s="92"/>
      <c r="L43" s="92"/>
      <c r="M43" s="92"/>
      <c r="O43" s="171"/>
      <c r="P43" s="253"/>
      <c r="Q43" s="253"/>
      <c r="R43" s="110" t="str">
        <f>Calculations!A55</f>
        <v>Business support</v>
      </c>
      <c r="S43" s="110"/>
      <c r="T43" s="110"/>
      <c r="U43" s="110"/>
      <c r="V43" s="110"/>
      <c r="W43" s="112"/>
      <c r="X43" s="110"/>
      <c r="Y43" s="110"/>
      <c r="Z43" s="110"/>
      <c r="AA43" s="110"/>
      <c r="AB43" s="135" t="str">
        <f>TEXT(Calculations!I55,"$0.00")&amp;"m"</f>
        <v>$16.54m</v>
      </c>
      <c r="AC43" s="138"/>
      <c r="AD43" s="138"/>
      <c r="AE43" s="138"/>
      <c r="AF43" s="110"/>
      <c r="AG43" s="146" t="str">
        <f>TEXT(Calculations!J55,"0.0%")</f>
        <v>38.2%</v>
      </c>
      <c r="AI43" s="139" t="s">
        <v>84</v>
      </c>
      <c r="AJ43" s="139"/>
      <c r="AK43" s="139"/>
      <c r="AL43" s="139"/>
      <c r="AM43" s="144" t="str">
        <f>IFERROR(TEXT(Calculations!$B171,"0")&amp;" years","·")</f>
        <v>27 years</v>
      </c>
      <c r="AN43" s="145"/>
      <c r="AO43" s="145"/>
      <c r="AP43" s="145"/>
      <c r="AQ43" s="144" t="str">
        <f>IFERROR(TEXT(Calculations!$B186,"0")&amp;" years","·")</f>
        <v>26 years</v>
      </c>
      <c r="AR43" s="145"/>
      <c r="AS43" s="145"/>
      <c r="AT43" s="145"/>
      <c r="AU43" s="144" t="str">
        <f>IFERROR(TEXT(Calculations!$B201,"0")&amp;" years","·")</f>
        <v>33 years</v>
      </c>
      <c r="AV43" s="145"/>
      <c r="AW43" s="145"/>
      <c r="AX43" s="145"/>
      <c r="AY43" s="144" t="str">
        <f>IFERROR(TEXT(Calculations!$B216,"0")&amp;" years","·")</f>
        <v>19 years</v>
      </c>
      <c r="AZ43" s="145"/>
      <c r="BA43" s="145"/>
      <c r="BB43" s="145"/>
    </row>
    <row r="44" spans="2:54" ht="15" customHeight="1" x14ac:dyDescent="0.45">
      <c r="B44" s="30" t="s">
        <v>273</v>
      </c>
      <c r="D44" s="30"/>
      <c r="E44" s="30"/>
      <c r="F44" s="28"/>
      <c r="G44" s="29"/>
      <c r="H44" s="28"/>
      <c r="N44" s="112"/>
      <c r="O44" s="113" t="str">
        <f>TEXT(Calculations!G257,"#,##")</f>
        <v>891</v>
      </c>
      <c r="P44" s="254">
        <f>IFERROR(Calculations!I267,"")</f>
        <v>44</v>
      </c>
      <c r="R44" s="30" t="str">
        <f>Calculations!A56</f>
        <v>System operations &amp; network support</v>
      </c>
      <c r="S44" s="30"/>
      <c r="T44" s="30"/>
      <c r="U44" s="30"/>
      <c r="V44" s="30"/>
      <c r="X44" s="30"/>
      <c r="Y44" s="30"/>
      <c r="Z44" s="30"/>
      <c r="AA44" s="30"/>
      <c r="AB44" s="31" t="str">
        <f>TEXT(Calculations!I56,"$0.00")&amp;"m"</f>
        <v>$9.88m</v>
      </c>
      <c r="AC44" s="82"/>
      <c r="AD44" s="82"/>
      <c r="AE44" s="82"/>
      <c r="AF44" s="30"/>
      <c r="AG44" s="37" t="str">
        <f>TEXT(Calculations!J56,"0.0%")</f>
        <v>22.8%</v>
      </c>
      <c r="AI44" s="30" t="s">
        <v>150</v>
      </c>
      <c r="AJ44" s="30"/>
      <c r="AK44" s="30"/>
      <c r="AL44" s="32"/>
      <c r="AM44" s="140" t="str">
        <f>IFERROR(TEXT(Calculations!B170,"#,##0")&amp;" ("&amp;TEXT(Calculations!C170,"0.0%")&amp;")","·")</f>
        <v>200 (38.0%)</v>
      </c>
      <c r="AN44" s="141"/>
      <c r="AO44" s="141"/>
      <c r="AP44" s="141"/>
      <c r="AQ44" s="140" t="str">
        <f>IFERROR(TEXT(Calculations!$B185,"#,##0")&amp;" ("&amp;TEXT(Calculations!$C185,"0.0%")&amp;")","·")</f>
        <v>0 (0.0%)</v>
      </c>
      <c r="AR44" s="141"/>
      <c r="AS44" s="141"/>
      <c r="AT44" s="141"/>
      <c r="AU44" s="140" t="str">
        <f>IFERROR(TEXT(Calculations!$B200,"#,##0")&amp;" ("&amp;TEXT(Calculations!$C200,"0.0%")&amp;")","·")</f>
        <v>0 (0.0%)</v>
      </c>
      <c r="AV44" s="141"/>
      <c r="AW44" s="141"/>
      <c r="AX44" s="141"/>
      <c r="AY44" s="140" t="str">
        <f>IFERROR(TEXT(Calculations!$B215,"#,##0")&amp;" ("&amp;TEXT(Calculations!$C215,"0.0%")&amp;")","·")</f>
        <v>176 (50.9%)</v>
      </c>
      <c r="AZ44" s="141"/>
      <c r="BA44" s="141"/>
      <c r="BB44" s="141"/>
    </row>
    <row r="45" spans="2:54" ht="15" customHeight="1" x14ac:dyDescent="0.45">
      <c r="B45" s="30" t="s">
        <v>274</v>
      </c>
      <c r="D45" s="30"/>
      <c r="E45" s="30"/>
      <c r="F45" s="30"/>
      <c r="H45" s="30"/>
      <c r="O45" s="25" t="str">
        <f>TEXT(Calculations!G253,"#,##")</f>
        <v>472</v>
      </c>
      <c r="P45" s="255"/>
      <c r="R45" s="48" t="str">
        <f>Calculations!A57</f>
        <v>Routine &amp; corrective maintenance</v>
      </c>
      <c r="S45" s="48"/>
      <c r="T45" s="48"/>
      <c r="U45" s="48"/>
      <c r="V45" s="48"/>
      <c r="W45" s="49"/>
      <c r="X45" s="48"/>
      <c r="Y45" s="48"/>
      <c r="Z45" s="48"/>
      <c r="AA45" s="48"/>
      <c r="AB45" s="50" t="str">
        <f>TEXT(Calculations!I57,"$0.00")&amp;"m"</f>
        <v>$7.77m</v>
      </c>
      <c r="AC45" s="64"/>
      <c r="AD45" s="64"/>
      <c r="AE45" s="64"/>
      <c r="AF45" s="48"/>
      <c r="AG45" s="52" t="str">
        <f>TEXT(Calculations!J57,"0.0%")</f>
        <v>17.9%</v>
      </c>
      <c r="AI45" s="30" t="s">
        <v>103</v>
      </c>
      <c r="AJ45" s="30"/>
      <c r="AK45" s="30"/>
      <c r="AL45" s="32"/>
      <c r="AM45" s="140" t="str">
        <f>IFERROR(TEXT(Calculations!$C175,"0.0%"),"·")</f>
        <v>0.4%</v>
      </c>
      <c r="AN45" s="141"/>
      <c r="AO45" s="141"/>
      <c r="AP45" s="141"/>
      <c r="AQ45" s="140" t="str">
        <f>IFERROR(TEXT(Calculations!$C190,"0.0%"),"·")</f>
        <v>1.3%</v>
      </c>
      <c r="AR45" s="141"/>
      <c r="AS45" s="141"/>
      <c r="AT45" s="141"/>
      <c r="AU45" s="140" t="str">
        <f>IFERROR(TEXT(Calculations!$C205,"0.0%"),"·")</f>
        <v>1.8%</v>
      </c>
      <c r="AV45" s="141"/>
      <c r="AW45" s="141"/>
      <c r="AX45" s="141"/>
      <c r="AY45" s="140" t="str">
        <f>IFERROR(TEXT(Calculations!$C220,"0.0%"),"·")</f>
        <v>2.6%</v>
      </c>
      <c r="AZ45" s="141"/>
      <c r="BA45" s="141"/>
      <c r="BB45" s="141"/>
    </row>
    <row r="46" spans="2:54" ht="15" customHeight="1" x14ac:dyDescent="0.45">
      <c r="B46" s="30" t="s">
        <v>7</v>
      </c>
      <c r="O46" s="25" t="str">
        <f>TEXT(Calculations!G277,"0.0")&amp;"/100km"</f>
        <v>7.2/100km</v>
      </c>
      <c r="P46" s="119">
        <f>IFERROR(Calculations!I277,"")</f>
        <v>0.1588750802118426</v>
      </c>
      <c r="R46" s="30" t="str">
        <f>Calculations!A58</f>
        <v>Service interruptions &amp; emergencies</v>
      </c>
      <c r="S46" s="30"/>
      <c r="T46" s="30"/>
      <c r="U46" s="30"/>
      <c r="V46" s="30"/>
      <c r="X46" s="30"/>
      <c r="Y46" s="30"/>
      <c r="Z46" s="30"/>
      <c r="AA46" s="30"/>
      <c r="AB46" s="31" t="str">
        <f>TEXT(Calculations!I58,"$0.00")&amp;"m"</f>
        <v>$6.19m</v>
      </c>
      <c r="AC46" s="82"/>
      <c r="AD46" s="82"/>
      <c r="AE46" s="82"/>
      <c r="AF46" s="30"/>
      <c r="AG46" s="37" t="str">
        <f>TEXT(Calculations!J58,"0.0%")</f>
        <v>14.3%</v>
      </c>
      <c r="AI46" s="139" t="s">
        <v>142</v>
      </c>
      <c r="AJ46" s="139"/>
      <c r="AK46" s="139"/>
      <c r="AL46" s="139"/>
      <c r="AM46" s="127"/>
      <c r="AN46" s="139"/>
      <c r="AO46" s="139" t="str">
        <f>IFERROR(TEXT(Calculations!$C177,"0.0%"),"·")</f>
        <v>3.1%</v>
      </c>
      <c r="AP46" s="145"/>
      <c r="AQ46" s="144" t="str">
        <f>IFERROR(TEXT(Calculations!$C192,"0.0%"),"·")</f>
        <v>1.1%</v>
      </c>
      <c r="AR46" s="145"/>
      <c r="AS46" s="145"/>
      <c r="AT46" s="145"/>
      <c r="AU46" s="144" t="str">
        <f>IFERROR(TEXT(Calculations!$C207,"0.0%"),"·")</f>
        <v>1.1%</v>
      </c>
      <c r="AV46" s="145"/>
      <c r="AW46" s="145"/>
      <c r="AX46" s="145"/>
      <c r="AY46" s="144" t="str">
        <f>IFERROR(TEXT(Calculations!$C222,"0.0%"),"·")</f>
        <v>12.1%</v>
      </c>
      <c r="AZ46" s="145"/>
      <c r="BA46" s="145"/>
      <c r="BB46" s="145"/>
    </row>
    <row r="47" spans="2:54" ht="15" customHeight="1" x14ac:dyDescent="0.45">
      <c r="B47" s="48" t="s">
        <v>8561</v>
      </c>
      <c r="C47" s="49"/>
      <c r="D47" s="49"/>
      <c r="E47" s="49"/>
      <c r="F47" s="49"/>
      <c r="G47" s="49"/>
      <c r="H47" s="49"/>
      <c r="I47" s="49"/>
      <c r="J47" s="49"/>
      <c r="K47" s="49"/>
      <c r="L47" s="49"/>
      <c r="M47" s="49"/>
      <c r="N47" s="49"/>
      <c r="O47" s="51" t="str">
        <f>TEXT(Calculations!G279,"0.0")&amp;"/1000km"</f>
        <v>356.0/1000km</v>
      </c>
      <c r="P47" s="118">
        <f>IFERROR(Calculations!I279,"")</f>
        <v>62.047263393682144</v>
      </c>
      <c r="R47" s="30" t="str">
        <f>Calculations!A59</f>
        <v>Asset replacement &amp; renewal</v>
      </c>
      <c r="S47" s="30"/>
      <c r="T47" s="30"/>
      <c r="U47" s="30"/>
      <c r="V47" s="30"/>
      <c r="X47" s="30"/>
      <c r="Y47" s="30"/>
      <c r="Z47" s="30"/>
      <c r="AA47" s="30"/>
      <c r="AB47" s="31" t="str">
        <f>TEXT(Calculations!I59,"$0.00")&amp;"m"</f>
        <v>$2.95m</v>
      </c>
      <c r="AC47" s="82"/>
      <c r="AD47" s="82"/>
      <c r="AE47" s="82"/>
      <c r="AF47" s="30"/>
      <c r="AG47" s="37" t="str">
        <f>TEXT(Calculations!J59,"0.0%")</f>
        <v>6.8%</v>
      </c>
      <c r="AI47" s="30" t="s">
        <v>143</v>
      </c>
      <c r="AJ47" s="30"/>
      <c r="AK47" s="30"/>
      <c r="AL47" s="30"/>
      <c r="AN47" s="30"/>
      <c r="AO47" s="30" t="str">
        <f>IFERROR(TEXT(Calculations!$B177,"0.0%"),"·")</f>
        <v>2.3%</v>
      </c>
      <c r="AP47" s="141"/>
      <c r="AQ47" s="140" t="str">
        <f>IFERROR(TEXT(Calculations!$B192,"0.0%"),"·")</f>
        <v>0.1%</v>
      </c>
      <c r="AR47" s="141"/>
      <c r="AS47" s="141"/>
      <c r="AT47" s="141"/>
      <c r="AU47" s="140" t="str">
        <f>IFERROR(TEXT(Calculations!$B207,"0.0%"),"·")</f>
        <v>10.7%</v>
      </c>
      <c r="AV47" s="141"/>
      <c r="AW47" s="141"/>
      <c r="AX47" s="141"/>
      <c r="AY47" s="140" t="str">
        <f>IFERROR(TEXT(Calculations!$B222,"0.0%"),"·")</f>
        <v>22.5%</v>
      </c>
      <c r="AZ47" s="141"/>
      <c r="BA47" s="141"/>
      <c r="BB47" s="141"/>
    </row>
    <row r="48" spans="2:54" ht="15" customHeight="1" x14ac:dyDescent="0.45">
      <c r="B48" s="30" t="s">
        <v>302</v>
      </c>
      <c r="O48" s="25" t="str">
        <f>TEXT(Calculations!G268,"0")</f>
        <v>1815</v>
      </c>
      <c r="P48" s="119">
        <f>IFERROR(Calculations!I268,"")</f>
        <v>-19.304248046874999</v>
      </c>
      <c r="R48" s="53" t="s">
        <v>63</v>
      </c>
      <c r="S48" s="53"/>
      <c r="T48" s="53"/>
      <c r="U48" s="53"/>
      <c r="V48" s="53"/>
      <c r="W48" s="148"/>
      <c r="X48" s="53"/>
      <c r="Y48" s="53"/>
      <c r="Z48" s="53"/>
      <c r="AA48" s="53"/>
      <c r="AB48" s="54" t="str">
        <f>TEXT(Calculations!I62,"$0.00")&amp;"m"</f>
        <v>$43.34m</v>
      </c>
      <c r="AC48" s="81"/>
      <c r="AD48" s="81"/>
      <c r="AE48" s="81"/>
      <c r="AF48" s="53"/>
      <c r="AG48" s="136" t="str">
        <f>TEXT(Calculations!J62,"0.0%")</f>
        <v>100.0%</v>
      </c>
      <c r="AI48" s="30" t="s">
        <v>108</v>
      </c>
      <c r="AJ48" s="30"/>
      <c r="AK48" s="30"/>
      <c r="AL48" s="32"/>
      <c r="AN48" s="82"/>
      <c r="AO48" s="82" t="str">
        <f>TEXT(Calculations!$O233*1000,"$#,0")&amp;"k  ("&amp;IFERROR(TEXT(Calculations!$P233,"+0%;-0%"),"")&amp;")"</f>
        <v>$2,236k  (+71%)</v>
      </c>
      <c r="AQ48" s="140" t="str">
        <f>TEXT(Calculations!$O234*1000,"$#,0")&amp;"k  ("&amp;IFERROR(TEXT(Calculations!$P234,"+0%;-0%"),"")&amp;")"</f>
        <v>$658k  (+46%)</v>
      </c>
      <c r="AR48" s="141"/>
      <c r="AS48" s="141"/>
      <c r="AT48" s="141"/>
      <c r="AU48" s="140" t="str">
        <f>TEXT(Calculations!$O235*1000,"$#,0")&amp;"k  ("&amp;IFERROR(TEXT(Calculations!$P235,"+0%;-0%"),"")&amp;")"</f>
        <v>$747k  (+5%)</v>
      </c>
      <c r="AV48" s="141"/>
      <c r="AW48" s="141"/>
      <c r="AX48" s="141"/>
      <c r="AY48" s="140" t="str">
        <f>TEXT(Calculations!$O236*1000,"$#,0")&amp;"k  ("&amp;IFERROR(TEXT(Calculations!$P236,"+0%;-0%"),"")&amp;")"</f>
        <v>$524k  (-22%)</v>
      </c>
      <c r="AZ48" s="141"/>
      <c r="BA48" s="141"/>
      <c r="BB48" s="141"/>
    </row>
    <row r="49" spans="2:54" ht="15" customHeight="1" x14ac:dyDescent="0.5">
      <c r="B49" s="86" t="s">
        <v>303</v>
      </c>
      <c r="C49" s="92"/>
      <c r="D49" s="92"/>
      <c r="E49" s="92"/>
      <c r="F49" s="92"/>
      <c r="G49" s="92"/>
      <c r="H49" s="92"/>
      <c r="I49" s="92"/>
      <c r="J49" s="92"/>
      <c r="K49" s="92"/>
      <c r="L49" s="92"/>
      <c r="M49" s="92"/>
      <c r="N49" s="92"/>
      <c r="O49" s="90" t="str">
        <f>TEXT(Calculations!G269,"0.00")</f>
        <v>8.77</v>
      </c>
      <c r="P49" s="116">
        <f>IFERROR(Calculations!I269,"")</f>
        <v>-0.20651025772094728</v>
      </c>
      <c r="Q49" s="36"/>
      <c r="R49" s="94"/>
      <c r="S49" s="95" t="s">
        <v>102</v>
      </c>
      <c r="T49" s="94"/>
      <c r="U49" s="94"/>
      <c r="V49" s="94"/>
      <c r="W49" s="149"/>
      <c r="X49" s="94"/>
      <c r="Y49" s="94"/>
      <c r="Z49" s="94"/>
      <c r="AA49" s="94"/>
      <c r="AB49" s="96" t="str">
        <f>TEXT(Calculations!I63,"$0.00")&amp;"m"</f>
        <v>$7.31m</v>
      </c>
      <c r="AC49" s="97"/>
      <c r="AD49" s="97"/>
      <c r="AE49" s="97"/>
      <c r="AF49" s="94"/>
      <c r="AG49" s="98" t="str">
        <f>TEXT(Calculations!J63,"0.0%")</f>
        <v>16.9%</v>
      </c>
      <c r="AI49" s="86" t="s">
        <v>109</v>
      </c>
      <c r="AJ49" s="92"/>
      <c r="AK49" s="92"/>
      <c r="AL49" s="92"/>
      <c r="AM49" s="92"/>
      <c r="AN49" s="92"/>
      <c r="AO49" s="92"/>
      <c r="AP49" s="92"/>
      <c r="AQ49" s="92"/>
      <c r="AR49" s="92"/>
      <c r="AS49" s="92"/>
      <c r="AT49" s="92"/>
      <c r="AU49" s="92"/>
      <c r="AV49" s="92"/>
      <c r="AW49" s="92"/>
      <c r="AX49" s="92"/>
      <c r="AY49" s="142"/>
      <c r="AZ49" s="142"/>
      <c r="BA49" s="142"/>
      <c r="BB49" s="142"/>
    </row>
    <row r="50" spans="2:54" ht="3.75" customHeight="1" x14ac:dyDescent="0.5">
      <c r="C50" s="36"/>
      <c r="D50" s="36"/>
      <c r="E50" s="36"/>
      <c r="F50" s="36"/>
      <c r="G50" s="36"/>
      <c r="H50" s="36"/>
      <c r="I50" s="36"/>
      <c r="J50" s="36"/>
      <c r="K50" s="36"/>
      <c r="L50" s="36"/>
      <c r="M50" s="36"/>
      <c r="P50" s="36"/>
      <c r="Q50" s="36"/>
    </row>
    <row r="51" spans="2:54" ht="18" customHeight="1" x14ac:dyDescent="0.45"/>
    <row r="52" spans="2:54" ht="18" customHeight="1" x14ac:dyDescent="0.45">
      <c r="Q52" s="25"/>
    </row>
    <row r="53" spans="2:54" ht="18" customHeight="1" x14ac:dyDescent="0.45"/>
    <row r="54" spans="2:54" ht="18" customHeight="1" x14ac:dyDescent="0.55000000000000004">
      <c r="AI54" s="45"/>
      <c r="AN54" s="36"/>
      <c r="AO54" s="36"/>
      <c r="AP54" s="36"/>
      <c r="AQ54" s="36"/>
    </row>
    <row r="55" spans="2:54" ht="18" customHeight="1" x14ac:dyDescent="0.45"/>
    <row r="56" spans="2:54" ht="18" customHeight="1" x14ac:dyDescent="0.45">
      <c r="AM56" s="29"/>
      <c r="AN56" s="29"/>
      <c r="AO56" s="29"/>
      <c r="AP56" s="29"/>
      <c r="AQ56" s="29"/>
      <c r="AR56" s="29"/>
    </row>
    <row r="57" spans="2:54" ht="18" customHeight="1" x14ac:dyDescent="0.45">
      <c r="AI57" s="28"/>
      <c r="AJ57" s="28"/>
      <c r="AK57" s="28"/>
      <c r="AL57" s="28"/>
      <c r="AM57" s="29"/>
      <c r="AN57" s="29"/>
      <c r="AO57" s="29"/>
      <c r="AP57" s="29"/>
      <c r="AQ57" s="29"/>
      <c r="AR57" s="29"/>
    </row>
    <row r="58" spans="2:54" ht="18" customHeight="1" x14ac:dyDescent="0.45">
      <c r="AI58" s="30"/>
      <c r="AK58" s="30"/>
      <c r="AL58" s="30"/>
      <c r="AN58" s="29"/>
      <c r="AO58" s="31"/>
      <c r="AP58" s="30"/>
      <c r="AQ58" s="30"/>
      <c r="AR58" s="31"/>
    </row>
    <row r="59" spans="2:54" ht="18" customHeight="1" x14ac:dyDescent="0.45"/>
    <row r="60" spans="2:54" x14ac:dyDescent="0.45">
      <c r="AI60" s="30"/>
      <c r="AJ60" s="30"/>
    </row>
    <row r="61" spans="2:54" x14ac:dyDescent="0.45">
      <c r="U61" s="30"/>
      <c r="V61" s="30"/>
      <c r="AI61" s="30"/>
      <c r="AJ61" s="30"/>
      <c r="AL61" s="30"/>
      <c r="AN61" s="29"/>
      <c r="AO61" s="31"/>
      <c r="AP61" s="30"/>
      <c r="AQ61" s="30"/>
      <c r="AR61" s="31"/>
    </row>
    <row r="63" spans="2:54" x14ac:dyDescent="0.45">
      <c r="R63" s="30"/>
      <c r="S63" s="30"/>
      <c r="T63" s="30"/>
      <c r="U63" s="30"/>
      <c r="V63" s="30"/>
      <c r="W63" s="30"/>
      <c r="X63" s="30"/>
      <c r="Y63" s="30"/>
      <c r="Z63" s="30"/>
    </row>
    <row r="64" spans="2:54" x14ac:dyDescent="0.45">
      <c r="R64" s="30"/>
      <c r="S64" s="30"/>
      <c r="T64" s="30"/>
      <c r="U64" s="29"/>
      <c r="V64" s="28"/>
      <c r="W64" s="28"/>
      <c r="X64" s="30"/>
      <c r="Y64" s="30"/>
      <c r="Z64" s="30"/>
    </row>
    <row r="71" spans="35:44" x14ac:dyDescent="0.45">
      <c r="AI71" s="117"/>
      <c r="AJ71" s="117"/>
      <c r="AK71" s="30"/>
      <c r="AL71" s="30"/>
      <c r="AM71" s="30"/>
      <c r="AN71" s="31"/>
      <c r="AO71" s="30"/>
      <c r="AP71" s="30"/>
      <c r="AQ71" s="31"/>
      <c r="AR71" s="30"/>
    </row>
    <row r="72" spans="35:44" x14ac:dyDescent="0.45">
      <c r="AI72" s="117"/>
      <c r="AJ72" s="117"/>
      <c r="AK72" s="117"/>
      <c r="AL72" s="30"/>
      <c r="AM72" s="31"/>
      <c r="AN72" s="31"/>
      <c r="AO72" s="31"/>
      <c r="AP72" s="31"/>
      <c r="AQ72" s="31"/>
    </row>
  </sheetData>
  <mergeCells count="67">
    <mergeCell ref="R41:V42"/>
    <mergeCell ref="X41:AB42"/>
    <mergeCell ref="AC41:AE42"/>
    <mergeCell ref="AF41:AG42"/>
    <mergeCell ref="AI17:AL18"/>
    <mergeCell ref="X17:AB18"/>
    <mergeCell ref="AC17:AE18"/>
    <mergeCell ref="AF17:AG18"/>
    <mergeCell ref="R38:U39"/>
    <mergeCell ref="V38:Y39"/>
    <mergeCell ref="Z38:AC39"/>
    <mergeCell ref="AD38:AG39"/>
    <mergeCell ref="P42:Q43"/>
    <mergeCell ref="P44:P45"/>
    <mergeCell ref="I15:K15"/>
    <mergeCell ref="I16:K16"/>
    <mergeCell ref="O18:P18"/>
    <mergeCell ref="P36:Q37"/>
    <mergeCell ref="AY39:BB39"/>
    <mergeCell ref="AI36:AL37"/>
    <mergeCell ref="AY18:BB19"/>
    <mergeCell ref="AY37:BB38"/>
    <mergeCell ref="AU18:AX19"/>
    <mergeCell ref="AQ18:AT19"/>
    <mergeCell ref="AM37:AP38"/>
    <mergeCell ref="AQ37:AT38"/>
    <mergeCell ref="AU37:AX38"/>
    <mergeCell ref="AM18:AP19"/>
    <mergeCell ref="AU39:AX39"/>
    <mergeCell ref="V14:Y15"/>
    <mergeCell ref="Z14:AC15"/>
    <mergeCell ref="AD14:AG15"/>
    <mergeCell ref="R17:V18"/>
    <mergeCell ref="O17:P17"/>
    <mergeCell ref="O16:P16"/>
    <mergeCell ref="R14:U15"/>
    <mergeCell ref="AP2:AS2"/>
    <mergeCell ref="AQ39:AT39"/>
    <mergeCell ref="I7:K7"/>
    <mergeCell ref="I8:K8"/>
    <mergeCell ref="O19:P19"/>
    <mergeCell ref="I19:K19"/>
    <mergeCell ref="J4:K5"/>
    <mergeCell ref="L4:N5"/>
    <mergeCell ref="O4:P5"/>
    <mergeCell ref="O7:P7"/>
    <mergeCell ref="O8:P8"/>
    <mergeCell ref="O15:P15"/>
    <mergeCell ref="AT11:AW13"/>
    <mergeCell ref="AR11:AS11"/>
    <mergeCell ref="B2:N2"/>
    <mergeCell ref="O6:P6"/>
    <mergeCell ref="I6:K6"/>
    <mergeCell ref="I17:K17"/>
    <mergeCell ref="I18:K18"/>
    <mergeCell ref="I9:K9"/>
    <mergeCell ref="I10:K10"/>
    <mergeCell ref="I11:K11"/>
    <mergeCell ref="I13:K13"/>
    <mergeCell ref="O9:P9"/>
    <mergeCell ref="O10:P10"/>
    <mergeCell ref="O11:P11"/>
    <mergeCell ref="I12:K12"/>
    <mergeCell ref="I14:K14"/>
    <mergeCell ref="O14:P14"/>
    <mergeCell ref="O12:P12"/>
    <mergeCell ref="O13:P13"/>
  </mergeCells>
  <conditionalFormatting sqref="AR8:AS9 AR11:AS11 AT11:AW14">
    <cfRule type="containsText" dxfId="4" priority="18" operator="containsText" text="n">
      <formula>NOT(ISERROR(SEARCH("n",AR8)))</formula>
    </cfRule>
  </conditionalFormatting>
  <dataValidations count="1">
    <dataValidation type="list" allowBlank="1" showInputMessage="1" showErrorMessage="1" sqref="AP2:AS2" xr:uid="{00000000-0002-0000-0200-000000000000}">
      <formula1>"2017,2018,2019,2020,2021,2022"</formula1>
    </dataValidation>
  </dataValidations>
  <hyperlinks>
    <hyperlink ref="AL2:AN2" r:id="rId1" display="Link" xr:uid="{00000000-0004-0000-0200-000000000000}"/>
    <hyperlink ref="AN2" r:id="rId2" xr:uid="{00000000-0004-0000-0200-000001000000}"/>
    <hyperlink ref="AD2" r:id="rId3" tooltip="iwl:dms=COPPER&amp;&amp;lib=iManage&amp;&amp;num=1847068&amp;&amp;ver=18&amp;&amp;latest=1" xr:uid="{00000000-0004-0000-0200-000002000000}"/>
  </hyperlinks>
  <printOptions horizontalCentered="1" verticalCentered="1"/>
  <pageMargins left="0" right="0" top="0.39370078740157" bottom="0.19685039370078999" header="0" footer="0"/>
  <pageSetup paperSize="8" scale="106" orientation="landscape" r:id="rId4"/>
  <rowBreaks count="1" manualBreakCount="1">
    <brk id="49" max="54" man="1"/>
  </rowBreaks>
  <colBreaks count="1" manualBreakCount="1">
    <brk id="55" min="1" max="35" man="1"/>
  </colBreaks>
  <drawing r:id="rId5"/>
  <legacyDrawing r:id="rId6"/>
  <extLst>
    <ext xmlns:x14="http://schemas.microsoft.com/office/spreadsheetml/2009/9/main" uri="{78C0D931-6437-407d-A8EE-F0AAD7539E65}">
      <x14:conditionalFormattings>
        <x14:conditionalFormatting xmlns:xm="http://schemas.microsoft.com/office/excel/2006/main">
          <x14:cfRule type="iconSet" priority="16" id="{BA2C7959-7B52-4374-BA21-C08D95BBAEB7}">
            <x14:iconSet iconSet="3ArrowsGray" showValue="0" custom="1">
              <x14:cfvo type="percent">
                <xm:f>0</xm:f>
              </x14:cfvo>
              <x14:cfvo type="num">
                <xm:f>0</xm:f>
              </x14:cfvo>
              <x14:cfvo type="num" gte="0">
                <xm:f>0</xm:f>
              </x14:cfvo>
              <x14:cfIcon iconSet="3ArrowsGray" iconId="0"/>
              <x14:cfIcon iconSet="5Quarters" iconId="0"/>
              <x14:cfIcon iconSet="3ArrowsGray" iconId="2"/>
            </x14:iconSet>
          </x14:cfRule>
          <xm:sqref>P38:P41 P44:P46 P48:P49</xm:sqref>
        </x14:conditionalFormatting>
        <x14:conditionalFormatting xmlns:xm="http://schemas.microsoft.com/office/excel/2006/main">
          <x14:cfRule type="iconSet" priority="1" id="{2EE243FF-8126-4F88-A67C-D7BAEFDCC0DE}">
            <x14:iconSet iconSet="3ArrowsGray" showValue="0" custom="1">
              <x14:cfvo type="percent">
                <xm:f>0</xm:f>
              </x14:cfvo>
              <x14:cfvo type="num">
                <xm:f>0</xm:f>
              </x14:cfvo>
              <x14:cfvo type="num" gte="0">
                <xm:f>0</xm:f>
              </x14:cfvo>
              <x14:cfIcon iconSet="3ArrowsGray" iconId="0"/>
              <x14:cfIcon iconSet="5Quarters" iconId="0"/>
              <x14:cfIcon iconSet="3ArrowsGray" iconId="2"/>
            </x14:iconSet>
          </x14:cfRule>
          <xm:sqref>P47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6B395B8-0E6C-4C01-B753-3708EBDE6D06}">
          <x14:formula1>
            <xm:f>'company details'!$B$1:$F$1</xm:f>
          </x14:formula1>
          <xm:sqref>B2:N2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AE63A"/>
  </sheetPr>
  <dimension ref="A1:AB281"/>
  <sheetViews>
    <sheetView topLeftCell="A201" zoomScale="115" zoomScaleNormal="115" workbookViewId="0">
      <selection activeCell="B213" sqref="B213"/>
    </sheetView>
  </sheetViews>
  <sheetFormatPr defaultRowHeight="14.25" x14ac:dyDescent="0.45"/>
  <cols>
    <col min="1" max="1" width="37" style="16" customWidth="1"/>
    <col min="2" max="6" width="12.73046875" customWidth="1"/>
    <col min="7" max="7" width="11" bestFit="1" customWidth="1"/>
    <col min="8" max="8" width="12.73046875" bestFit="1" customWidth="1"/>
    <col min="9" max="11" width="11" bestFit="1" customWidth="1"/>
    <col min="12" max="12" width="10.33203125" customWidth="1"/>
    <col min="13" max="37" width="10" customWidth="1"/>
  </cols>
  <sheetData>
    <row r="1" spans="1:23" ht="25.5" x14ac:dyDescent="0.75">
      <c r="A1" s="75" t="str">
        <f>'One-pager'!B2</f>
        <v>Industry</v>
      </c>
      <c r="B1" s="75"/>
      <c r="F1" t="b">
        <f>ISNUMBER(SEARCH("Distribution",gdb_name_asset))</f>
        <v>0</v>
      </c>
    </row>
    <row r="2" spans="1:23" x14ac:dyDescent="0.45">
      <c r="A2" s="16" t="str" cm="1">
        <f t="array" ref="A2">_xlfn.IFS(gdb_name="Industry","*", gdb_name="FirstGas + Vector","* Distribution",TRUE,gdb_name)</f>
        <v>*</v>
      </c>
      <c r="B2" s="4">
        <v>-5</v>
      </c>
      <c r="C2" s="4">
        <v>-4</v>
      </c>
      <c r="D2" s="4">
        <v>-3</v>
      </c>
      <c r="E2" s="4">
        <v>-2</v>
      </c>
      <c r="F2" s="4">
        <v>-1</v>
      </c>
      <c r="G2" s="4">
        <v>0</v>
      </c>
      <c r="H2" s="4">
        <v>1</v>
      </c>
      <c r="I2" s="4">
        <v>2</v>
      </c>
      <c r="J2" s="4">
        <v>3</v>
      </c>
      <c r="K2" s="4">
        <v>4</v>
      </c>
      <c r="L2" s="4">
        <v>5</v>
      </c>
      <c r="M2" s="4">
        <v>6</v>
      </c>
      <c r="N2" s="4">
        <v>7</v>
      </c>
      <c r="O2" s="4">
        <v>8</v>
      </c>
      <c r="P2" s="4">
        <v>9</v>
      </c>
      <c r="Q2" s="4">
        <v>10</v>
      </c>
    </row>
    <row r="3" spans="1:23" x14ac:dyDescent="0.45">
      <c r="B3" s="4" t="str">
        <f>"'"&amp;RIGHT(TEXT(B26,0),2)</f>
        <v>'17</v>
      </c>
      <c r="C3" s="4" t="str">
        <f>"'"&amp;RIGHT(TEXT(C26,0),2)</f>
        <v>'18</v>
      </c>
      <c r="D3" s="4" t="str">
        <f t="shared" ref="D3:Q3" si="0">"'"&amp;RIGHT(TEXT(D26,0),2)</f>
        <v>'19</v>
      </c>
      <c r="E3" s="4" t="str">
        <f t="shared" si="0"/>
        <v>'20</v>
      </c>
      <c r="F3" s="4" t="str">
        <f t="shared" si="0"/>
        <v>'21</v>
      </c>
      <c r="G3" s="4" t="str">
        <f>"'"&amp;RIGHT(TEXT(G26,0),2)</f>
        <v>'22</v>
      </c>
      <c r="H3" s="4" t="str">
        <f t="shared" si="0"/>
        <v>'23</v>
      </c>
      <c r="I3" s="4" t="str">
        <f t="shared" si="0"/>
        <v>'24</v>
      </c>
      <c r="J3" s="4" t="str">
        <f t="shared" si="0"/>
        <v>'25</v>
      </c>
      <c r="K3" s="4" t="str">
        <f t="shared" si="0"/>
        <v>'26</v>
      </c>
      <c r="L3" s="4" t="str">
        <f t="shared" si="0"/>
        <v>'27</v>
      </c>
      <c r="M3" s="4" t="str">
        <f t="shared" si="0"/>
        <v>'28</v>
      </c>
      <c r="N3" s="4" t="str">
        <f t="shared" si="0"/>
        <v>'29</v>
      </c>
      <c r="O3" s="4" t="str">
        <f>"'"&amp;RIGHT(TEXT(O26,0),2)</f>
        <v>'30</v>
      </c>
      <c r="P3" s="4" t="str">
        <f t="shared" si="0"/>
        <v>'31</v>
      </c>
      <c r="Q3" s="4" t="str">
        <f t="shared" si="0"/>
        <v>'32</v>
      </c>
    </row>
    <row r="4" spans="1:23" x14ac:dyDescent="0.45">
      <c r="B4" s="16"/>
    </row>
    <row r="5" spans="1:23" ht="21" x14ac:dyDescent="0.65">
      <c r="A5" s="17" t="s">
        <v>48</v>
      </c>
      <c r="B5" s="17"/>
    </row>
    <row r="6" spans="1:23" x14ac:dyDescent="0.45">
      <c r="B6" s="4">
        <f t="shared" ref="B6:G6" si="1">latest_year+B$2</f>
        <v>2017</v>
      </c>
      <c r="C6" s="4">
        <f t="shared" si="1"/>
        <v>2018</v>
      </c>
      <c r="D6" s="4">
        <f t="shared" si="1"/>
        <v>2019</v>
      </c>
      <c r="E6" s="4">
        <f t="shared" si="1"/>
        <v>2020</v>
      </c>
      <c r="F6" s="4">
        <f t="shared" si="1"/>
        <v>2021</v>
      </c>
      <c r="G6" s="4">
        <f t="shared" si="1"/>
        <v>2022</v>
      </c>
      <c r="I6" s="4" t="s">
        <v>100</v>
      </c>
    </row>
    <row r="7" spans="1:23" x14ac:dyDescent="0.45">
      <c r="A7" s="18" t="s">
        <v>47</v>
      </c>
      <c r="B7" s="6" t="e">
        <f>IF(AND(B$6&lt;2016,ISNUMBER(SEARCH("* Distribution",gdb_name_asset))),#N/A,INDEX(dataset!$A:$O,MATCH(B$6&amp;$P7,dataset!$O:$O,0),MATCH($A$1,dataset!$A$1:$O$1,0))/1000)</f>
        <v>#N/A</v>
      </c>
      <c r="C7" s="6">
        <f>IF(AND(C$6&lt;2016,ISNUMBER(SEARCH("* Distribution",gdb_name_asset))),#N/A,INDEX(dataset!$A:$O,MATCH(C$6&amp;$P7,dataset!$O:$O,0),MATCH($A$1,dataset!$A$1:$O$1,0))/1000)</f>
        <v>952.68593750000002</v>
      </c>
      <c r="D7" s="6">
        <f>IF(AND(D$6&lt;2016,ISNUMBER(SEARCH("* Distribution",gdb_name_asset))),#N/A,INDEX(dataset!$A:$O,MATCH(D$6&amp;$P7,dataset!$O:$O,0),MATCH($A$1,dataset!$A$1:$O$1,0))/1000)</f>
        <v>995.48625000000004</v>
      </c>
      <c r="E7" s="6">
        <f>IF(AND(E$6&lt;2016,ISNUMBER(SEARCH("* Distribution",gdb_name_asset))),#N/A,INDEX(dataset!$A:$O,MATCH(E$6&amp;$P7,dataset!$O:$O,0),MATCH($A$1,dataset!$A$1:$O$1,0))/1000)</f>
        <v>1021.5801875</v>
      </c>
      <c r="F7" s="6">
        <f>IF(AND(F$6&lt;2016,ISNUMBER(SEARCH("* Distribution",gdb_name_asset))),#N/A,INDEX(dataset!$A:$O,MATCH(F$6&amp;$P7,dataset!$O:$O,0),MATCH($A$1,dataset!$A$1:$O$1,0))/1000)</f>
        <v>1064.12175</v>
      </c>
      <c r="G7" s="6">
        <f>IF(AND(G$6&lt;2016,ISNUMBER(SEARCH("* Distribution",gdb_name_asset))),#N/A,INDEX(dataset!$A:$O,MATCH(G$6&amp;$P7,dataset!$O:$O,0),MATCH($A$1,dataset!$A$1:$O$1,0))/1000)</f>
        <v>1159.2874999999999</v>
      </c>
      <c r="H7" s="10"/>
      <c r="I7" s="10">
        <f>(G7/D7)^(1/3)-1</f>
        <v>5.2087746437682769E-2</v>
      </c>
      <c r="P7" s="3" t="s">
        <v>69</v>
      </c>
      <c r="Q7" s="3"/>
      <c r="R7" s="3"/>
      <c r="S7" s="3"/>
      <c r="T7" s="3"/>
      <c r="U7" s="3"/>
      <c r="V7" s="3"/>
      <c r="W7" s="3"/>
    </row>
    <row r="8" spans="1:23" x14ac:dyDescent="0.45">
      <c r="A8" s="18" t="s">
        <v>9</v>
      </c>
      <c r="B8" s="6">
        <f>IF(AND(B$6&lt;2016,ISNUMBER(SEARCH("* Distribution",gdb_name_asset))),#N/A,INDEX(dataset!$A:$O,MATCH(B$6&amp;$P8,dataset!$O:$O,0),MATCH($A$1,dataset!$A$1:$O$1,0))/1000)</f>
        <v>70.206171874999995</v>
      </c>
      <c r="C8" s="6">
        <f>IF(AND(C$6&lt;2016,ISNUMBER(SEARCH("* Distribution",gdb_name_asset))),#N/A,INDEX(dataset!$A:$O,MATCH(C$6&amp;$P8,dataset!$O:$O,0),MATCH($A$1,dataset!$A$1:$O$1,0))/1000)</f>
        <v>54.702406250000003</v>
      </c>
      <c r="D8" s="6">
        <f>IF(AND(D$6&lt;2016,ISNUMBER(SEARCH("* Distribution",gdb_name_asset))),#N/A,INDEX(dataset!$A:$O,MATCH(D$6&amp;$P8,dataset!$O:$O,0),MATCH($A$1,dataset!$A$1:$O$1,0))/1000)</f>
        <v>53.913214843749998</v>
      </c>
      <c r="E8" s="6">
        <f>IF(AND(E$6&lt;2016,ISNUMBER(SEARCH("* Distribution",gdb_name_asset))),#N/A,INDEX(dataset!$A:$O,MATCH(E$6&amp;$P8,dataset!$O:$O,0),MATCH($A$1,dataset!$A$1:$O$1,0))/1000)</f>
        <v>49.129531249999999</v>
      </c>
      <c r="F8" s="6">
        <f>IF(AND(F$6&lt;2016,ISNUMBER(SEARCH("* Distribution",gdb_name_asset))),#N/A,INDEX(dataset!$A:$O,MATCH(F$6&amp;$P8,dataset!$O:$O,0),MATCH($A$1,dataset!$A$1:$O$1,0))/1000)</f>
        <v>77.393984375000002</v>
      </c>
      <c r="G8" s="6">
        <f>IF(AND(G$6&lt;2016,ISNUMBER(SEARCH("* Distribution",gdb_name_asset))),#N/A,INDEX(dataset!$A:$O,MATCH(G$6&amp;$P8,dataset!$O:$O,0),MATCH($A$1,dataset!$A$1:$O$1,0))/1000)</f>
        <v>110.48021875000001</v>
      </c>
      <c r="H8" s="10"/>
      <c r="I8" s="10">
        <f t="shared" ref="I8:I22" si="2">(G8/D8)^(1/3)-1</f>
        <v>0.27017364900768692</v>
      </c>
      <c r="P8" s="3" t="s">
        <v>220</v>
      </c>
      <c r="Q8" s="3"/>
      <c r="R8" s="3"/>
      <c r="S8" s="3"/>
      <c r="T8" s="3"/>
      <c r="U8" s="3"/>
      <c r="V8" s="3"/>
      <c r="W8" s="3"/>
    </row>
    <row r="9" spans="1:23" x14ac:dyDescent="0.45">
      <c r="A9" s="18" t="s">
        <v>10</v>
      </c>
      <c r="B9" s="6">
        <f>IF(AND(B$6&lt;2016,ISNUMBER(SEARCH("* Distribution",gdb_name_asset))),#N/A,INDEX(dataset!$A:$O,MATCH(B$6&amp;$P9,dataset!$O:$O,0),MATCH($A$1,dataset!$A$1:$O$1,0)))</f>
        <v>8.9175999164581299E-2</v>
      </c>
      <c r="C9" s="6">
        <f>IF(AND(C$6&lt;2016,ISNUMBER(SEARCH("* Distribution",gdb_name_asset))),#N/A,INDEX(dataset!$A:$O,MATCH(C$6&amp;$P9,dataset!$O:$O,0),MATCH($A$1,dataset!$A$1:$O$1,0)))</f>
        <v>6.3008129596710205E-2</v>
      </c>
      <c r="D9" s="6">
        <f>IF(AND(D$6&lt;2016,ISNUMBER(SEARCH("* Distribution",gdb_name_asset))),#N/A,INDEX(dataset!$A:$O,MATCH(D$6&amp;$P9,dataset!$O:$O,0),MATCH($A$1,dataset!$A$1:$O$1,0)))</f>
        <v>6.3819646835327148E-2</v>
      </c>
      <c r="E9" s="6">
        <f>IF(AND(E$6&lt;2016,ISNUMBER(SEARCH("* Distribution",gdb_name_asset))),#N/A,INDEX(dataset!$A:$O,MATCH(E$6&amp;$P9,dataset!$O:$O,0),MATCH($A$1,dataset!$A$1:$O$1,0)))</f>
        <v>5.4303150624036789E-2</v>
      </c>
      <c r="F9" s="6">
        <f>IF(AND(F$6&lt;2016,ISNUMBER(SEARCH("* Distribution",gdb_name_asset))),#N/A,INDEX(dataset!$A:$O,MATCH(F$6&amp;$P9,dataset!$O:$O,0),MATCH($A$1,dataset!$A$1:$O$1,0)))</f>
        <v>8.2746520638465881E-2</v>
      </c>
      <c r="G9" s="6">
        <f>IF(AND(G$6&lt;2016,ISNUMBER(SEARCH("* Distribution",gdb_name_asset))),#N/A,INDEX(dataset!$A:$O,MATCH(G$6&amp;$P9,dataset!$O:$O,0),MATCH($A$1,dataset!$A$1:$O$1,0)))</f>
        <v>0.11095956712961197</v>
      </c>
      <c r="H9" s="10"/>
      <c r="I9" s="10">
        <f t="shared" si="2"/>
        <v>0.20245856208039026</v>
      </c>
      <c r="P9" s="3" t="s">
        <v>49</v>
      </c>
      <c r="Q9" s="3"/>
      <c r="R9" s="3"/>
      <c r="S9" s="3"/>
      <c r="T9" s="3"/>
      <c r="U9" s="3"/>
      <c r="V9" s="3"/>
      <c r="W9" s="3"/>
    </row>
    <row r="10" spans="1:23" x14ac:dyDescent="0.45">
      <c r="A10" s="18" t="s">
        <v>11</v>
      </c>
      <c r="B10" s="6">
        <f>IF(AND(B$6&lt;2016,ISNUMBER(SEARCH("* Distribution",gdb_name_asset))),#N/A,INDEX(dataset!$A:$O,MATCH(B$6&amp;$P10,dataset!$O:$O,0),MATCH($A$1,dataset!$A$1:$O$1,0))/1000)</f>
        <v>141.552296875</v>
      </c>
      <c r="C10" s="6">
        <f>IF(AND(C$6&lt;2016,ISNUMBER(SEARCH("* Distribution",gdb_name_asset))),#N/A,INDEX(dataset!$A:$O,MATCH(C$6&amp;$P10,dataset!$O:$O,0),MATCH($A$1,dataset!$A$1:$O$1,0))/1000)</f>
        <v>127.7805625</v>
      </c>
      <c r="D10" s="6">
        <f>IF(AND(D$6&lt;2016,ISNUMBER(SEARCH("* Distribution",gdb_name_asset))),#N/A,INDEX(dataset!$A:$O,MATCH(D$6&amp;$P10,dataset!$O:$O,0),MATCH($A$1,dataset!$A$1:$O$1,0))/1000)</f>
        <v>128.00289062499999</v>
      </c>
      <c r="E10" s="6">
        <f>IF(AND(E$6&lt;2016,ISNUMBER(SEARCH("* Distribution",gdb_name_asset))),#N/A,INDEX(dataset!$A:$O,MATCH(E$6&amp;$P10,dataset!$O:$O,0),MATCH($A$1,dataset!$A$1:$O$1,0))/1000)</f>
        <v>130.675359375</v>
      </c>
      <c r="F10" s="6">
        <f>IF(AND(F$6&lt;2016,ISNUMBER(SEARCH("* Distribution",gdb_name_asset))),#N/A,INDEX(dataset!$A:$O,MATCH(F$6&amp;$P10,dataset!$O:$O,0),MATCH($A$1,dataset!$A$1:$O$1,0))/1000)</f>
        <v>133.63109374999999</v>
      </c>
      <c r="G10" s="6">
        <f>IF(AND(G$6&lt;2016,ISNUMBER(SEARCH("* Distribution",gdb_name_asset))),#N/A,INDEX(dataset!$A:$O,MATCH(G$6&amp;$P10,dataset!$O:$O,0),MATCH($A$1,dataset!$A$1:$O$1,0))/1000)</f>
        <v>132.77167187500001</v>
      </c>
      <c r="H10" s="10"/>
      <c r="I10" s="10">
        <f t="shared" si="2"/>
        <v>1.2267318271306005E-2</v>
      </c>
      <c r="P10" s="3" t="s">
        <v>221</v>
      </c>
      <c r="Q10" s="3"/>
      <c r="R10" s="3"/>
      <c r="S10" s="3"/>
      <c r="T10" s="3"/>
      <c r="U10" s="3"/>
      <c r="V10" s="3"/>
      <c r="W10" s="3"/>
    </row>
    <row r="11" spans="1:23" x14ac:dyDescent="0.45">
      <c r="A11" s="18" t="s">
        <v>15</v>
      </c>
      <c r="B11" s="6">
        <f>IF(AND(B$6&lt;2016,ISNUMBER(SEARCH("* Distribution",gdb_name_asset))),#N/A,INDEX(dataset!$A:$O,MATCH(B$6&amp;$P11,dataset!$O:$O,0),MATCH($A$1,dataset!$A$1:$O$1,0))/1000)</f>
        <v>0.2555614776611328</v>
      </c>
      <c r="C11" s="6">
        <f>IF(AND(C$6&lt;2016,ISNUMBER(SEARCH("* Distribution",gdb_name_asset))),#N/A,INDEX(dataset!$A:$O,MATCH(C$6&amp;$P11,dataset!$O:$O,0),MATCH($A$1,dataset!$A$1:$O$1,0))/1000)</f>
        <v>0.33325982666015624</v>
      </c>
      <c r="D11" s="6">
        <f>IF(AND(D$6&lt;2016,ISNUMBER(SEARCH("* Distribution",gdb_name_asset))),#N/A,INDEX(dataset!$A:$O,MATCH(D$6&amp;$P11,dataset!$O:$O,0),MATCH($A$1,dataset!$A$1:$O$1,0))/1000)</f>
        <v>0.66512939453124997</v>
      </c>
      <c r="E11" s="6">
        <f>IF(AND(E$6&lt;2016,ISNUMBER(SEARCH("* Distribution",gdb_name_asset))),#N/A,INDEX(dataset!$A:$O,MATCH(E$6&amp;$P11,dataset!$O:$O,0),MATCH($A$1,dataset!$A$1:$O$1,0))/1000)</f>
        <v>1.6279782714843749</v>
      </c>
      <c r="F11" s="6">
        <f>IF(AND(F$6&lt;2016,ISNUMBER(SEARCH("* Distribution",gdb_name_asset))),#N/A,INDEX(dataset!$A:$O,MATCH(F$6&amp;$P11,dataset!$O:$O,0),MATCH($A$1,dataset!$A$1:$O$1,0))/1000)</f>
        <v>1.4113054199218751</v>
      </c>
      <c r="G11" s="6">
        <f>IF(AND(G$6&lt;2016,ISNUMBER(SEARCH("* Distribution",gdb_name_asset))),#N/A,INDEX(dataset!$A:$O,MATCH(G$6&amp;$P11,dataset!$O:$O,0),MATCH($A$1,dataset!$A$1:$O$1,0))/1000)</f>
        <v>2.3249526367187499</v>
      </c>
      <c r="H11" s="10"/>
      <c r="I11" s="10">
        <f>(G11/D11)^(1/3)-1</f>
        <v>0.51764195090041243</v>
      </c>
      <c r="P11" s="3" t="s">
        <v>222</v>
      </c>
      <c r="Q11" s="3"/>
      <c r="R11" s="3"/>
      <c r="S11" s="3"/>
      <c r="T11" s="3"/>
      <c r="U11" s="3"/>
      <c r="V11" s="3"/>
      <c r="W11" s="3"/>
    </row>
    <row r="12" spans="1:23" x14ac:dyDescent="0.45">
      <c r="A12" s="18" t="s">
        <v>12</v>
      </c>
      <c r="B12" s="6">
        <f>IF(AND(B$6&lt;2016,ISNUMBER(SEARCH("* Distribution",gdb_name_asset))),#N/A,INDEX(dataset!$A:$O,MATCH(B$6&amp;$P12,dataset!$O:$O,0),MATCH($A$1,dataset!$A$1:$O$1,0)))</f>
        <v>286017</v>
      </c>
      <c r="C12" s="6">
        <f>IF(AND(C$6&lt;2016,ISNUMBER(SEARCH("* Distribution",gdb_name_asset))),#N/A,INDEX(dataset!$A:$O,MATCH(C$6&amp;$P12,dataset!$O:$O,0),MATCH($A$1,dataset!$A$1:$O$1,0)))</f>
        <v>291153</v>
      </c>
      <c r="D12" s="6">
        <f>IF(AND(D$6&lt;2016,ISNUMBER(SEARCH("* Distribution",gdb_name_asset))),#N/A,INDEX(dataset!$A:$O,MATCH(D$6&amp;$P12,dataset!$O:$O,0),MATCH($A$1,dataset!$A$1:$O$1,0)))</f>
        <v>296310</v>
      </c>
      <c r="E12" s="6">
        <f>IF(AND(E$6&lt;2016,ISNUMBER(SEARCH("* Distribution",gdb_name_asset))),#N/A,INDEX(dataset!$A:$O,MATCH(E$6&amp;$P12,dataset!$O:$O,0),MATCH($A$1,dataset!$A$1:$O$1,0)))</f>
        <v>301746</v>
      </c>
      <c r="F12" s="6">
        <f>IF(AND(F$6&lt;2016,ISNUMBER(SEARCH("* Distribution",gdb_name_asset))),#N/A,INDEX(dataset!$A:$O,MATCH(F$6&amp;$P12,dataset!$O:$O,0),MATCH($A$1,dataset!$A$1:$O$1,0)))</f>
        <v>305944</v>
      </c>
      <c r="G12" s="6">
        <f>IF(AND(G$6&lt;2016,ISNUMBER(SEARCH("* Distribution",gdb_name_asset))),#N/A,INDEX(dataset!$A:$O,MATCH(G$6&amp;$P12,dataset!$O:$O,0),MATCH($A$1,dataset!$A$1:$O$1,0)))</f>
        <v>308791</v>
      </c>
      <c r="H12" s="10"/>
      <c r="I12" s="10">
        <f t="shared" si="2"/>
        <v>1.3847828120359562E-2</v>
      </c>
      <c r="P12" s="3" t="s">
        <v>170</v>
      </c>
      <c r="Q12" s="3"/>
      <c r="R12" s="3"/>
      <c r="S12" s="3"/>
      <c r="T12" s="3"/>
      <c r="U12" s="3"/>
      <c r="V12" s="3"/>
      <c r="W12" s="3"/>
    </row>
    <row r="13" spans="1:23" x14ac:dyDescent="0.45">
      <c r="A13" s="18" t="s">
        <v>154</v>
      </c>
      <c r="B13" s="6">
        <f>IF(AND(B$6&lt;2016,ISNUMBER(SEARCH("* Distribution",gdb_name_asset))),#N/A,INDEX(dataset!$A:$O,MATCH(B$6&amp;$P13,dataset!$O:$O,0),MATCH($A$1,dataset!$A$1:$O$1,0))/1000)</f>
        <v>33754.74</v>
      </c>
      <c r="C13" s="6">
        <f>IF(AND(C$6&lt;2016,ISNUMBER(SEARCH("* Distribution",gdb_name_asset))),#N/A,INDEX(dataset!$A:$O,MATCH(C$6&amp;$P13,dataset!$O:$O,0),MATCH($A$1,dataset!$A$1:$O$1,0))/1000)</f>
        <v>34510.82</v>
      </c>
      <c r="D13" s="6">
        <f>IF(AND(D$6&lt;2016,ISNUMBER(SEARCH("* Distribution",gdb_name_asset))),#N/A,INDEX(dataset!$A:$O,MATCH(D$6&amp;$P13,dataset!$O:$O,0),MATCH($A$1,dataset!$A$1:$O$1,0))/1000)</f>
        <v>34887.584000000003</v>
      </c>
      <c r="E13" s="6">
        <f>IF(AND(E$6&lt;2016,ISNUMBER(SEARCH("* Distribution",gdb_name_asset))),#N/A,INDEX(dataset!$A:$O,MATCH(E$6&amp;$P13,dataset!$O:$O,0),MATCH($A$1,dataset!$A$1:$O$1,0))/1000)</f>
        <v>34792.983999999997</v>
      </c>
      <c r="F13" s="6">
        <f>IF(AND(F$6&lt;2016,ISNUMBER(SEARCH("* Distribution",gdb_name_asset))),#N/A,INDEX(dataset!$A:$O,MATCH(F$6&amp;$P13,dataset!$O:$O,0),MATCH($A$1,dataset!$A$1:$O$1,0))/1000)</f>
        <v>33977.296000000002</v>
      </c>
      <c r="G13" s="6">
        <f>IF(AND(G$6&lt;2016,ISNUMBER(SEARCH("* Distribution",gdb_name_asset))),#N/A,INDEX(dataset!$A:$O,MATCH(G$6&amp;$P13,dataset!$O:$O,0),MATCH($A$1,dataset!$A$1:$O$1,0))/1000)</f>
        <v>32480.628000000001</v>
      </c>
      <c r="H13" s="10"/>
      <c r="I13" s="10">
        <f t="shared" si="2"/>
        <v>-2.3547382054862842E-2</v>
      </c>
      <c r="P13" s="3" t="s">
        <v>171</v>
      </c>
      <c r="Q13" s="3"/>
      <c r="R13" s="3"/>
      <c r="S13" s="3"/>
      <c r="T13" s="3"/>
      <c r="U13" s="3"/>
      <c r="V13" s="3"/>
      <c r="W13" s="3"/>
    </row>
    <row r="14" spans="1:23" x14ac:dyDescent="0.45">
      <c r="A14" s="18" t="s">
        <v>152</v>
      </c>
      <c r="B14" s="6">
        <f>IF(AND(B$6&lt;2016,ISNUMBER(SEARCH("* Distribution",gdb_name_asset))),#N/A,INDEX(dataset!$A:$O,MATCH(B$6&amp;$P14,dataset!$O:$O,0),MATCH($A$1,dataset!$A$1:$O$1,0))/1000)</f>
        <v>145.52743749999999</v>
      </c>
      <c r="C14" s="6">
        <f>IF(AND(C$6&lt;2016,ISNUMBER(SEARCH("* Distribution",gdb_name_asset))),#N/A,INDEX(dataset!$A:$O,MATCH(C$6&amp;$P14,dataset!$O:$O,0),MATCH($A$1,dataset!$A$1:$O$1,0))/1000)</f>
        <v>152.05501562500001</v>
      </c>
      <c r="D14" s="6">
        <f>IF(AND(D$6&lt;2016,ISNUMBER(SEARCH("* Distribution",gdb_name_asset))),#N/A,INDEX(dataset!$A:$O,MATCH(D$6&amp;$P14,dataset!$O:$O,0),MATCH($A$1,dataset!$A$1:$O$1,0))/1000)</f>
        <v>145.04053124999999</v>
      </c>
      <c r="E14" s="6">
        <f>IF(AND(E$6&lt;2016,ISNUMBER(SEARCH("* Distribution",gdb_name_asset))),#N/A,INDEX(dataset!$A:$O,MATCH(E$6&amp;$P14,dataset!$O:$O,0),MATCH($A$1,dataset!$A$1:$O$1,0))/1000)</f>
        <v>146.842234375</v>
      </c>
      <c r="F14" s="6">
        <f>IF(AND(F$6&lt;2016,ISNUMBER(SEARCH("* Distribution",gdb_name_asset))),#N/A,INDEX(dataset!$A:$O,MATCH(F$6&amp;$P14,dataset!$O:$O,0),MATCH($A$1,dataset!$A$1:$O$1,0))/1000)</f>
        <v>144.721953125</v>
      </c>
      <c r="G14" s="6">
        <f>IF(AND(G$6&lt;2016,ISNUMBER(SEARCH("* Distribution",gdb_name_asset))),#N/A,INDEX(dataset!$A:$O,MATCH(G$6&amp;$P14,dataset!$O:$O,0),MATCH($A$1,dataset!$A$1:$O$1,0))/1000)</f>
        <v>137.59284374999999</v>
      </c>
      <c r="H14" s="10"/>
      <c r="I14" s="10">
        <f t="shared" si="2"/>
        <v>-1.7417960114340714E-2</v>
      </c>
      <c r="P14" s="3" t="s">
        <v>172</v>
      </c>
      <c r="Q14" s="3"/>
      <c r="R14" s="3"/>
      <c r="S14" s="3"/>
      <c r="T14" s="3"/>
      <c r="U14" s="3"/>
      <c r="V14" s="3"/>
      <c r="W14" s="3"/>
    </row>
    <row r="15" spans="1:23" x14ac:dyDescent="0.45">
      <c r="A15" s="18" t="s">
        <v>153</v>
      </c>
      <c r="B15" s="6">
        <f>IF(AND(B$6&lt;2016,ISNUMBER(SEARCH("* Distribution",gdb_name_asset))),#N/A,INDEX(dataset!$A:$O,MATCH(B$6&amp;$P15,dataset!$O:$O,0),MATCH($A$1,dataset!$A$1:$O$1,0))/1000)</f>
        <v>3592.2552500000002</v>
      </c>
      <c r="C15" s="6">
        <f>IF(AND(C$6&lt;2016,ISNUMBER(SEARCH("* Distribution",gdb_name_asset))),#N/A,INDEX(dataset!$A:$O,MATCH(C$6&amp;$P15,dataset!$O:$O,0),MATCH($A$1,dataset!$A$1:$O$1,0))/1000)</f>
        <v>3751.0450000000001</v>
      </c>
      <c r="D15" s="6">
        <f>IF(AND(D$6&lt;2016,ISNUMBER(SEARCH("* Distribution",gdb_name_asset))),#N/A,INDEX(dataset!$A:$O,MATCH(D$6&amp;$P15,dataset!$O:$O,0),MATCH($A$1,dataset!$A$1:$O$1,0))/1000)</f>
        <v>3707.8352500000001</v>
      </c>
      <c r="E15" s="6">
        <f>IF(AND(E$6&lt;2016,ISNUMBER(SEARCH("* Distribution",gdb_name_asset))),#N/A,INDEX(dataset!$A:$O,MATCH(E$6&amp;$P15,dataset!$O:$O,0),MATCH($A$1,dataset!$A$1:$O$1,0))/1000)</f>
        <v>3749.1260000000002</v>
      </c>
      <c r="F15" s="6">
        <f>IF(AND(F$6&lt;2016,ISNUMBER(SEARCH("* Distribution",gdb_name_asset))),#N/A,INDEX(dataset!$A:$O,MATCH(F$6&amp;$P15,dataset!$O:$O,0),MATCH($A$1,dataset!$A$1:$O$1,0))/1000)</f>
        <v>3608.7455</v>
      </c>
      <c r="G15" s="6">
        <f>IF(AND(G$6&lt;2016,ISNUMBER(SEARCH("* Distribution",gdb_name_asset))),#N/A,INDEX(dataset!$A:$O,MATCH(G$6&amp;$P15,dataset!$O:$O,0),MATCH($A$1,dataset!$A$1:$O$1,0))/1000)</f>
        <v>3451.3375000000001</v>
      </c>
      <c r="H15" s="10"/>
      <c r="I15" s="10">
        <f t="shared" si="2"/>
        <v>-2.3612223570342428E-2</v>
      </c>
      <c r="P15" s="3" t="s">
        <v>173</v>
      </c>
      <c r="Q15" s="3"/>
      <c r="R15" s="3"/>
      <c r="S15" s="3"/>
      <c r="T15" s="3"/>
      <c r="U15" s="3"/>
      <c r="V15" s="3"/>
      <c r="W15" s="3"/>
    </row>
    <row r="16" spans="1:23" x14ac:dyDescent="0.45">
      <c r="A16" s="18" t="s">
        <v>151</v>
      </c>
      <c r="B16" s="6">
        <f>IF(AND(B$6&lt;2016,ISNUMBER(SEARCH("* Distribution",gdb_name_asset))),#N/A,INDEX(dataset!$A:$O,MATCH(B$6&amp;$P16,dataset!$O:$O,0),MATCH($A$1,dataset!$A$1:$O$1,0))/1000)</f>
        <v>92.436539062500003</v>
      </c>
      <c r="C16" s="6">
        <f>IF(AND(C$6&lt;2016,ISNUMBER(SEARCH("* Distribution",gdb_name_asset))),#N/A,INDEX(dataset!$A:$O,MATCH(C$6&amp;$P16,dataset!$O:$O,0),MATCH($A$1,dataset!$A$1:$O$1,0))/1000)</f>
        <v>94.550187500000007</v>
      </c>
      <c r="D16" s="6">
        <f>IF(AND(D$6&lt;2016,ISNUMBER(SEARCH("* Distribution",gdb_name_asset))),#N/A,INDEX(dataset!$A:$O,MATCH(D$6&amp;$P16,dataset!$O:$O,0),MATCH($A$1,dataset!$A$1:$O$1,0))/1000)</f>
        <v>95.582421874999994</v>
      </c>
      <c r="E16" s="6">
        <f>IF(AND(E$6&lt;2016,ISNUMBER(SEARCH("* Distribution",gdb_name_asset))),#N/A,INDEX(dataset!$A:$O,MATCH(E$6&amp;$P16,dataset!$O:$O,0),MATCH($A$1,dataset!$A$1:$O$1,0))/1000)</f>
        <v>95.062804687500005</v>
      </c>
      <c r="F16" s="6">
        <f>IF(AND(F$6&lt;2016,ISNUMBER(SEARCH("* Distribution",gdb_name_asset))),#N/A,INDEX(dataset!$A:$O,MATCH(F$6&amp;$P16,dataset!$O:$O,0),MATCH($A$1,dataset!$A$1:$O$1,0))/1000)</f>
        <v>93.088484374999993</v>
      </c>
      <c r="G16" s="6">
        <f>IF(AND(G$6&lt;2016,ISNUMBER(SEARCH("* Distribution",gdb_name_asset))),#N/A,INDEX(dataset!$A:$O,MATCH(G$6&amp;$P16,dataset!$O:$O,0),MATCH($A$1,dataset!$A$1:$O$1,0))/1000)</f>
        <v>88.988023437500004</v>
      </c>
      <c r="H16" s="10"/>
      <c r="I16" s="10">
        <f t="shared" si="2"/>
        <v>-2.3547376350636862E-2</v>
      </c>
      <c r="P16" s="3" t="s">
        <v>174</v>
      </c>
      <c r="Q16" s="3"/>
      <c r="R16" s="3"/>
      <c r="S16" s="3"/>
      <c r="T16" s="3"/>
      <c r="U16" s="3"/>
      <c r="V16" s="3"/>
      <c r="W16" s="3"/>
    </row>
    <row r="17" spans="1:23" x14ac:dyDescent="0.45">
      <c r="A17" s="18" t="s">
        <v>6</v>
      </c>
      <c r="B17" s="6">
        <f>IF(AND(B$6&lt;2016,ISNUMBER(SEARCH("* Distribution",gdb_name_asset))),#N/A,INDEX(dataset!$A:$O,MATCH(B$6&amp;$P17,dataset!$O:$O,0),MATCH($A$1,dataset!$A$1:$O$1,0)))</f>
        <v>0.80110931396484375</v>
      </c>
      <c r="C17" s="6">
        <f>IF(AND(C$6&lt;2016,ISNUMBER(SEARCH("* Distribution",gdb_name_asset))),#N/A,INDEX(dataset!$A:$O,MATCH(C$6&amp;$P17,dataset!$O:$O,0),MATCH($A$1,dataset!$A$1:$O$1,0)))</f>
        <v>0.77899813652038574</v>
      </c>
      <c r="D17" s="6">
        <f>IF(AND(D$6&lt;2016,ISNUMBER(SEARCH("* Distribution",gdb_name_asset))),#N/A,INDEX(dataset!$A:$O,MATCH(D$6&amp;$P17,dataset!$O:$O,0),MATCH($A$1,dataset!$A$1:$O$1,0)))</f>
        <v>0.7967643141746521</v>
      </c>
      <c r="E17" s="6">
        <f>IF(AND(E$6&lt;2016,ISNUMBER(SEARCH("* Distribution",gdb_name_asset))),#N/A,INDEX(dataset!$A:$O,MATCH(E$6&amp;$P17,dataset!$O:$O,0),MATCH($A$1,dataset!$A$1:$O$1,0)))</f>
        <v>0.82542318105697632</v>
      </c>
      <c r="F17" s="6">
        <f>IF(AND(F$6&lt;2016,ISNUMBER(SEARCH("* Distribution",gdb_name_asset))),#N/A,INDEX(dataset!$A:$O,MATCH(F$6&amp;$P17,dataset!$O:$O,0),MATCH($A$1,dataset!$A$1:$O$1,0)))</f>
        <v>0.79320085048675537</v>
      </c>
      <c r="G17" s="6">
        <f>IF(AND(G$6&lt;2016,ISNUMBER(SEARCH("* Distribution",gdb_name_asset))),#N/A,INDEX(dataset!$A:$O,MATCH(G$6&amp;$P17,dataset!$O:$O,0),MATCH($A$1,dataset!$A$1:$O$1,0)))</f>
        <v>0.79510533809661865</v>
      </c>
      <c r="H17" s="10"/>
      <c r="I17" s="10">
        <f t="shared" si="2"/>
        <v>-6.9452944026493491E-4</v>
      </c>
      <c r="P17" s="3" t="s">
        <v>175</v>
      </c>
      <c r="Q17" s="3"/>
      <c r="R17" s="3"/>
      <c r="S17" s="3"/>
      <c r="T17" s="3"/>
      <c r="U17" s="3"/>
      <c r="V17" s="3"/>
      <c r="W17" s="3"/>
    </row>
    <row r="18" spans="1:23" x14ac:dyDescent="0.45">
      <c r="A18" s="18" t="s">
        <v>14</v>
      </c>
      <c r="B18" s="6">
        <f>IF(AND(B$6&lt;2016,ISNUMBER(SEARCH("* Distribution",gdb_name_asset))),#N/A,INDEX(dataset!$A:$O,MATCH(B$6&amp;$P18,dataset!$O:$O,0),MATCH($A$1,dataset!$A$1:$O$1,0))/1000)</f>
        <v>58.029175781249997</v>
      </c>
      <c r="C18" s="6">
        <f>IF(AND(C$6&lt;2016,ISNUMBER(SEARCH("* Distribution",gdb_name_asset))),#N/A,INDEX(dataset!$A:$O,MATCH(C$6&amp;$P18,dataset!$O:$O,0),MATCH($A$1,dataset!$A$1:$O$1,0))/1000)</f>
        <v>62.557820312499999</v>
      </c>
      <c r="D18" s="6">
        <f>IF(AND(D$6&lt;2016,ISNUMBER(SEARCH("* Distribution",gdb_name_asset))),#N/A,INDEX(dataset!$A:$O,MATCH(D$6&amp;$P18,dataset!$O:$O,0),MATCH($A$1,dataset!$A$1:$O$1,0))/1000)</f>
        <v>63.44437109375</v>
      </c>
      <c r="E18" s="6">
        <f>IF(AND(E$6&lt;2016,ISNUMBER(SEARCH("* Distribution",gdb_name_asset))),#N/A,INDEX(dataset!$A:$O,MATCH(E$6&amp;$P18,dataset!$O:$O,0),MATCH($A$1,dataset!$A$1:$O$1,0))/1000)</f>
        <v>56.150101562499998</v>
      </c>
      <c r="F18" s="6">
        <f>IF(AND(F$6&lt;2016,ISNUMBER(SEARCH("* Distribution",gdb_name_asset))),#N/A,INDEX(dataset!$A:$O,MATCH(F$6&amp;$P18,dataset!$O:$O,0),MATCH($A$1,dataset!$A$1:$O$1,0))/1000)</f>
        <v>60.988468750000003</v>
      </c>
      <c r="G18" s="6">
        <f>IF(AND(G$6&lt;2016,ISNUMBER(SEARCH("* Distribution",gdb_name_asset))),#N/A,INDEX(dataset!$A:$O,MATCH(G$6&amp;$P18,dataset!$O:$O,0),MATCH($A$1,dataset!$A$1:$O$1,0))/1000)</f>
        <v>61.467656249999997</v>
      </c>
      <c r="H18" s="10"/>
      <c r="I18" s="10">
        <f t="shared" si="2"/>
        <v>-1.0495320486207049E-2</v>
      </c>
      <c r="P18" s="3" t="s">
        <v>223</v>
      </c>
      <c r="Q18" s="3"/>
      <c r="R18" s="3"/>
      <c r="S18" s="3"/>
      <c r="T18" s="3"/>
      <c r="U18" s="3"/>
      <c r="V18" s="3"/>
      <c r="W18" s="3"/>
    </row>
    <row r="19" spans="1:23" x14ac:dyDescent="0.45">
      <c r="A19" s="18" t="s">
        <v>13</v>
      </c>
      <c r="B19" s="6">
        <f>IF(AND(B$6&lt;2016,ISNUMBER(SEARCH("* Distribution",gdb_name_asset))),#N/A,INDEX(dataset!$A:$O,MATCH(B$6&amp;$P19,dataset!$O:$O,0),MATCH($A$1,dataset!$A$1:$O$1,0))/1000)</f>
        <v>36.361453124999997</v>
      </c>
      <c r="C19" s="6">
        <f>IF(AND(C$6&lt;2016,ISNUMBER(SEARCH("* Distribution",gdb_name_asset))),#N/A,INDEX(dataset!$A:$O,MATCH(C$6&amp;$P19,dataset!$O:$O,0),MATCH($A$1,dataset!$A$1:$O$1,0))/1000)</f>
        <v>38.052234374999998</v>
      </c>
      <c r="D19" s="6">
        <f>IF(AND(D$6&lt;2016,ISNUMBER(SEARCH("* Distribution",gdb_name_asset))),#N/A,INDEX(dataset!$A:$O,MATCH(D$6&amp;$P19,dataset!$O:$O,0),MATCH($A$1,dataset!$A$1:$O$1,0))/1000)</f>
        <v>37.854132812499998</v>
      </c>
      <c r="E19" s="6">
        <f>IF(AND(E$6&lt;2016,ISNUMBER(SEARCH("* Distribution",gdb_name_asset))),#N/A,INDEX(dataset!$A:$O,MATCH(E$6&amp;$P19,dataset!$O:$O,0),MATCH($A$1,dataset!$A$1:$O$1,0))/1000)</f>
        <v>41.713871093750001</v>
      </c>
      <c r="F19" s="6">
        <f>IF(AND(F$6&lt;2016,ISNUMBER(SEARCH("* Distribution",gdb_name_asset))),#N/A,INDEX(dataset!$A:$O,MATCH(F$6&amp;$P19,dataset!$O:$O,0),MATCH($A$1,dataset!$A$1:$O$1,0))/1000)</f>
        <v>43.393222656250003</v>
      </c>
      <c r="G19" s="6">
        <f>IF(AND(G$6&lt;2016,ISNUMBER(SEARCH("* Distribution",gdb_name_asset))),#N/A,INDEX(dataset!$A:$O,MATCH(G$6&amp;$P19,dataset!$O:$O,0),MATCH($A$1,dataset!$A$1:$O$1,0))/1000)</f>
        <v>44.906222656250002</v>
      </c>
      <c r="H19" s="10"/>
      <c r="I19" s="10">
        <f t="shared" si="2"/>
        <v>5.8598013323663212E-2</v>
      </c>
      <c r="P19" s="3" t="s">
        <v>224</v>
      </c>
      <c r="Q19" s="3"/>
      <c r="R19" s="3"/>
      <c r="S19" s="3"/>
      <c r="T19" s="3"/>
      <c r="U19" s="3"/>
      <c r="V19" s="3"/>
      <c r="W19" s="3"/>
    </row>
    <row r="20" spans="1:23" x14ac:dyDescent="0.45">
      <c r="A20" s="18" t="s">
        <v>45</v>
      </c>
      <c r="B20" s="6">
        <f>IF(AND(B$6&lt;2016,ISNUMBER(SEARCH("* Distribution",gdb_name_asset))),#N/A,INDEX(dataset!$A:$O,MATCH(B$6&amp;$P20,dataset!$O:$O,0),MATCH($A$1,dataset!$A$1:$O$1,0))/1000)</f>
        <v>5.8759360351562497</v>
      </c>
      <c r="C20" s="6">
        <f>IF(AND(C$6&lt;2016,ISNUMBER(SEARCH("* Distribution",gdb_name_asset))),#N/A,INDEX(dataset!$A:$O,MATCH(C$6&amp;$P20,dataset!$O:$O,0),MATCH($A$1,dataset!$A$1:$O$1,0))/1000)</f>
        <v>9.1623388671875006</v>
      </c>
      <c r="D20" s="6">
        <f>IF(AND(D$6&lt;2016,ISNUMBER(SEARCH("* Distribution",gdb_name_asset))),#N/A,INDEX(dataset!$A:$O,MATCH(D$6&amp;$P20,dataset!$O:$O,0),MATCH($A$1,dataset!$A$1:$O$1,0))/1000)</f>
        <v>8.4523613281250007</v>
      </c>
      <c r="E20" s="6">
        <f>IF(AND(E$6&lt;2016,ISNUMBER(SEARCH("* Distribution",gdb_name_asset))),#N/A,INDEX(dataset!$A:$O,MATCH(E$6&amp;$P20,dataset!$O:$O,0),MATCH($A$1,dataset!$A$1:$O$1,0))/1000)</f>
        <v>7.4371289062499999</v>
      </c>
      <c r="F20" s="6">
        <f>IF(AND(F$6&lt;2016,ISNUMBER(SEARCH("* Distribution",gdb_name_asset))),#N/A,INDEX(dataset!$A:$O,MATCH(F$6&amp;$P20,dataset!$O:$O,0),MATCH($A$1,dataset!$A$1:$O$1,0))/1000)</f>
        <v>10.755618164062501</v>
      </c>
      <c r="G20" s="6">
        <f>IF(AND(G$6&lt;2016,ISNUMBER(SEARCH("* Distribution",gdb_name_asset))),#N/A,INDEX(dataset!$A:$O,MATCH(G$6&amp;$P20,dataset!$O:$O,0),MATCH($A$1,dataset!$A$1:$O$1,0))/1000)</f>
        <v>16.298087890624998</v>
      </c>
      <c r="H20" s="10"/>
      <c r="I20" s="10">
        <f t="shared" si="2"/>
        <v>0.24466611685910133</v>
      </c>
      <c r="P20" s="3" t="s">
        <v>225</v>
      </c>
      <c r="Q20" s="3"/>
      <c r="R20" s="3"/>
      <c r="S20" s="3"/>
      <c r="T20" s="3"/>
      <c r="U20" s="3"/>
      <c r="V20" s="3"/>
      <c r="W20" s="3"/>
    </row>
    <row r="21" spans="1:23" x14ac:dyDescent="0.45">
      <c r="A21" s="18" t="s">
        <v>102</v>
      </c>
      <c r="B21" s="6">
        <f>IF(AND(B$6&lt;2016,ISNUMBER(SEARCH("* Distribution",gdb_name_asset))),#N/A,(INDEX(dataset!$A:$O,MATCH(B$6&amp;$P21,dataset!$O:$O,0),MATCH($A$1,dataset!$A$1:$O$1,0))+INDEX(dataset!$A:$O,MATCH(B$6&amp;$Q21,dataset!$O:$O,0),MATCH($A$1,dataset!$A$1:$O$1,0))+INDEX(dataset!$A:$O,MATCH(B$6&amp;$R21,dataset!$O:$O,0),MATCH($A$1,dataset!$A$1:$O$1,0))+INDEX(dataset!$A:$O,MATCH(B$6&amp;$S21,dataset!$O:$O,0),MATCH($A$1,dataset!$A$1:$O$1,0))+INDEX(dataset!$A:$O,MATCH(B$6&amp;$T21,dataset!$O:$O,0),MATCH($A$1,dataset!$A$1:$O$1,0)))/1000)</f>
        <v>25.948795898437499</v>
      </c>
      <c r="C21" s="6">
        <f>IF(AND(C$6&lt;2016,ISNUMBER(SEARCH("* Distribution",gdb_name_asset))),#N/A,(INDEX(dataset!$A:$O,MATCH(C$6&amp;$P21,dataset!$O:$O,0),MATCH($A$1,dataset!$A$1:$O$1,0))+INDEX(dataset!$A:$O,MATCH(C$6&amp;$Q21,dataset!$O:$O,0),MATCH($A$1,dataset!$A$1:$O$1,0))+INDEX(dataset!$A:$O,MATCH(C$6&amp;$R21,dataset!$O:$O,0),MATCH($A$1,dataset!$A$1:$O$1,0))+INDEX(dataset!$A:$O,MATCH(C$6&amp;$S21,dataset!$O:$O,0),MATCH($A$1,dataset!$A$1:$O$1,0))+INDEX(dataset!$A:$O,MATCH(C$6&amp;$T21,dataset!$O:$O,0),MATCH($A$1,dataset!$A$1:$O$1,0)))/1000)</f>
        <v>22.267564453125001</v>
      </c>
      <c r="D21" s="6">
        <f>IF(AND(D$6&lt;2016,ISNUMBER(SEARCH("* Distribution",gdb_name_asset))),#N/A,(INDEX(dataset!$A:$O,MATCH(D$6&amp;$P21,dataset!$O:$O,0),MATCH($A$1,dataset!$A$1:$O$1,0))+INDEX(dataset!$A:$O,MATCH(D$6&amp;$Q21,dataset!$O:$O,0),MATCH($A$1,dataset!$A$1:$O$1,0))+INDEX(dataset!$A:$O,MATCH(D$6&amp;$R21,dataset!$O:$O,0),MATCH($A$1,dataset!$A$1:$O$1,0))+INDEX(dataset!$A:$O,MATCH(D$6&amp;$S21,dataset!$O:$O,0),MATCH($A$1,dataset!$A$1:$O$1,0))+INDEX(dataset!$A:$O,MATCH(D$6&amp;$T21,dataset!$O:$O,0),MATCH($A$1,dataset!$A$1:$O$1,0)))/1000)</f>
        <v>27.2328232421875</v>
      </c>
      <c r="E21" s="6">
        <f>IF(AND(E$6&lt;2016,ISNUMBER(SEARCH("* Distribution",gdb_name_asset))),#N/A,(INDEX(dataset!$A:$O,MATCH(E$6&amp;$P21,dataset!$O:$O,0),MATCH($A$1,dataset!$A$1:$O$1,0))+INDEX(dataset!$A:$O,MATCH(E$6&amp;$Q21,dataset!$O:$O,0),MATCH($A$1,dataset!$A$1:$O$1,0))+INDEX(dataset!$A:$O,MATCH(E$6&amp;$R21,dataset!$O:$O,0),MATCH($A$1,dataset!$A$1:$O$1,0))+INDEX(dataset!$A:$O,MATCH(E$6&amp;$S21,dataset!$O:$O,0),MATCH($A$1,dataset!$A$1:$O$1,0))+INDEX(dataset!$A:$O,MATCH(E$6&amp;$T21,dataset!$O:$O,0),MATCH($A$1,dataset!$A$1:$O$1,0)))/1000)</f>
        <v>26.953273437499998</v>
      </c>
      <c r="F21" s="6">
        <f>IF(AND(F$6&lt;2016,ISNUMBER(SEARCH("* Distribution",gdb_name_asset))),#N/A,(INDEX(dataset!$A:$O,MATCH(F$6&amp;$P21,dataset!$O:$O,0),MATCH($A$1,dataset!$A$1:$O$1,0))+INDEX(dataset!$A:$O,MATCH(F$6&amp;$Q21,dataset!$O:$O,0),MATCH($A$1,dataset!$A$1:$O$1,0))+INDEX(dataset!$A:$O,MATCH(F$6&amp;$R21,dataset!$O:$O,0),MATCH($A$1,dataset!$A$1:$O$1,0))+INDEX(dataset!$A:$O,MATCH(F$6&amp;$S21,dataset!$O:$O,0),MATCH($A$1,dataset!$A$1:$O$1,0))+INDEX(dataset!$A:$O,MATCH(F$6&amp;$T21,dataset!$O:$O,0),MATCH($A$1,dataset!$A$1:$O$1,0)))/1000)</f>
        <v>25.04749462890625</v>
      </c>
      <c r="G21" s="6">
        <f>IF(AND(G$6&lt;2016,ISNUMBER(SEARCH("* Distribution",gdb_name_asset))),#N/A,(INDEX(dataset!$A:$O,MATCH(G$6&amp;$P21,dataset!$O:$O,0),MATCH($A$1,dataset!$A$1:$O$1,0))+INDEX(dataset!$A:$O,MATCH(G$6&amp;$Q21,dataset!$O:$O,0),MATCH($A$1,dataset!$A$1:$O$1,0))+INDEX(dataset!$A:$O,MATCH(G$6&amp;$R21,dataset!$O:$O,0),MATCH($A$1,dataset!$A$1:$O$1,0))+INDEX(dataset!$A:$O,MATCH(G$6&amp;$S21,dataset!$O:$O,0),MATCH($A$1,dataset!$A$1:$O$1,0))+INDEX(dataset!$A:$O,MATCH(G$6&amp;$T21,dataset!$O:$O,0),MATCH($A$1,dataset!$A$1:$O$1,0)))/1000)</f>
        <v>26.741258300781251</v>
      </c>
      <c r="H21" s="10"/>
      <c r="I21" s="10">
        <f>(G21/D21)^(1/3)-1</f>
        <v>-6.0533890261191825E-3</v>
      </c>
      <c r="P21" s="3" t="s">
        <v>226</v>
      </c>
      <c r="Q21" s="3" t="s">
        <v>227</v>
      </c>
      <c r="R21" s="3" t="s">
        <v>228</v>
      </c>
      <c r="S21" s="3" t="s">
        <v>229</v>
      </c>
      <c r="T21" s="3" t="s">
        <v>230</v>
      </c>
      <c r="U21" s="3"/>
      <c r="V21" s="3"/>
      <c r="W21" s="3"/>
    </row>
    <row r="22" spans="1:23" x14ac:dyDescent="0.45">
      <c r="A22" s="18" t="s">
        <v>155</v>
      </c>
      <c r="B22" s="6">
        <f>IF(AND(B$6&lt;2016,ISNUMBER(SEARCH("* Distribution",gdb_name_asset))),#N/A,INDEX(dataset!$A:$O,MATCH(B$6&amp;$P22,dataset!$O:$O,0),MATCH($A$1,dataset!$A$1:$O$1,0)))</f>
        <v>17777.755859375</v>
      </c>
      <c r="C22" s="6">
        <f>IF(AND(C$6&lt;2016,ISNUMBER(SEARCH("* Distribution",gdb_name_asset))),#N/A,INDEX(dataset!$A:$O,MATCH(C$6&amp;$P22,dataset!$O:$O,0),MATCH($A$1,dataset!$A$1:$O$1,0)))</f>
        <v>18044.34765625</v>
      </c>
      <c r="D22" s="6">
        <f>IF(AND(D$6&lt;2016,ISNUMBER(SEARCH("* Distribution",gdb_name_asset))),#N/A,INDEX(dataset!$A:$O,MATCH(D$6&amp;$P22,dataset!$O:$O,0),MATCH($A$1,dataset!$A$1:$O$1,0)))</f>
        <v>18260.974609375</v>
      </c>
      <c r="E22" s="6">
        <f>IF(AND(E$6&lt;2016,ISNUMBER(SEARCH("* Distribution",gdb_name_asset))),#N/A,INDEX(dataset!$A:$O,MATCH(E$6&amp;$P22,dataset!$O:$O,0),MATCH($A$1,dataset!$A$1:$O$1,0)))</f>
        <v>18419.23046875</v>
      </c>
      <c r="F22" s="6">
        <f>IF(AND(F$6&lt;2016,ISNUMBER(SEARCH("* Distribution",gdb_name_asset))),#N/A,INDEX(dataset!$A:$O,MATCH(F$6&amp;$P22,dataset!$O:$O,0),MATCH($A$1,dataset!$A$1:$O$1,0)))</f>
        <v>18579.42578125</v>
      </c>
      <c r="G22" s="6">
        <f>IF(AND(G$6&lt;2016,ISNUMBER(SEARCH("* Distribution",gdb_name_asset))),#N/A,INDEX(dataset!$A:$O,MATCH(G$6&amp;$P22,dataset!$O:$O,0),MATCH($A$1,dataset!$A$1:$O$1,0)))</f>
        <v>18854.630859375</v>
      </c>
      <c r="H22" s="10"/>
      <c r="I22" s="10">
        <f t="shared" si="2"/>
        <v>1.0721165832527468E-2</v>
      </c>
      <c r="P22" s="3" t="s">
        <v>176</v>
      </c>
      <c r="Q22" s="3"/>
      <c r="R22" s="3"/>
      <c r="S22" s="3"/>
      <c r="T22" s="3"/>
      <c r="U22" s="3"/>
      <c r="V22" s="3"/>
      <c r="W22" s="3"/>
    </row>
    <row r="23" spans="1:23" x14ac:dyDescent="0.45">
      <c r="P23" s="3" t="s">
        <v>226</v>
      </c>
      <c r="Q23" s="3"/>
      <c r="R23" s="3"/>
      <c r="S23" s="3"/>
      <c r="T23" s="3"/>
      <c r="U23" s="3"/>
      <c r="V23" s="3"/>
      <c r="W23" s="3"/>
    </row>
    <row r="25" spans="1:23" ht="21" x14ac:dyDescent="0.65">
      <c r="A25" s="17" t="s">
        <v>35</v>
      </c>
    </row>
    <row r="26" spans="1:23" x14ac:dyDescent="0.45">
      <c r="B26" s="4">
        <f t="shared" ref="B26:Q26" si="3">latest_year+B$2</f>
        <v>2017</v>
      </c>
      <c r="C26" s="4">
        <f t="shared" si="3"/>
        <v>2018</v>
      </c>
      <c r="D26" s="4">
        <f t="shared" si="3"/>
        <v>2019</v>
      </c>
      <c r="E26" s="4">
        <f t="shared" si="3"/>
        <v>2020</v>
      </c>
      <c r="F26" s="4">
        <f t="shared" si="3"/>
        <v>2021</v>
      </c>
      <c r="G26" s="4">
        <f t="shared" si="3"/>
        <v>2022</v>
      </c>
      <c r="H26" s="4">
        <f t="shared" si="3"/>
        <v>2023</v>
      </c>
      <c r="I26" s="4">
        <f t="shared" si="3"/>
        <v>2024</v>
      </c>
      <c r="J26" s="4">
        <f t="shared" si="3"/>
        <v>2025</v>
      </c>
      <c r="K26" s="4">
        <f t="shared" si="3"/>
        <v>2026</v>
      </c>
      <c r="L26" s="4">
        <f t="shared" si="3"/>
        <v>2027</v>
      </c>
      <c r="M26" s="4">
        <f t="shared" si="3"/>
        <v>2028</v>
      </c>
      <c r="N26" s="4">
        <f t="shared" si="3"/>
        <v>2029</v>
      </c>
      <c r="O26" s="4">
        <f t="shared" si="3"/>
        <v>2030</v>
      </c>
      <c r="P26" s="4">
        <f t="shared" si="3"/>
        <v>2031</v>
      </c>
      <c r="Q26" s="4">
        <f t="shared" si="3"/>
        <v>2032</v>
      </c>
    </row>
    <row r="27" spans="1:23" x14ac:dyDescent="0.45">
      <c r="A27" s="18" t="s">
        <v>50</v>
      </c>
      <c r="B27" s="6">
        <f>IF(AND(B$26&lt;2016,ISNUMBER(SEARCH("* Distribution",gdb_name_asset))),#N/A,INDEX(dataset!$A:$O,MATCH(B$26&amp;$S27,dataset!$O:$O,0),MATCH($A$1,dataset!$A$1:$O$1,0))/1000)</f>
        <v>58.029175781249997</v>
      </c>
      <c r="C27" s="6">
        <f>IF(AND(C$26&lt;2016,ISNUMBER(SEARCH("* Distribution",gdb_name_asset))),#N/A,INDEX(dataset!$A:$O,MATCH(C$26&amp;$S27,dataset!$O:$O,0),MATCH($A$1,dataset!$A$1:$O$1,0))/1000)</f>
        <v>62.557820312499999</v>
      </c>
      <c r="D27" s="6">
        <f>IF(AND(D$26&lt;2016,ISNUMBER(SEARCH("* Distribution",gdb_name_asset))),#N/A,INDEX(dataset!$A:$O,MATCH(D$26&amp;$S27,dataset!$O:$O,0),MATCH($A$1,dataset!$A$1:$O$1,0))/1000)</f>
        <v>63.44437109375</v>
      </c>
      <c r="E27" s="6">
        <f>IF(AND(E$26&lt;2016,ISNUMBER(SEARCH("* Distribution",gdb_name_asset))),#N/A,INDEX(dataset!$A:$O,MATCH(E$26&amp;$S27,dataset!$O:$O,0),MATCH($A$1,dataset!$A$1:$O$1,0))/1000)</f>
        <v>56.150101562499998</v>
      </c>
      <c r="F27" s="6">
        <f>IF(AND(F$26&lt;2016,ISNUMBER(SEARCH("* Distribution",gdb_name_asset))),#N/A,INDEX(dataset!$A:$O,MATCH(F$26&amp;$S27,dataset!$O:$O,0),MATCH($A$1,dataset!$A$1:$O$1,0))/1000)</f>
        <v>60.988468750000003</v>
      </c>
      <c r="G27" s="6">
        <f>IF(AND(G$26&lt;2016,ISNUMBER(SEARCH("* Distribution",gdb_name_asset))),#N/A,INDEX(dataset!$A:$O,MATCH(G$26&amp;$S27,dataset!$O:$O,0),MATCH($A$1,dataset!$A$1:$O$1,0))/1000)</f>
        <v>61.467656249999997</v>
      </c>
      <c r="H27" s="5"/>
      <c r="I27" s="5"/>
      <c r="J27" s="5"/>
      <c r="K27" s="5"/>
      <c r="L27" s="5"/>
      <c r="M27" s="5"/>
      <c r="N27" s="5"/>
      <c r="O27" s="5"/>
      <c r="P27" s="5"/>
      <c r="Q27" s="5"/>
      <c r="S27" s="3" t="s">
        <v>223</v>
      </c>
    </row>
    <row r="28" spans="1:23" x14ac:dyDescent="0.45">
      <c r="A28" s="18" t="s">
        <v>51</v>
      </c>
      <c r="B28" s="5"/>
      <c r="C28" s="5"/>
      <c r="D28" s="5"/>
      <c r="E28" s="5"/>
      <c r="F28" s="5"/>
      <c r="G28" s="5"/>
      <c r="H28" s="6">
        <f>INDEX(dataset!$A:$O,MATCH(H$26&amp;$S28,dataset!$O:$O,0),MATCH($A$1,dataset!$A$1:$O$1,0))/1000</f>
        <v>62.697687500000001</v>
      </c>
      <c r="I28" s="6">
        <f>INDEX(dataset!$A:$O,MATCH(I$26&amp;$S28,dataset!$O:$O,0),MATCH($A$1,dataset!$A$1:$O$1,0))/1000</f>
        <v>58.428246093749998</v>
      </c>
      <c r="J28" s="6">
        <f>INDEX(dataset!$A:$O,MATCH(J$26&amp;$S28,dataset!$O:$O,0),MATCH($A$1,dataset!$A$1:$O$1,0))/1000</f>
        <v>60.048371093749999</v>
      </c>
      <c r="K28" s="6">
        <f>INDEX(dataset!$A:$O,MATCH(K$26&amp;$S28,dataset!$O:$O,0),MATCH($A$1,dataset!$A$1:$O$1,0))/1000</f>
        <v>60.425867187500003</v>
      </c>
      <c r="L28" s="6">
        <f>INDEX(dataset!$A:$O,MATCH(L$26&amp;$S28,dataset!$O:$O,0),MATCH($A$1,dataset!$A$1:$O$1,0))/1000</f>
        <v>60.149242187500001</v>
      </c>
      <c r="M28" s="6">
        <f>INDEX(dataset!$A:$O,MATCH(M$26&amp;$S28,dataset!$O:$O,0),MATCH($A$1,dataset!$A$1:$O$1,0))/1000</f>
        <v>60.470968749999997</v>
      </c>
      <c r="N28" s="6">
        <f>INDEX(dataset!$A:$O,MATCH(N$26&amp;$S28,dataset!$O:$O,0),MATCH($A$1,dataset!$A$1:$O$1,0))/1000</f>
        <v>57.011492187499996</v>
      </c>
      <c r="O28" s="6">
        <f>INDEX(dataset!$A:$O,MATCH(O$26&amp;$S28,dataset!$O:$O,0),MATCH($A$1,dataset!$A$1:$O$1,0))/1000</f>
        <v>57.305425781250001</v>
      </c>
      <c r="P28" s="6">
        <f>INDEX(dataset!$A:$O,MATCH(P$26&amp;$S28,dataset!$O:$O,0),MATCH($A$1,dataset!$A$1:$O$1,0))/1000</f>
        <v>55.476328125000002</v>
      </c>
      <c r="Q28" s="6">
        <f>INDEX(dataset!$A:$O,MATCH(Q$26&amp;$S28,dataset!$O:$O,0),MATCH($A$1,dataset!$A$1:$O$1,0))/1000</f>
        <v>55.209539062499999</v>
      </c>
      <c r="S28" s="3" t="str">
        <f>"AMP"&amp;latest_year&amp;"Capital ExpenditureAll assetsExpenditure on assetsnominal"</f>
        <v>AMP2022Capital ExpenditureAll assetsExpenditure on assetsnominal</v>
      </c>
    </row>
    <row r="29" spans="1:23" x14ac:dyDescent="0.45">
      <c r="A29" s="18" t="s">
        <v>52</v>
      </c>
      <c r="B29" s="6">
        <f>IF(AND(B$26-1&lt;2016,ISNUMBER(SEARCH("* Distribution",gdb_name_asset))),#N/A,INDEX(dataset!$A:$O,MATCH(B$26&amp;"AMP"&amp;B$26-1&amp;$S29,dataset!$O:$O,0),MATCH($A$1,dataset!$A$1:$O$1,0))/1000)</f>
        <v>55.615812499999997</v>
      </c>
      <c r="C29" s="6">
        <f>IF(AND(C$26-1&lt;2016,ISNUMBER(SEARCH("* Distribution",gdb_name_asset))),#N/A,INDEX(dataset!$A:$O,MATCH(C$26&amp;"AMP"&amp;C$26-1&amp;$S29,dataset!$O:$O,0),MATCH($A$1,dataset!$A$1:$O$1,0))/1000)</f>
        <v>61.606312500000001</v>
      </c>
      <c r="D29" s="6">
        <f>IF(AND(D$26-1&lt;2016,ISNUMBER(SEARCH("* Distribution",gdb_name_asset))),#N/A,INDEX(dataset!$A:$O,MATCH(D$26&amp;"AMP"&amp;D$26-1&amp;$S29,dataset!$O:$O,0),MATCH($A$1,dataset!$A$1:$O$1,0))/1000)</f>
        <v>62.55196484375</v>
      </c>
      <c r="E29" s="6">
        <f>IF(AND(E$26-1&lt;2016,ISNUMBER(SEARCH("* Distribution",gdb_name_asset))),#N/A,INDEX(dataset!$A:$O,MATCH(E$26&amp;"AMP"&amp;E$26-1&amp;$S29,dataset!$O:$O,0),MATCH($A$1,dataset!$A$1:$O$1,0))/1000)</f>
        <v>66.697453124999996</v>
      </c>
      <c r="F29" s="6">
        <f>IF(AND(F$26-1&lt;2016,ISNUMBER(SEARCH("* Distribution",gdb_name_asset))),#N/A,INDEX(dataset!$A:$O,MATCH(F$26&amp;"AMP"&amp;F$26-1&amp;$S29,dataset!$O:$O,0),MATCH($A$1,dataset!$A$1:$O$1,0))/1000)</f>
        <v>65.478382812500001</v>
      </c>
      <c r="G29" s="6">
        <f>IF(AND(G$26-1&lt;2016,ISNUMBER(SEARCH("* Distribution",gdb_name_asset))),#N/A,INDEX(dataset!$A:$O,MATCH(G$26&amp;"AMP"&amp;G$26-1&amp;$S29,dataset!$O:$O,0),MATCH($A$1,dataset!$A$1:$O$1,0))/1000)</f>
        <v>77.075859374999993</v>
      </c>
      <c r="S29" s="3" t="s">
        <v>231</v>
      </c>
    </row>
    <row r="30" spans="1:23" x14ac:dyDescent="0.45">
      <c r="A30" s="18" t="s">
        <v>76</v>
      </c>
      <c r="B30" s="6">
        <f>IF(AND(B$26-2&lt;2016,ISNUMBER(SEARCH("* Distribution",gdb_name_asset))),#N/A,INDEX(dataset!$A:$O,MATCH(B$26&amp;"AMP"&amp;B$26-2&amp;$S30,dataset!$O:$O,0),MATCH($A$1,dataset!$A$1:$O$1,0))/1000)</f>
        <v>49.986421874999998</v>
      </c>
      <c r="C30" s="6">
        <f>IF(AND(C$26-2&lt;2016,ISNUMBER(SEARCH("* Distribution",gdb_name_asset))),#N/A,INDEX(dataset!$A:$O,MATCH(C$26&amp;"AMP"&amp;C$26-2&amp;$S30,dataset!$O:$O,0),MATCH($A$1,dataset!$A$1:$O$1,0))/1000)</f>
        <v>51.718929687500001</v>
      </c>
      <c r="D30" s="6">
        <f>IF(AND(D$26-2&lt;2016,ISNUMBER(SEARCH("* Distribution",gdb_name_asset))),#N/A,INDEX(dataset!$A:$O,MATCH(D$26&amp;"AMP"&amp;D$26-2&amp;$S30,dataset!$O:$O,0),MATCH($A$1,dataset!$A$1:$O$1,0))/1000)</f>
        <v>54.299062499999998</v>
      </c>
      <c r="E30" s="6">
        <f>IF(AND(E$26-2&lt;2016,ISNUMBER(SEARCH("* Distribution",gdb_name_asset))),#N/A,INDEX(dataset!$A:$O,MATCH(E$26&amp;"AMP"&amp;E$26-2&amp;$S30,dataset!$O:$O,0),MATCH($A$1,dataset!$A$1:$O$1,0))/1000)</f>
        <v>63.589160156250003</v>
      </c>
      <c r="F30" s="6">
        <f>IF(AND(F$26-2&lt;2016,ISNUMBER(SEARCH("* Distribution",gdb_name_asset))),#N/A,INDEX(dataset!$A:$O,MATCH(F$26&amp;"AMP"&amp;F$26-2&amp;$S30,dataset!$O:$O,0),MATCH($A$1,dataset!$A$1:$O$1,0))/1000)</f>
        <v>70.146062499999999</v>
      </c>
      <c r="G30" s="6">
        <f>IF(AND(G$26-2&lt;2016,ISNUMBER(SEARCH("* Distribution",gdb_name_asset))),#N/A,INDEX(dataset!$A:$O,MATCH(G$26&amp;"AMP"&amp;G$26-2&amp;$S30,dataset!$O:$O,0),MATCH($A$1,dataset!$A$1:$O$1,0))/1000)</f>
        <v>66.373249999999999</v>
      </c>
      <c r="S30" s="3" t="s">
        <v>231</v>
      </c>
    </row>
    <row r="31" spans="1:23" ht="15.75" customHeight="1" x14ac:dyDescent="0.45">
      <c r="A31" s="18"/>
      <c r="I31" s="4" t="s">
        <v>64</v>
      </c>
      <c r="J31" s="165" t="s">
        <v>65</v>
      </c>
    </row>
    <row r="32" spans="1:23" x14ac:dyDescent="0.45">
      <c r="A32" s="18" t="str">
        <f t="shared" ref="A32:A37" si="4">VLOOKUP(W32,$P$32:$S$37,4,FALSE)</f>
        <v>Consumer connection</v>
      </c>
      <c r="B32" s="6">
        <f>IF(AND(B$26&lt;2016,ISNUMBER(SEARCH("* Distribution",gdb_name_asset))),#N/A,INDEX(dataset!$A:$O,MATCH(B$26&amp;$W32,dataset!$O:$O,0),MATCH($A$1,dataset!$A$1:$O$1,0))/1000)</f>
        <v>34.335597656250002</v>
      </c>
      <c r="C32" s="6">
        <f>IF(AND(C$26&lt;2016,ISNUMBER(SEARCH("* Distribution",gdb_name_asset))),#N/A,INDEX(dataset!$A:$O,MATCH(C$26&amp;$W32,dataset!$O:$O,0),MATCH($A$1,dataset!$A$1:$O$1,0))/1000)</f>
        <v>36.347015624999997</v>
      </c>
      <c r="D32" s="6">
        <f>IF(AND(D$26&lt;2016,ISNUMBER(SEARCH("* Distribution",gdb_name_asset))),#N/A,INDEX(dataset!$A:$O,MATCH(D$26&amp;$W32,dataset!$O:$O,0),MATCH($A$1,dataset!$A$1:$O$1,0))/1000)</f>
        <v>31.884460937499998</v>
      </c>
      <c r="E32" s="6">
        <f>IF(AND(E$26&lt;2016,ISNUMBER(SEARCH("* Distribution",gdb_name_asset))),#N/A,INDEX(dataset!$A:$O,MATCH(E$26&amp;$W32,dataset!$O:$O,0),MATCH($A$1,dataset!$A$1:$O$1,0))/1000)</f>
        <v>31.153230468749999</v>
      </c>
      <c r="F32" s="6">
        <f>IF(AND(F$26&lt;2016,ISNUMBER(SEARCH("* Distribution",gdb_name_asset))),#N/A,INDEX(dataset!$A:$O,MATCH(F$26&amp;$W32,dataset!$O:$O,0),MATCH($A$1,dataset!$A$1:$O$1,0))/1000)</f>
        <v>32.27514453125</v>
      </c>
      <c r="G32" s="6">
        <f>IF(AND(G$26&lt;2016,ISNUMBER(SEARCH("* Distribution",gdb_name_asset))),#N/A,INDEX(dataset!$A:$O,MATCH(G$26&amp;$W32,dataset!$O:$O,0),MATCH($A$1,dataset!$A$1:$O$1,0))/1000)</f>
        <v>27.643898437499999</v>
      </c>
      <c r="H32" s="5"/>
      <c r="I32" s="12" cm="1">
        <f t="array" ref="I32">AVERAGE(IF(ISNUMBER(E32:G32),E32:G32))</f>
        <v>30.357424479166667</v>
      </c>
      <c r="J32" s="13">
        <f t="shared" ref="J32:J39" si="5">I32/$I$38</f>
        <v>0.50990536662858676</v>
      </c>
      <c r="K32" s="158"/>
      <c r="O32" s="186">
        <f>RANK(U32,$U$32:$U$37,0)+COUNTIF($U$32:U32,U32:U37)-1</f>
        <v>6</v>
      </c>
      <c r="P32" s="3" t="s">
        <v>232</v>
      </c>
      <c r="S32" s="3" t="s">
        <v>19</v>
      </c>
      <c r="U32" s="24">
        <f>INDEX(dataset!$A:$O,MATCH(latest_year&amp;$P32,dataset!$O:$O,0),MATCH($A$1,dataset!$A$1:$O$1,0))+INDEX(dataset!$A:$O,MATCH(latest_year-1&amp;$P32,dataset!$O:$O,0),MATCH($A$1,dataset!$A$1:$O$1,0))+INDEX(dataset!$A:$O,MATCH(latest_year-2&amp;$P32,dataset!$O:$O,0),MATCH($A$1,dataset!$A$1:$O$1,0))</f>
        <v>11165.377685546875</v>
      </c>
      <c r="V32">
        <v>1</v>
      </c>
      <c r="W32" s="3" t="str">
        <f t="shared" ref="W32:W37" si="6">VLOOKUP(V32,$O$32:$P$37,2,FALSE)</f>
        <v>IDCapital ExpenditureConsumer connectionConsumer connectionnominal</v>
      </c>
    </row>
    <row r="33" spans="1:23" x14ac:dyDescent="0.45">
      <c r="A33" s="18" t="str">
        <f t="shared" si="4"/>
        <v>Asset replacement &amp; renewal</v>
      </c>
      <c r="B33" s="6">
        <f>IF(AND(B$26&lt;2016,ISNUMBER(SEARCH("* Distribution",gdb_name_asset))),#N/A,INDEX(dataset!$A:$O,MATCH(B$26&amp;$W33,dataset!$O:$O,0),MATCH($A$1,dataset!$A$1:$O$1,0))/1000)</f>
        <v>5.39437890625</v>
      </c>
      <c r="C33" s="6">
        <f>IF(AND(C$26&lt;2016,ISNUMBER(SEARCH("* Distribution",gdb_name_asset))),#N/A,INDEX(dataset!$A:$O,MATCH(C$26&amp;$W33,dataset!$O:$O,0),MATCH($A$1,dataset!$A$1:$O$1,0))/1000)</f>
        <v>5.3034345703124997</v>
      </c>
      <c r="D33" s="6">
        <f>IF(AND(D$26&lt;2016,ISNUMBER(SEARCH("* Distribution",gdb_name_asset))),#N/A,INDEX(dataset!$A:$O,MATCH(D$26&amp;$W33,dataset!$O:$O,0),MATCH($A$1,dataset!$A$1:$O$1,0))/1000)</f>
        <v>6.5582065429687502</v>
      </c>
      <c r="E33" s="6">
        <f>IF(AND(E$26&lt;2016,ISNUMBER(SEARCH("* Distribution",gdb_name_asset))),#N/A,INDEX(dataset!$A:$O,MATCH(E$26&amp;$W33,dataset!$O:$O,0),MATCH($A$1,dataset!$A$1:$O$1,0))/1000)</f>
        <v>9.8726259765624995</v>
      </c>
      <c r="F33" s="6">
        <f>IF(AND(F$26&lt;2016,ISNUMBER(SEARCH("* Distribution",gdb_name_asset))),#N/A,INDEX(dataset!$A:$O,MATCH(F$26&amp;$W33,dataset!$O:$O,0),MATCH($A$1,dataset!$A$1:$O$1,0))/1000)</f>
        <v>9.9403642578125009</v>
      </c>
      <c r="G33" s="6">
        <f>IF(AND(G$26&lt;2016,ISNUMBER(SEARCH("* Distribution",gdb_name_asset))),#N/A,INDEX(dataset!$A:$O,MATCH(G$26&amp;$W33,dataset!$O:$O,0),MATCH($A$1,dataset!$A$1:$O$1,0))/1000)</f>
        <v>14.41997265625</v>
      </c>
      <c r="H33" s="5"/>
      <c r="I33" s="12">
        <f t="array" ref="I33">AVERAGE(IF(ISNUMBER(E33:G33),E33:G33))</f>
        <v>11.410987630208334</v>
      </c>
      <c r="J33" s="13">
        <f t="shared" si="5"/>
        <v>0.1916672422315904</v>
      </c>
      <c r="O33">
        <f>RANK(U33,$U$32:$U$37,0)+COUNTIF($U$32:U33,U33:U38)-1</f>
        <v>2</v>
      </c>
      <c r="P33" s="3" t="s">
        <v>233</v>
      </c>
      <c r="S33" s="3" t="s">
        <v>18</v>
      </c>
      <c r="U33" s="24">
        <f>INDEX(dataset!$A:$O,MATCH(latest_year&amp;$P33,dataset!$O:$O,0),MATCH($A$1,dataset!$A$1:$O$1,0))+INDEX(dataset!$A:$O,MATCH(latest_year-1&amp;$P33,dataset!$O:$O,0),MATCH($A$1,dataset!$A$1:$O$1,0))+INDEX(dataset!$A:$O,MATCH(latest_year-2&amp;$P33,dataset!$O:$O,0),MATCH($A$1,dataset!$A$1:$O$1,0))</f>
        <v>34232.962890625</v>
      </c>
      <c r="V33">
        <v>2</v>
      </c>
      <c r="W33" s="3" t="str">
        <f t="shared" si="6"/>
        <v>IDCapital ExpenditureAsset replacement and renewalAsset replacement and renewalnominal</v>
      </c>
    </row>
    <row r="34" spans="1:23" x14ac:dyDescent="0.45">
      <c r="A34" s="18" t="str">
        <f t="shared" si="4"/>
        <v>System growth</v>
      </c>
      <c r="B34" s="6">
        <f>IF(AND(B$26&lt;2016,ISNUMBER(SEARCH("* Distribution",gdb_name_asset))),#N/A,INDEX(dataset!$A:$O,MATCH(B$26&amp;$W34,dataset!$O:$O,0),MATCH($A$1,dataset!$A$1:$O$1,0))/1000)</f>
        <v>4.57628515625</v>
      </c>
      <c r="C34" s="6">
        <f>IF(AND(C$26&lt;2016,ISNUMBER(SEARCH("* Distribution",gdb_name_asset))),#N/A,INDEX(dataset!$A:$O,MATCH(C$26&amp;$W34,dataset!$O:$O,0),MATCH($A$1,dataset!$A$1:$O$1,0))/1000)</f>
        <v>4.8493554687499998</v>
      </c>
      <c r="D34" s="6">
        <f>IF(AND(D$26&lt;2016,ISNUMBER(SEARCH("* Distribution",gdb_name_asset))),#N/A,INDEX(dataset!$A:$O,MATCH(D$26&amp;$W34,dataset!$O:$O,0),MATCH($A$1,dataset!$A$1:$O$1,0))/1000)</f>
        <v>8.1382509765624995</v>
      </c>
      <c r="E34" s="6">
        <f>IF(AND(E$26&lt;2016,ISNUMBER(SEARCH("* Distribution",gdb_name_asset))),#N/A,INDEX(dataset!$A:$O,MATCH(E$26&amp;$W34,dataset!$O:$O,0),MATCH($A$1,dataset!$A$1:$O$1,0))/1000)</f>
        <v>3.3474306640624998</v>
      </c>
      <c r="F34" s="6">
        <f>IF(AND(F$26&lt;2016,ISNUMBER(SEARCH("* Distribution",gdb_name_asset))),#N/A,INDEX(dataset!$A:$O,MATCH(F$26&amp;$W34,dataset!$O:$O,0),MATCH($A$1,dataset!$A$1:$O$1,0))/1000)</f>
        <v>6.9780825195312497</v>
      </c>
      <c r="G34" s="6">
        <f>IF(AND(G$26&lt;2016,ISNUMBER(SEARCH("* Distribution",gdb_name_asset))),#N/A,INDEX(dataset!$A:$O,MATCH(G$26&amp;$W34,dataset!$O:$O,0),MATCH($A$1,dataset!$A$1:$O$1,0))/1000)</f>
        <v>7.1558691406249997</v>
      </c>
      <c r="H34" s="5"/>
      <c r="I34" s="12">
        <f t="array" ref="I34">AVERAGE(IF(ISNUMBER(E34:G34),E34:G34))</f>
        <v>5.8271274414062502</v>
      </c>
      <c r="J34" s="13">
        <f t="shared" si="5"/>
        <v>9.7876667911694887E-2</v>
      </c>
      <c r="O34">
        <f>RANK(U34,$U$32:$U$37,0)+COUNTIF($U$32:U34,U34:U47)-1</f>
        <v>1</v>
      </c>
      <c r="P34" s="3" t="s">
        <v>234</v>
      </c>
      <c r="S34" s="3" t="s">
        <v>16</v>
      </c>
      <c r="U34" s="24">
        <f>INDEX(dataset!$A:$O,MATCH(latest_year&amp;$P34,dataset!$O:$O,0),MATCH($A$1,dataset!$A$1:$O$1,0))+INDEX(dataset!$A:$O,MATCH(latest_year-1&amp;$P34,dataset!$O:$O,0),MATCH($A$1,dataset!$A$1:$O$1,0))+INDEX(dataset!$A:$O,MATCH(latest_year-2&amp;$P34,dataset!$O:$O,0),MATCH($A$1,dataset!$A$1:$O$1,0))</f>
        <v>91072.2734375</v>
      </c>
      <c r="V34">
        <v>3</v>
      </c>
      <c r="W34" s="3" t="str">
        <f t="shared" si="6"/>
        <v>IDCapital ExpenditureSystem growthSystem growthnominal</v>
      </c>
    </row>
    <row r="35" spans="1:23" x14ac:dyDescent="0.45">
      <c r="A35" s="18" t="str">
        <f t="shared" si="4"/>
        <v>Non-network assets</v>
      </c>
      <c r="B35" s="6">
        <f>IF(AND(B$26&lt;2016,ISNUMBER(SEARCH("* Distribution",gdb_name_asset))),#N/A,INDEX(dataset!$A:$O,MATCH(B$26&amp;$W35,dataset!$O:$O,0),MATCH($A$1,dataset!$A$1:$O$1,0))/1000)</f>
        <v>5.4345844726562502</v>
      </c>
      <c r="C35" s="6">
        <f>IF(AND(C$26&lt;2016,ISNUMBER(SEARCH("* Distribution",gdb_name_asset))),#N/A,INDEX(dataset!$A:$O,MATCH(C$26&amp;$W35,dataset!$O:$O,0),MATCH($A$1,dataset!$A$1:$O$1,0))/1000)</f>
        <v>6.0734204101562499</v>
      </c>
      <c r="D35" s="6">
        <f>IF(AND(D$26&lt;2016,ISNUMBER(SEARCH("* Distribution",gdb_name_asset))),#N/A,INDEX(dataset!$A:$O,MATCH(D$26&amp;$W35,dataset!$O:$O,0),MATCH($A$1,dataset!$A$1:$O$1,0))/1000)</f>
        <v>7.5929824218749999</v>
      </c>
      <c r="E35" s="6">
        <f>IF(AND(E$26&lt;2016,ISNUMBER(SEARCH("* Distribution",gdb_name_asset))),#N/A,INDEX(dataset!$A:$O,MATCH(E$26&amp;$W35,dataset!$O:$O,0),MATCH($A$1,dataset!$A$1:$O$1,0))/1000)</f>
        <v>4.1269863281249997</v>
      </c>
      <c r="F35" s="6">
        <f>IF(AND(F$26&lt;2016,ISNUMBER(SEARCH("* Distribution",gdb_name_asset))),#N/A,INDEX(dataset!$A:$O,MATCH(F$26&amp;$W35,dataset!$O:$O,0),MATCH($A$1,dataset!$A$1:$O$1,0))/1000)</f>
        <v>4.3223867187499998</v>
      </c>
      <c r="G35" s="6">
        <f>IF(AND(G$26&lt;2016,ISNUMBER(SEARCH("* Distribution",gdb_name_asset))),#N/A,INDEX(dataset!$A:$O,MATCH(G$26&amp;$W35,dataset!$O:$O,0),MATCH($A$1,dataset!$A$1:$O$1,0))/1000)</f>
        <v>4.8147558593750004</v>
      </c>
      <c r="H35" s="5"/>
      <c r="I35" s="12">
        <f t="array" ref="I35">AVERAGE(IF(ISNUMBER(E35:G35),E35:G35))</f>
        <v>4.4213763020833339</v>
      </c>
      <c r="J35" s="13">
        <f t="shared" si="5"/>
        <v>7.4264650015482297E-2</v>
      </c>
      <c r="O35">
        <f>RANK(U35,$U$32:$U$37,0)+COUNTIF($U$32:U35,U35:U48)-1</f>
        <v>4</v>
      </c>
      <c r="P35" s="3" t="s">
        <v>301</v>
      </c>
      <c r="S35" s="3" t="s">
        <v>38</v>
      </c>
      <c r="U35" s="24">
        <f>INDEX(dataset!$A:$O,MATCH(latest_year&amp;$P35,dataset!$O:$O,0),MATCH($A$1,dataset!$A$1:$O$1,0))+INDEX(dataset!$A:$O,MATCH(latest_year-1&amp;$P35,dataset!$O:$O,0),MATCH($A$1,dataset!$A$1:$O$1,0))+INDEX(dataset!$A:$O,MATCH(latest_year-2&amp;$P35,dataset!$O:$O,0),MATCH($A$1,dataset!$A$1:$O$1,0))</f>
        <v>13264.12890625</v>
      </c>
      <c r="V35">
        <v>4</v>
      </c>
      <c r="W35" s="3" t="str">
        <f t="shared" si="6"/>
        <v>IDCapital ExpenditureNon-network assetsNon-network assetsnominal</v>
      </c>
    </row>
    <row r="36" spans="1:23" x14ac:dyDescent="0.45">
      <c r="A36" s="18" t="str">
        <f t="shared" si="4"/>
        <v>Reliability, safety &amp; environment</v>
      </c>
      <c r="B36" s="6">
        <f>IF(AND(B$26&lt;2016,ISNUMBER(SEARCH("* Distribution",gdb_name_asset))),#N/A,INDEX(dataset!$A:$O,MATCH(B$26&amp;$W36,dataset!$O:$O,0),MATCH($A$1,dataset!$A$1:$O$1,0))/1000)</f>
        <v>4.8544682617187496</v>
      </c>
      <c r="C36" s="6">
        <f>IF(AND(C$26&lt;2016,ISNUMBER(SEARCH("* Distribution",gdb_name_asset))),#N/A,INDEX(dataset!$A:$O,MATCH(C$26&amp;$W36,dataset!$O:$O,0),MATCH($A$1,dataset!$A$1:$O$1,0))/1000)</f>
        <v>4.2532954101562499</v>
      </c>
      <c r="D36" s="6">
        <f>IF(AND(D$26&lt;2016,ISNUMBER(SEARCH("* Distribution",gdb_name_asset))),#N/A,INDEX(dataset!$A:$O,MATCH(D$26&amp;$W36,dataset!$O:$O,0),MATCH($A$1,dataset!$A$1:$O$1,0))/1000)</f>
        <v>5.65293212890625</v>
      </c>
      <c r="E36" s="6">
        <f>IF(AND(E$26&lt;2016,ISNUMBER(SEARCH("* Distribution",gdb_name_asset))),#N/A,INDEX(dataset!$A:$O,MATCH(E$26&amp;$W36,dataset!$O:$O,0),MATCH($A$1,dataset!$A$1:$O$1,0))/1000)</f>
        <v>4.3047543945312503</v>
      </c>
      <c r="F36" s="6">
        <f>IF(AND(F$26&lt;2016,ISNUMBER(SEARCH("* Distribution",gdb_name_asset))),#N/A,INDEX(dataset!$A:$O,MATCH(F$26&amp;$W36,dataset!$O:$O,0),MATCH($A$1,dataset!$A$1:$O$1,0))/1000)</f>
        <v>3.7829999999999999</v>
      </c>
      <c r="G36" s="6">
        <f>IF(AND(G$26&lt;2016,ISNUMBER(SEARCH("* Distribution",gdb_name_asset))),#N/A,INDEX(dataset!$A:$O,MATCH(G$26&amp;$W36,dataset!$O:$O,0),MATCH($A$1,dataset!$A$1:$O$1,0))/1000)</f>
        <v>3.3023486328125</v>
      </c>
      <c r="H36" s="5"/>
      <c r="I36" s="12">
        <f t="array" ref="I36">AVERAGE(IF(ISNUMBER(E36:G36),E36:G36))</f>
        <v>3.7967010091145834</v>
      </c>
      <c r="J36" s="13">
        <f t="shared" si="5"/>
        <v>6.3772149754017626E-2</v>
      </c>
      <c r="O36">
        <f>RANK(U36,$U$32:$U$37,0)+COUNTIF($U$32:U36,U36:U49)-1</f>
        <v>5</v>
      </c>
      <c r="P36" s="3" t="s">
        <v>235</v>
      </c>
      <c r="S36" s="3" t="s">
        <v>20</v>
      </c>
      <c r="U36" s="24">
        <f>INDEX(dataset!$A:$O,MATCH(latest_year&amp;$P36,dataset!$O:$O,0),MATCH($A$1,dataset!$A$1:$O$1,0))+INDEX(dataset!$A:$O,MATCH(latest_year-1&amp;$P36,dataset!$O:$O,0),MATCH($A$1,dataset!$A$1:$O$1,0))+INDEX(dataset!$A:$O,MATCH(latest_year-2&amp;$P36,dataset!$O:$O,0),MATCH($A$1,dataset!$A$1:$O$1,0))</f>
        <v>11390.10302734375</v>
      </c>
      <c r="V36">
        <v>5</v>
      </c>
      <c r="W36" s="3" t="str">
        <f t="shared" si="6"/>
        <v>IDCapital ExpenditureReliability, safety and environmentTotal reliability, safety and environmentnominal</v>
      </c>
    </row>
    <row r="37" spans="1:23" x14ac:dyDescent="0.45">
      <c r="A37" s="18" t="str">
        <f t="shared" si="4"/>
        <v>Asset relocations</v>
      </c>
      <c r="B37" s="6">
        <f>IF(AND(B$26&lt;2016,ISNUMBER(SEARCH("* Distribution",gdb_name_asset))),#N/A,INDEX(dataset!$A:$O,MATCH(B$26&amp;$W37,dataset!$O:$O,0),MATCH($A$1,dataset!$A$1:$O$1,0))/1000)</f>
        <v>3.4338601074218751</v>
      </c>
      <c r="C37" s="6">
        <f>IF(AND(C$26&lt;2016,ISNUMBER(SEARCH("* Distribution",gdb_name_asset))),#N/A,INDEX(dataset!$A:$O,MATCH(C$26&amp;$W37,dataset!$O:$O,0),MATCH($A$1,dataset!$A$1:$O$1,0))/1000)</f>
        <v>5.7312988281250004</v>
      </c>
      <c r="D37" s="6">
        <f>IF(AND(D$26&lt;2016,ISNUMBER(SEARCH("* Distribution",gdb_name_asset))),#N/A,INDEX(dataset!$A:$O,MATCH(D$26&amp;$W37,dataset!$O:$O,0),MATCH($A$1,dataset!$A$1:$O$1,0))/1000)</f>
        <v>3.6175400390624999</v>
      </c>
      <c r="E37" s="6">
        <f>IF(AND(E$26&lt;2016,ISNUMBER(SEARCH("* Distribution",gdb_name_asset))),#N/A,INDEX(dataset!$A:$O,MATCH(E$26&amp;$W37,dataset!$O:$O,0),MATCH($A$1,dataset!$A$1:$O$1,0))/1000)</f>
        <v>3.3450759277343751</v>
      </c>
      <c r="F37" s="6">
        <f>IF(AND(F$26&lt;2016,ISNUMBER(SEARCH("* Distribution",gdb_name_asset))),#N/A,INDEX(dataset!$A:$O,MATCH(F$26&amp;$W37,dataset!$O:$O,0),MATCH($A$1,dataset!$A$1:$O$1,0))/1000)</f>
        <v>3.6894892578124998</v>
      </c>
      <c r="G37" s="6">
        <f>IF(AND(G$26&lt;2016,ISNUMBER(SEARCH("* Distribution",gdb_name_asset))),#N/A,INDEX(dataset!$A:$O,MATCH(G$26&amp;$W37,dataset!$O:$O,0),MATCH($A$1,dataset!$A$1:$O$1,0))/1000)</f>
        <v>4.1308125000000002</v>
      </c>
      <c r="H37" s="5"/>
      <c r="I37" s="12">
        <f t="array" ref="I37">AVERAGE(IF(ISNUMBER(E37:G37),E37:G37))</f>
        <v>3.7217925618489587</v>
      </c>
      <c r="J37" s="13">
        <f t="shared" si="5"/>
        <v>6.2513933027075932E-2</v>
      </c>
      <c r="O37">
        <f>RANK(U37,$U$32:$U$37,0)+COUNTIF($U$32:U37,U37:U50)-1</f>
        <v>3</v>
      </c>
      <c r="P37" s="3" t="s">
        <v>236</v>
      </c>
      <c r="S37" s="3" t="s">
        <v>17</v>
      </c>
      <c r="U37" s="24">
        <f>INDEX(dataset!$A:$O,MATCH(latest_year&amp;$P37,dataset!$O:$O,0),MATCH($A$1,dataset!$A$1:$O$1,0))+INDEX(dataset!$A:$O,MATCH(latest_year-1&amp;$P37,dataset!$O:$O,0),MATCH($A$1,dataset!$A$1:$O$1,0))+INDEX(dataset!$A:$O,MATCH(latest_year-2&amp;$P37,dataset!$O:$O,0),MATCH($A$1,dataset!$A$1:$O$1,0))</f>
        <v>17481.38232421875</v>
      </c>
      <c r="V37">
        <v>6</v>
      </c>
      <c r="W37" s="3" t="str">
        <f t="shared" si="6"/>
        <v>IDCapital ExpenditureAsset relocationsAsset relocationsnominal</v>
      </c>
    </row>
    <row r="38" spans="1:23" x14ac:dyDescent="0.45">
      <c r="A38" s="18" t="s">
        <v>14</v>
      </c>
      <c r="B38" s="6">
        <f>IF(AND(B$26&lt;2016,ISNUMBER(SEARCH("* Distribution",gdb_name_asset))),#N/A,INDEX(dataset!$A:$O,MATCH(B$26&amp;$P38,dataset!$O:$O,0),MATCH($A$1,dataset!$A$1:$O$1,0))/1000)</f>
        <v>58.029175781249997</v>
      </c>
      <c r="C38" s="6">
        <f>IF(AND(C$26&lt;2016,ISNUMBER(SEARCH("* Distribution",gdb_name_asset))),#N/A,INDEX(dataset!$A:$O,MATCH(C$26&amp;$P38,dataset!$O:$O,0),MATCH($A$1,dataset!$A$1:$O$1,0))/1000)</f>
        <v>62.557820312499999</v>
      </c>
      <c r="D38" s="6">
        <f>IF(AND(D$26&lt;2016,ISNUMBER(SEARCH("* Distribution",gdb_name_asset))),#N/A,INDEX(dataset!$A:$O,MATCH(D$26&amp;$P38,dataset!$O:$O,0),MATCH($A$1,dataset!$A$1:$O$1,0))/1000)</f>
        <v>63.44437109375</v>
      </c>
      <c r="E38" s="6">
        <f>IF(AND(E$26&lt;2016,ISNUMBER(SEARCH("* Distribution",gdb_name_asset))),#N/A,INDEX(dataset!$A:$O,MATCH(E$26&amp;$P38,dataset!$O:$O,0),MATCH($A$1,dataset!$A$1:$O$1,0))/1000)</f>
        <v>56.150101562499998</v>
      </c>
      <c r="F38" s="6">
        <f>IF(AND(F$26&lt;2016,ISNUMBER(SEARCH("* Distribution",gdb_name_asset))),#N/A,INDEX(dataset!$A:$O,MATCH(F$26&amp;$P38,dataset!$O:$O,0),MATCH($A$1,dataset!$A$1:$O$1,0))/1000)</f>
        <v>60.988468750000003</v>
      </c>
      <c r="G38" s="6">
        <f>IF(AND(G$26&lt;2016,ISNUMBER(SEARCH("* Distribution",gdb_name_asset))),#N/A,INDEX(dataset!$A:$O,MATCH(G$26&amp;$P38,dataset!$O:$O,0),MATCH($A$1,dataset!$A$1:$O$1,0))/1000)</f>
        <v>61.467656249999997</v>
      </c>
      <c r="H38" s="5"/>
      <c r="I38" s="12">
        <f t="array" ref="I38">AVERAGE(IF(ISNUMBER(E38:G38),E38:G38))</f>
        <v>59.535408854166668</v>
      </c>
      <c r="J38" s="13">
        <f t="shared" si="5"/>
        <v>1</v>
      </c>
      <c r="K38" t="b">
        <f>ROUND(SUM(J32:J37),5)=J38</f>
        <v>1</v>
      </c>
      <c r="P38" s="3" t="s">
        <v>223</v>
      </c>
    </row>
    <row r="39" spans="1:23" x14ac:dyDescent="0.45">
      <c r="A39" s="18" t="s">
        <v>123</v>
      </c>
      <c r="B39" s="6">
        <f>IF(AND(B$26&lt;2016,ISNUMBER(SEARCH("* Distribution",gdb_name_asset))),#N/A,INDEX(dataset!$A:$O,MATCH(B$26&amp;$P39,dataset!$O:$O,0),MATCH($A$1,dataset!$A$1:$O$1,0))/1000)</f>
        <v>15.318643554687499</v>
      </c>
      <c r="C39" s="6">
        <f>IF(AND(C$26&lt;2016,ISNUMBER(SEARCH("* Distribution",gdb_name_asset))),#N/A,INDEX(dataset!$A:$O,MATCH(C$26&amp;$P39,dataset!$O:$O,0),MATCH($A$1,dataset!$A$1:$O$1,0))/1000)</f>
        <v>13.405077148437501</v>
      </c>
      <c r="D39" s="6">
        <f>IF(AND(D$26&lt;2016,ISNUMBER(SEARCH("* Distribution",gdb_name_asset))),#N/A,INDEX(dataset!$A:$O,MATCH(D$26&amp;$P39,dataset!$O:$O,0),MATCH($A$1,dataset!$A$1:$O$1,0))/1000)</f>
        <v>16.766181640625</v>
      </c>
      <c r="E39" s="6">
        <f>IF(AND(E$26&lt;2016,ISNUMBER(SEARCH("* Distribution",gdb_name_asset))),#N/A,INDEX(dataset!$A:$O,MATCH(E$26&amp;$P39,dataset!$O:$O,0),MATCH($A$1,dataset!$A$1:$O$1,0))/1000)</f>
        <v>14.837978515625</v>
      </c>
      <c r="F39" s="6">
        <f>IF(AND(F$26&lt;2016,ISNUMBER(SEARCH("* Distribution",gdb_name_asset))),#N/A,INDEX(dataset!$A:$O,MATCH(F$26&amp;$P39,dataset!$O:$O,0),MATCH($A$1,dataset!$A$1:$O$1,0))/1000)</f>
        <v>12.458822265625001</v>
      </c>
      <c r="G39" s="6">
        <f>IF(AND(G$26&lt;2016,ISNUMBER(SEARCH("* Distribution",gdb_name_asset))),#N/A,INDEX(dataset!$A:$O,MATCH(G$26&amp;$P39,dataset!$O:$O,0),MATCH($A$1,dataset!$A$1:$O$1,0))/1000)</f>
        <v>13.103808593749999</v>
      </c>
      <c r="H39" s="5"/>
      <c r="I39" s="12">
        <f t="array" ref="I39">AVERAGE(IF(ISNUMBER(E39:G39),E39:G39))</f>
        <v>13.466869791666667</v>
      </c>
      <c r="J39" s="13">
        <f t="shared" si="5"/>
        <v>0.22619933331866537</v>
      </c>
      <c r="P39" s="3" t="s">
        <v>226</v>
      </c>
    </row>
    <row r="40" spans="1:23" ht="22.5" customHeight="1" x14ac:dyDescent="0.45">
      <c r="I40" s="4" t="s">
        <v>128</v>
      </c>
    </row>
    <row r="41" spans="1:23" x14ac:dyDescent="0.45">
      <c r="A41" s="35" t="s">
        <v>214</v>
      </c>
      <c r="B41" s="14"/>
      <c r="C41" s="14"/>
      <c r="D41" s="14"/>
      <c r="E41" s="14"/>
      <c r="F41" s="14"/>
      <c r="G41" s="14"/>
      <c r="H41" s="14"/>
      <c r="I41" s="77" cm="1">
        <f t="array" ref="I41">SUM(IF(ISNUMBER(E38:G38),E38:G38))/SUM(IF(ISNUMBER(E7:G7),E7:G7))</f>
        <v>5.5040618776282232E-2</v>
      </c>
    </row>
    <row r="42" spans="1:23" x14ac:dyDescent="0.45">
      <c r="A42" s="35" t="s">
        <v>213</v>
      </c>
      <c r="B42" s="14"/>
      <c r="C42" s="14"/>
      <c r="D42" s="14"/>
      <c r="E42" s="14"/>
      <c r="F42" s="14"/>
      <c r="G42" s="14"/>
      <c r="H42" s="14"/>
      <c r="I42" s="159">
        <f t="array" ref="I42">SUM(IF(ISNUMBER(E38:G38),E38:G38))*1000/SUM(IF(ISNUMBER(E22:G22),E22:G22))</f>
        <v>3.1977746665606879</v>
      </c>
    </row>
    <row r="43" spans="1:23" x14ac:dyDescent="0.45">
      <c r="A43" s="35" t="s">
        <v>196</v>
      </c>
      <c r="B43" s="14"/>
      <c r="C43" s="14"/>
      <c r="D43" s="14"/>
      <c r="E43" s="14"/>
      <c r="F43" s="14"/>
      <c r="G43" s="14"/>
      <c r="H43" s="14"/>
      <c r="I43" s="14">
        <f t="array" ref="I43">SUM(IF(ISNUMBER(E38:G38),E38:G38))*1000000/SUM(IF(ISNUMBER(E12:G12),E12:G12))</f>
        <v>194.88262884064153</v>
      </c>
    </row>
    <row r="44" spans="1:23" x14ac:dyDescent="0.45">
      <c r="A44" s="35" t="s">
        <v>215</v>
      </c>
      <c r="B44" s="14"/>
      <c r="C44" s="14"/>
      <c r="D44" s="14"/>
      <c r="E44" s="14"/>
      <c r="F44" s="14"/>
      <c r="G44" s="14"/>
      <c r="H44" s="14"/>
      <c r="I44" s="14">
        <f t="array" ref="I44">SUM(IF(ISNUMBER(E38:G38),E38:G38))/SUM(IF(ISNUMBER(E45:G45),E45:G45))</f>
        <v>1.6261763525520296</v>
      </c>
    </row>
    <row r="45" spans="1:23" x14ac:dyDescent="0.45">
      <c r="A45" s="35" t="s">
        <v>22</v>
      </c>
      <c r="B45" s="6" t="e">
        <f>IF(AND(B$26&lt;2016,ISNUMBER(SEARCH("* Distribution",gdb_name_asset))),#N/A,INDEX(dataset!$A:$O,MATCH(B$26&amp;$P45,dataset!$O:$O,0),MATCH($A$1,dataset!$A$1:$O$1,0))/1000)</f>
        <v>#N/A</v>
      </c>
      <c r="C45" s="6">
        <f>IF(AND(C$26&lt;2016,ISNUMBER(SEARCH("* Distribution",gdb_name_asset))),#N/A,INDEX(dataset!$A:$O,MATCH(C$26&amp;$P45,dataset!$O:$O,0),MATCH($A$1,dataset!$A$1:$O$1,0))/1000)</f>
        <v>31.471867187499999</v>
      </c>
      <c r="D45" s="6">
        <f>IF(AND(D$26&lt;2016,ISNUMBER(SEARCH("* Distribution",gdb_name_asset))),#N/A,INDEX(dataset!$A:$O,MATCH(D$26&amp;$P45,dataset!$O:$O,0),MATCH($A$1,dataset!$A$1:$O$1,0))/1000)</f>
        <v>32.525765624999998</v>
      </c>
      <c r="E45" s="6">
        <f>IF(AND(E$26&lt;2016,ISNUMBER(SEARCH("* Distribution",gdb_name_asset))),#N/A,INDEX(dataset!$A:$O,MATCH(E$26&amp;$P45,dataset!$O:$O,0),MATCH($A$1,dataset!$A$1:$O$1,0))/1000)</f>
        <v>36.75205859375</v>
      </c>
      <c r="F45" s="6">
        <f>IF(AND(F$26&lt;2016,ISNUMBER(SEARCH("* Distribution",gdb_name_asset))),#N/A,INDEX(dataset!$A:$O,MATCH(F$26&amp;$P45,dataset!$O:$O,0),MATCH($A$1,dataset!$A$1:$O$1,0))/1000)</f>
        <v>36.367933593750003</v>
      </c>
      <c r="G45" s="6">
        <f>IF(AND(G$26&lt;2016,ISNUMBER(SEARCH("* Distribution",gdb_name_asset))),#N/A,INDEX(dataset!$A:$O,MATCH(G$26&amp;$P45,dataset!$O:$O,0),MATCH($A$1,dataset!$A$1:$O$1,0))/1000)</f>
        <v>36.712023437500001</v>
      </c>
      <c r="P45" s="3" t="s">
        <v>75</v>
      </c>
      <c r="Q45" t="s">
        <v>271</v>
      </c>
    </row>
    <row r="46" spans="1:23" x14ac:dyDescent="0.45">
      <c r="A46" s="76"/>
      <c r="B46" s="76"/>
      <c r="C46" s="76"/>
      <c r="D46" s="76"/>
      <c r="E46" s="76"/>
      <c r="F46" s="76"/>
      <c r="G46" s="76"/>
    </row>
    <row r="48" spans="1:23" ht="21" x14ac:dyDescent="0.65">
      <c r="A48" s="17" t="s">
        <v>39</v>
      </c>
    </row>
    <row r="49" spans="1:23" x14ac:dyDescent="0.45">
      <c r="B49" s="4">
        <f t="shared" ref="B49:Q49" si="7">latest_year+B$2</f>
        <v>2017</v>
      </c>
      <c r="C49" s="4">
        <f t="shared" si="7"/>
        <v>2018</v>
      </c>
      <c r="D49" s="4">
        <f t="shared" si="7"/>
        <v>2019</v>
      </c>
      <c r="E49" s="4">
        <f t="shared" si="7"/>
        <v>2020</v>
      </c>
      <c r="F49" s="4">
        <f t="shared" si="7"/>
        <v>2021</v>
      </c>
      <c r="G49" s="4">
        <f t="shared" si="7"/>
        <v>2022</v>
      </c>
      <c r="H49" s="4">
        <f t="shared" si="7"/>
        <v>2023</v>
      </c>
      <c r="I49" s="4">
        <f t="shared" si="7"/>
        <v>2024</v>
      </c>
      <c r="J49" s="4">
        <f t="shared" si="7"/>
        <v>2025</v>
      </c>
      <c r="K49" s="4">
        <f t="shared" si="7"/>
        <v>2026</v>
      </c>
      <c r="L49" s="4">
        <f t="shared" si="7"/>
        <v>2027</v>
      </c>
      <c r="M49" s="4">
        <f t="shared" si="7"/>
        <v>2028</v>
      </c>
      <c r="N49" s="4">
        <f t="shared" si="7"/>
        <v>2029</v>
      </c>
      <c r="O49" s="4">
        <f t="shared" si="7"/>
        <v>2030</v>
      </c>
      <c r="P49" s="4">
        <f t="shared" si="7"/>
        <v>2031</v>
      </c>
      <c r="Q49" s="4">
        <f t="shared" si="7"/>
        <v>2032</v>
      </c>
    </row>
    <row r="50" spans="1:23" x14ac:dyDescent="0.45">
      <c r="A50" s="18" t="s">
        <v>53</v>
      </c>
      <c r="B50" s="6">
        <f>IF(AND(B$26&lt;2016,ISNUMBER(SEARCH("* Distribution",gdb_name_asset))),#N/A,INDEX(dataset!$A:$O,MATCH(B$26&amp;$S50,dataset!$O:$O,0),MATCH($A$1,dataset!$A$1:$O$1,0))/1000)</f>
        <v>36.361453124999997</v>
      </c>
      <c r="C50" s="6">
        <f>IF(AND(C$26&lt;2016,ISNUMBER(SEARCH("* Distribution",gdb_name_asset))),#N/A,INDEX(dataset!$A:$O,MATCH(C$26&amp;$S50,dataset!$O:$O,0),MATCH($A$1,dataset!$A$1:$O$1,0))/1000)</f>
        <v>38.052234374999998</v>
      </c>
      <c r="D50" s="6">
        <f>IF(AND(D$26&lt;2016,ISNUMBER(SEARCH("* Distribution",gdb_name_asset))),#N/A,INDEX(dataset!$A:$O,MATCH(D$26&amp;$S50,dataset!$O:$O,0),MATCH($A$1,dataset!$A$1:$O$1,0))/1000)</f>
        <v>37.854132812499998</v>
      </c>
      <c r="E50" s="6">
        <f>IF(AND(E$26&lt;2016,ISNUMBER(SEARCH("* Distribution",gdb_name_asset))),#N/A,INDEX(dataset!$A:$O,MATCH(E$26&amp;$S50,dataset!$O:$O,0),MATCH($A$1,dataset!$A$1:$O$1,0))/1000)</f>
        <v>41.713871093750001</v>
      </c>
      <c r="F50" s="6">
        <f>IF(AND(F$26&lt;2016,ISNUMBER(SEARCH("* Distribution",gdb_name_asset))),#N/A,INDEX(dataset!$A:$O,MATCH(F$26&amp;$S50,dataset!$O:$O,0),MATCH($A$1,dataset!$A$1:$O$1,0))/1000)</f>
        <v>43.393222656250003</v>
      </c>
      <c r="G50" s="6">
        <f>IF(AND(G$26&lt;2016,ISNUMBER(SEARCH("* Distribution",gdb_name_asset))),#N/A,INDEX(dataset!$A:$O,MATCH(G$26&amp;$S50,dataset!$O:$O,0),MATCH($A$1,dataset!$A$1:$O$1,0))/1000)</f>
        <v>44.906222656250002</v>
      </c>
      <c r="H50" s="5"/>
      <c r="I50" s="5"/>
      <c r="J50" s="5"/>
      <c r="K50" s="5"/>
      <c r="L50" s="5"/>
      <c r="M50" s="5"/>
      <c r="N50" s="5"/>
      <c r="O50" s="5"/>
      <c r="P50" s="5"/>
      <c r="Q50" s="5"/>
      <c r="S50" s="3" t="s">
        <v>224</v>
      </c>
    </row>
    <row r="51" spans="1:23" x14ac:dyDescent="0.45">
      <c r="A51" s="18" t="s">
        <v>54</v>
      </c>
      <c r="B51" s="5"/>
      <c r="C51" s="5"/>
      <c r="D51" s="5"/>
      <c r="E51" s="5"/>
      <c r="F51" s="5"/>
      <c r="G51" s="5"/>
      <c r="H51" s="6">
        <f>INDEX(dataset!$A:$O,MATCH(H$26&amp;$S51,dataset!$O:$O,0),MATCH($A$1,dataset!$A$1:$O$1,0))/1000</f>
        <v>47.785699218749997</v>
      </c>
      <c r="I51" s="6">
        <f>INDEX(dataset!$A:$O,MATCH(I$26&amp;$S51,dataset!$O:$O,0),MATCH($A$1,dataset!$A$1:$O$1,0))/1000</f>
        <v>49.281476562500004</v>
      </c>
      <c r="J51" s="6">
        <f>INDEX(dataset!$A:$O,MATCH(J$26&amp;$S51,dataset!$O:$O,0),MATCH($A$1,dataset!$A$1:$O$1,0))/1000</f>
        <v>50.348433593750002</v>
      </c>
      <c r="K51" s="6">
        <f>INDEX(dataset!$A:$O,MATCH(K$26&amp;$S51,dataset!$O:$O,0),MATCH($A$1,dataset!$A$1:$O$1,0))/1000</f>
        <v>51.777292968749997</v>
      </c>
      <c r="L51" s="6">
        <f>INDEX(dataset!$A:$O,MATCH(L$26&amp;$S51,dataset!$O:$O,0),MATCH($A$1,dataset!$A$1:$O$1,0))/1000</f>
        <v>53.199652343750003</v>
      </c>
      <c r="M51" s="6">
        <f>INDEX(dataset!$A:$O,MATCH(M$26&amp;$S51,dataset!$O:$O,0),MATCH($A$1,dataset!$A$1:$O$1,0))/1000</f>
        <v>54.463222656249997</v>
      </c>
      <c r="N51" s="6">
        <f>INDEX(dataset!$A:$O,MATCH(N$26&amp;$S51,dataset!$O:$O,0),MATCH($A$1,dataset!$A$1:$O$1,0))/1000</f>
        <v>55.525523437499999</v>
      </c>
      <c r="O51" s="6">
        <f>INDEX(dataset!$A:$O,MATCH(O$26&amp;$S51,dataset!$O:$O,0),MATCH($A$1,dataset!$A$1:$O$1,0))/1000</f>
        <v>56.70821875</v>
      </c>
      <c r="P51" s="6">
        <f>INDEX(dataset!$A:$O,MATCH(P$26&amp;$S51,dataset!$O:$O,0),MATCH($A$1,dataset!$A$1:$O$1,0))/1000</f>
        <v>57.974148437499998</v>
      </c>
      <c r="Q51" s="6">
        <f>INDEX(dataset!$A:$O,MATCH(Q$26&amp;$S51,dataset!$O:$O,0),MATCH($A$1,dataset!$A$1:$O$1,0))/1000</f>
        <v>59.228832031250001</v>
      </c>
      <c r="S51" s="3" t="str">
        <f>"AMP"&amp;latest_year&amp;"Operating ExpenditureTotal opexOperational expenditurenominal"</f>
        <v>AMP2022Operating ExpenditureTotal opexOperational expenditurenominal</v>
      </c>
    </row>
    <row r="52" spans="1:23" x14ac:dyDescent="0.45">
      <c r="A52" s="18" t="s">
        <v>55</v>
      </c>
      <c r="B52" s="6">
        <f>IF(AND(B$26-1&lt;2016,ISNUMBER(SEARCH("* Distribution",gdb_name_asset))),#N/A,INDEX(dataset!$A:$O,MATCH(B$26&amp;"AMP"&amp;B$26-1&amp;$S52,dataset!$O:$O,0),MATCH($A$1,dataset!$A$1:$O$1,0))/1000)</f>
        <v>37.569949218749997</v>
      </c>
      <c r="C52" s="6">
        <f>IF(AND(C$26-1&lt;2016,ISNUMBER(SEARCH("* Distribution",gdb_name_asset))),#N/A,INDEX(dataset!$A:$O,MATCH(C$26&amp;"AMP"&amp;C$26-1&amp;$S52,dataset!$O:$O,0),MATCH($A$1,dataset!$A$1:$O$1,0))/1000)</f>
        <v>38.38382421875</v>
      </c>
      <c r="D52" s="6">
        <f>IF(AND(D$26-1&lt;2016,ISNUMBER(SEARCH("* Distribution",gdb_name_asset))),#N/A,INDEX(dataset!$A:$O,MATCH(D$26&amp;"AMP"&amp;D$26-1&amp;$S52,dataset!$O:$O,0),MATCH($A$1,dataset!$A$1:$O$1,0))/1000)</f>
        <v>39.387441406249998</v>
      </c>
      <c r="E52" s="6">
        <f>IF(AND(E$26-1&lt;2016,ISNUMBER(SEARCH("* Distribution",gdb_name_asset))),#N/A,INDEX(dataset!$A:$O,MATCH(E$26&amp;"AMP"&amp;E$26-1&amp;$S52,dataset!$O:$O,0),MATCH($A$1,dataset!$A$1:$O$1,0))/1000)</f>
        <v>40.426703125000003</v>
      </c>
      <c r="F52" s="6">
        <f>IF(AND(F$26-1&lt;2016,ISNUMBER(SEARCH("* Distribution",gdb_name_asset))),#N/A,INDEX(dataset!$A:$O,MATCH(F$26&amp;"AMP"&amp;F$26-1&amp;$S52,dataset!$O:$O,0),MATCH($A$1,dataset!$A$1:$O$1,0))/1000)</f>
        <v>43.536800781250001</v>
      </c>
      <c r="G52" s="6">
        <f>IF(AND(G$26-1&lt;2016,ISNUMBER(SEARCH("* Distribution",gdb_name_asset))),#N/A,INDEX(dataset!$A:$O,MATCH(G$26&amp;"AMP"&amp;G$26-1&amp;$S52,dataset!$O:$O,0),MATCH($A$1,dataset!$A$1:$O$1,0))/1000)</f>
        <v>45.130882812499998</v>
      </c>
      <c r="S52" s="3" t="s">
        <v>237</v>
      </c>
    </row>
    <row r="53" spans="1:23" x14ac:dyDescent="0.45">
      <c r="A53" s="18" t="s">
        <v>77</v>
      </c>
      <c r="B53" s="6">
        <f>IF(AND(B$26-2&lt;2016,ISNUMBER(SEARCH("* Distribution",gdb_name_asset))),#N/A,INDEX(dataset!$A:$O,MATCH(B$26&amp;"AMP"&amp;B$26-2&amp;$S53,dataset!$O:$O,0),MATCH($A$1,dataset!$A$1:$O$1,0))/1000)</f>
        <v>37.736546875000002</v>
      </c>
      <c r="C53" s="6">
        <f>IF(AND(C$26-2&lt;2016,ISNUMBER(SEARCH("* Distribution",gdb_name_asset))),#N/A,INDEX(dataset!$A:$O,MATCH(C$26&amp;"AMP"&amp;C$26-2&amp;$S53,dataset!$O:$O,0),MATCH($A$1,dataset!$A$1:$O$1,0))/1000)</f>
        <v>37.945671875000002</v>
      </c>
      <c r="D53" s="6">
        <f>IF(AND(D$26-2&lt;2016,ISNUMBER(SEARCH("* Distribution",gdb_name_asset))),#N/A,INDEX(dataset!$A:$O,MATCH(D$26&amp;"AMP"&amp;D$26-2&amp;$S53,dataset!$O:$O,0),MATCH($A$1,dataset!$A$1:$O$1,0))/1000)</f>
        <v>39.150800781249998</v>
      </c>
      <c r="E53" s="6">
        <f>IF(AND(E$26-2&lt;2016,ISNUMBER(SEARCH("* Distribution",gdb_name_asset))),#N/A,INDEX(dataset!$A:$O,MATCH(E$26&amp;"AMP"&amp;E$26-2&amp;$S53,dataset!$O:$O,0),MATCH($A$1,dataset!$A$1:$O$1,0))/1000)</f>
        <v>39.787574218750002</v>
      </c>
      <c r="F53" s="6">
        <f>IF(AND(F$26-2&lt;2016,ISNUMBER(SEARCH("* Distribution",gdb_name_asset))),#N/A,INDEX(dataset!$A:$O,MATCH(F$26&amp;"AMP"&amp;F$26-2&amp;$S53,dataset!$O:$O,0),MATCH($A$1,dataset!$A$1:$O$1,0))/1000)</f>
        <v>40.960828124999999</v>
      </c>
      <c r="G53" s="6">
        <f>IF(AND(G$26-2&lt;2016,ISNUMBER(SEARCH("* Distribution",gdb_name_asset))),#N/A,INDEX(dataset!$A:$O,MATCH(G$26&amp;"AMP"&amp;G$26-2&amp;$S53,dataset!$O:$O,0),MATCH($A$1,dataset!$A$1:$O$1,0))/1000)</f>
        <v>44.294609375</v>
      </c>
      <c r="S53" s="3" t="s">
        <v>237</v>
      </c>
    </row>
    <row r="54" spans="1:23" x14ac:dyDescent="0.45">
      <c r="A54" s="18"/>
      <c r="I54" s="4" t="s">
        <v>64</v>
      </c>
      <c r="J54" s="4" t="s">
        <v>66</v>
      </c>
    </row>
    <row r="55" spans="1:23" x14ac:dyDescent="0.45">
      <c r="A55" s="18" t="str">
        <f>VLOOKUP(W55,$P$55:$S$59,4,FALSE)</f>
        <v>Business support</v>
      </c>
      <c r="B55" s="6">
        <f>IF(AND(B$26&lt;2016,ISNUMBER(SEARCH("* Distribution",gdb_name_asset))),#N/A,INDEX(dataset!$A:$O,MATCH(B$26&amp;$W55,dataset!$O:$O,0),MATCH($A$1,dataset!$A$1:$O$1,0))/1000)</f>
        <v>13.167329101562499</v>
      </c>
      <c r="C55" s="6">
        <f>IF(AND(C$26&lt;2016,ISNUMBER(SEARCH("* Distribution",gdb_name_asset))),#N/A,INDEX(dataset!$A:$O,MATCH(C$26&amp;$W55,dataset!$O:$O,0),MATCH($A$1,dataset!$A$1:$O$1,0))/1000)</f>
        <v>16.064126953125001</v>
      </c>
      <c r="D55" s="6">
        <f>IF(AND(D$26&lt;2016,ISNUMBER(SEARCH("* Distribution",gdb_name_asset))),#N/A,INDEX(dataset!$A:$O,MATCH(D$26&amp;$W55,dataset!$O:$O,0),MATCH($A$1,dataset!$A$1:$O$1,0))/1000)</f>
        <v>14.0199521484375</v>
      </c>
      <c r="E55" s="6">
        <f>IF(AND(E$26&lt;2016,ISNUMBER(SEARCH("* Distribution",gdb_name_asset))),#N/A,INDEX(dataset!$A:$O,MATCH(E$26&amp;$W55,dataset!$O:$O,0),MATCH($A$1,dataset!$A$1:$O$1,0))/1000)</f>
        <v>15.5601806640625</v>
      </c>
      <c r="F55" s="6">
        <f>IF(AND(F$26&lt;2016,ISNUMBER(SEARCH("* Distribution",gdb_name_asset))),#N/A,INDEX(dataset!$A:$O,MATCH(F$26&amp;$W55,dataset!$O:$O,0),MATCH($A$1,dataset!$A$1:$O$1,0))/1000)</f>
        <v>16.759255859374999</v>
      </c>
      <c r="G55" s="6">
        <f>IF(AND(G$26&lt;2016,ISNUMBER(SEARCH("* Distribution",gdb_name_asset))),#N/A,INDEX(dataset!$A:$O,MATCH(G$26&amp;$W55,dataset!$O:$O,0),MATCH($A$1,dataset!$A$1:$O$1,0))/1000)</f>
        <v>17.315173828125001</v>
      </c>
      <c r="H55" s="5"/>
      <c r="I55" s="12">
        <f t="array" ref="I55">AVERAGE(IF(ISNUMBER(E55:G55),E55:G55))</f>
        <v>16.5448701171875</v>
      </c>
      <c r="J55" s="13">
        <f t="shared" ref="J55:J63" si="8">I55/$I$62</f>
        <v>0.38176558927602638</v>
      </c>
      <c r="O55">
        <f>RANK(U55,$U$55:$U$59,0)+COUNTIF($U$55:U55,U55:U59)-1</f>
        <v>5</v>
      </c>
      <c r="P55" s="3" t="s">
        <v>238</v>
      </c>
      <c r="S55" s="3" t="s">
        <v>18</v>
      </c>
      <c r="U55" s="24">
        <f>INDEX(dataset!$A:$O,MATCH(latest_year&amp;$P55,dataset!$O:$O,0),MATCH($A$1,dataset!$A$1:$O$1,0))+INDEX(dataset!$A:$O,MATCH(latest_year-1&amp;$P55,dataset!$O:$O,0),MATCH($A$1,dataset!$A$1:$O$1,0))+INDEX(dataset!$A:$O,MATCH(latest_year-2&amp;$P55,dataset!$O:$O,0),MATCH($A$1,dataset!$A$1:$O$1,0))</f>
        <v>8851.903564453125</v>
      </c>
      <c r="V55">
        <v>1</v>
      </c>
      <c r="W55" s="3" t="str">
        <f>VLOOKUP(V55,$O$55:$P$59,2,FALSE)</f>
        <v>IDOperating ExpenditureBusiness supportBusiness supportnominal</v>
      </c>
    </row>
    <row r="56" spans="1:23" x14ac:dyDescent="0.45">
      <c r="A56" s="18" t="str">
        <f>VLOOKUP(W56,$P$55:$S$59,4,FALSE)</f>
        <v>System operations &amp; network support</v>
      </c>
      <c r="B56" s="6">
        <f>IF(AND(B$26&lt;2016,ISNUMBER(SEARCH("* Distribution",gdb_name_asset))),#N/A,INDEX(dataset!$A:$O,MATCH(B$26&amp;$W56,dataset!$O:$O,0),MATCH($A$1,dataset!$A$1:$O$1,0))/1000)</f>
        <v>8.7714394531249997</v>
      </c>
      <c r="C56" s="6">
        <f>IF(AND(C$26&lt;2016,ISNUMBER(SEARCH("* Distribution",gdb_name_asset))),#N/A,INDEX(dataset!$A:$O,MATCH(C$26&amp;$W56,dataset!$O:$O,0),MATCH($A$1,dataset!$A$1:$O$1,0))/1000)</f>
        <v>7.4633359375000001</v>
      </c>
      <c r="D56" s="6">
        <f>IF(AND(D$26&lt;2016,ISNUMBER(SEARCH("* Distribution",gdb_name_asset))),#N/A,INDEX(dataset!$A:$O,MATCH(D$26&amp;$W56,dataset!$O:$O,0),MATCH($A$1,dataset!$A$1:$O$1,0))/1000)</f>
        <v>9.0580488281249991</v>
      </c>
      <c r="E56" s="6">
        <f>IF(AND(E$26&lt;2016,ISNUMBER(SEARCH("* Distribution",gdb_name_asset))),#N/A,INDEX(dataset!$A:$O,MATCH(E$26&amp;$W56,dataset!$O:$O,0),MATCH($A$1,dataset!$A$1:$O$1,0))/1000)</f>
        <v>10.1237978515625</v>
      </c>
      <c r="F56" s="6">
        <f>IF(AND(F$26&lt;2016,ISNUMBER(SEARCH("* Distribution",gdb_name_asset))),#N/A,INDEX(dataset!$A:$O,MATCH(F$26&amp;$W56,dataset!$O:$O,0),MATCH($A$1,dataset!$A$1:$O$1,0))/1000)</f>
        <v>9.9061005859374998</v>
      </c>
      <c r="G56" s="6">
        <f>IF(AND(G$26&lt;2016,ISNUMBER(SEARCH("* Distribution",gdb_name_asset))),#N/A,INDEX(dataset!$A:$O,MATCH(G$26&amp;$W56,dataset!$O:$O,0),MATCH($A$1,dataset!$A$1:$O$1,0))/1000)</f>
        <v>9.6248613281250002</v>
      </c>
      <c r="H56" s="5"/>
      <c r="I56" s="12">
        <f t="array" ref="I56">AVERAGE(IF(ISNUMBER(E56:G56),E56:G56))</f>
        <v>9.8849199218750012</v>
      </c>
      <c r="J56" s="13">
        <f t="shared" si="8"/>
        <v>0.22809017249404956</v>
      </c>
      <c r="O56">
        <f>RANK(U56,$U$55:$U$59,0)+COUNTIF($U$55:U56,U56:U60)-1</f>
        <v>1</v>
      </c>
      <c r="P56" s="3" t="s">
        <v>239</v>
      </c>
      <c r="S56" s="3" t="s">
        <v>21</v>
      </c>
      <c r="U56" s="24">
        <f>INDEX(dataset!$A:$O,MATCH(latest_year&amp;$P56,dataset!$O:$O,0),MATCH($A$1,dataset!$A$1:$O$1,0))+INDEX(dataset!$A:$O,MATCH(latest_year-1&amp;$P56,dataset!$O:$O,0),MATCH($A$1,dataset!$A$1:$O$1,0))+INDEX(dataset!$A:$O,MATCH(latest_year-2&amp;$P56,dataset!$O:$O,0),MATCH($A$1,dataset!$A$1:$O$1,0))</f>
        <v>49634.6103515625</v>
      </c>
      <c r="V56">
        <v>2</v>
      </c>
      <c r="W56" s="3" t="str">
        <f>VLOOKUP(V56,$O$55:$P$59,2,FALSE)</f>
        <v>IDOperating ExpenditureSystem operations and network supportSystem operations and network supportnominal</v>
      </c>
    </row>
    <row r="57" spans="1:23" x14ac:dyDescent="0.45">
      <c r="A57" s="18" t="str">
        <f>VLOOKUP(W57,$P$55:$S$59,4,FALSE)</f>
        <v>Routine &amp; corrective maintenance</v>
      </c>
      <c r="B57" s="6">
        <f>IF(AND(B$26&lt;2016,ISNUMBER(SEARCH("* Distribution",gdb_name_asset))),#N/A,INDEX(dataset!$A:$O,MATCH(B$26&amp;$W57,dataset!$O:$O,0),MATCH($A$1,dataset!$A$1:$O$1,0))/1000)</f>
        <v>6.8751035156249998</v>
      </c>
      <c r="C57" s="6">
        <f>IF(AND(C$26&lt;2016,ISNUMBER(SEARCH("* Distribution",gdb_name_asset))),#N/A,INDEX(dataset!$A:$O,MATCH(C$26&amp;$W57,dataset!$O:$O,0),MATCH($A$1,dataset!$A$1:$O$1,0))/1000)</f>
        <v>6.7796201171875001</v>
      </c>
      <c r="D57" s="6">
        <f>IF(AND(D$26&lt;2016,ISNUMBER(SEARCH("* Distribution",gdb_name_asset))),#N/A,INDEX(dataset!$A:$O,MATCH(D$26&amp;$W57,dataset!$O:$O,0),MATCH($A$1,dataset!$A$1:$O$1,0))/1000)</f>
        <v>6.8633720703124999</v>
      </c>
      <c r="E57" s="6">
        <f>IF(AND(E$26&lt;2016,ISNUMBER(SEARCH("* Distribution",gdb_name_asset))),#N/A,INDEX(dataset!$A:$O,MATCH(E$26&amp;$W57,dataset!$O:$O,0),MATCH($A$1,dataset!$A$1:$O$1,0))/1000)</f>
        <v>6.9517026367187498</v>
      </c>
      <c r="F57" s="6">
        <f>IF(AND(F$26&lt;2016,ISNUMBER(SEARCH("* Distribution",gdb_name_asset))),#N/A,INDEX(dataset!$A:$O,MATCH(F$26&amp;$W57,dataset!$O:$O,0),MATCH($A$1,dataset!$A$1:$O$1,0))/1000)</f>
        <v>7.84777392578125</v>
      </c>
      <c r="G57" s="6">
        <f>IF(AND(G$26&lt;2016,ISNUMBER(SEARCH("* Distribution",gdb_name_asset))),#N/A,INDEX(dataset!$A:$O,MATCH(G$26&amp;$W57,dataset!$O:$O,0),MATCH($A$1,dataset!$A$1:$O$1,0))/1000)</f>
        <v>8.5008886718749999</v>
      </c>
      <c r="H57" s="5"/>
      <c r="I57" s="12">
        <f t="array" ref="I57">AVERAGE(IF(ISNUMBER(E57:G57),E57:G57))</f>
        <v>7.7667884114583332</v>
      </c>
      <c r="J57" s="13">
        <f t="shared" si="8"/>
        <v>0.17921522101296777</v>
      </c>
      <c r="O57">
        <f>RANK(U57,$U$55:$U$59,0)+COUNTIF($U$55:U57,U57:U61)-1</f>
        <v>3</v>
      </c>
      <c r="P57" s="3" t="s">
        <v>240</v>
      </c>
      <c r="S57" s="3" t="s">
        <v>58</v>
      </c>
      <c r="U57" s="24">
        <f>INDEX(dataset!$A:$O,MATCH(latest_year&amp;$P57,dataset!$O:$O,0),MATCH($A$1,dataset!$A$1:$O$1,0))+INDEX(dataset!$A:$O,MATCH(latest_year-1&amp;$P57,dataset!$O:$O,0),MATCH($A$1,dataset!$A$1:$O$1,0))+INDEX(dataset!$A:$O,MATCH(latest_year-2&amp;$P57,dataset!$O:$O,0),MATCH($A$1,dataset!$A$1:$O$1,0))</f>
        <v>23300.365234375</v>
      </c>
      <c r="V57">
        <v>3</v>
      </c>
      <c r="W57" s="3" t="str">
        <f>VLOOKUP(V57,$O$55:$P$59,2,FALSE)</f>
        <v>IDOperating ExpenditureRoutine and corrective maintenance and inspectionRoutine and corrective maintenance and inspectionnominal</v>
      </c>
    </row>
    <row r="58" spans="1:23" x14ac:dyDescent="0.45">
      <c r="A58" s="18" t="str">
        <f>VLOOKUP(W58,$P$55:$S$59,4,FALSE)</f>
        <v>Service interruptions &amp; emergencies</v>
      </c>
      <c r="B58" s="6">
        <f>IF(AND(B$26&lt;2016,ISNUMBER(SEARCH("* Distribution",gdb_name_asset))),#N/A,INDEX(dataset!$A:$O,MATCH(B$26&amp;$W58,dataset!$O:$O,0),MATCH($A$1,dataset!$A$1:$O$1,0))/1000)</f>
        <v>4.6576093749999998</v>
      </c>
      <c r="C58" s="6">
        <f>IF(AND(C$26&lt;2016,ISNUMBER(SEARCH("* Distribution",gdb_name_asset))),#N/A,INDEX(dataset!$A:$O,MATCH(C$26&amp;$W58,dataset!$O:$O,0),MATCH($A$1,dataset!$A$1:$O$1,0))/1000)</f>
        <v>5.0584619140624998</v>
      </c>
      <c r="D58" s="6">
        <f>IF(AND(D$26&lt;2016,ISNUMBER(SEARCH("* Distribution",gdb_name_asset))),#N/A,INDEX(dataset!$A:$O,MATCH(D$26&amp;$W58,dataset!$O:$O,0),MATCH($A$1,dataset!$A$1:$O$1,0))/1000)</f>
        <v>5.4949482421875002</v>
      </c>
      <c r="E58" s="6">
        <f>IF(AND(E$26&lt;2016,ISNUMBER(SEARCH("* Distribution",gdb_name_asset))),#N/A,INDEX(dataset!$A:$O,MATCH(E$26&amp;$W58,dataset!$O:$O,0),MATCH($A$1,dataset!$A$1:$O$1,0))/1000)</f>
        <v>6.1121904296874998</v>
      </c>
      <c r="F58" s="6">
        <f>IF(AND(F$26&lt;2016,ISNUMBER(SEARCH("* Distribution",gdb_name_asset))),#N/A,INDEX(dataset!$A:$O,MATCH(F$26&amp;$W58,dataset!$O:$O,0),MATCH($A$1,dataset!$A$1:$O$1,0))/1000)</f>
        <v>5.9610932617187498</v>
      </c>
      <c r="G58" s="6">
        <f>IF(AND(G$26&lt;2016,ISNUMBER(SEARCH("* Distribution",gdb_name_asset))),#N/A,INDEX(dataset!$A:$O,MATCH(G$26&amp;$W58,dataset!$O:$O,0),MATCH($A$1,dataset!$A$1:$O$1,0))/1000)</f>
        <v>6.4983955078125</v>
      </c>
      <c r="H58" s="5"/>
      <c r="I58" s="12">
        <f t="array" ref="I58">AVERAGE(IF(ISNUMBER(E58:G58),E58:G58))</f>
        <v>6.1905597330729165</v>
      </c>
      <c r="J58" s="13">
        <f t="shared" si="8"/>
        <v>0.14284443865110091</v>
      </c>
      <c r="O58">
        <f>RANK(U58,$U$55:$U$59,0)+COUNTIF($U$55:U58,U58:U64)-1</f>
        <v>4</v>
      </c>
      <c r="P58" s="3" t="s">
        <v>241</v>
      </c>
      <c r="S58" s="3" t="s">
        <v>57</v>
      </c>
      <c r="U58" s="24">
        <f>INDEX(dataset!$A:$O,MATCH(latest_year&amp;$P58,dataset!$O:$O,0),MATCH($A$1,dataset!$A$1:$O$1,0))+INDEX(dataset!$A:$O,MATCH(latest_year-1&amp;$P58,dataset!$O:$O,0),MATCH($A$1,dataset!$A$1:$O$1,0))+INDEX(dataset!$A:$O,MATCH(latest_year-2&amp;$P58,dataset!$O:$O,0),MATCH($A$1,dataset!$A$1:$O$1,0))</f>
        <v>18571.67919921875</v>
      </c>
      <c r="V58">
        <v>4</v>
      </c>
      <c r="W58" s="3" t="str">
        <f>VLOOKUP(V58,$O$55:$P$59,2,FALSE)</f>
        <v>IDOperating ExpenditureService interruptions, incidents and emergenciesService interruptions, incidents and emergenciesnominal</v>
      </c>
    </row>
    <row r="59" spans="1:23" x14ac:dyDescent="0.45">
      <c r="A59" s="18" t="str">
        <f>VLOOKUP(W59,$P$55:$S$59,4,FALSE)</f>
        <v>Asset replacement &amp; renewal</v>
      </c>
      <c r="B59" s="6">
        <f>IF(AND(B$26&lt;2016,ISNUMBER(SEARCH("* Distribution",gdb_name_asset))),#N/A,INDEX(dataset!$A:$O,MATCH(B$26&amp;$W59,dataset!$O:$O,0),MATCH($A$1,dataset!$A$1:$O$1,0))/1000)</f>
        <v>2.88996875</v>
      </c>
      <c r="C59" s="6">
        <f>IF(AND(C$26&lt;2016,ISNUMBER(SEARCH("* Distribution",gdb_name_asset))),#N/A,INDEX(dataset!$A:$O,MATCH(C$26&amp;$W59,dataset!$O:$O,0),MATCH($A$1,dataset!$A$1:$O$1,0))/1000)</f>
        <v>2.6866899414062502</v>
      </c>
      <c r="D59" s="6">
        <f>IF(AND(D$26&lt;2016,ISNUMBER(SEARCH("* Distribution",gdb_name_asset))),#N/A,INDEX(dataset!$A:$O,MATCH(D$26&amp;$W59,dataset!$O:$O,0),MATCH($A$1,dataset!$A$1:$O$1,0))/1000)</f>
        <v>2.4178095703125</v>
      </c>
      <c r="E59" s="6">
        <f>IF(AND(E$26&lt;2016,ISNUMBER(SEARCH("* Distribution",gdb_name_asset))),#N/A,INDEX(dataset!$A:$O,MATCH(E$26&amp;$W59,dataset!$O:$O,0),MATCH($A$1,dataset!$A$1:$O$1,0))/1000)</f>
        <v>2.9660000000000002</v>
      </c>
      <c r="F59" s="6">
        <f>IF(AND(F$26&lt;2016,ISNUMBER(SEARCH("* Distribution",gdb_name_asset))),#N/A,INDEX(dataset!$A:$O,MATCH(F$26&amp;$W59,dataset!$O:$O,0),MATCH($A$1,dataset!$A$1:$O$1,0))/1000)</f>
        <v>2.919</v>
      </c>
      <c r="G59" s="6">
        <f>IF(AND(G$26&lt;2016,ISNUMBER(SEARCH("* Distribution",gdb_name_asset))),#N/A,INDEX(dataset!$A:$O,MATCH(G$26&amp;$W59,dataset!$O:$O,0),MATCH($A$1,dataset!$A$1:$O$1,0))/1000)</f>
        <v>2.966903564453125</v>
      </c>
      <c r="H59" s="5"/>
      <c r="I59" s="12">
        <f t="array" ref="I59">AVERAGE(IF(ISNUMBER(E59:G59),E59:G59))</f>
        <v>2.9506345214843748</v>
      </c>
      <c r="J59" s="13">
        <f t="shared" si="8"/>
        <v>6.8084591710542625E-2</v>
      </c>
      <c r="O59">
        <f>RANK(U59,$U$55:$U$59,0)+COUNTIF($U$55:U59,U59:U70)-1</f>
        <v>2</v>
      </c>
      <c r="P59" s="3" t="s">
        <v>242</v>
      </c>
      <c r="S59" s="3" t="s">
        <v>56</v>
      </c>
      <c r="U59" s="24">
        <f>INDEX(dataset!$A:$O,MATCH(latest_year&amp;$P59,dataset!$O:$O,0),MATCH($A$1,dataset!$A$1:$O$1,0))+INDEX(dataset!$A:$O,MATCH(latest_year-1&amp;$P59,dataset!$O:$O,0),MATCH($A$1,dataset!$A$1:$O$1,0))+INDEX(dataset!$A:$O,MATCH(latest_year-2&amp;$P59,dataset!$O:$O,0),MATCH($A$1,dataset!$A$1:$O$1,0))</f>
        <v>29654.759765625</v>
      </c>
      <c r="V59">
        <v>5</v>
      </c>
      <c r="W59" s="3" t="str">
        <f>VLOOKUP(V59,$O$55:$P$59,2,FALSE)</f>
        <v>IDOperating ExpenditureAsset replacement and renewalAsset replacement and renewalnominal</v>
      </c>
    </row>
    <row r="60" spans="1:23" x14ac:dyDescent="0.45">
      <c r="A60" s="18" t="s">
        <v>40</v>
      </c>
      <c r="B60" s="6">
        <f>IF(AND(B$26&lt;2016,ISNUMBER(SEARCH("* Distribution",gdb_name_asset))),#N/A,INDEX(dataset!$A:$O,MATCH(B$26&amp;$P60,dataset!$O:$O,0),MATCH($A$1,dataset!$A$1:$O$1,0))/1000)</f>
        <v>14.422681640624999</v>
      </c>
      <c r="C60" s="6">
        <f>IF(AND(C$26&lt;2016,ISNUMBER(SEARCH("* Distribution",gdb_name_asset))),#N/A,INDEX(dataset!$A:$O,MATCH(C$26&amp;$P60,dataset!$O:$O,0),MATCH($A$1,dataset!$A$1:$O$1,0))/1000)</f>
        <v>14.524771484375</v>
      </c>
      <c r="D60" s="6">
        <f>IF(AND(D$26&lt;2016,ISNUMBER(SEARCH("* Distribution",gdb_name_asset))),#N/A,INDEX(dataset!$A:$O,MATCH(D$26&amp;$P60,dataset!$O:$O,0),MATCH($A$1,dataset!$A$1:$O$1,0))/1000)</f>
        <v>14.7761298828125</v>
      </c>
      <c r="E60" s="6">
        <f>IF(AND(E$26&lt;2016,ISNUMBER(SEARCH("* Distribution",gdb_name_asset))),#N/A,INDEX(dataset!$A:$O,MATCH(E$26&amp;$P60,dataset!$O:$O,0),MATCH($A$1,dataset!$A$1:$O$1,0))/1000)</f>
        <v>16.029892578125001</v>
      </c>
      <c r="F60" s="6">
        <f>IF(AND(F$26&lt;2016,ISNUMBER(SEARCH("* Distribution",gdb_name_asset))),#N/A,INDEX(dataset!$A:$O,MATCH(F$26&amp;$P60,dataset!$O:$O,0),MATCH($A$1,dataset!$A$1:$O$1,0))/1000)</f>
        <v>16.727867187499999</v>
      </c>
      <c r="G60" s="6">
        <f>IF(AND(G$26&lt;2016,ISNUMBER(SEARCH("* Distribution",gdb_name_asset))),#N/A,INDEX(dataset!$A:$O,MATCH(G$26&amp;$P60,dataset!$O:$O,0),MATCH($A$1,dataset!$A$1:$O$1,0))/1000)</f>
        <v>17.966189453125001</v>
      </c>
      <c r="H60" s="5"/>
      <c r="I60" s="12">
        <f t="array" ref="I60">AVERAGE(IF(ISNUMBER(E60:G60),E60:G60))</f>
        <v>16.907983072916664</v>
      </c>
      <c r="J60" s="13">
        <f t="shared" si="8"/>
        <v>0.39014426076367353</v>
      </c>
      <c r="O60" s="3"/>
      <c r="P60" s="3" t="s">
        <v>243</v>
      </c>
    </row>
    <row r="61" spans="1:23" x14ac:dyDescent="0.45">
      <c r="A61" s="18" t="s">
        <v>41</v>
      </c>
      <c r="B61" s="6">
        <f>IF(AND(B$26&lt;2016,ISNUMBER(SEARCH("* Distribution",gdb_name_asset))),#N/A,INDEX(dataset!$A:$O,MATCH(B$26&amp;$P61,dataset!$O:$O,0),MATCH($A$1,dataset!$A$1:$O$1,0))/1000)</f>
        <v>21.938769531249999</v>
      </c>
      <c r="C61" s="6">
        <f>IF(AND(C$26&lt;2016,ISNUMBER(SEARCH("* Distribution",gdb_name_asset))),#N/A,INDEX(dataset!$A:$O,MATCH(C$26&amp;$P61,dataset!$O:$O,0),MATCH($A$1,dataset!$A$1:$O$1,0))/1000)</f>
        <v>23.527462890624999</v>
      </c>
      <c r="D61" s="6">
        <f>IF(AND(D$26&lt;2016,ISNUMBER(SEARCH("* Distribution",gdb_name_asset))),#N/A,INDEX(dataset!$A:$O,MATCH(D$26&amp;$P61,dataset!$O:$O,0),MATCH($A$1,dataset!$A$1:$O$1,0))/1000)</f>
        <v>23.077999999999999</v>
      </c>
      <c r="E61" s="6">
        <f>IF(AND(E$26&lt;2016,ISNUMBER(SEARCH("* Distribution",gdb_name_asset))),#N/A,INDEX(dataset!$A:$O,MATCH(E$26&amp;$P61,dataset!$O:$O,0),MATCH($A$1,dataset!$A$1:$O$1,0))/1000)</f>
        <v>25.683978515625</v>
      </c>
      <c r="F61" s="6">
        <f>IF(AND(F$26&lt;2016,ISNUMBER(SEARCH("* Distribution",gdb_name_asset))),#N/A,INDEX(dataset!$A:$O,MATCH(F$26&amp;$P61,dataset!$O:$O,0),MATCH($A$1,dataset!$A$1:$O$1,0))/1000)</f>
        <v>26.665357421875001</v>
      </c>
      <c r="G61" s="6">
        <f>IF(AND(G$26&lt;2016,ISNUMBER(SEARCH("* Distribution",gdb_name_asset))),#N/A,INDEX(dataset!$A:$O,MATCH(G$26&amp;$P61,dataset!$O:$O,0),MATCH($A$1,dataset!$A$1:$O$1,0))/1000)</f>
        <v>26.940033203125001</v>
      </c>
      <c r="H61" s="5"/>
      <c r="I61" s="12">
        <f t="array" ref="I61">AVERAGE(IF(ISNUMBER(E61:G61),E61:G61))</f>
        <v>26.429789713541666</v>
      </c>
      <c r="J61" s="13">
        <f t="shared" si="8"/>
        <v>0.6098557542588261</v>
      </c>
      <c r="O61" s="3"/>
      <c r="P61" s="3" t="s">
        <v>244</v>
      </c>
    </row>
    <row r="62" spans="1:23" x14ac:dyDescent="0.45">
      <c r="A62" s="18" t="s">
        <v>63</v>
      </c>
      <c r="B62" s="6">
        <f>IF(AND(B$26&lt;2016,ISNUMBER(SEARCH("* Distribution",gdb_name_asset))),#N/A,INDEX(dataset!$A:$O,MATCH(B$26&amp;$P62,dataset!$O:$O,0),MATCH($A$1,dataset!$A$1:$O$1,0))/1000)</f>
        <v>36.361453124999997</v>
      </c>
      <c r="C62" s="6">
        <f>IF(AND(C$26&lt;2016,ISNUMBER(SEARCH("* Distribution",gdb_name_asset))),#N/A,INDEX(dataset!$A:$O,MATCH(C$26&amp;$P62,dataset!$O:$O,0),MATCH($A$1,dataset!$A$1:$O$1,0))/1000)</f>
        <v>38.052234374999998</v>
      </c>
      <c r="D62" s="6">
        <f>IF(AND(D$26&lt;2016,ISNUMBER(SEARCH("* Distribution",gdb_name_asset))),#N/A,INDEX(dataset!$A:$O,MATCH(D$26&amp;$P62,dataset!$O:$O,0),MATCH($A$1,dataset!$A$1:$O$1,0))/1000)</f>
        <v>37.854132812499998</v>
      </c>
      <c r="E62" s="6">
        <f>IF(AND(E$26&lt;2016,ISNUMBER(SEARCH("* Distribution",gdb_name_asset))),#N/A,INDEX(dataset!$A:$O,MATCH(E$26&amp;$P62,dataset!$O:$O,0),MATCH($A$1,dataset!$A$1:$O$1,0))/1000)</f>
        <v>41.713871093750001</v>
      </c>
      <c r="F62" s="6">
        <f>IF(AND(F$26&lt;2016,ISNUMBER(SEARCH("* Distribution",gdb_name_asset))),#N/A,INDEX(dataset!$A:$O,MATCH(F$26&amp;$P62,dataset!$O:$O,0),MATCH($A$1,dataset!$A$1:$O$1,0))/1000)</f>
        <v>43.393222656250003</v>
      </c>
      <c r="G62" s="6">
        <f>IF(AND(G$26&lt;2016,ISNUMBER(SEARCH("* Distribution",gdb_name_asset))),#N/A,INDEX(dataset!$A:$O,MATCH(G$26&amp;$P62,dataset!$O:$O,0),MATCH($A$1,dataset!$A$1:$O$1,0))/1000)</f>
        <v>44.906222656250002</v>
      </c>
      <c r="H62" s="5"/>
      <c r="I62" s="12">
        <f t="array" ref="I62">AVERAGE(IF(ISNUMBER(E62:G62),E62:G62))</f>
        <v>43.337772135416664</v>
      </c>
      <c r="J62" s="13">
        <f t="shared" si="8"/>
        <v>1</v>
      </c>
      <c r="K62" t="b">
        <f>ROUND(SUM(J55:J59),5)=J62</f>
        <v>1</v>
      </c>
      <c r="O62" s="3"/>
      <c r="P62" s="3" t="s">
        <v>224</v>
      </c>
    </row>
    <row r="63" spans="1:23" x14ac:dyDescent="0.45">
      <c r="A63" s="18" t="s">
        <v>124</v>
      </c>
      <c r="B63" s="6">
        <f>IF(AND(B$26&lt;2016,ISNUMBER(SEARCH("* Distribution",gdb_name_asset))),#N/A,INDEX(dataset!$A:$O,MATCH(B$26&amp;$P63,dataset!$O:$O,0),MATCH($A$1,dataset!$A$1:$O$1,0))/1000)</f>
        <v>5.9731523437499998</v>
      </c>
      <c r="C63" s="6">
        <f>IF(AND(C$26&lt;2016,ISNUMBER(SEARCH("* Distribution",gdb_name_asset))),#N/A,INDEX(dataset!$A:$O,MATCH(C$26&amp;$P63,dataset!$O:$O,0),MATCH($A$1,dataset!$A$1:$O$1,0))/1000)</f>
        <v>5.3754873046874998</v>
      </c>
      <c r="D63" s="6">
        <f>IF(AND(D$26&lt;2016,ISNUMBER(SEARCH("* Distribution",gdb_name_asset))),#N/A,INDEX(dataset!$A:$O,MATCH(D$26&amp;$P63,dataset!$O:$O,0),MATCH($A$1,dataset!$A$1:$O$1,0))/1000)</f>
        <v>5.1353930664062499</v>
      </c>
      <c r="E63" s="6">
        <f>IF(AND(E$26&lt;2016,ISNUMBER(SEARCH("* Distribution",gdb_name_asset))),#N/A,INDEX(dataset!$A:$O,MATCH(E$26&amp;$P63,dataset!$O:$O,0),MATCH($A$1,dataset!$A$1:$O$1,0))/1000)</f>
        <v>6.5403994140624997</v>
      </c>
      <c r="F63" s="6">
        <f>IF(AND(F$26&lt;2016,ISNUMBER(SEARCH("* Distribution",gdb_name_asset))),#N/A,INDEX(dataset!$A:$O,MATCH(F$26&amp;$P63,dataset!$O:$O,0),MATCH($A$1,dataset!$A$1:$O$1,0))/1000)</f>
        <v>7.4097021484374999</v>
      </c>
      <c r="G63" s="6">
        <f>IF(AND(G$26&lt;2016,ISNUMBER(SEARCH("* Distribution",gdb_name_asset))),#N/A,INDEX(dataset!$A:$O,MATCH(G$26&amp;$P63,dataset!$O:$O,0),MATCH($A$1,dataset!$A$1:$O$1,0))/1000)</f>
        <v>7.9746171874999998</v>
      </c>
      <c r="H63" s="5"/>
      <c r="I63" s="12">
        <f t="array" ref="I63">AVERAGE(IF(ISNUMBER(E63:G63),E63:G63))</f>
        <v>7.3082395833333322</v>
      </c>
      <c r="J63" s="13">
        <f t="shared" si="8"/>
        <v>0.16863440881311165</v>
      </c>
      <c r="O63" s="3"/>
      <c r="P63" s="3" t="s">
        <v>228</v>
      </c>
    </row>
    <row r="64" spans="1:23" ht="21.75" customHeight="1" x14ac:dyDescent="0.45">
      <c r="I64" s="4" t="s">
        <v>128</v>
      </c>
      <c r="P64" s="3"/>
    </row>
    <row r="65" spans="1:17" x14ac:dyDescent="0.45">
      <c r="A65" s="18" t="s">
        <v>212</v>
      </c>
      <c r="B65" s="14"/>
      <c r="C65" s="14"/>
      <c r="D65" s="14"/>
      <c r="E65" s="14"/>
      <c r="F65" s="14"/>
      <c r="G65" s="14"/>
      <c r="H65" s="14"/>
      <c r="I65" s="14">
        <f t="array" ref="I65">SUM(IF(ISNUMBER(E62:G62),E62:G62))/SUM(IF(ISNUMBER(E7:G7),E7:G7))</f>
        <v>4.0065867365785532E-2</v>
      </c>
      <c r="P65" s="3"/>
    </row>
    <row r="66" spans="1:17" x14ac:dyDescent="0.45">
      <c r="A66" s="18" t="s">
        <v>296</v>
      </c>
      <c r="B66" s="14"/>
      <c r="C66" s="14"/>
      <c r="D66" s="14"/>
      <c r="E66" s="14"/>
      <c r="F66" s="14"/>
      <c r="G66" s="14"/>
      <c r="H66" s="14"/>
      <c r="I66" s="14">
        <f t="array" ref="I66">SUM(IF(ISNUMBER(E60:G60),E60:G60))*1000/SUM(IF(ISNUMBER(E22:G22),E22:G22))</f>
        <v>0.90816408207845578</v>
      </c>
      <c r="P66" s="3"/>
    </row>
    <row r="67" spans="1:17" x14ac:dyDescent="0.45">
      <c r="A67" s="35" t="s">
        <v>60</v>
      </c>
      <c r="B67" s="14"/>
      <c r="C67" s="14"/>
      <c r="D67" s="14"/>
      <c r="E67" s="14"/>
      <c r="F67" s="14"/>
      <c r="G67" s="14"/>
      <c r="H67" s="14"/>
      <c r="I67" s="14">
        <f t="array" ref="I67">SUM(IF(ISNUMBER(E61:G61),E61:G61))*1000000/SUM(IF(ISNUMBER(E12:G12),E12:G12))</f>
        <v>86.515016831363667</v>
      </c>
      <c r="P67" s="3"/>
    </row>
    <row r="68" spans="1:17" x14ac:dyDescent="0.45">
      <c r="A68" s="35" t="s">
        <v>295</v>
      </c>
      <c r="B68" s="14"/>
      <c r="C68" s="14"/>
      <c r="D68" s="14"/>
      <c r="E68" s="14"/>
      <c r="F68" s="14"/>
      <c r="G68" s="14"/>
      <c r="H68" s="14"/>
      <c r="I68" s="14">
        <f t="array" ref="I68">SUM(IF(ISNUMBER(E60:G60),E60:G60))*100000/SUM(IF(ISNUMBER(E13:G13),E13:G13))</f>
        <v>50.097278356012367</v>
      </c>
      <c r="P68" s="3"/>
    </row>
    <row r="69" spans="1:17" x14ac:dyDescent="0.45">
      <c r="P69" s="3"/>
    </row>
    <row r="71" spans="1:17" ht="21" x14ac:dyDescent="0.65">
      <c r="A71" s="17" t="s">
        <v>61</v>
      </c>
    </row>
    <row r="72" spans="1:17" x14ac:dyDescent="0.45">
      <c r="A72" s="18"/>
      <c r="B72" s="4">
        <f t="shared" ref="B72:G72" si="9">latest_year+B$2</f>
        <v>2017</v>
      </c>
      <c r="C72" s="4">
        <f t="shared" si="9"/>
        <v>2018</v>
      </c>
      <c r="D72" s="4">
        <f t="shared" si="9"/>
        <v>2019</v>
      </c>
      <c r="E72" s="4">
        <f t="shared" si="9"/>
        <v>2020</v>
      </c>
      <c r="F72" s="4">
        <f t="shared" si="9"/>
        <v>2021</v>
      </c>
      <c r="G72" s="4">
        <f t="shared" si="9"/>
        <v>2022</v>
      </c>
    </row>
    <row r="73" spans="1:17" x14ac:dyDescent="0.45">
      <c r="A73" s="18" t="s">
        <v>24</v>
      </c>
      <c r="B73" s="6" t="e">
        <f>IF(AND(B$26&lt;2016,ISNUMBER(SEARCH("* Distribution",gdb_name_asset))),#N/A,INDEX(dataset!$A:$O,MATCH(B$26&amp;$P73,dataset!$O:$O,0),MATCH($A$1,dataset!$A$1:$O$1,0))/1000)</f>
        <v>#N/A</v>
      </c>
      <c r="C73" s="6">
        <f>IF(AND(C$26&lt;2016,ISNUMBER(SEARCH("* Distribution",gdb_name_asset))),#N/A,INDEX(dataset!$A:$O,MATCH(C$26&amp;$P73,dataset!$O:$O,0),MATCH($A$1,dataset!$A$1:$O$1,0))/1000)</f>
        <v>925.69637499999999</v>
      </c>
      <c r="D73" s="6">
        <f>IF(AND(D$26&lt;2016,ISNUMBER(SEARCH("* Distribution",gdb_name_asset))),#N/A,INDEX(dataset!$A:$O,MATCH(D$26&amp;$P73,dataset!$O:$O,0),MATCH($A$1,dataset!$A$1:$O$1,0))/1000)</f>
        <v>952.68593750000002</v>
      </c>
      <c r="E73" s="6">
        <f>IF(AND(E$26&lt;2016,ISNUMBER(SEARCH("* Distribution",gdb_name_asset))),#N/A,INDEX(dataset!$A:$O,MATCH(E$26&amp;$P73,dataset!$O:$O,0),MATCH($A$1,dataset!$A$1:$O$1,0))/1000)</f>
        <v>995.48625000000004</v>
      </c>
      <c r="F73" s="6">
        <f>IF(AND(F$26&lt;2016,ISNUMBER(SEARCH("* Distribution",gdb_name_asset))),#N/A,INDEX(dataset!$A:$O,MATCH(F$26&amp;$P73,dataset!$O:$O,0),MATCH($A$1,dataset!$A$1:$O$1,0))/1000)</f>
        <v>1021.5801875</v>
      </c>
      <c r="G73" s="6">
        <f>IF(AND(G$26&lt;2016,ISNUMBER(SEARCH("* Distribution",gdb_name_asset))),#N/A,INDEX(dataset!$A:$O,MATCH(G$26&amp;$P73,dataset!$O:$O,0),MATCH($A$1,dataset!$A$1:$O$1,0))/1000)</f>
        <v>1064.12175</v>
      </c>
      <c r="P73" s="3" t="s">
        <v>68</v>
      </c>
      <c r="Q73" s="3"/>
    </row>
    <row r="74" spans="1:17" x14ac:dyDescent="0.45">
      <c r="A74" s="18" t="s">
        <v>23</v>
      </c>
      <c r="B74" s="6" t="e">
        <f>IF(AND(B$26&lt;2016,ISNUMBER(SEARCH("* Distribution",gdb_name_asset))),#N/A,INDEX(dataset!$A:$O,MATCH(B$26&amp;$P74,dataset!$O:$O,0),MATCH($A$1,dataset!$A$1:$O$1,0))/1000)</f>
        <v>#N/A</v>
      </c>
      <c r="C74" s="6">
        <f>IF(AND(C$26&lt;2016,ISNUMBER(SEARCH("* Distribution",gdb_name_asset))),#N/A,INDEX(dataset!$A:$O,MATCH(C$26&amp;$P74,dataset!$O:$O,0),MATCH($A$1,dataset!$A$1:$O$1,0))/1000)</f>
        <v>15.841958007812501</v>
      </c>
      <c r="D74" s="6">
        <f>IF(AND(D$26&lt;2016,ISNUMBER(SEARCH("* Distribution",gdb_name_asset))),#N/A,INDEX(dataset!$A:$O,MATCH(D$26&amp;$P74,dataset!$O:$O,0),MATCH($A$1,dataset!$A$1:$O$1,0))/1000)</f>
        <v>14.800923828125001</v>
      </c>
      <c r="E74" s="6">
        <f>IF(AND(E$26&lt;2016,ISNUMBER(SEARCH("* Distribution",gdb_name_asset))),#N/A,INDEX(dataset!$A:$O,MATCH(E$26&amp;$P74,dataset!$O:$O,0),MATCH($A$1,dataset!$A$1:$O$1,0))/1000)</f>
        <v>14.3914189453125</v>
      </c>
      <c r="F74" s="6">
        <f>IF(AND(F$26&lt;2016,ISNUMBER(SEARCH("* Distribution",gdb_name_asset))),#N/A,INDEX(dataset!$A:$O,MATCH(F$26&amp;$P74,dataset!$O:$O,0),MATCH($A$1,dataset!$A$1:$O$1,0))/1000)</f>
        <v>42.940640625</v>
      </c>
      <c r="G74" s="6">
        <f>IF(AND(G$26&lt;2016,ISNUMBER(SEARCH("* Distribution",gdb_name_asset))),#N/A,INDEX(dataset!$A:$O,MATCH(G$26&amp;$P74,dataset!$O:$O,0),MATCH($A$1,dataset!$A$1:$O$1,0))/1000)</f>
        <v>76.909156249999995</v>
      </c>
      <c r="P74" s="3" t="s">
        <v>72</v>
      </c>
      <c r="Q74" s="3"/>
    </row>
    <row r="75" spans="1:17" x14ac:dyDescent="0.45">
      <c r="A75" s="18" t="s">
        <v>46</v>
      </c>
      <c r="B75" s="6" t="e">
        <f>IF(AND(B$26&lt;2016,ISNUMBER(SEARCH("* Distribution",gdb_name_asset))),#N/A,INDEX(dataset!$A:$O,MATCH(B$26&amp;$P75,dataset!$O:$O,0),MATCH($A$1,dataset!$A$1:$O$1,0))/1000)</f>
        <v>#N/A</v>
      </c>
      <c r="C75" s="6">
        <f>IF(AND(C$26&lt;2016,ISNUMBER(SEARCH("* Distribution",gdb_name_asset))),#N/A,INDEX(dataset!$A:$O,MATCH(C$26&amp;$P75,dataset!$O:$O,0),MATCH($A$1,dataset!$A$1:$O$1,0))/1000)</f>
        <v>42.989085937500001</v>
      </c>
      <c r="D75" s="6">
        <f>IF(AND(D$26&lt;2016,ISNUMBER(SEARCH("* Distribution",gdb_name_asset))),#N/A,INDEX(dataset!$A:$O,MATCH(D$26&amp;$P75,dataset!$O:$O,0),MATCH($A$1,dataset!$A$1:$O$1,0))/1000)</f>
        <v>60.673390625000003</v>
      </c>
      <c r="E75" s="6">
        <f>IF(AND(E$26&lt;2016,ISNUMBER(SEARCH("* Distribution",gdb_name_asset))),#N/A,INDEX(dataset!$A:$O,MATCH(E$26&amp;$P75,dataset!$O:$O,0),MATCH($A$1,dataset!$A$1:$O$1,0))/1000)</f>
        <v>47.179140625000002</v>
      </c>
      <c r="F75" s="6">
        <f>IF(AND(F$26&lt;2016,ISNUMBER(SEARCH("* Distribution",gdb_name_asset))),#N/A,INDEX(dataset!$A:$O,MATCH(F$26&amp;$P75,dataset!$O:$O,0),MATCH($A$1,dataset!$A$1:$O$1,0))/1000)</f>
        <v>37.485437500000003</v>
      </c>
      <c r="G75" s="6">
        <f>IF(AND(G$26&lt;2016,ISNUMBER(SEARCH("* Distribution",gdb_name_asset))),#N/A,INDEX(dataset!$A:$O,MATCH(G$26&amp;$P75,dataset!$O:$O,0),MATCH($A$1,dataset!$A$1:$O$1,0))/1000)</f>
        <v>57.000953125000002</v>
      </c>
      <c r="P75" s="3" t="s">
        <v>73</v>
      </c>
      <c r="Q75" s="3"/>
    </row>
    <row r="76" spans="1:17" x14ac:dyDescent="0.45">
      <c r="A76" s="18" t="s">
        <v>22</v>
      </c>
      <c r="B76" s="6" t="e">
        <f>IF(AND(B$26&lt;2016,ISNUMBER(SEARCH("* Distribution",gdb_name_asset))),#N/A,INDEX(dataset!$A:$O,MATCH(B$26&amp;$P76,dataset!$O:$O,0),MATCH($A$1,dataset!$A$1:$O$1,0))/1000)</f>
        <v>#N/A</v>
      </c>
      <c r="C76" s="6">
        <f>IF(AND(C$26&lt;2016,ISNUMBER(SEARCH("* Distribution",gdb_name_asset))),#N/A,INDEX(dataset!$A:$O,MATCH(C$26&amp;$P76,dataset!$O:$O,0),MATCH($A$1,dataset!$A$1:$O$1,0))/1000)</f>
        <v>31.471867187499999</v>
      </c>
      <c r="D76" s="6">
        <f>IF(AND(D$26&lt;2016,ISNUMBER(SEARCH("* Distribution",gdb_name_asset))),#N/A,INDEX(dataset!$A:$O,MATCH(D$26&amp;$P76,dataset!$O:$O,0),MATCH($A$1,dataset!$A$1:$O$1,0))/1000)</f>
        <v>32.525765624999998</v>
      </c>
      <c r="E76" s="6">
        <f>IF(AND(E$26&lt;2016,ISNUMBER(SEARCH("* Distribution",gdb_name_asset))),#N/A,INDEX(dataset!$A:$O,MATCH(E$26&amp;$P76,dataset!$O:$O,0),MATCH($A$1,dataset!$A$1:$O$1,0))/1000)</f>
        <v>36.75205859375</v>
      </c>
      <c r="F76" s="6">
        <f>IF(AND(F$26&lt;2016,ISNUMBER(SEARCH("* Distribution",gdb_name_asset))),#N/A,INDEX(dataset!$A:$O,MATCH(F$26&amp;$P76,dataset!$O:$O,0),MATCH($A$1,dataset!$A$1:$O$1,0))/1000)</f>
        <v>36.367933593750003</v>
      </c>
      <c r="G76" s="6">
        <f>IF(AND(G$26&lt;2016,ISNUMBER(SEARCH("* Distribution",gdb_name_asset))),#N/A,INDEX(dataset!$A:$O,MATCH(G$26&amp;$P76,dataset!$O:$O,0),MATCH($A$1,dataset!$A$1:$O$1,0))/1000)</f>
        <v>36.712023437500001</v>
      </c>
      <c r="P76" s="3" t="s">
        <v>75</v>
      </c>
      <c r="Q76" s="3"/>
    </row>
    <row r="77" spans="1:17" x14ac:dyDescent="0.45">
      <c r="A77" s="18" t="s">
        <v>26</v>
      </c>
      <c r="B77" s="6" t="e">
        <f>IF(AND(B$26&lt;2016,ISNUMBER(SEARCH("* Distribution",gdb_name_asset))),#N/A,INDEX(dataset!$A:$O,MATCH(B$26&amp;$P77,dataset!$O:$O,0),MATCH($A$1,dataset!$A$1:$O$1,0))/1000)</f>
        <v>#N/A</v>
      </c>
      <c r="C77" s="6">
        <f>IF(AND(C$26&lt;2016,ISNUMBER(SEARCH("* Distribution",gdb_name_asset))),#N/A,INDEX(dataset!$A:$O,MATCH(C$26&amp;$P77,dataset!$O:$O,0),MATCH($A$1,dataset!$A$1:$O$1,0))/1000)</f>
        <v>0.21338862609863282</v>
      </c>
      <c r="D77" s="6">
        <f>IF(AND(D$26&lt;2016,ISNUMBER(SEARCH("* Distribution",gdb_name_asset))),#N/A,INDEX(dataset!$A:$O,MATCH(D$26&amp;$P77,dataset!$O:$O,0),MATCH($A$1,dataset!$A$1:$O$1,0))/1000)</f>
        <v>0.46567227172851561</v>
      </c>
      <c r="E77" s="6">
        <f>IF(AND(E$26&lt;2016,ISNUMBER(SEARCH("* Distribution",gdb_name_asset))),#N/A,INDEX(dataset!$A:$O,MATCH(E$26&amp;$P77,dataset!$O:$O,0),MATCH($A$1,dataset!$A$1:$O$1,0))/1000)</f>
        <v>0.6347288208007813</v>
      </c>
      <c r="F77" s="6">
        <f>IF(AND(F$26&lt;2016,ISNUMBER(SEARCH("* Distribution",gdb_name_asset))),#N/A,INDEX(dataset!$A:$O,MATCH(F$26&amp;$P77,dataset!$O:$O,0),MATCH($A$1,dataset!$A$1:$O$1,0))/1000)</f>
        <v>0.51817712402343752</v>
      </c>
      <c r="G77" s="6">
        <f>IF(AND(G$26&lt;2016,ISNUMBER(SEARCH("* Distribution",gdb_name_asset))),#N/A,INDEX(dataset!$A:$O,MATCH(G$26&amp;$P77,dataset!$O:$O,0),MATCH($A$1,dataset!$A$1:$O$1,0))/1000)</f>
        <v>0.69887756347656249</v>
      </c>
      <c r="I77" s="101"/>
      <c r="P77" s="3" t="s">
        <v>70</v>
      </c>
    </row>
    <row r="78" spans="1:17" x14ac:dyDescent="0.45">
      <c r="A78" s="18" t="s">
        <v>27</v>
      </c>
      <c r="B78" s="6" t="e">
        <f>IF(AND(B$26&lt;2016,ISNUMBER(SEARCH("* Distribution",gdb_name_asset))),#N/A,INDEX(dataset!$A:$O,MATCH(B$26&amp;$Q78,dataset!$O:$O,0),MATCH($A$1,dataset!$A$1:$O$1,0))/1000+INDEX(dataset!$A:$O,MATCH(B$26&amp;$P78,dataset!$O:$O,0),MATCH($A$1,dataset!$A$1:$O$1,0))/1000)</f>
        <v>#N/A</v>
      </c>
      <c r="C78" s="6">
        <f>IF(AND(C$26&lt;2016,ISNUMBER(SEARCH("* Distribution",gdb_name_asset))),#N/A,INDEX(dataset!$A:$O,MATCH(C$26&amp;$Q78,dataset!$O:$O,0),MATCH($A$1,dataset!$A$1:$O$1,0))/1000+INDEX(dataset!$A:$O,MATCH(C$26&amp;$P78,dataset!$O:$O,0),MATCH($A$1,dataset!$A$1:$O$1,0))/1000)</f>
        <v>-0.15622438049316406</v>
      </c>
      <c r="D78" s="6">
        <f>IF(AND(D$26&lt;2016,ISNUMBER(SEARCH("* Distribution",gdb_name_asset))),#N/A,INDEX(dataset!$A:$O,MATCH(D$26&amp;$Q78,dataset!$O:$O,0),MATCH($A$1,dataset!$A$1:$O$1,0))/1000+INDEX(dataset!$A:$O,MATCH(D$26&amp;$P78,dataset!$O:$O,0),MATCH($A$1,dataset!$A$1:$O$1,0))/1000)</f>
        <v>0.3174591064453125</v>
      </c>
      <c r="E78" s="6">
        <f>IF(AND(E$26&lt;2016,ISNUMBER(SEARCH("* Distribution",gdb_name_asset))),#N/A,INDEX(dataset!$A:$O,MATCH(E$26&amp;$Q78,dataset!$O:$O,0),MATCH($A$1,dataset!$A$1:$O$1,0))/1000+INDEX(dataset!$A:$O,MATCH(E$26&amp;$P78,dataset!$O:$O,0),MATCH($A$1,dataset!$A$1:$O$1,0))/1000)</f>
        <v>1.910162841796875</v>
      </c>
      <c r="F78" s="6">
        <f>IF(AND(F$26&lt;2016,ISNUMBER(SEARCH("* Distribution",gdb_name_asset))),#N/A,INDEX(dataset!$A:$O,MATCH(F$26&amp;$Q78,dataset!$O:$O,0),MATCH($A$1,dataset!$A$1:$O$1,0))/1000+INDEX(dataset!$A:$O,MATCH(F$26&amp;$P78,dataset!$O:$O,0),MATCH($A$1,dataset!$A$1:$O$1,0))/1000)</f>
        <v>-0.99844421386718751</v>
      </c>
      <c r="G78" s="6">
        <f>IF(AND(G$26&lt;2016,ISNUMBER(SEARCH("* Distribution",gdb_name_asset))),#N/A,INDEX(dataset!$A:$O,MATCH(G$26&amp;$Q78,dataset!$O:$O,0),MATCH($A$1,dataset!$A$1:$O$1,0))/1000+INDEX(dataset!$A:$O,MATCH(G$26&amp;$P78,dataset!$O:$O,0),MATCH($A$1,dataset!$A$1:$O$1,0))/1000)</f>
        <v>-1.3334204101562499</v>
      </c>
      <c r="P78" s="3" t="s">
        <v>71</v>
      </c>
      <c r="Q78" s="3" t="s">
        <v>74</v>
      </c>
    </row>
    <row r="79" spans="1:17" x14ac:dyDescent="0.45">
      <c r="A79" s="18" t="s">
        <v>25</v>
      </c>
      <c r="B79" s="6" t="e">
        <f>IF(AND(B$26&lt;2016,ISNUMBER(SEARCH("* Distribution",gdb_name_asset))),#N/A,INDEX(dataset!$A:$O,MATCH(B$26&amp;$P79,dataset!$O:$O,0),MATCH($A$1,dataset!$A$1:$O$1,0))/1000)</f>
        <v>#N/A</v>
      </c>
      <c r="C79" s="6">
        <f>IF(AND(C$26&lt;2016,ISNUMBER(SEARCH("* Distribution",gdb_name_asset))),#N/A,INDEX(dataset!$A:$O,MATCH(C$26&amp;$P79,dataset!$O:$O,0),MATCH($A$1,dataset!$A$1:$O$1,0))/1000)</f>
        <v>952.68593750000002</v>
      </c>
      <c r="D79" s="6">
        <f>IF(AND(D$26&lt;2016,ISNUMBER(SEARCH("* Distribution",gdb_name_asset))),#N/A,INDEX(dataset!$A:$O,MATCH(D$26&amp;$P79,dataset!$O:$O,0),MATCH($A$1,dataset!$A$1:$O$1,0))/1000)</f>
        <v>995.48625000000004</v>
      </c>
      <c r="E79" s="6">
        <f>IF(AND(E$26&lt;2016,ISNUMBER(SEARCH("* Distribution",gdb_name_asset))),#N/A,INDEX(dataset!$A:$O,MATCH(E$26&amp;$P79,dataset!$O:$O,0),MATCH($A$1,dataset!$A$1:$O$1,0))/1000)</f>
        <v>1021.5801875</v>
      </c>
      <c r="F79" s="6">
        <f>IF(AND(F$26&lt;2016,ISNUMBER(SEARCH("* Distribution",gdb_name_asset))),#N/A,INDEX(dataset!$A:$O,MATCH(F$26&amp;$P79,dataset!$O:$O,0),MATCH($A$1,dataset!$A$1:$O$1,0))/1000)</f>
        <v>1064.12175</v>
      </c>
      <c r="G79" s="6">
        <f>IF(AND(G$26&lt;2016,ISNUMBER(SEARCH("* Distribution",gdb_name_asset))),#N/A,INDEX(dataset!$A:$O,MATCH(G$26&amp;$P79,dataset!$O:$O,0),MATCH($A$1,dataset!$A$1:$O$1,0))/1000)</f>
        <v>1159.2874999999999</v>
      </c>
      <c r="I79" s="12">
        <f>IF(AND(G72&lt;2019,(OR(A1="First Gas Distribution",A1="Vector Distribution"))),G79-F73,G79-E73)</f>
        <v>163.80124999999987</v>
      </c>
      <c r="P79" s="3" t="s">
        <v>69</v>
      </c>
      <c r="Q79" s="3"/>
    </row>
    <row r="80" spans="1:17" x14ac:dyDescent="0.45">
      <c r="A80" s="18"/>
      <c r="B80" s="6"/>
      <c r="C80" s="6"/>
      <c r="D80" s="6"/>
      <c r="E80" s="6"/>
      <c r="F80" s="6"/>
      <c r="G80" s="6"/>
      <c r="P80" s="3"/>
      <c r="Q80" s="3"/>
    </row>
    <row r="81" spans="1:16" x14ac:dyDescent="0.45">
      <c r="A81" s="18"/>
      <c r="G81" s="166"/>
      <c r="I81" s="4" t="s">
        <v>64</v>
      </c>
    </row>
    <row r="82" spans="1:16" x14ac:dyDescent="0.45">
      <c r="A82" s="18" t="s">
        <v>23</v>
      </c>
      <c r="B82" s="9" t="e">
        <f t="shared" ref="B82:G82" si="10">B74/B$73+1</f>
        <v>#N/A</v>
      </c>
      <c r="C82" s="9">
        <f t="shared" si="10"/>
        <v>1.0171135573560095</v>
      </c>
      <c r="D82" s="9">
        <f t="shared" si="10"/>
        <v>1.0155359948599272</v>
      </c>
      <c r="E82" s="9">
        <f t="shared" si="10"/>
        <v>1.0144566727519466</v>
      </c>
      <c r="F82" s="9">
        <f t="shared" si="10"/>
        <v>1.0420335487614378</v>
      </c>
      <c r="G82" s="9">
        <f t="shared" si="10"/>
        <v>1.0722747714253562</v>
      </c>
      <c r="H82" s="9"/>
      <c r="I82" s="9">
        <f t="array" ref="I82">PRODUCT(IF(ISNUMBER(E82:G82),E82:G82))^(1/K82)-1</f>
        <v>4.2654521442841098E-2</v>
      </c>
      <c r="J82" s="168"/>
      <c r="K82">
        <f t="shared" ref="K82:K87" si="11">IF(AND($A$1="First Gas Distribution",COUNTIF($E$72:$G$72,"2017")&gt;0),COUNT(E82:G82)+0.25,COUNT(E82:G82))</f>
        <v>3</v>
      </c>
      <c r="N82" s="167"/>
      <c r="P82" s="3"/>
    </row>
    <row r="83" spans="1:16" x14ac:dyDescent="0.45">
      <c r="A83" s="18" t="s">
        <v>46</v>
      </c>
      <c r="B83" s="9" t="e">
        <f t="shared" ref="B83" si="12">B75/B$73+1</f>
        <v>#N/A</v>
      </c>
      <c r="C83" s="9">
        <f t="shared" ref="C83:G86" si="13">C75/C$73+1</f>
        <v>1.0464397259171507</v>
      </c>
      <c r="D83" s="9">
        <f t="shared" si="13"/>
        <v>1.0636866654967287</v>
      </c>
      <c r="E83" s="9">
        <f t="shared" si="13"/>
        <v>1.0473930610543341</v>
      </c>
      <c r="F83" s="9">
        <f t="shared" si="13"/>
        <v>1.0366935830967259</v>
      </c>
      <c r="G83" s="9">
        <f t="shared" si="13"/>
        <v>1.0535661949631234</v>
      </c>
      <c r="H83" s="9"/>
      <c r="I83" s="9">
        <f t="array" ref="I83">PRODUCT(IF(ISNUMBER(E83:G83),E83:G83))^(1/K83)-1</f>
        <v>4.5861019627722932E-2</v>
      </c>
      <c r="J83" s="168"/>
      <c r="K83">
        <f t="shared" si="11"/>
        <v>3</v>
      </c>
      <c r="N83" s="167"/>
    </row>
    <row r="84" spans="1:16" x14ac:dyDescent="0.45">
      <c r="A84" s="18" t="s">
        <v>22</v>
      </c>
      <c r="B84" s="9" t="e">
        <f t="shared" ref="B84" si="14">B76/B$73+1</f>
        <v>#N/A</v>
      </c>
      <c r="C84" s="9">
        <f t="shared" si="13"/>
        <v>1.0339980451878727</v>
      </c>
      <c r="D84" s="9">
        <f t="shared" si="13"/>
        <v>1.0341411207457862</v>
      </c>
      <c r="E84" s="9">
        <f t="shared" si="13"/>
        <v>1.0369187003775793</v>
      </c>
      <c r="F84" s="9">
        <f t="shared" si="13"/>
        <v>1.0355996857013734</v>
      </c>
      <c r="G84" s="9">
        <f t="shared" si="13"/>
        <v>1.0344998337243836</v>
      </c>
      <c r="H84" s="9"/>
      <c r="I84" s="9">
        <f t="array" ref="I84">PRODUCT(IF(ISNUMBER(E84:G84),E84:G84))^(1/K84)-1</f>
        <v>3.5672267896902365E-2</v>
      </c>
      <c r="J84" s="168"/>
      <c r="K84">
        <f t="shared" si="11"/>
        <v>3</v>
      </c>
      <c r="N84" s="167"/>
    </row>
    <row r="85" spans="1:16" x14ac:dyDescent="0.45">
      <c r="A85" s="18" t="s">
        <v>26</v>
      </c>
      <c r="B85" s="9" t="e">
        <f t="shared" ref="B85" si="15">B77/B$73+1</f>
        <v>#N/A</v>
      </c>
      <c r="C85" s="9">
        <f t="shared" si="13"/>
        <v>1.0002305168647752</v>
      </c>
      <c r="D85" s="9">
        <f t="shared" si="13"/>
        <v>1.0004887993549589</v>
      </c>
      <c r="E85" s="9">
        <f t="shared" si="13"/>
        <v>1.0006376068185781</v>
      </c>
      <c r="F85" s="9">
        <f t="shared" si="13"/>
        <v>1.0005072309842769</v>
      </c>
      <c r="G85" s="9">
        <f t="shared" si="13"/>
        <v>1.0006567646638898</v>
      </c>
      <c r="H85" s="9"/>
      <c r="I85" s="9" cm="1">
        <f t="array" ref="I85">PRODUCT(IF(ISNUMBER(E85:G85),E85:G85))^(1/K85)-1</f>
        <v>6.0053194988562986E-4</v>
      </c>
      <c r="J85" s="168"/>
      <c r="K85">
        <f t="shared" si="11"/>
        <v>3</v>
      </c>
      <c r="N85" s="167"/>
    </row>
    <row r="86" spans="1:16" x14ac:dyDescent="0.45">
      <c r="A86" s="18" t="s">
        <v>27</v>
      </c>
      <c r="B86" s="9" t="e">
        <f t="shared" ref="B86" si="16">B78/B$73+1</f>
        <v>#N/A</v>
      </c>
      <c r="C86" s="9">
        <f t="shared" si="13"/>
        <v>0.99983123582989819</v>
      </c>
      <c r="D86" s="9">
        <f t="shared" si="13"/>
        <v>1.0003332253515553</v>
      </c>
      <c r="E86" s="9">
        <f t="shared" si="13"/>
        <v>1.0019188239333259</v>
      </c>
      <c r="F86" s="9">
        <f t="shared" si="13"/>
        <v>0.99902264724190615</v>
      </c>
      <c r="G86" s="9">
        <f>G78/G$73+1</f>
        <v>0.99874692871360227</v>
      </c>
      <c r="H86" s="9"/>
      <c r="I86" s="9">
        <f t="array" ref="I86">PRODUCT(IF(ISNUMBER(E86:G86),E86:G86))^(1/K86)-1</f>
        <v>-1.0489528915569313E-4</v>
      </c>
      <c r="J86" s="168"/>
      <c r="K86">
        <f t="shared" si="11"/>
        <v>3</v>
      </c>
      <c r="N86" s="167"/>
    </row>
    <row r="87" spans="1:16" x14ac:dyDescent="0.45">
      <c r="A87" s="18" t="s">
        <v>25</v>
      </c>
      <c r="B87" s="9" t="e">
        <f t="shared" ref="B87:G87" si="17">B79/B$73</f>
        <v>#N/A</v>
      </c>
      <c r="C87" s="9">
        <f t="shared" si="17"/>
        <v>1.0291559556987571</v>
      </c>
      <c r="D87" s="9">
        <f t="shared" si="17"/>
        <v>1.0449259412942684</v>
      </c>
      <c r="E87" s="9">
        <f t="shared" si="17"/>
        <v>1.0262122530572371</v>
      </c>
      <c r="F87" s="9">
        <f t="shared" si="17"/>
        <v>1.0416429008907342</v>
      </c>
      <c r="G87" s="9">
        <f t="shared" si="17"/>
        <v>1.0894312610375645</v>
      </c>
      <c r="H87" s="9"/>
      <c r="I87" s="9" cm="1">
        <f t="array" ref="I87">PRODUCT(IF(ISNUMBER(E87:G87),E87:G87))^(1/K87)-1</f>
        <v>5.2087746437682769E-2</v>
      </c>
      <c r="J87" s="168"/>
      <c r="K87">
        <f t="shared" si="11"/>
        <v>3</v>
      </c>
      <c r="N87" s="167"/>
    </row>
    <row r="89" spans="1:16" x14ac:dyDescent="0.45">
      <c r="B89" s="8"/>
      <c r="C89" s="8"/>
      <c r="H89" s="160"/>
      <c r="J89" s="160"/>
    </row>
    <row r="90" spans="1:16" ht="21" x14ac:dyDescent="0.65">
      <c r="A90" s="17" t="s">
        <v>106</v>
      </c>
      <c r="B90" s="8"/>
      <c r="C90" s="8"/>
    </row>
    <row r="91" spans="1:16" ht="26.65" x14ac:dyDescent="0.45">
      <c r="A91" s="8"/>
      <c r="B91" s="83" t="s">
        <v>105</v>
      </c>
      <c r="C91" s="83" t="s">
        <v>135</v>
      </c>
    </row>
    <row r="92" spans="1:16" x14ac:dyDescent="0.45">
      <c r="A92" s="18" t="s">
        <v>90</v>
      </c>
      <c r="B92" s="84">
        <v>1</v>
      </c>
      <c r="C92" s="85">
        <v>4</v>
      </c>
    </row>
    <row r="93" spans="1:16" x14ac:dyDescent="0.45">
      <c r="A93" s="18" t="s">
        <v>91</v>
      </c>
      <c r="B93" s="84">
        <v>0.5</v>
      </c>
      <c r="C93" s="85">
        <v>1</v>
      </c>
    </row>
    <row r="94" spans="1:16" x14ac:dyDescent="0.45">
      <c r="A94" s="18" t="s">
        <v>104</v>
      </c>
      <c r="B94" s="84">
        <v>0</v>
      </c>
      <c r="C94" s="85">
        <v>1</v>
      </c>
    </row>
    <row r="95" spans="1:16" x14ac:dyDescent="0.45">
      <c r="A95" s="18" t="s">
        <v>144</v>
      </c>
      <c r="B95" s="84">
        <v>0</v>
      </c>
      <c r="C95" s="85">
        <v>1</v>
      </c>
    </row>
    <row r="96" spans="1:16" x14ac:dyDescent="0.45">
      <c r="A96" s="18" t="s">
        <v>134</v>
      </c>
      <c r="B96" s="84"/>
      <c r="C96" s="59">
        <v>0.75</v>
      </c>
    </row>
    <row r="97" spans="1:5" x14ac:dyDescent="0.45">
      <c r="A97" s="8"/>
      <c r="B97" s="8"/>
      <c r="C97" s="8"/>
    </row>
    <row r="98" spans="1:5" x14ac:dyDescent="0.45">
      <c r="A98"/>
    </row>
    <row r="99" spans="1:5" ht="18" x14ac:dyDescent="0.55000000000000004">
      <c r="A99" s="19" t="s">
        <v>177</v>
      </c>
    </row>
    <row r="100" spans="1:5" x14ac:dyDescent="0.45">
      <c r="A100" s="18" t="s">
        <v>83</v>
      </c>
      <c r="B100" s="5">
        <f>SUMIFS(assets!$E$1:$E$1911,assets!$A$1:$A$1911,gdb_name_asset,assets!$D$1:$D$1911,"IP * main pipe")</f>
        <v>719.1141037447378</v>
      </c>
      <c r="C100" s="60"/>
    </row>
    <row r="101" spans="1:5" x14ac:dyDescent="0.45">
      <c r="A101" s="18" t="s">
        <v>107</v>
      </c>
      <c r="B101" s="59">
        <f>INDEX(dataset!$A:$O,MATCH($E101,dataset!$O:$O,0),MATCH(gdb_name,dataset!$A$1:$O$1,0))/1000</f>
        <v>126.3673203125</v>
      </c>
      <c r="C101" s="60"/>
      <c r="E101" t="str">
        <f>latest_year&amp;"IDRAB valueTotal closing RAB valueIntermediate pressure main pipelinesconstant"</f>
        <v>2022IDRAB valueTotal closing RAB valueIntermediate pressure main pipelinesconstant</v>
      </c>
    </row>
    <row r="102" spans="1:5" x14ac:dyDescent="0.45">
      <c r="A102" s="18" t="s">
        <v>208</v>
      </c>
      <c r="B102" s="59">
        <f>SUMIFS(assets!$E$1:$E$1911,assets!$A$1:$A$1911,gdb_name_asset,assets!$D$1:$D$1911,"IP PE main pipe")</f>
        <v>3.5568537712097168</v>
      </c>
      <c r="C102" s="59">
        <f>SUMIFS(assets!$E$1:$E$1911,assets!$A$1:$A$1911,gdb_name_asset,assets!$D$1:$D$1911,"IP steel main pipe")</f>
        <v>715.52207565307617</v>
      </c>
      <c r="D102" s="59">
        <f>SUMIFS(assets!$E$1:$E$1911,assets!$A$1:$A$1911,gdb_name_asset,assets!$D$1:$D$1911,"IP other main pipe")</f>
        <v>3.5174320451915264E-2</v>
      </c>
    </row>
    <row r="103" spans="1:5" x14ac:dyDescent="0.45">
      <c r="A103" s="18" t="s">
        <v>209</v>
      </c>
      <c r="B103" s="191">
        <f>B102/$B100</f>
        <v>4.9461604948194491E-3</v>
      </c>
      <c r="C103" s="60">
        <f>C102/$B100</f>
        <v>0.99500492609871449</v>
      </c>
      <c r="D103" s="60">
        <f>D102/$B100</f>
        <v>4.8913406466021706E-5</v>
      </c>
    </row>
    <row r="104" spans="1:5" x14ac:dyDescent="0.45">
      <c r="A104" s="18" t="s">
        <v>150</v>
      </c>
      <c r="B104" s="5">
        <f>SUMIFS(assets!$F$1:$F$1911,assets!$A$1:$A$1911,gdb_name_asset,assets!$D$1:$D$1911,"IP * main pipe")</f>
        <v>0</v>
      </c>
      <c r="C104" s="60">
        <f>B104/B100</f>
        <v>0</v>
      </c>
    </row>
    <row r="105" spans="1:5" x14ac:dyDescent="0.45">
      <c r="A105" s="18" t="s">
        <v>84</v>
      </c>
      <c r="B105" s="192" cm="1">
        <f t="array" ref="B105">IFERROR(SUM(--ISNUMBER(SEARCH(gdb_name_asset,assets!$A$2:$A$1911))*--ISNUMBER(SEARCH("IP * main pipe",assets!$D$2:$D$1911))*assets!$E$2:$E$1911*IF(assets!$G$2:$G$1911="",0,assets!$G$2:$G$1911))/SUM(--ISNUMBER(SEARCH(gdb_name_asset,assets!$A$2:$A$1911))*--ISNUMBER(SEARCH("IP * main pipe",assets!$D$2:$D$1911))*assets!$E$2:$E$1911),0)</f>
        <v>36.658249936688385</v>
      </c>
      <c r="C105" s="60"/>
    </row>
    <row r="106" spans="1:5" x14ac:dyDescent="0.45">
      <c r="A106" s="18" t="s">
        <v>90</v>
      </c>
      <c r="B106" s="59" cm="1">
        <f t="array" ref="B106">IFERROR(SUM(--ISNUMBER(SEARCH(gdb_name_asset,assets!$A$2:$A$1911))*--ISNUMBER(SEARCH("IP * main pipe",assets!$D$2:$D$1911))*assets!$E$2:$E$1911*IF(assets!$H$2:$H$1911="",0,assets!$H$2:$H$1911))/SUM(--ISNUMBER(SEARCH(gdb_name_asset,assets!$A$2:$A$1911))*--ISNUMBER(SEARCH("IP * main pipe",assets!$D$2:$D$1911))*assets!$E$2:$E$1911),0)</f>
        <v>0</v>
      </c>
      <c r="C106" s="60"/>
    </row>
    <row r="107" spans="1:5" x14ac:dyDescent="0.45">
      <c r="A107" s="18" t="s">
        <v>91</v>
      </c>
      <c r="B107" s="59" cm="1">
        <f t="array" ref="B107">IFERROR(SUM(--ISNUMBER(SEARCH(gdb_name_asset,assets!$A$2:$A$1911))*--ISNUMBER(SEARCH("IP * main pipe",assets!$D$2:$D$1911))*assets!$E$2:$E$1911*IF(assets!$I$2:$I$1911="",0,assets!$I$2:$I$1911))/SUM(--ISNUMBER(SEARCH(gdb_name_asset,assets!$A$2:$A$1911))*--ISNUMBER(SEARCH("IP * main pipe",assets!$D$2:$D$1911))*assets!$E$2:$E$1911),0)</f>
        <v>0</v>
      </c>
      <c r="C107" s="60"/>
    </row>
    <row r="108" spans="1:5" x14ac:dyDescent="0.45">
      <c r="A108" s="18" t="s">
        <v>87</v>
      </c>
      <c r="B108" s="59" cm="1">
        <f t="array" ref="B108">IFERROR(SUM(--ISNUMBER(SEARCH(gdb_name_asset,assets!$A$2:$A$1911))*--ISNUMBER(SEARCH("IP * main pipe",assets!$D$2:$D$1911))*assets!$E$2:$E$1911*IF(assets!$M$2:$M$1911="",0,assets!$M$2:$M$1911))/SUM(--ISNUMBER(SEARCH(gdb_name_asset,assets!$A$2:$A$1911))*--ISNUMBER(SEARCH("IP * main pipe",assets!$D$2:$D$1911))*assets!$E$2:$E$1911),0)</f>
        <v>3.0385953748436689</v>
      </c>
      <c r="C108" s="60"/>
    </row>
    <row r="109" spans="1:5" x14ac:dyDescent="0.45">
      <c r="A109" s="18" t="s">
        <v>103</v>
      </c>
      <c r="B109" s="5">
        <f>SUMIFS(assets!$L$1:$L$1911,assets!$A$1:$A$1911,gdb_name_asset,assets!$D$1:$D$1911,"IP * main pipe")</f>
        <v>0</v>
      </c>
      <c r="C109" s="60">
        <f>B109/B100</f>
        <v>0</v>
      </c>
    </row>
    <row r="110" spans="1:5" x14ac:dyDescent="0.45">
      <c r="A110" s="18" t="s">
        <v>104</v>
      </c>
      <c r="B110" s="59" cm="1">
        <f t="array" ref="B110">IFERROR(SUM(--ISNUMBER(SEARCH(gdb_name_asset,assets!$A$2:$A$1911))*--ISNUMBER(SEARCH("IP * main pipe",assets!$D$2:$D$1911))*assets!$E$2:$E$1911*IF(assets!$K$2:$K$1911="",0,assets!$K$2:$K$1911))/SUM(--ISNUMBER(SEARCH(gdb_name_asset,assets!$A$2:$A$1911))*--ISNUMBER(SEARCH("IP * main pipe",assets!$D$2:$D$1911))*assets!$E$2:$E$1911),0)</f>
        <v>7.2161246565851669E-2</v>
      </c>
      <c r="C110" s="60"/>
    </row>
    <row r="111" spans="1:5" x14ac:dyDescent="0.45">
      <c r="A111" s="18" t="s">
        <v>92</v>
      </c>
      <c r="B111" s="59" cm="1">
        <f t="array" ref="B111">IFERROR(SUM(--ISNUMBER(SEARCH(gdb_name_asset,assets!$A$2:$A$1911))*--ISNUMBER(SEARCH("IP * main pipe",assets!$D$2:$D$1911))*IF(assets!$J$2:$J$1911="",0,assets!$J$2:$J$1911))/SUM(--ISNUMBER(SEARCH(gdb_name_asset,assets!$A$2:$A$1911))*--ISNUMBER(SEARCH("IP * main pipe",assets!$D$2:$D$1911))*assets!$E$2:$E$1911),0)</f>
        <v>1.3905998989486759E-3</v>
      </c>
      <c r="C111" s="60">
        <f>B106*$B$92+B107*$B$93+B110*$B$94</f>
        <v>0</v>
      </c>
    </row>
    <row r="112" spans="1:5" x14ac:dyDescent="0.45">
      <c r="A112" s="18"/>
      <c r="B112" s="5"/>
      <c r="C112" s="62">
        <f>C104*$C$95+B106*$C$92+B107*$C$93+B110*$C$94</f>
        <v>7.2161246565851669E-2</v>
      </c>
    </row>
    <row r="113" spans="1:5" x14ac:dyDescent="0.45">
      <c r="A113" s="18" t="s">
        <v>85</v>
      </c>
      <c r="B113" s="57">
        <f>$E113*0.5</f>
        <v>0.375</v>
      </c>
      <c r="C113" s="10">
        <f>$E113*0.3</f>
        <v>0.22499999999999998</v>
      </c>
      <c r="D113" s="10">
        <f>$E113*0.2</f>
        <v>0.15000000000000002</v>
      </c>
      <c r="E113" s="14">
        <f>$C$96</f>
        <v>0.75</v>
      </c>
    </row>
    <row r="114" spans="1:5" x14ac:dyDescent="0.45">
      <c r="A114" s="18" t="s">
        <v>86</v>
      </c>
      <c r="B114" s="20">
        <f>MIN(C112,E113)+E113</f>
        <v>0.82216124656585166</v>
      </c>
      <c r="C114" s="15">
        <f>IF(B100=0,0,E113/100)</f>
        <v>7.4999999999999997E-3</v>
      </c>
      <c r="D114" s="20">
        <f>E113*2-B114-C114</f>
        <v>0.67033875343414839</v>
      </c>
      <c r="E114" s="10"/>
    </row>
    <row r="116" spans="1:5" ht="18" x14ac:dyDescent="0.55000000000000004">
      <c r="A116" s="19" t="s">
        <v>178</v>
      </c>
    </row>
    <row r="117" spans="1:5" x14ac:dyDescent="0.45">
      <c r="A117" s="18" t="s">
        <v>83</v>
      </c>
      <c r="B117" s="5">
        <f>SUMIFS(assets!$E$1:$E$1911,assets!$A$1:$A$1911,gdb_name_asset,assets!$D$1:$D$1911,"mP * main pipe")</f>
        <v>11679.574380643666</v>
      </c>
      <c r="C117" s="60"/>
    </row>
    <row r="118" spans="1:5" x14ac:dyDescent="0.45">
      <c r="A118" s="18" t="s">
        <v>107</v>
      </c>
      <c r="B118" s="59">
        <f>INDEX(dataset!$A:$O,MATCH($E118,dataset!$O:$O,0),MATCH(gdb_name,dataset!$A$1:$O$1,0))/1000</f>
        <v>612.24037499999997</v>
      </c>
      <c r="C118" s="60"/>
      <c r="E118" t="str">
        <f>latest_year&amp;"IDRAB valueTotal closing RAB valueMedium pressure main pipelinesconstant"</f>
        <v>2022IDRAB valueTotal closing RAB valueMedium pressure main pipelinesconstant</v>
      </c>
    </row>
    <row r="119" spans="1:5" x14ac:dyDescent="0.45">
      <c r="A119" s="18" t="s">
        <v>208</v>
      </c>
      <c r="B119" s="59">
        <f>SUMIFS(assets!$E$1:$E$1911,assets!$A$1:$A$1911,gdb_name_asset,assets!$D$1:$D$1911,"mP PE main pipe")</f>
        <v>11165.103012084961</v>
      </c>
      <c r="C119" s="59">
        <f>SUMIFS(assets!$E$1:$E$1911,assets!$A$1:$A$1911,gdb_name_asset,assets!$D$1:$D$1911,"mP steel main pipe")</f>
        <v>486.17410230636597</v>
      </c>
      <c r="D119" s="59">
        <f>SUMIFS(assets!$E$1:$E$1911,assets!$A$1:$A$1911,gdb_name_asset,assets!$D$1:$D$1911,"mP other main pipe")</f>
        <v>28.297266252338886</v>
      </c>
    </row>
    <row r="120" spans="1:5" x14ac:dyDescent="0.45">
      <c r="A120" s="18" t="s">
        <v>209</v>
      </c>
      <c r="B120" s="60">
        <f>B119/$B117</f>
        <v>0.95595118864850692</v>
      </c>
      <c r="C120" s="60">
        <f>C119/$B117</f>
        <v>4.1626011912907802E-2</v>
      </c>
      <c r="D120" s="60">
        <f>D119/$B117</f>
        <v>2.4227994385853137E-3</v>
      </c>
    </row>
    <row r="121" spans="1:5" x14ac:dyDescent="0.45">
      <c r="A121" s="18" t="s">
        <v>150</v>
      </c>
      <c r="B121" s="5">
        <f>SUMIFS(assets!$F$1:$F$1911,assets!$A$1:$A$1911,gdb_name_asset,assets!$D$1:$D$1911,"mP * main pipe")</f>
        <v>0</v>
      </c>
      <c r="C121" s="60">
        <f>B121/B117</f>
        <v>0</v>
      </c>
    </row>
    <row r="122" spans="1:5" x14ac:dyDescent="0.45">
      <c r="A122" s="18" t="s">
        <v>84</v>
      </c>
      <c r="B122" s="59" cm="1">
        <f t="array" ref="B122">IFERROR(SUM(--ISNUMBER(SEARCH(gdb_name_asset,assets!$A$2:$A$1911))*--ISNUMBER(SEARCH("mP * main pipe",assets!$D$2:$D$1911))*assets!$E$2:$E$1911*IF(assets!$G$2:$G$1911="",0,assets!$G$2:$G$1911))/SUM(--ISNUMBER(SEARCH(gdb_name_asset,assets!$A$2:$A$1911))*--ISNUMBER(SEARCH("mP * main pipe",assets!$D$2:$D$1911))*assets!$E$2:$E$1911),0)</f>
        <v>25.936318836350988</v>
      </c>
      <c r="C122" s="60"/>
    </row>
    <row r="123" spans="1:5" x14ac:dyDescent="0.45">
      <c r="A123" s="18" t="s">
        <v>90</v>
      </c>
      <c r="B123" s="59" cm="1">
        <f t="array" ref="B123">IFERROR(SUM(--ISNUMBER(SEARCH(gdb_name_asset,assets!$A$2:$A$1911))*--ISNUMBER(SEARCH("mP * main pipe",assets!$D$2:$D$1911))*assets!$E$2:$E$1911*IF(assets!$H$2:$H$1911="",0,assets!$H$2:$H$1911))/SUM(--ISNUMBER(SEARCH(gdb_name_asset,assets!$A$2:$A$1911))*--ISNUMBER(SEARCH("mP * main pipe",assets!$D$2:$D$1911))*assets!$E$2:$E$1911),0)</f>
        <v>1.3721295579427926E-3</v>
      </c>
      <c r="C123" s="60"/>
    </row>
    <row r="124" spans="1:5" x14ac:dyDescent="0.45">
      <c r="A124" s="18" t="s">
        <v>91</v>
      </c>
      <c r="B124" s="59" cm="1">
        <f t="array" ref="B124">IFERROR(SUM(--ISNUMBER(SEARCH(gdb_name_asset,assets!$A$2:$A$1911))*--ISNUMBER(SEARCH("mP * main pipe",assets!$D$2:$D$1911))*assets!$E$2:$E$1911*IF(assets!$I$2:$I$1911="",0,assets!$I$2:$I$1911))/SUM(--ISNUMBER(SEARCH(gdb_name_asset,assets!$A$2:$A$1911))*--ISNUMBER(SEARCH("mP * main pipe",assets!$D$2:$D$1911))*assets!$E$2:$E$1911),0)</f>
        <v>4.3546962689553657E-3</v>
      </c>
      <c r="C124" s="60"/>
    </row>
    <row r="125" spans="1:5" x14ac:dyDescent="0.45">
      <c r="A125" s="18" t="s">
        <v>87</v>
      </c>
      <c r="B125" s="59" cm="1">
        <f t="array" ref="B125">IFERROR(SUM(--ISNUMBER(SEARCH(gdb_name_asset,assets!$A$2:$A$1911))*--ISNUMBER(SEARCH("mP * main pipe",assets!$D$2:$D$1911))*assets!$E$2:$E$1911*IF(assets!$M$2:$M$1911="",0,assets!$M$2:$M$1911))/SUM(--ISNUMBER(SEARCH(gdb_name_asset,assets!$A$2:$A$1911))*--ISNUMBER(SEARCH("mP * main pipe",assets!$D$2:$D$1911))*assets!$E$2:$E$1911),0)</f>
        <v>3.6172122328550906</v>
      </c>
      <c r="C125" s="60"/>
    </row>
    <row r="126" spans="1:5" x14ac:dyDescent="0.45">
      <c r="A126" s="18" t="s">
        <v>103</v>
      </c>
      <c r="B126" s="5">
        <f>SUMIFS(assets!$L$1:$L$1911,assets!$A$1:$A$1911,gdb_name_asset,assets!$D$1:$D$1911,"mP * main pipe")</f>
        <v>2.207036</v>
      </c>
      <c r="C126" s="60">
        <f>B126/B117</f>
        <v>1.889654475472735E-4</v>
      </c>
    </row>
    <row r="127" spans="1:5" x14ac:dyDescent="0.45">
      <c r="A127" s="18" t="s">
        <v>104</v>
      </c>
      <c r="B127" s="59" cm="1">
        <f t="array" ref="B127">IFERROR(SUM(--ISNUMBER(SEARCH(gdb_name_asset,assets!$A$2:$A$1911))*--ISNUMBER(SEARCH("mP * main pipe",assets!$D$2:$D$1911))*assets!$E$2:$E$1911*IF(assets!$K$2:$K$1911="",0,assets!$K$2:$K$1911))/SUM(--ISNUMBER(SEARCH(gdb_name_asset,assets!$A$2:$A$1911))*--ISNUMBER(SEARCH("mP * main pipe",assets!$D$2:$D$1911))*assets!$E$2:$E$1911),0)</f>
        <v>7.5525113568675542E-3</v>
      </c>
      <c r="C127" s="60"/>
    </row>
    <row r="128" spans="1:5" x14ac:dyDescent="0.45">
      <c r="A128" s="18" t="s">
        <v>92</v>
      </c>
      <c r="B128" s="59" cm="1">
        <f t="array" ref="B128">IFERROR(SUM(--ISNUMBER(SEARCH(gdb_name_asset,assets!$A$2:$A$1911))*--ISNUMBER(SEARCH("mP * main pipe",assets!$D$2:$D$1911))*IF(assets!$J$2:$J$1911="",0,assets!$J$2:$J$1911))/SUM(--ISNUMBER(SEARCH(gdb_name_asset,assets!$A$2:$A$1911))*--ISNUMBER(SEARCH("mP * main pipe",assets!$D$2:$D$1911))*assets!$E$2:$E$1911),0)</f>
        <v>2.3574809036098692E-5</v>
      </c>
      <c r="C128" s="60">
        <f>B123*$B$92+B124*$B$93+B127*$B$94</f>
        <v>3.5494776924204757E-3</v>
      </c>
    </row>
    <row r="129" spans="1:14" x14ac:dyDescent="0.45">
      <c r="A129" s="18"/>
      <c r="B129" s="5"/>
      <c r="C129" s="62">
        <f>C121*$C$95+B123*$C$92+B124*$C$93+B127*$C$94</f>
        <v>1.739572585759409E-2</v>
      </c>
    </row>
    <row r="130" spans="1:14" x14ac:dyDescent="0.45">
      <c r="A130" s="18" t="s">
        <v>85</v>
      </c>
      <c r="B130" s="10">
        <f>$E130*0.5</f>
        <v>0.375</v>
      </c>
      <c r="C130" s="10">
        <f>$E130*0.3</f>
        <v>0.22499999999999998</v>
      </c>
      <c r="D130" s="10">
        <f>$E130*0.2</f>
        <v>0.15000000000000002</v>
      </c>
      <c r="E130" s="14">
        <f>$C$96</f>
        <v>0.75</v>
      </c>
    </row>
    <row r="131" spans="1:14" x14ac:dyDescent="0.45">
      <c r="A131" s="18" t="s">
        <v>86</v>
      </c>
      <c r="B131" s="20">
        <f>MIN(C129,E130)+E130</f>
        <v>0.76739572585759408</v>
      </c>
      <c r="C131" s="15">
        <f>IF(B117=0,0,E130/100)</f>
        <v>7.4999999999999997E-3</v>
      </c>
      <c r="D131" s="20">
        <f>E130*2-B131-C131</f>
        <v>0.72510427414240597</v>
      </c>
      <c r="E131" s="10"/>
    </row>
    <row r="133" spans="1:14" ht="18" x14ac:dyDescent="0.55000000000000004">
      <c r="A133" s="19" t="s">
        <v>183</v>
      </c>
    </row>
    <row r="134" spans="1:14" x14ac:dyDescent="0.45">
      <c r="A134" s="18" t="s">
        <v>83</v>
      </c>
      <c r="B134" s="5">
        <f>SUMIFS(assets!$E$1:$E$1911,assets!$A$1:$A$1911,gdb_name_asset,assets!$D$1:$D$1911,"LP * main pipe")</f>
        <v>271.92757452279329</v>
      </c>
      <c r="C134" s="60"/>
    </row>
    <row r="135" spans="1:14" x14ac:dyDescent="0.45">
      <c r="A135" s="18" t="s">
        <v>107</v>
      </c>
      <c r="B135" s="59">
        <f>INDEX(dataset!$A:$O,MATCH($E135,dataset!$O:$O,0),MATCH(gdb_name,dataset!$A$1:$O$1,0))/1000</f>
        <v>21.267417968749999</v>
      </c>
      <c r="C135" s="60"/>
      <c r="E135" t="str">
        <f>latest_year&amp;"IDRAB valueTotal closing RAB valueLow pressure main pipelinesconstant"</f>
        <v>2022IDRAB valueTotal closing RAB valueLow pressure main pipelinesconstant</v>
      </c>
    </row>
    <row r="136" spans="1:14" x14ac:dyDescent="0.45">
      <c r="A136" s="18" t="s">
        <v>208</v>
      </c>
      <c r="B136" s="59">
        <f>SUMIFS(assets!$E$1:$E$1911,assets!$A$1:$A$1911,gdb_name_asset,assets!$D$1:$D$1911,"LP PE main pipe")</f>
        <v>220.23447567969561</v>
      </c>
      <c r="C136" s="59">
        <f>SUMIFS(assets!$E$1:$E$1911,assets!$A$1:$A$1911,gdb_name_asset,assets!$D$1:$D$1911,"LP*steel main pipe")</f>
        <v>10.107711315155029</v>
      </c>
      <c r="D136" s="59">
        <f>SUMIFS(assets!$E$1:$E$1911,assets!$A$1:$A$1911,gdb_name_asset,assets!$D$1:$D$1911,"LP*other main pipe")</f>
        <v>41.585387527942657</v>
      </c>
    </row>
    <row r="137" spans="1:14" x14ac:dyDescent="0.45">
      <c r="A137" s="18" t="s">
        <v>209</v>
      </c>
      <c r="B137" s="60">
        <f>B136/$B134</f>
        <v>0.80990122486175187</v>
      </c>
      <c r="C137" s="60">
        <f>C136/$B134</f>
        <v>3.7170600785496243E-2</v>
      </c>
      <c r="D137" s="60">
        <f>D136/$B134</f>
        <v>0.15292817435275186</v>
      </c>
    </row>
    <row r="138" spans="1:14" x14ac:dyDescent="0.45">
      <c r="A138" s="18" t="s">
        <v>150</v>
      </c>
      <c r="B138" s="5">
        <f>SUMIFS(assets!$F$1:$F$1911,assets!$A$1:$A$1911,gdb_name_asset,assets!$D$1:$D$1911,"LP * main pipe")</f>
        <v>0</v>
      </c>
      <c r="C138" s="60">
        <f>B138/B134</f>
        <v>0</v>
      </c>
    </row>
    <row r="139" spans="1:14" x14ac:dyDescent="0.45">
      <c r="A139" s="18" t="s">
        <v>84</v>
      </c>
      <c r="B139" s="59" cm="1">
        <f t="array" ref="B139">IFERROR(SUM(--ISNUMBER(SEARCH(gdb_name_asset,assets!$A$2:$A$1911))*--ISNUMBER(SEARCH("LP * main pipe",assets!$D$2:$D$1911))*assets!$E$2:$E$1911*IF(assets!$G$2:$G$1911="",0,assets!$G$2:$G$1911))/SUM(--ISNUMBER(SEARCH(gdb_name_asset,assets!$A$2:$A$1911))*--ISNUMBER(SEARCH("LP * main pipe",assets!$D$2:$D$1911))*assets!$E$2:$E$1911),0)</f>
        <v>33.79061223808322</v>
      </c>
      <c r="C139" s="60"/>
      <c r="M139" t="s">
        <v>326</v>
      </c>
      <c r="N139" t="s">
        <v>8564</v>
      </c>
    </row>
    <row r="140" spans="1:14" x14ac:dyDescent="0.45">
      <c r="A140" s="18" t="s">
        <v>90</v>
      </c>
      <c r="B140" s="59" cm="1">
        <f t="array" ref="B140">IFERROR(SUM(--ISNUMBER(SEARCH(gdb_name_asset,assets!$A$2:$A$1911))*--ISNUMBER(SEARCH("LP * main pipe",assets!$D$2:$D$1911))*assets!$E$2:$E$1911*IF(assets!$H$2:$H$1911="",0,assets!$H$2:$H$1911))/SUM(--ISNUMBER(SEARCH(gdb_name_asset,assets!$A$2:$A$1911))*--ISNUMBER(SEARCH("LP * main pipe",assets!$D$2:$D$1911))*assets!$E$2:$E$1911),0)</f>
        <v>0</v>
      </c>
      <c r="C140" s="60"/>
      <c r="L140" t="s">
        <v>8565</v>
      </c>
      <c r="M140" s="201">
        <v>326.15800000000002</v>
      </c>
      <c r="N140" s="202">
        <v>0</v>
      </c>
    </row>
    <row r="141" spans="1:14" x14ac:dyDescent="0.45">
      <c r="A141" s="18" t="s">
        <v>91</v>
      </c>
      <c r="B141" s="59" cm="1">
        <f t="array" ref="B141">IFERROR(SUM(--ISNUMBER(SEARCH(gdb_name_asset,assets!$A$2:$A$1911))*--ISNUMBER(SEARCH("LP * main pipe",assets!$D$2:$D$1911))*assets!$E$2:$E$1911*IF(assets!$I$2:$I$1911="",0,assets!$I$2:$I$1911))/SUM(--ISNUMBER(SEARCH(gdb_name_asset,assets!$A$2:$A$1911))*--ISNUMBER(SEARCH("LP * main pipe",assets!$D$2:$D$1911))*assets!$E$2:$E$1911),0)</f>
        <v>6.0166021042956262E-3</v>
      </c>
      <c r="C141" s="60"/>
      <c r="M141" s="201">
        <v>37.76</v>
      </c>
      <c r="N141" s="202">
        <v>23.413</v>
      </c>
    </row>
    <row r="142" spans="1:14" x14ac:dyDescent="0.45">
      <c r="A142" s="18" t="s">
        <v>87</v>
      </c>
      <c r="B142" s="59" cm="1">
        <f t="array" ref="B142">IFERROR(SUM(--ISNUMBER(SEARCH(gdb_name_asset,assets!$A$2:$A$1911))*--ISNUMBER(SEARCH("LP * main pipe",assets!$D$2:$D$1911))*assets!$E$2:$E$1911*IF(assets!$M$2:$M$1911="",0,assets!$M$2:$M$1911))/SUM(--ISNUMBER(SEARCH(gdb_name_asset,assets!$A$2:$A$1911))*--ISNUMBER(SEARCH("LP * main pipe",assets!$D$2:$D$1911))*assets!$E$2:$E$1911),0)</f>
        <v>3.7135630544917504</v>
      </c>
      <c r="C142" s="60"/>
      <c r="M142" s="201">
        <v>42.072000000000003</v>
      </c>
      <c r="N142" s="202">
        <v>6.0000000000000001E-3</v>
      </c>
    </row>
    <row r="143" spans="1:14" x14ac:dyDescent="0.45">
      <c r="A143" s="18" t="s">
        <v>103</v>
      </c>
      <c r="B143" s="5">
        <f>SUMIFS(assets!$L$1:$L$1911,assets!$A$1:$A$1911,gdb_name_asset,assets!$D$1:$D$1911,"LP * main pipe")</f>
        <v>0</v>
      </c>
      <c r="C143" s="60">
        <f>B143/B134</f>
        <v>0</v>
      </c>
      <c r="M143" s="203">
        <f>SUM(M140:M142)</f>
        <v>405.99</v>
      </c>
      <c r="N143" s="202">
        <v>151.459</v>
      </c>
    </row>
    <row r="144" spans="1:14" x14ac:dyDescent="0.45">
      <c r="A144" s="18" t="s">
        <v>104</v>
      </c>
      <c r="B144" s="59" cm="1">
        <f t="array" ref="B144">IFERROR(SUM(--ISNUMBER(SEARCH(gdb_name_asset,assets!$A$2:$A$1911))*--ISNUMBER(SEARCH("LP * main pipe",assets!$D$2:$D$1911))*assets!$E$2:$E$1911*IF(assets!$K$2:$K$1911="",0,assets!$K$2:$K$1911))/SUM(--ISNUMBER(SEARCH(gdb_name_asset,assets!$A$2:$A$1911))*--ISNUMBER(SEARCH("LP * main pipe",assets!$D$2:$D$1911))*assets!$E$2:$E$1911),0)</f>
        <v>4.5824441336816592E-3</v>
      </c>
      <c r="C144" s="60"/>
      <c r="N144" s="202">
        <v>6.4770000000000003</v>
      </c>
    </row>
    <row r="145" spans="1:14" x14ac:dyDescent="0.45">
      <c r="A145" s="18" t="s">
        <v>92</v>
      </c>
      <c r="B145" s="59" cm="1">
        <f t="array" ref="B145">IFERROR(SUM(--ISNUMBER(SEARCH(gdb_name_asset,assets!$A$2:$A$1911))*--ISNUMBER(SEARCH("LP * main pipe",assets!$D$2:$D$1911))*IF(assets!$J$2:$J$1911="",0,assets!$J$2:$J$1911))/SUM(--ISNUMBER(SEARCH(gdb_name_asset,assets!$A$2:$A$1911))*--ISNUMBER(SEARCH("LP * main pipe",assets!$D$2:$D$1911))*assets!$E$2:$E$1911),0)</f>
        <v>7.354899566584254E-2</v>
      </c>
      <c r="C145" s="60">
        <f>B140*$B$92+B141*$B$93+B144*$B$94</f>
        <v>3.0083010521478131E-3</v>
      </c>
      <c r="N145" s="202">
        <v>0.02</v>
      </c>
    </row>
    <row r="146" spans="1:14" x14ac:dyDescent="0.45">
      <c r="A146" s="18"/>
      <c r="B146" s="5"/>
      <c r="C146" s="62">
        <f>C138*$C$95+B140*$C$92+B141*$C$93+B144*$C$94</f>
        <v>1.0599046237977285E-2</v>
      </c>
      <c r="N146" s="202">
        <v>174.40899999999999</v>
      </c>
    </row>
    <row r="147" spans="1:14" x14ac:dyDescent="0.45">
      <c r="A147" s="18" t="s">
        <v>85</v>
      </c>
      <c r="B147" s="10">
        <f>$E147*0.5</f>
        <v>0.375</v>
      </c>
      <c r="C147" s="10">
        <f>$E147*0.3</f>
        <v>0.22499999999999998</v>
      </c>
      <c r="D147" s="10">
        <f>$E147*0.2</f>
        <v>0.15000000000000002</v>
      </c>
      <c r="E147" s="14">
        <f>$C$96</f>
        <v>0.75</v>
      </c>
      <c r="N147" s="202">
        <v>6.7510000000000003</v>
      </c>
    </row>
    <row r="148" spans="1:14" x14ac:dyDescent="0.45">
      <c r="A148" s="18" t="s">
        <v>86</v>
      </c>
      <c r="B148" s="20">
        <f>MIN(C146,E147)+E147</f>
        <v>0.76059904623797725</v>
      </c>
      <c r="C148" s="15">
        <f>IF(B134=0,0,E147/100)</f>
        <v>7.4999999999999997E-3</v>
      </c>
      <c r="D148" s="20">
        <f>E147*2-B148-C148</f>
        <v>0.7319009537620228</v>
      </c>
      <c r="E148" s="10"/>
      <c r="N148" s="202">
        <v>41.75</v>
      </c>
    </row>
    <row r="149" spans="1:14" x14ac:dyDescent="0.45">
      <c r="N149" s="203">
        <f>SUM(N140:N148)</f>
        <v>404.28499999999997</v>
      </c>
    </row>
    <row r="150" spans="1:14" ht="18" x14ac:dyDescent="0.55000000000000004">
      <c r="A150" s="19" t="s">
        <v>184</v>
      </c>
      <c r="L150" t="s">
        <v>8566</v>
      </c>
      <c r="M150" s="201">
        <v>271.036</v>
      </c>
      <c r="N150" s="202">
        <v>0</v>
      </c>
    </row>
    <row r="151" spans="1:14" x14ac:dyDescent="0.45">
      <c r="A151" s="18" t="s">
        <v>99</v>
      </c>
      <c r="B151" s="5">
        <f>SUMIFS(assets!$E$1:$E$1911,assets!$A$1:$A$1911,gdb_name_asset,assets!$D$1:$D$1911,"* service pipe")</f>
        <v>6180.8935633972287</v>
      </c>
      <c r="C151" s="60"/>
      <c r="M151" s="201">
        <v>4.2489999999999997</v>
      </c>
      <c r="N151" s="202">
        <v>1.1859999999999999</v>
      </c>
    </row>
    <row r="152" spans="1:14" x14ac:dyDescent="0.45">
      <c r="A152" s="18" t="s">
        <v>107</v>
      </c>
      <c r="B152" s="59">
        <f>INDEX(dataset!$A:$O,MATCH($E152,dataset!$O:$O,0),MATCH(gdb_name,dataset!$A$1:$O$1,0))/1000</f>
        <v>272.55962499999998</v>
      </c>
      <c r="C152" s="60"/>
      <c r="E152" t="str">
        <f>latest_year&amp;"IDRAB valueTotal closing RAB valueService pipeconstant"</f>
        <v>2022IDRAB valueTotal closing RAB valueService pipeconstant</v>
      </c>
      <c r="M152" s="201">
        <v>6.3170000000000002</v>
      </c>
      <c r="N152" s="202">
        <v>0</v>
      </c>
    </row>
    <row r="153" spans="1:14" x14ac:dyDescent="0.45">
      <c r="A153" s="18" t="s">
        <v>208</v>
      </c>
      <c r="B153" s="59">
        <f>SUMIFS(assets!$E$1:$E$1911,assets!$A$1:$A$1911,gdb_name_asset,assets!$D$1:$D$1911,"* PE service pipe")</f>
        <v>6020.3111121058464</v>
      </c>
      <c r="C153" s="59">
        <f>SUMIFS(assets!$E$1:$E$1911,assets!$A$1:$A$1911,gdb_name_asset,assets!$D$1:$D$1911,"* steel service pipe")</f>
        <v>99.903214797377586</v>
      </c>
      <c r="D153" s="59">
        <f>SUMIFS(assets!$E$1:$E$1911,assets!$A$1:$A$1911,gdb_name_asset,assets!$D$1:$D$1911,"* other service pipe")</f>
        <v>60.679236494004726</v>
      </c>
      <c r="M153" s="204">
        <f>SUM(M150:M152)</f>
        <v>281.60200000000003</v>
      </c>
      <c r="N153" s="202">
        <v>82.59</v>
      </c>
    </row>
    <row r="154" spans="1:14" x14ac:dyDescent="0.45">
      <c r="A154" s="18" t="s">
        <v>209</v>
      </c>
      <c r="B154" s="60">
        <f>B153/$B151</f>
        <v>0.97401954108345445</v>
      </c>
      <c r="C154" s="60">
        <f>C153/$B151</f>
        <v>1.6163231703098184E-2</v>
      </c>
      <c r="D154" s="60">
        <f>D153/$B151</f>
        <v>9.8172272134473323E-3</v>
      </c>
      <c r="M154" s="203">
        <f>M143+M153</f>
        <v>687.5920000000001</v>
      </c>
      <c r="N154" s="202">
        <v>0.251</v>
      </c>
    </row>
    <row r="155" spans="1:14" x14ac:dyDescent="0.45">
      <c r="A155" s="18" t="s">
        <v>150</v>
      </c>
      <c r="B155" s="5">
        <f>SUMIFS(assets!$F$1:$F$1911,assets!$A$1:$A$1911,gdb_name_asset,assets!$D$1:$D$1911,"* service pipe")</f>
        <v>0</v>
      </c>
      <c r="C155" s="60">
        <f>B155/B151</f>
        <v>0</v>
      </c>
      <c r="M155" t="s">
        <v>8567</v>
      </c>
      <c r="N155" s="202">
        <v>0.40899999999999997</v>
      </c>
    </row>
    <row r="156" spans="1:14" x14ac:dyDescent="0.45">
      <c r="A156" s="18" t="s">
        <v>84</v>
      </c>
      <c r="B156" s="59" cm="1">
        <f t="array" ref="B156">IFERROR(SUM(--ISNUMBER(SEARCH(gdb_name_asset,assets!$A$2:$A$1911))*--ISNUMBER(SEARCH("* service pipe",assets!$D$2:$D$1911))*assets!$E$2:$E$1911*IF(assets!$G$2:$G$1911="",0,assets!$G$2:$G$1911))/SUM(--ISNUMBER(SEARCH(gdb_name_asset,assets!$A$2:$A$1911))*--ISNUMBER(SEARCH("* service pipe",assets!$D$2:$D$1911))*assets!$E$2:$E$1911),0)</f>
        <v>24.297702732541733</v>
      </c>
      <c r="C156" s="60"/>
      <c r="M156" s="206">
        <f>ROUND(M154,0)</f>
        <v>688</v>
      </c>
      <c r="N156" s="202">
        <v>188.446</v>
      </c>
    </row>
    <row r="157" spans="1:14" x14ac:dyDescent="0.45">
      <c r="A157" s="18" t="s">
        <v>90</v>
      </c>
      <c r="B157" s="59" cm="1">
        <f t="array" ref="B157">IFERROR(SUM(--ISNUMBER(SEARCH(gdb_name_asset,assets!$A$2:$A$1911))*--ISNUMBER(SEARCH("* service pipe",assets!$D$2:$D$1911))*assets!$E$2:$E$1911*IF(assets!$H$2:$H$1911="",0,assets!$H$2:$H$1911))/SUM(--ISNUMBER(SEARCH(gdb_name_asset,assets!$A$2:$A$1911))*--ISNUMBER(SEARCH("* service pipe",assets!$D$2:$D$1911))*assets!$E$2:$E$1911),0)</f>
        <v>1.5822746555686537E-3</v>
      </c>
      <c r="C157" s="60"/>
      <c r="N157" s="202">
        <v>2.8119999999999998</v>
      </c>
    </row>
    <row r="158" spans="1:14" x14ac:dyDescent="0.45">
      <c r="A158" s="18" t="s">
        <v>91</v>
      </c>
      <c r="B158" s="59" cm="1">
        <f t="array" ref="B158">IFERROR(SUM(--ISNUMBER(SEARCH(gdb_name_asset,assets!$A$2:$A$1911))*--ISNUMBER(SEARCH("* service pipe",assets!$D$2:$D$1911))*assets!$E$2:$E$1911*IF(assets!$I$2:$I$1911="",0,assets!$I$2:$I$1911))/SUM(--ISNUMBER(SEARCH(gdb_name_asset,assets!$A$2:$A$1911))*--ISNUMBER(SEARCH("* service pipe",assets!$D$2:$D$1911))*assets!$E$2:$E$1911),0)</f>
        <v>1.2458053803973766E-3</v>
      </c>
      <c r="C158" s="60"/>
      <c r="N158" s="202">
        <v>5.9089999999999998</v>
      </c>
    </row>
    <row r="159" spans="1:14" x14ac:dyDescent="0.45">
      <c r="A159" s="18" t="s">
        <v>87</v>
      </c>
      <c r="B159" s="59" cm="1">
        <f t="array" ref="B159">IFERROR(SUM(--ISNUMBER(SEARCH(gdb_name_asset,assets!$A$2:$A$1911))*--ISNUMBER(SEARCH("* service pipe",assets!$D$2:$D$1911))*assets!$E$2:$E$1911*IF(assets!$M$2:$M$1911="",0,assets!$M$2:$M$1911))/SUM(--ISNUMBER(SEARCH(gdb_name_asset,assets!$A$2:$A$1911))*--ISNUMBER(SEARCH("* service pipe",assets!$D$2:$D$1911))*assets!$E$2:$E$1911),0)</f>
        <v>3.2659155278208409</v>
      </c>
      <c r="C159" s="60"/>
      <c r="N159" s="204">
        <f>SUM(N150:N158)</f>
        <v>281.60300000000001</v>
      </c>
    </row>
    <row r="160" spans="1:14" x14ac:dyDescent="0.45">
      <c r="A160" s="18" t="s">
        <v>103</v>
      </c>
      <c r="B160" s="5">
        <f>SUMIFS(assets!$L$1:$L$1911,assets!$A$1:$A$1911,gdb_name_asset,assets!$D$1:$D$1911,"* service pipe")</f>
        <v>0.99604000000000004</v>
      </c>
      <c r="C160" s="60">
        <f>B160/B151</f>
        <v>1.6114822068745392E-4</v>
      </c>
      <c r="N160" s="205">
        <f>N149+N159</f>
        <v>685.88799999999992</v>
      </c>
    </row>
    <row r="161" spans="1:14" x14ac:dyDescent="0.45">
      <c r="A161" s="18" t="s">
        <v>104</v>
      </c>
      <c r="B161" s="59" cm="1">
        <f t="array" ref="B161">IFERROR(SUM(--ISNUMBER(SEARCH(gdb_name_asset,assets!$A$2:$A$1911))*--ISNUMBER(SEARCH("* service pipe",assets!$D$2:$D$1911))*assets!$E$2:$E$1911*IF(assets!$K$2:$K$1911="",0,assets!$K$2:$K$1911))/SUM(--ISNUMBER(SEARCH(gdb_name_asset,assets!$A$2:$A$1911))*--ISNUMBER(SEARCH("* service pipe",assets!$D$2:$D$1911))*assets!$E$2:$E$1911),0)</f>
        <v>1.606883188227827E-2</v>
      </c>
      <c r="C161" s="60"/>
      <c r="N161" t="s">
        <v>8568</v>
      </c>
    </row>
    <row r="162" spans="1:14" x14ac:dyDescent="0.45">
      <c r="A162" s="18" t="s">
        <v>92</v>
      </c>
      <c r="B162" s="59" cm="1">
        <f t="array" ref="B162">IFERROR(SUM(--ISNUMBER(SEARCH(gdb_name_asset,assets!$A$2:$A$1911))*--ISNUMBER(SEARCH("* service pipe",assets!$D$2:$D$1911))*IF(assets!$J$2:$J$1911="",0,assets!$J$2:$J$1911))/SUM(--ISNUMBER(SEARCH(gdb_name_asset,assets!$A$2:$A$1911))*--ISNUMBER(SEARCH("* service pipe",assets!$D$2:$D$1911))*assets!$E$2:$E$1911),0)</f>
        <v>1.6200906151599442E-2</v>
      </c>
      <c r="C162" s="60">
        <f>B157*$B$92+B158*$B$93+B161*$B$94</f>
        <v>2.2051773457673418E-3</v>
      </c>
      <c r="N162" s="205">
        <f>ROUND(N160,0)</f>
        <v>686</v>
      </c>
    </row>
    <row r="163" spans="1:14" x14ac:dyDescent="0.45">
      <c r="A163" s="18"/>
      <c r="B163" s="5"/>
      <c r="C163" s="62">
        <f>C155*$C$95+B157*$C$92+B158*$C$93+B161*$C$94</f>
        <v>2.3643735884950261E-2</v>
      </c>
    </row>
    <row r="164" spans="1:14" x14ac:dyDescent="0.45">
      <c r="A164" s="18" t="s">
        <v>85</v>
      </c>
      <c r="B164" s="10">
        <f>$E164*0.5</f>
        <v>0.375</v>
      </c>
      <c r="C164" s="10">
        <f>$E164*0.3</f>
        <v>0.22499999999999998</v>
      </c>
      <c r="D164" s="10">
        <f>$E164*0.2</f>
        <v>0.15000000000000002</v>
      </c>
      <c r="E164" s="14">
        <f>$C$96</f>
        <v>0.75</v>
      </c>
    </row>
    <row r="165" spans="1:14" x14ac:dyDescent="0.45">
      <c r="A165" s="18" t="s">
        <v>86</v>
      </c>
      <c r="B165" s="20">
        <f>MIN(C163,E164)+E164</f>
        <v>0.77364373588495028</v>
      </c>
      <c r="C165" s="15">
        <f>IF(B151=0,0,E164/100)</f>
        <v>7.4999999999999997E-3</v>
      </c>
      <c r="D165" s="20">
        <f>E164*2-B165-C165</f>
        <v>0.71885626411504977</v>
      </c>
      <c r="E165" s="10"/>
    </row>
    <row r="166" spans="1:14" x14ac:dyDescent="0.45">
      <c r="A166"/>
    </row>
    <row r="167" spans="1:14" ht="18" x14ac:dyDescent="0.55000000000000004">
      <c r="A167" s="19" t="s">
        <v>179</v>
      </c>
    </row>
    <row r="168" spans="1:14" x14ac:dyDescent="0.45">
      <c r="A168" s="18" t="s">
        <v>99</v>
      </c>
      <c r="B168" s="5">
        <f>SUMIFS(assets!$E$1:$E$1911,assets!$A$1:$A$1911,gdb_name_asset,assets!$D$1:$D$1911,"* pressure DRS")</f>
        <v>527</v>
      </c>
      <c r="C168" s="60"/>
    </row>
    <row r="169" spans="1:14" x14ac:dyDescent="0.45">
      <c r="A169" s="18" t="s">
        <v>107</v>
      </c>
      <c r="B169" s="59">
        <f>INDEX(dataset!$A:$O,MATCH($E169,dataset!$O:$O,0),MATCH(gdb_name,dataset!$A$1:$O$1,0))/1000</f>
        <v>21.0621328125</v>
      </c>
      <c r="C169" s="60"/>
      <c r="E169" t="str">
        <f>latest_year&amp;"IDRAB valueTotal closing RAB valueStationsconstant"</f>
        <v>2022IDRAB valueTotal closing RAB valueStationsconstant</v>
      </c>
    </row>
    <row r="170" spans="1:14" x14ac:dyDescent="0.45">
      <c r="A170" s="18" t="s">
        <v>150</v>
      </c>
      <c r="B170" s="5">
        <f>SUMIFS(assets!$F$1:$F$1911,assets!$A$1:$A$1911,gdb_name_asset,assets!$D$1:$D$1911,"* pressure DRS")</f>
        <v>200</v>
      </c>
      <c r="C170" s="60">
        <f>B170/$B168</f>
        <v>0.37950664136622392</v>
      </c>
    </row>
    <row r="171" spans="1:14" x14ac:dyDescent="0.45">
      <c r="A171" s="18" t="s">
        <v>84</v>
      </c>
      <c r="B171" s="59" cm="1">
        <f t="array" ref="B171">IFERROR(SUM(--ISNUMBER(SEARCH(gdb_name_asset,assets!$A$2:$A$1911))*--ISNUMBER(SEARCH("* pressure DRS",assets!$D$2:$D$1911))*assets!$E$2:$E$1911*IF(assets!$G$2:$G$1911="",0,assets!$G$2:$G$1911))/SUM(--ISNUMBER(SEARCH(gdb_name_asset,assets!$A$2:$A$1911))*--ISNUMBER(SEARCH("* pressure DRS",assets!$D$2:$D$1911))*assets!$E$2:$E$1911),0)</f>
        <v>26.669639981901398</v>
      </c>
      <c r="C171" s="60"/>
    </row>
    <row r="172" spans="1:14" x14ac:dyDescent="0.45">
      <c r="A172" s="18" t="s">
        <v>90</v>
      </c>
      <c r="B172" s="59" cm="1">
        <f t="array" ref="B172">IFERROR(SUM(--ISNUMBER(SEARCH(gdb_name_asset,assets!$A$2:$A$1911))*--ISNUMBER(SEARCH("* pressure DRS",assets!$D$2:$D$1911))*assets!$E$2:$E$1911*IF(assets!$H$2:$H$1911="",0,assets!$H$2:$H$1911))/SUM(--ISNUMBER(SEARCH(gdb_name_asset,assets!$A$2:$A$1911))*--ISNUMBER(SEARCH("* pressure DRS",assets!$D$2:$D$1911))*assets!$E$2:$E$1911),0)</f>
        <v>1.506660341555977E-2</v>
      </c>
      <c r="C172" s="60"/>
    </row>
    <row r="173" spans="1:14" x14ac:dyDescent="0.45">
      <c r="A173" s="18" t="s">
        <v>91</v>
      </c>
      <c r="B173" s="59" cm="1">
        <f t="array" ref="B173">IFERROR(SUM(--ISNUMBER(SEARCH(gdb_name_asset,assets!$A$2:$A$1911))*--ISNUMBER(SEARCH("* pressure DRS",assets!$D$2:$D$1911))*assets!$E$2:$E$1911*IF(assets!$I$2:$I$1911="",0,assets!$I$2:$I$1911))/SUM(--ISNUMBER(SEARCH(gdb_name_asset,assets!$A$2:$A$1911))*--ISNUMBER(SEARCH("* pressure DRS",assets!$D$2:$D$1911))*assets!$E$2:$E$1911),0)</f>
        <v>3.1683870967741938E-2</v>
      </c>
      <c r="C173" s="60"/>
    </row>
    <row r="174" spans="1:14" x14ac:dyDescent="0.45">
      <c r="A174" s="18" t="s">
        <v>87</v>
      </c>
      <c r="B174" s="59" cm="1">
        <f t="array" ref="B174">IFERROR(SUM(--ISNUMBER(SEARCH(gdb_name_asset,assets!$A$2:$A$1911))*--ISNUMBER(SEARCH("* pressure DRS",assets!$D$2:$D$1911))*assets!$E$2:$E$1911*IF(assets!$M$2:$M$1911="",0,assets!$M$2:$M$1911))/SUM(--ISNUMBER(SEARCH(gdb_name_asset,assets!$A$2:$A$1911))*--ISNUMBER(SEARCH("* pressure DRS",assets!$D$2:$D$1911))*assets!$E$2:$E$1911),0)</f>
        <v>3.1598797948355921</v>
      </c>
      <c r="C174" s="60"/>
    </row>
    <row r="175" spans="1:14" x14ac:dyDescent="0.45">
      <c r="A175" s="18" t="s">
        <v>103</v>
      </c>
      <c r="B175" s="5">
        <f>SUMIFS(assets!$L$1:$L$1911,assets!$A$1:$A$1911,gdb_name_asset,assets!$D$1:$D$1911,"* pressure DRS")</f>
        <v>2</v>
      </c>
      <c r="C175" s="5">
        <f>B175/B168</f>
        <v>3.7950664136622392E-3</v>
      </c>
    </row>
    <row r="176" spans="1:14" x14ac:dyDescent="0.45">
      <c r="A176" s="18" t="s">
        <v>104</v>
      </c>
      <c r="B176" s="59" cm="1">
        <f t="array" ref="B176">IFERROR(SUM(--ISNUMBER(SEARCH(gdb_name_asset,assets!$A$2:$A$1911))*--ISNUMBER(SEARCH("* pressure DRS",assets!$D$2:$D$1911))*assets!$E$2:$E$1911*IF(assets!$K$2:$K$1911="",0,assets!$K$2:$K$1911))/SUM(--ISNUMBER(SEARCH(gdb_name_asset,assets!$A$2:$A$1911))*--ISNUMBER(SEARCH("* pressure DRS",assets!$D$2:$D$1911))*assets!$E$2:$E$1911),0)</f>
        <v>0</v>
      </c>
      <c r="C176" s="60"/>
    </row>
    <row r="177" spans="1:5" x14ac:dyDescent="0.45">
      <c r="A177" s="18" t="s">
        <v>92</v>
      </c>
      <c r="B177" s="59" cm="1">
        <f t="array" ref="B177">IFERROR(SUM(--ISNUMBER(SEARCH(gdb_name_asset,assets!$A$2:$A$1911))*--ISNUMBER(SEARCH("* pressure DRS",assets!$D$2:$D$1911))*IF(assets!$J$2:$J$1911="",0,assets!$J$2:$J$1911))/SUM(--ISNUMBER(SEARCH(gdb_name_asset,assets!$A$2:$A$1911))*--ISNUMBER(SEARCH("* pressure DRS",assets!$D$2:$D$1911))*assets!$E$2:$E$1911),0)</f>
        <v>2.3406681740086661E-2</v>
      </c>
      <c r="C177" s="60">
        <f>B172*$B$92+B173*$B$93+B176*$B$94</f>
        <v>3.0908538899430738E-2</v>
      </c>
    </row>
    <row r="178" spans="1:5" x14ac:dyDescent="0.45">
      <c r="A178" s="18"/>
      <c r="C178" s="62">
        <f>C170*$C$95+B172*$C$92+B173*$C$93+B176*$C$94</f>
        <v>0.47145692599620492</v>
      </c>
    </row>
    <row r="179" spans="1:5" x14ac:dyDescent="0.45">
      <c r="A179" s="18" t="s">
        <v>85</v>
      </c>
      <c r="B179" s="10">
        <v>0.375</v>
      </c>
      <c r="C179" s="10">
        <v>0.22500000000000001</v>
      </c>
      <c r="D179" s="10">
        <f>$E179*0.2</f>
        <v>0.15000000000000002</v>
      </c>
      <c r="E179" s="14">
        <f>$C$96</f>
        <v>0.75</v>
      </c>
    </row>
    <row r="180" spans="1:5" x14ac:dyDescent="0.45">
      <c r="A180" s="18" t="s">
        <v>86</v>
      </c>
      <c r="B180" s="20">
        <f>MIN(C178,E179)+E179</f>
        <v>1.2214569259962049</v>
      </c>
      <c r="C180" s="15">
        <f>IF(B168=0,0,E179/100)</f>
        <v>7.4999999999999997E-3</v>
      </c>
      <c r="D180" s="20">
        <f>E179*2-B180-C180</f>
        <v>0.27104307400379507</v>
      </c>
      <c r="E180" s="10"/>
    </row>
    <row r="182" spans="1:5" ht="18" x14ac:dyDescent="0.55000000000000004">
      <c r="A182" s="19" t="s">
        <v>180</v>
      </c>
    </row>
    <row r="183" spans="1:5" x14ac:dyDescent="0.45">
      <c r="A183" s="18" t="s">
        <v>99</v>
      </c>
      <c r="B183" s="5">
        <f>SUMIFS(assets!$E$1:$E$1911,assets!$A$1:$A$1911,gdb_name_asset,assets!$D$1:$D$1911,"*P line valves")</f>
        <v>7666</v>
      </c>
      <c r="C183" s="60"/>
    </row>
    <row r="184" spans="1:5" x14ac:dyDescent="0.45">
      <c r="A184" s="18" t="s">
        <v>107</v>
      </c>
      <c r="B184" s="59">
        <f>INDEX(dataset!$A:$O,MATCH($E184,dataset!$O:$O,0),MATCH(gdb_name,dataset!$A$1:$O$1,0))/1000</f>
        <v>13.134585937500001</v>
      </c>
      <c r="C184" s="60"/>
      <c r="E184" t="str">
        <f>latest_year&amp;"IDRAB valueTotal closing RAB valueLine valveconstant"</f>
        <v>2022IDRAB valueTotal closing RAB valueLine valveconstant</v>
      </c>
    </row>
    <row r="185" spans="1:5" x14ac:dyDescent="0.45">
      <c r="A185" s="18" t="s">
        <v>150</v>
      </c>
      <c r="B185" s="5">
        <f>SUMIFS(assets!$F$1:$F$1911,assets!$A$1:$A$1911,gdb_name_asset,assets!$D$1:$D$1911,"*P line valves")</f>
        <v>0</v>
      </c>
      <c r="C185" s="60">
        <f>B185/$B183</f>
        <v>0</v>
      </c>
    </row>
    <row r="186" spans="1:5" x14ac:dyDescent="0.45">
      <c r="A186" s="18" t="s">
        <v>84</v>
      </c>
      <c r="B186" s="59" cm="1">
        <f t="array" ref="B186">IFERROR(SUM(--ISNUMBER(SEARCH(gdb_name_asset,assets!$A$2:$A$1911))*--ISNUMBER(SEARCH("*P line valves",assets!$D$2:$D$1911))*assets!$E$2:$E$1911*IF(assets!$G$2:$G$1911="",0,assets!$G$2:$G$1911))/SUM(--ISNUMBER(SEARCH(gdb_name_asset,assets!$A$2:$A$1911))*--ISNUMBER(SEARCH("*P line valves",assets!$D$2:$D$1911))*assets!$E$2:$E$1911),0)</f>
        <v>26.268834362010125</v>
      </c>
      <c r="C186" s="60"/>
    </row>
    <row r="187" spans="1:5" x14ac:dyDescent="0.45">
      <c r="A187" s="18" t="s">
        <v>90</v>
      </c>
      <c r="B187" s="59" cm="1">
        <f t="array" ref="B187">IFERROR(SUM(--ISNUMBER(SEARCH(gdb_name_asset,assets!$A$2:$A$1911))*--ISNUMBER(SEARCH("*P line valves",assets!$D$2:$D$1911))*assets!$E$2:$E$1911*IF(assets!$H$2:$H$1911="",0,assets!$H$2:$H$1911))/SUM(--ISNUMBER(SEARCH(gdb_name_asset,assets!$A$2:$A$1911))*--ISNUMBER(SEARCH("*P line valves",assets!$D$2:$D$1911))*assets!$E$2:$E$1911),0)</f>
        <v>6.3146360553091574E-4</v>
      </c>
      <c r="C187" s="60"/>
    </row>
    <row r="188" spans="1:5" x14ac:dyDescent="0.45">
      <c r="A188" s="18" t="s">
        <v>91</v>
      </c>
      <c r="B188" s="59" cm="1">
        <f t="array" ref="B188">IFERROR(SUM(--ISNUMBER(SEARCH(gdb_name_asset,assets!$A$2:$A$1911))*--ISNUMBER(SEARCH("*P line valves",assets!$D$2:$D$1911))*assets!$E$2:$E$1911*IF(assets!$I$2:$I$1911="",0,assets!$I$2:$I$1911))/SUM(--ISNUMBER(SEARCH(gdb_name_asset,assets!$A$2:$A$1911))*--ISNUMBER(SEARCH("*P line valves",assets!$D$2:$D$1911))*assets!$E$2:$E$1911),0)</f>
        <v>2.031083825885651E-2</v>
      </c>
      <c r="C188" s="60"/>
    </row>
    <row r="189" spans="1:5" x14ac:dyDescent="0.45">
      <c r="A189" s="18" t="s">
        <v>87</v>
      </c>
      <c r="B189" s="59" cm="1">
        <f t="array" ref="B189">IFERROR(SUM(--ISNUMBER(SEARCH(gdb_name_asset,assets!$A$2:$A$1911))*--ISNUMBER(SEARCH("*P line valves",assets!$D$2:$D$1911))*assets!$E$2:$E$1911*IF(assets!$M$2:$M$1911="",0,assets!$M$2:$M$1911))/SUM(--ISNUMBER(SEARCH(gdb_name_asset,assets!$A$2:$A$1911))*--ISNUMBER(SEARCH("*P line valves",assets!$D$2:$D$1911))*assets!$E$2:$E$1911),0)</f>
        <v>3.1077745626341602</v>
      </c>
      <c r="C189" s="60"/>
    </row>
    <row r="190" spans="1:5" x14ac:dyDescent="0.45">
      <c r="A190" s="18" t="s">
        <v>103</v>
      </c>
      <c r="B190" s="5">
        <f>SUMIFS(assets!$L$1:$L$1911,assets!$A$1:$A$1911,gdb_name_asset,assets!$D$1:$D$1911,"*P line valves")</f>
        <v>97</v>
      </c>
      <c r="C190" s="5">
        <f>B190/B183</f>
        <v>1.2653274197756326E-2</v>
      </c>
    </row>
    <row r="191" spans="1:5" x14ac:dyDescent="0.45">
      <c r="A191" s="18" t="s">
        <v>104</v>
      </c>
      <c r="B191" s="59" cm="1">
        <f t="array" ref="B191">IFERROR(SUM(--ISNUMBER(SEARCH(gdb_name_asset,assets!$A$2:$A$1911))*--ISNUMBER(SEARCH("*P line valves",assets!$D$2:$D$1911))*assets!$E$2:$E$1911*IF(assets!$K$2:$K$1911="",0,assets!$K$2:$K$1911))/SUM(--ISNUMBER(SEARCH(gdb_name_asset,assets!$A$2:$A$1911))*--ISNUMBER(SEARCH("*P line valves",assets!$D$2:$D$1911))*assets!$E$2:$E$1911),0)</f>
        <v>0.20077226666338108</v>
      </c>
      <c r="C191" s="60"/>
    </row>
    <row r="192" spans="1:5" x14ac:dyDescent="0.45">
      <c r="A192" s="18" t="s">
        <v>92</v>
      </c>
      <c r="B192" s="59" cm="1">
        <f t="array" ref="B192">IFERROR(SUM(--ISNUMBER(SEARCH(gdb_name_asset,assets!$A$2:$A$1911))*--ISNUMBER(SEARCH("*P line valves",assets!$D$2:$D$1911))*IF(assets!$J$2:$J$1911="",0,assets!$J$2:$J$1911))/SUM(--ISNUMBER(SEARCH(gdb_name_asset,assets!$A$2:$A$1911))*--ISNUMBER(SEARCH("*P line valves",assets!$D$2:$D$1911))*assets!$E$2:$E$1911),0)</f>
        <v>1.0192810750318494E-3</v>
      </c>
      <c r="C192" s="60">
        <f>B187*$B$92+B188*$B$93+B191*$B$94</f>
        <v>1.0786882734959171E-2</v>
      </c>
    </row>
    <row r="193" spans="1:5" x14ac:dyDescent="0.45">
      <c r="A193" s="18"/>
      <c r="C193" s="62">
        <f>C185*$C$95+B187*$C$92+B188*$C$93+B191*$C$94</f>
        <v>0.22360895934436126</v>
      </c>
    </row>
    <row r="194" spans="1:5" x14ac:dyDescent="0.45">
      <c r="A194" s="18" t="s">
        <v>85</v>
      </c>
      <c r="B194" s="10">
        <v>0.375</v>
      </c>
      <c r="C194" s="10">
        <v>0.22500000000000001</v>
      </c>
      <c r="D194" s="10">
        <f>$E194*0.2</f>
        <v>0.15000000000000002</v>
      </c>
      <c r="E194" s="14">
        <f>$C$96</f>
        <v>0.75</v>
      </c>
    </row>
    <row r="195" spans="1:5" x14ac:dyDescent="0.45">
      <c r="A195" s="18" t="s">
        <v>86</v>
      </c>
      <c r="B195" s="20">
        <f>MIN(C193,E194)+E194</f>
        <v>0.97360895934436131</v>
      </c>
      <c r="C195" s="15">
        <f>IF(B183=0,0,E194/100)</f>
        <v>7.4999999999999997E-3</v>
      </c>
      <c r="D195" s="20">
        <f>E194*2-B195-C195</f>
        <v>0.51889104065563874</v>
      </c>
      <c r="E195" s="10"/>
    </row>
    <row r="197" spans="1:5" ht="18" x14ac:dyDescent="0.55000000000000004">
      <c r="A197" s="19" t="s">
        <v>181</v>
      </c>
    </row>
    <row r="198" spans="1:5" x14ac:dyDescent="0.45">
      <c r="A198" s="18" t="s">
        <v>99</v>
      </c>
      <c r="B198" s="5">
        <f>SUMIFS(assets!$E$1:$E$1911,assets!$A$1:$A$1911,gdb_name_asset,assets!$D$1:$D$1911,"*crossings")</f>
        <v>603</v>
      </c>
      <c r="C198" s="60"/>
    </row>
    <row r="199" spans="1:5" x14ac:dyDescent="0.45">
      <c r="A199" s="18" t="s">
        <v>107</v>
      </c>
      <c r="B199" s="59">
        <f>INDEX(dataset!$A:$O,MATCH($E199,dataset!$O:$O,0),MATCH(gdb_name,dataset!$A$1:$O$1,0))/1000</f>
        <v>8.1056494140624995</v>
      </c>
      <c r="C199" s="60"/>
      <c r="E199" t="str">
        <f>latest_year&amp;"IDRAB valueTotal closing RAB valueSpecial crossingsconstant"</f>
        <v>2022IDRAB valueTotal closing RAB valueSpecial crossingsconstant</v>
      </c>
    </row>
    <row r="200" spans="1:5" x14ac:dyDescent="0.45">
      <c r="A200" s="18" t="s">
        <v>150</v>
      </c>
      <c r="B200" s="5">
        <f>SUMIFS(assets!$F$1:$F$1911,assets!$A$1:$A$1911,gdb_name_asset,assets!$D$1:$D$1911,"*crossings")</f>
        <v>0</v>
      </c>
      <c r="C200" s="60">
        <f>B200/B198</f>
        <v>0</v>
      </c>
    </row>
    <row r="201" spans="1:5" x14ac:dyDescent="0.45">
      <c r="A201" s="18" t="s">
        <v>84</v>
      </c>
      <c r="B201" s="59" cm="1">
        <f t="array" ref="B201">IFERROR(SUM(--ISNUMBER(SEARCH(gdb_name_asset,assets!$A$2:$A$1911))*--ISNUMBER(SEARCH("*crossings",assets!$D$2:$D$1911))*assets!$E$2:$E$1911*IF(assets!$G$2:$G$1911="",0,assets!$G$2:$G$1911))/SUM(--ISNUMBER(SEARCH(gdb_name_asset,assets!$A$2:$A$1911))*--ISNUMBER(SEARCH("*crossings",assets!$D$2:$D$1911))*assets!$E$2:$E$1911),0)</f>
        <v>33.092711333216322</v>
      </c>
      <c r="C201" s="60"/>
    </row>
    <row r="202" spans="1:5" x14ac:dyDescent="0.45">
      <c r="A202" s="18" t="s">
        <v>90</v>
      </c>
      <c r="B202" s="59" cm="1">
        <f t="array" ref="B202">IFERROR(SUM(--ISNUMBER(SEARCH(gdb_name_asset,assets!$A$2:$A$1911))*--ISNUMBER(SEARCH("*crossings",assets!$D$2:$D$1911))*assets!$E$2:$E$1911*IF(assets!$H$2:$H$1911="",0,assets!$H$2:$H$1911))/SUM(--ISNUMBER(SEARCH(gdb_name_asset,assets!$A$2:$A$1911))*--ISNUMBER(SEARCH("*crossings",assets!$D$2:$D$1911))*assets!$E$2:$E$1911),0)</f>
        <v>1.6888888888888889E-3</v>
      </c>
      <c r="C202" s="60"/>
    </row>
    <row r="203" spans="1:5" x14ac:dyDescent="0.45">
      <c r="A203" s="18" t="s">
        <v>91</v>
      </c>
      <c r="B203" s="59" cm="1">
        <f t="array" ref="B203">IFERROR(SUM(--ISNUMBER(SEARCH(gdb_name_asset,assets!$A$2:$A$1911))*--ISNUMBER(SEARCH("*crossings",assets!$D$2:$D$1911))*assets!$E$2:$E$1911*IF(assets!$I$2:$I$1911="",0,assets!$I$2:$I$1911))/SUM(--ISNUMBER(SEARCH(gdb_name_asset,assets!$A$2:$A$1911))*--ISNUMBER(SEARCH("*crossings",assets!$D$2:$D$1911))*assets!$E$2:$E$1911),0)</f>
        <v>1.8495420334226301E-2</v>
      </c>
      <c r="C203" s="60"/>
    </row>
    <row r="204" spans="1:5" x14ac:dyDescent="0.45">
      <c r="A204" s="18" t="s">
        <v>87</v>
      </c>
      <c r="B204" s="59" cm="1">
        <f t="array" ref="B204">IFERROR(SUM(--ISNUMBER(SEARCH(gdb_name_asset,assets!$A$2:$A$1911))*--ISNUMBER(SEARCH("*crossings",assets!$D$2:$D$1911))*assets!$E$2:$E$1911*IF(assets!$M$2:$M$1911="",0,assets!$M$2:$M$1911))/SUM(--ISNUMBER(SEARCH(gdb_name_asset,assets!$A$2:$A$1911))*--ISNUMBER(SEARCH("*crossings",assets!$D$2:$D$1911))*assets!$E$2:$E$1911),0)</f>
        <v>3.1387198667225751</v>
      </c>
      <c r="C204" s="60"/>
    </row>
    <row r="205" spans="1:5" x14ac:dyDescent="0.45">
      <c r="A205" s="18" t="s">
        <v>103</v>
      </c>
      <c r="B205" s="5">
        <f>SUMIFS(assets!$L$1:$L$1911,assets!$A$1:$A$1911,gdb_name_asset,assets!$D$1:$D$1911,"*crossings")</f>
        <v>11</v>
      </c>
      <c r="C205" s="60">
        <f>B205/B198</f>
        <v>1.824212271973466E-2</v>
      </c>
    </row>
    <row r="206" spans="1:5" x14ac:dyDescent="0.45">
      <c r="A206" s="18" t="s">
        <v>104</v>
      </c>
      <c r="B206" s="59" cm="1">
        <f t="array" ref="B206">IFERROR(SUM(--ISNUMBER(SEARCH(gdb_name_asset,assets!$A$2:$A$1911))*--ISNUMBER(SEARCH("*crossings",assets!$D$2:$D$1911))*assets!$E$2:$E$1911*IF(assets!$K$2:$K$1911="",0,assets!$K$2:$K$1911))/SUM(--ISNUMBER(SEARCH(gdb_name_asset,assets!$A$2:$A$1911))*--ISNUMBER(SEARCH("*crossings",assets!$D$2:$D$1911))*assets!$E$2:$E$1911),0)</f>
        <v>2.1081035500463805E-3</v>
      </c>
      <c r="C206" s="60"/>
    </row>
    <row r="207" spans="1:5" x14ac:dyDescent="0.45">
      <c r="A207" s="18" t="s">
        <v>92</v>
      </c>
      <c r="B207" s="59" cm="1">
        <f t="array" ref="B207">IFERROR(SUM(--ISNUMBER(SEARCH(gdb_name_asset,assets!$A$2:$A$1911))*--ISNUMBER(SEARCH("*crossings",assets!$D$2:$D$1911))*IF(assets!$J$2:$J$1911="",0,assets!$J$2:$J$1911))/SUM(--ISNUMBER(SEARCH(gdb_name_asset,assets!$A$2:$A$1911))*--ISNUMBER(SEARCH("*crossings",assets!$D$2:$D$1911))*assets!$E$2:$E$1911),0)</f>
        <v>0.10704907791867729</v>
      </c>
      <c r="C207" s="60">
        <f>B202*$B$92+B203*$B$93+B206*$B$94</f>
        <v>1.093659905600204E-2</v>
      </c>
    </row>
    <row r="208" spans="1:5" x14ac:dyDescent="0.45">
      <c r="A208" s="18"/>
      <c r="B208" s="5"/>
      <c r="C208" s="62">
        <f>C200*$C$95+B202*$C$92+B203*$C$93+B206*$C$94</f>
        <v>2.7359079439828238E-2</v>
      </c>
    </row>
    <row r="209" spans="1:5" x14ac:dyDescent="0.45">
      <c r="A209" s="18" t="s">
        <v>85</v>
      </c>
      <c r="B209" s="10">
        <f>$E209*0.5</f>
        <v>0.375</v>
      </c>
      <c r="C209" s="10">
        <f>$E209*0.3</f>
        <v>0.22499999999999998</v>
      </c>
      <c r="D209" s="10">
        <f>$E209*0.2</f>
        <v>0.15000000000000002</v>
      </c>
      <c r="E209" s="14">
        <f>$C$96</f>
        <v>0.75</v>
      </c>
    </row>
    <row r="210" spans="1:5" x14ac:dyDescent="0.45">
      <c r="A210" s="18" t="s">
        <v>86</v>
      </c>
      <c r="B210" s="20">
        <f>MIN(C208,E209)+E209</f>
        <v>0.77735907943982818</v>
      </c>
      <c r="C210" s="15">
        <f>IF(B198=0,0,E209/100)</f>
        <v>7.4999999999999997E-3</v>
      </c>
      <c r="D210" s="20">
        <f>E209*2-B210-C210</f>
        <v>0.71514092056017187</v>
      </c>
      <c r="E210" s="10"/>
    </row>
    <row r="212" spans="1:5" ht="18" x14ac:dyDescent="0.55000000000000004">
      <c r="A212" s="19" t="s">
        <v>44</v>
      </c>
    </row>
    <row r="213" spans="1:5" x14ac:dyDescent="0.45">
      <c r="A213" s="18" t="s">
        <v>99</v>
      </c>
      <c r="B213" s="5">
        <f>SUMIFS(assets!$E$1:$E$1911,assets!$A$1:$A$1911,gdb_name_asset,assets!$D$1:$D$1911,"Cathodic protection")+SUMIFS(assets!$E$1:$E$1911,assets!$A$1:$A$1911,gdb_name_asset,assets!$D$1:$D$1911,"Remote terminal units")</f>
        <v>346</v>
      </c>
      <c r="C213" s="60"/>
    </row>
    <row r="214" spans="1:5" x14ac:dyDescent="0.45">
      <c r="A214" s="18" t="s">
        <v>107</v>
      </c>
      <c r="B214" s="59">
        <f>INDEX(dataset!$A:$O,MATCH($E214,dataset!$O:$O,0),MATCH(gdb_name,dataset!$A$1:$O$1,0))/1000</f>
        <v>55.144312499999998</v>
      </c>
      <c r="C214" s="60"/>
      <c r="E214" t="str">
        <f>latest_year&amp;"IDRAB valueTotal closing RAB valueOther network assetsconstant"</f>
        <v>2022IDRAB valueTotal closing RAB valueOther network assetsconstant</v>
      </c>
    </row>
    <row r="215" spans="1:5" x14ac:dyDescent="0.45">
      <c r="A215" s="18" t="s">
        <v>150</v>
      </c>
      <c r="B215" s="5">
        <f>SUMIFS(assets!$F$1:$F$1911,assets!$A$1:$A$1911,gdb_name_asset,assets!$D$1:$D$1911,"Cathodic protection")+SUMIFS(assets!$F$1:$F$1911,assets!$A$1:$A$1911,gdb_name_asset,assets!$D$1:$D$1911,"Remote terminal units")</f>
        <v>176</v>
      </c>
      <c r="C215" s="60">
        <f>B215/B213</f>
        <v>0.50867052023121384</v>
      </c>
    </row>
    <row r="216" spans="1:5" x14ac:dyDescent="0.45">
      <c r="A216" s="18" t="s">
        <v>84</v>
      </c>
      <c r="B216" s="59" cm="1">
        <f t="array" ref="B216">IFERROR(SUM(--ISNUMBER(SEARCH(gdb_name_asset,assets!$A$2:$A$1911))*(--ISNUMBER(SEARCH("Remote terminal units",assets!$D$2:$D$1911))+--ISNUMBER(SEARCH("Cathodic protection",assets!$D$2:$D$1911)))*assets!$E$2:$E$1911*IF(assets!$G$2:$G$1911="",0,assets!$G$2:$G$1911))/SUM(--ISNUMBER(SEARCH(gdb_name_asset,assets!$A$2:$A$1911))*(--ISNUMBER(SEARCH("Remote terminal units",assets!$D$2:$D$1911))+--ISNUMBER(SEARCH("Cathodic protection",assets!$D$2:$D$1911)))*assets!$E$2:$E$1911),0)</f>
        <v>18.511560798380415</v>
      </c>
      <c r="C216" s="60"/>
    </row>
    <row r="217" spans="1:5" x14ac:dyDescent="0.45">
      <c r="A217" s="18" t="s">
        <v>90</v>
      </c>
      <c r="B217" s="59" cm="1">
        <f t="array" ref="B217">IFERROR(SUM(--ISNUMBER(SEARCH(gdb_name_asset,assets!$A$2:$A$1911))*(--ISNUMBER(SEARCH("Remote terminal units",assets!$D$2:$D$1911))+--ISNUMBER(SEARCH("Cathodic protection",assets!$D$2:$D$1911)))*assets!$E$2:$E$1911*IF(assets!$H$2:$H$1911="",0,assets!$H$2:$H$1911))/SUM(--ISNUMBER(SEARCH(gdb_name_asset,assets!$A$2:$A$1911))*(--ISNUMBER(SEARCH("Remote terminal units",assets!$D$2:$D$1911))+--ISNUMBER(SEARCH("Cathodic protection",assets!$D$2:$D$1911)))*assets!$E$2:$E$1911),0)</f>
        <v>2.9965317919075142E-3</v>
      </c>
      <c r="C217" s="60"/>
    </row>
    <row r="218" spans="1:5" x14ac:dyDescent="0.45">
      <c r="A218" s="18" t="s">
        <v>91</v>
      </c>
      <c r="B218" s="59" cm="1">
        <f t="array" ref="B218">IFERROR(SUM(--ISNUMBER(SEARCH(gdb_name_asset,assets!$A$2:$A$1911))*(--ISNUMBER(SEARCH("Remote terminal units",assets!$D$2:$D$1911))+--ISNUMBER(SEARCH("Cathodic protection",assets!$D$2:$D$1911)))*assets!$E$2:$E$1911*IF(assets!$I$2:$I$1911="",0,assets!$I$2:$I$1911))/SUM(--ISNUMBER(SEARCH(gdb_name_asset,assets!$A$2:$A$1911))*(--ISNUMBER(SEARCH("Remote terminal units",assets!$D$2:$D$1911))+--ISNUMBER(SEARCH("Cathodic protection",assets!$D$2:$D$1911)))*assets!$E$2:$E$1911),0)</f>
        <v>0.23532585391487124</v>
      </c>
      <c r="C218" s="60"/>
    </row>
    <row r="219" spans="1:5" x14ac:dyDescent="0.45">
      <c r="A219" s="18" t="s">
        <v>87</v>
      </c>
      <c r="B219" s="59" cm="1">
        <f t="array" ref="B219">IFERROR(SUM(--ISNUMBER(SEARCH(gdb_name_asset,assets!$A$2:$A$1911))*(--ISNUMBER(SEARCH("Remote terminal units",assets!$D$2:$D$1911))+--ISNUMBER(SEARCH("Cathodic protection",assets!$D$2:$D$1911)))*assets!$E$2:$E$1911*IF(assets!$M$2:$M$1911="",0,assets!$M$2:$M$1911))/SUM(--ISNUMBER(SEARCH(gdb_name_asset,assets!$A$2:$A$1911))*(--ISNUMBER(SEARCH("Remote terminal units",assets!$D$2:$D$1911))+--ISNUMBER(SEARCH("Cathodic protection",assets!$D$2:$D$1911)))*assets!$E$2:$E$1911),0)</f>
        <v>3.1082541508481683</v>
      </c>
      <c r="C219" s="60"/>
    </row>
    <row r="220" spans="1:5" x14ac:dyDescent="0.45">
      <c r="A220" s="18" t="s">
        <v>103</v>
      </c>
      <c r="B220" s="5">
        <f>SUMIFS(assets!$L$1:$L$1911,assets!$A$1:$A$1911,gdb_name_asset,assets!$D$1:$D$1911,"Cathodic protection")+SUMIFS(assets!$L$1:$L$1911,assets!$A$1:$A$1911,gdb_name_asset,assets!$D$1:$D$1911,"Remote terminal units")</f>
        <v>9</v>
      </c>
      <c r="C220" s="60">
        <f>B220/B213</f>
        <v>2.6011560693641619E-2</v>
      </c>
    </row>
    <row r="221" spans="1:5" x14ac:dyDescent="0.45">
      <c r="A221" s="18" t="s">
        <v>104</v>
      </c>
      <c r="B221" s="59" cm="1">
        <f t="array" ref="B221">IFERROR(SUM(--ISNUMBER(SEARCH(gdb_name_asset,assets!$A$2:$A$1911))*(--ISNUMBER(SEARCH("Remote terminal units",assets!$D$2:$D$1911))+--ISNUMBER(SEARCH("Cathodic protection",assets!$D$2:$D$1911)))*assets!$E$2:$E$1911*IF(assets!$K$2:$K$1911="",0,assets!$K$2:$K$1911))/SUM(--ISNUMBER(SEARCH(gdb_name_asset,assets!$A$2:$A$1911))*(--ISNUMBER(SEARCH("Remote terminal units",assets!$D$2:$D$1911))+--ISNUMBER(SEARCH("Cathodic protection",assets!$D$2:$D$1911)))*assets!$E$2:$E$1911),0)</f>
        <v>1.8053757225433526E-2</v>
      </c>
      <c r="C221" s="60"/>
    </row>
    <row r="222" spans="1:5" x14ac:dyDescent="0.45">
      <c r="A222" s="18" t="s">
        <v>92</v>
      </c>
      <c r="B222" s="59" cm="1">
        <f t="array" ref="B222">IFERROR(SUM(--ISNUMBER(SEARCH(gdb_name_asset,assets!$A$2:$A$1911))*(--ISNUMBER(SEARCH("Remote terminal units",assets!$D$2:$D$1911))+--ISNUMBER(SEARCH("Cathodic protection",assets!$D$2:$D$1911)))*IF(assets!$J$2:$J$1911="",0,assets!$J$2:$J$1911))/SUM(--ISNUMBER(SEARCH(gdb_name_asset,assets!$A$2:$A$1911))*(--ISNUMBER(SEARCH("Remote terminal units",assets!$D$2:$D$1911))+--ISNUMBER(SEARCH("Cathodic protection",assets!$D$2:$D$1911)))*assets!$E$2:$E$1911),0)</f>
        <v>0.22547384327928791</v>
      </c>
      <c r="C222" s="60">
        <f>B217*$B$92+B218*$B$93+B221*$B$94</f>
        <v>0.12065945874934313</v>
      </c>
    </row>
    <row r="223" spans="1:5" x14ac:dyDescent="0.45">
      <c r="A223" s="18"/>
      <c r="B223" s="5"/>
      <c r="C223" s="62">
        <f>C215*$C$95+B217*$C$92+B218*$C$93+B221*$C$94</f>
        <v>0.7740362585391487</v>
      </c>
    </row>
    <row r="224" spans="1:5" x14ac:dyDescent="0.45">
      <c r="A224" s="18" t="s">
        <v>85</v>
      </c>
      <c r="B224" s="10">
        <f>$E224*0.5</f>
        <v>0.375</v>
      </c>
      <c r="C224" s="10">
        <f>$E224*0.3</f>
        <v>0.22499999999999998</v>
      </c>
      <c r="D224" s="10">
        <f>$E224*0.2</f>
        <v>0.15000000000000002</v>
      </c>
      <c r="E224" s="14">
        <f>$C$96</f>
        <v>0.75</v>
      </c>
    </row>
    <row r="225" spans="1:28" x14ac:dyDescent="0.45">
      <c r="A225" s="18" t="s">
        <v>86</v>
      </c>
      <c r="B225" s="20">
        <f>MIN(C223,E224)+E224</f>
        <v>1.5</v>
      </c>
      <c r="C225" s="15">
        <f>IF(B213=0,0,E224/100)</f>
        <v>7.4999999999999997E-3</v>
      </c>
      <c r="D225" s="20">
        <f>E224*2-B225-C225</f>
        <v>-7.4999999999999997E-3</v>
      </c>
      <c r="E225" s="10"/>
    </row>
    <row r="226" spans="1:28" x14ac:dyDescent="0.45">
      <c r="A226"/>
    </row>
    <row r="227" spans="1:28" ht="18" x14ac:dyDescent="0.55000000000000004">
      <c r="A227" s="19" t="s">
        <v>98</v>
      </c>
      <c r="G227" t="s">
        <v>265</v>
      </c>
    </row>
    <row r="228" spans="1:28" x14ac:dyDescent="0.45">
      <c r="B228" s="4">
        <f t="shared" ref="B228:L228" si="18">latest_year+B$2</f>
        <v>2017</v>
      </c>
      <c r="C228" s="4">
        <f t="shared" si="18"/>
        <v>2018</v>
      </c>
      <c r="D228" s="4">
        <f t="shared" si="18"/>
        <v>2019</v>
      </c>
      <c r="E228" s="4">
        <f t="shared" si="18"/>
        <v>2020</v>
      </c>
      <c r="F228" s="4">
        <f t="shared" si="18"/>
        <v>2021</v>
      </c>
      <c r="G228" s="4">
        <f t="shared" si="18"/>
        <v>2022</v>
      </c>
      <c r="H228" s="4">
        <f t="shared" si="18"/>
        <v>2023</v>
      </c>
      <c r="I228" s="4">
        <f t="shared" si="18"/>
        <v>2024</v>
      </c>
      <c r="J228" s="4">
        <f t="shared" si="18"/>
        <v>2025</v>
      </c>
      <c r="K228" s="4">
        <f t="shared" si="18"/>
        <v>2026</v>
      </c>
      <c r="L228" s="4">
        <f t="shared" si="18"/>
        <v>2027</v>
      </c>
      <c r="N228" s="4" t="s">
        <v>118</v>
      </c>
      <c r="O228" s="4" t="s">
        <v>119</v>
      </c>
      <c r="P228" s="4" t="s">
        <v>120</v>
      </c>
    </row>
    <row r="229" spans="1:28" x14ac:dyDescent="0.45">
      <c r="A229" s="16" t="s">
        <v>177</v>
      </c>
      <c r="B229" s="6">
        <f>IF(AND(B$228&lt;2016,ISNUMBER(SEARCH("* Distribution",gdb_name_asset))),#N/A,INDEX(dataset!$A:$O,MATCH(B$228&amp;$W229,dataset!$O:$O,0),MATCH($A$1,dataset!$A$1:$O$1,0))/1000)</f>
        <v>8.2232503890991206E-3</v>
      </c>
      <c r="C229" s="6">
        <f>IF(AND(C$228&lt;2016,ISNUMBER(SEARCH("* Distribution",gdb_name_asset))),#N/A,INDEX(dataset!$A:$O,MATCH(C$228&amp;$W229,dataset!$O:$O,0),MATCH($A$1,dataset!$A$1:$O$1,0))/1000)</f>
        <v>0.40529833984375002</v>
      </c>
      <c r="D229" s="6">
        <f>IF(AND(D$228&lt;2016,ISNUMBER(SEARCH("* Distribution",gdb_name_asset))),#N/A,INDEX(dataset!$A:$O,MATCH(D$228&amp;$W229,dataset!$O:$O,0),MATCH($A$1,dataset!$A$1:$O$1,0))/1000)</f>
        <v>0.47858798217773435</v>
      </c>
      <c r="E229" s="6">
        <f>IF(AND(E$228&lt;2016,ISNUMBER(SEARCH("* Distribution",gdb_name_asset))),#N/A,INDEX(dataset!$A:$O,MATCH(E$228&amp;$W229,dataset!$O:$O,0),MATCH($A$1,dataset!$A$1:$O$1,0))/1000)</f>
        <v>0.19639064025878905</v>
      </c>
      <c r="F229" s="6">
        <f>IF(AND(F$228&lt;2016,ISNUMBER(SEARCH("* Distribution",gdb_name_asset))),#N/A,INDEX(dataset!$A:$O,MATCH(F$228&amp;$W229,dataset!$O:$O,0),MATCH($A$1,dataset!$A$1:$O$1,0))/1000)</f>
        <v>0.22647177124023438</v>
      </c>
      <c r="G229" s="6">
        <f>IF(AND(G$228&lt;2016,ISNUMBER(SEARCH("* Distribution",gdb_name_asset))),#N/A,INDEX(dataset!$A:$O,MATCH(G$228&amp;$W229,dataset!$O:$O,0),MATCH($A$1,dataset!$A$1:$O$1,0))/1000)</f>
        <v>0.19071429443359375</v>
      </c>
      <c r="H229" s="6">
        <f>IF(AND(H$228&lt;2016,ISNUMBER(SEARCH("* Distribution",gdb_name_asset))),#N/A,IFERROR(INDEX('11a(iv) conversion'!$A:$K,MATCH(H$228&amp;$Z229,'11a(iv) conversion'!$K:$K,0),MATCH($A$1,'11a(iv) conversion'!$A$3:$K$3,0))/1000,0))</f>
        <v>5.0864146985100424E-2</v>
      </c>
      <c r="I229" s="6">
        <f>IF(AND(I$228&lt;2016,ISNUMBER(SEARCH("* Distribution",gdb_name_asset))),#N/A,IFERROR(INDEX('11a(iv) conversion'!$A:$K,MATCH(I$228&amp;$Z229,'11a(iv) conversion'!$K:$K,0),MATCH($A$1,'11a(iv) conversion'!$A$3:$K$3,0))/1000,0))</f>
        <v>5.6772373942076584E-2</v>
      </c>
      <c r="J229" s="6">
        <f>IF(AND(J$228&lt;2016,ISNUMBER(SEARCH("* Distribution",gdb_name_asset))),#N/A,IFERROR(INDEX('11a(iv) conversion'!$A:$K,MATCH(J$228&amp;$Z229,'11a(iv) conversion'!$K:$K,0),MATCH($A$1,'11a(iv) conversion'!$A$3:$K$3,0))/1000,0))</f>
        <v>6.20967511905983E-2</v>
      </c>
      <c r="K229" s="6">
        <f>IF(AND(K$228&lt;2016,ISNUMBER(SEARCH("* Distribution",gdb_name_asset))),#N/A,IFERROR(INDEX('11a(iv) conversion'!$A:$K,MATCH(K$228&amp;$Z229,'11a(iv) conversion'!$K:$K,0),MATCH($A$1,'11a(iv) conversion'!$A$3:$K$3,0))/1000,0))</f>
        <v>6.3454192473902896E-2</v>
      </c>
      <c r="L229" s="6">
        <f>IF(AND(L$228&lt;2016,ISNUMBER(SEARCH("* Distribution",gdb_name_asset))),#N/A,IFERROR(INDEX('11a(iv) conversion'!$A:$K,MATCH(L$228&amp;$Z229,'11a(iv) conversion'!$K:$K,0),MATCH($A$1,'11a(iv) conversion'!$A$3:$K$3,0))/1000,0))</f>
        <v>6.443437758960914E-2</v>
      </c>
      <c r="M229" s="10"/>
      <c r="N229" s="12">
        <f>AVERAGE(E229:G229)</f>
        <v>0.20452556864420571</v>
      </c>
      <c r="O229" s="12">
        <f>AVERAGE(H229:L229)</f>
        <v>5.9524368436257469E-2</v>
      </c>
      <c r="P229" s="61">
        <f>IFERROR(O229/N229-1,0)</f>
        <v>-0.70896368199417381</v>
      </c>
      <c r="W229" t="s">
        <v>245</v>
      </c>
      <c r="Z229" t="str">
        <f>"AMP"&amp;latest_year&amp;"Capital ExpenditureAsset replacement and renewalIntermediate pressure - Main pipenominal"</f>
        <v>AMP2022Capital ExpenditureAsset replacement and renewalIntermediate pressure - Main pipenominal</v>
      </c>
    </row>
    <row r="230" spans="1:28" x14ac:dyDescent="0.45">
      <c r="A230" s="16" t="s">
        <v>178</v>
      </c>
      <c r="B230" s="6">
        <f>IF(AND(B$228&lt;2016,ISNUMBER(SEARCH("* Distribution",gdb_name_asset))),#N/A,INDEX(dataset!$A:$O,MATCH(B$228&amp;$W230,dataset!$O:$O,0),MATCH($A$1,dataset!$A$1:$O$1,0))/1000)</f>
        <v>3.060132568359375</v>
      </c>
      <c r="C230" s="6">
        <f>IF(AND(C$228&lt;2016,ISNUMBER(SEARCH("* Distribution",gdb_name_asset))),#N/A,INDEX(dataset!$A:$O,MATCH(C$228&amp;$W230,dataset!$O:$O,0),MATCH($A$1,dataset!$A$1:$O$1,0))/1000)</f>
        <v>2.7175556640625</v>
      </c>
      <c r="D230" s="6">
        <f>IF(AND(D$228&lt;2016,ISNUMBER(SEARCH("* Distribution",gdb_name_asset))),#N/A,INDEX(dataset!$A:$O,MATCH(D$228&amp;$W230,dataset!$O:$O,0),MATCH($A$1,dataset!$A$1:$O$1,0))/1000)</f>
        <v>4.3194648437499996</v>
      </c>
      <c r="E230" s="6">
        <f>IF(AND(E$228&lt;2016,ISNUMBER(SEARCH("* Distribution",gdb_name_asset))),#N/A,INDEX(dataset!$A:$O,MATCH(E$228&amp;$W230,dataset!$O:$O,0),MATCH($A$1,dataset!$A$1:$O$1,0))/1000)</f>
        <v>7.371076171875</v>
      </c>
      <c r="F230" s="6">
        <f>IF(AND(F$228&lt;2016,ISNUMBER(SEARCH("* Distribution",gdb_name_asset))),#N/A,INDEX(dataset!$A:$O,MATCH(F$228&amp;$W230,dataset!$O:$O,0),MATCH($A$1,dataset!$A$1:$O$1,0))/1000)</f>
        <v>5.1462651367187497</v>
      </c>
      <c r="G230" s="6">
        <f>IF(AND(G$228&lt;2016,ISNUMBER(SEARCH("* Distribution",gdb_name_asset))),#N/A,INDEX(dataset!$A:$O,MATCH(G$228&amp;$W230,dataset!$O:$O,0),MATCH($A$1,dataset!$A$1:$O$1,0))/1000)</f>
        <v>8.3763398437499994</v>
      </c>
      <c r="H230" s="6">
        <f>IF(AND(H$228&lt;2016,ISNUMBER(SEARCH("* Distribution",gdb_name_asset))),#N/A,IFERROR(INDEX('11a(iv) conversion'!$A:$K,MATCH(H$228&amp;$Z230,'11a(iv) conversion'!$K:$K,0),MATCH($A$1,'11a(iv) conversion'!$A$3:$K$3,0))/1000,0))</f>
        <v>6.1009115203450941</v>
      </c>
      <c r="I230" s="6">
        <f>IF(AND(I$228&lt;2016,ISNUMBER(SEARCH("* Distribution",gdb_name_asset))),#N/A,IFERROR(INDEX('11a(iv) conversion'!$A:$K,MATCH(I$228&amp;$Z230,'11a(iv) conversion'!$K:$K,0),MATCH($A$1,'11a(iv) conversion'!$A$3:$K$3,0))/1000,0))</f>
        <v>5.7110072683394035</v>
      </c>
      <c r="J230" s="6">
        <f>IF(AND(J$228&lt;2016,ISNUMBER(SEARCH("* Distribution",gdb_name_asset))),#N/A,IFERROR(INDEX('11a(iv) conversion'!$A:$K,MATCH(J$228&amp;$Z230,'11a(iv) conversion'!$K:$K,0),MATCH($A$1,'11a(iv) conversion'!$A$3:$K$3,0))/1000,0))</f>
        <v>6.1742556692971222</v>
      </c>
      <c r="K230" s="6">
        <f>IF(AND(K$228&lt;2016,ISNUMBER(SEARCH("* Distribution",gdb_name_asset))),#N/A,IFERROR(INDEX('11a(iv) conversion'!$A:$K,MATCH(K$228&amp;$Z230,'11a(iv) conversion'!$K:$K,0),MATCH($A$1,'11a(iv) conversion'!$A$3:$K$3,0))/1000,0))</f>
        <v>6.4909258659614268</v>
      </c>
      <c r="L230" s="6">
        <f>IF(AND(L$228&lt;2016,ISNUMBER(SEARCH("* Distribution",gdb_name_asset))),#N/A,IFERROR(INDEX('11a(iv) conversion'!$A:$K,MATCH(L$228&amp;$Z230,'11a(iv) conversion'!$K:$K,0),MATCH($A$1,'11a(iv) conversion'!$A$3:$K$3,0))/1000,0))</f>
        <v>6.9537201684778696</v>
      </c>
      <c r="M230" s="10"/>
      <c r="N230" s="12">
        <f t="shared" ref="N230:N234" si="19">AVERAGE(E230:G230)</f>
        <v>6.9645603841145833</v>
      </c>
      <c r="O230" s="12">
        <f>AVERAGE(H230:L230)</f>
        <v>6.2861640984841829</v>
      </c>
      <c r="P230" s="61">
        <f t="shared" ref="P230:P236" si="20">IFERROR(O230/N230-1,0)</f>
        <v>-9.7406906999865983E-2</v>
      </c>
      <c r="W230" t="s">
        <v>246</v>
      </c>
      <c r="Z230" t="str">
        <f>"AMP"&amp;latest_year&amp;"Capital ExpenditureAsset replacement and renewalMedium pressure - Main pipenominal"</f>
        <v>AMP2022Capital ExpenditureAsset replacement and renewalMedium pressure - Main pipenominal</v>
      </c>
    </row>
    <row r="231" spans="1:28" x14ac:dyDescent="0.45">
      <c r="A231" s="16" t="s">
        <v>183</v>
      </c>
      <c r="B231" s="6">
        <f>IF(AND(B$228&lt;2016,ISNUMBER(SEARCH("* Distribution",gdb_name_asset))),#N/A,INDEX(dataset!$A:$O,MATCH(B$228&amp;$W231,dataset!$O:$O,0),MATCH($A$1,dataset!$A$1:$O$1,0))/1000)</f>
        <v>0.21870799255371093</v>
      </c>
      <c r="C231" s="6">
        <f>IF(AND(C$228&lt;2016,ISNUMBER(SEARCH("* Distribution",gdb_name_asset))),#N/A,INDEX(dataset!$A:$O,MATCH(C$228&amp;$W231,dataset!$O:$O,0),MATCH($A$1,dataset!$A$1:$O$1,0))/1000)</f>
        <v>0.11</v>
      </c>
      <c r="D231" s="6">
        <f>IF(AND(D$228&lt;2016,ISNUMBER(SEARCH("* Distribution",gdb_name_asset))),#N/A,INDEX(dataset!$A:$O,MATCH(D$228&amp;$W231,dataset!$O:$O,0),MATCH($A$1,dataset!$A$1:$O$1,0))/1000)</f>
        <v>7.3999999999999996E-2</v>
      </c>
      <c r="E231" s="6">
        <f>IF(AND(E$228&lt;2016,ISNUMBER(SEARCH("* Distribution",gdb_name_asset))),#N/A,INDEX(dataset!$A:$O,MATCH(E$228&amp;$W231,dataset!$O:$O,0),MATCH($A$1,dataset!$A$1:$O$1,0))/1000)</f>
        <v>0.115</v>
      </c>
      <c r="F231" s="6">
        <f>IF(AND(F$228&lt;2016,ISNUMBER(SEARCH("* Distribution",gdb_name_asset))),#N/A,INDEX(dataset!$A:$O,MATCH(F$228&amp;$W231,dataset!$O:$O,0),MATCH($A$1,dataset!$A$1:$O$1,0))/1000)</f>
        <v>0.183</v>
      </c>
      <c r="G231" s="6">
        <f>IF(AND(G$228&lt;2016,ISNUMBER(SEARCH("* Distribution",gdb_name_asset))),#N/A,INDEX(dataset!$A:$O,MATCH(G$228&amp;$W231,dataset!$O:$O,0),MATCH($A$1,dataset!$A$1:$O$1,0))/1000)</f>
        <v>0.2682777404785156</v>
      </c>
      <c r="H231" s="6">
        <f>IF(AND(H$228&lt;2016,ISNUMBER(SEARCH("* Distribution",gdb_name_asset))),#N/A,IFERROR(INDEX('11a(iv) conversion'!$A:$K,MATCH(H$228&amp;$Z231,'11a(iv) conversion'!$K:$K,0),MATCH($A$1,'11a(iv) conversion'!$A$3:$K$3,0))/1000,0))</f>
        <v>8.4118696778976723E-2</v>
      </c>
      <c r="I231" s="6">
        <f>IF(AND(I$228&lt;2016,ISNUMBER(SEARCH("* Distribution",gdb_name_asset))),#N/A,IFERROR(INDEX('11a(iv) conversion'!$A:$K,MATCH(I$228&amp;$Z231,'11a(iv) conversion'!$K:$K,0),MATCH($A$1,'11a(iv) conversion'!$A$3:$K$3,0))/1000,0))</f>
        <v>0.45094774850529706</v>
      </c>
      <c r="J231" s="6">
        <f>IF(AND(J$228&lt;2016,ISNUMBER(SEARCH("* Distribution",gdb_name_asset))),#N/A,IFERROR(INDEX('11a(iv) conversion'!$A:$K,MATCH(J$228&amp;$Z231,'11a(iv) conversion'!$K:$K,0),MATCH($A$1,'11a(iv) conversion'!$A$3:$K$3,0))/1000,0))</f>
        <v>0.46215726786826139</v>
      </c>
      <c r="K231" s="6">
        <f>IF(AND(K$228&lt;2016,ISNUMBER(SEARCH("* Distribution",gdb_name_asset))),#N/A,IFERROR(INDEX('11a(iv) conversion'!$A:$K,MATCH(K$228&amp;$Z231,'11a(iv) conversion'!$K:$K,0),MATCH($A$1,'11a(iv) conversion'!$A$3:$K$3,0))/1000,0))</f>
        <v>0.47216373009480167</v>
      </c>
      <c r="L231" s="6">
        <f>IF(AND(L$228&lt;2016,ISNUMBER(SEARCH("* Distribution",gdb_name_asset))),#N/A,IFERROR(INDEX('11a(iv) conversion'!$A:$K,MATCH(L$228&amp;$Z231,'11a(iv) conversion'!$K:$K,0),MATCH($A$1,'11a(iv) conversion'!$A$3:$K$3,0))/1000,0))</f>
        <v>0.48082615296987591</v>
      </c>
      <c r="M231" s="10"/>
      <c r="N231" s="12">
        <f t="shared" si="19"/>
        <v>0.18875924682617184</v>
      </c>
      <c r="O231" s="12">
        <f t="shared" ref="O231:O234" si="21">AVERAGE(H231:L231)</f>
        <v>0.39004271924344253</v>
      </c>
      <c r="P231" s="61">
        <f t="shared" si="20"/>
        <v>1.0663502625788306</v>
      </c>
      <c r="W231" t="s">
        <v>247</v>
      </c>
      <c r="Z231" t="str">
        <f>"AMP"&amp;latest_year&amp;"Capital ExpenditureAsset replacement and renewalLow pressure - Main pipenominal"</f>
        <v>AMP2022Capital ExpenditureAsset replacement and renewalLow pressure - Main pipenominal</v>
      </c>
    </row>
    <row r="232" spans="1:28" x14ac:dyDescent="0.45">
      <c r="A232" t="s">
        <v>184</v>
      </c>
      <c r="B232" s="6">
        <f>IF(AND(B$228&lt;2016,ISNUMBER(SEARCH("* Distribution",gdb_name_asset))),#N/A,INDEX(dataset!$A:$O,MATCH(B$228&amp;$W232,dataset!$O:$O,0),MATCH($A$1,dataset!$A$1:$O$1,0))/1000+INDEX(dataset!$A:$O,MATCH(B$228&amp;$X232,dataset!$O:$O,0),MATCH($A$1,dataset!$A$1:$O$1,0))/1000+INDEX(dataset!$A:$O,MATCH(B$228&amp;$Y232,dataset!$O:$O,0),MATCH($A$1,dataset!$A$1:$O$1,0))/1000)</f>
        <v>0.5062800178527832</v>
      </c>
      <c r="C232" s="6">
        <f>IF(AND(C$228&lt;2016,ISNUMBER(SEARCH("* Distribution",gdb_name_asset))),#N/A,INDEX(dataset!$A:$O,MATCH(C$228&amp;$W232,dataset!$O:$O,0),MATCH($A$1,dataset!$A$1:$O$1,0))/1000+INDEX(dataset!$A:$O,MATCH(C$228&amp;$X232,dataset!$O:$O,0),MATCH($A$1,dataset!$A$1:$O$1,0))/1000+INDEX(dataset!$A:$O,MATCH(C$228&amp;$Y232,dataset!$O:$O,0),MATCH($A$1,dataset!$A$1:$O$1,0))/1000)</f>
        <v>0.43424713897705081</v>
      </c>
      <c r="D232" s="6">
        <f>IF(AND(D$228&lt;2016,ISNUMBER(SEARCH("* Distribution",gdb_name_asset))),#N/A,INDEX(dataset!$A:$O,MATCH(D$228&amp;$W232,dataset!$O:$O,0),MATCH($A$1,dataset!$A$1:$O$1,0))/1000+INDEX(dataset!$A:$O,MATCH(D$228&amp;$X232,dataset!$O:$O,0),MATCH($A$1,dataset!$A$1:$O$1,0))/1000+INDEX(dataset!$A:$O,MATCH(D$228&amp;$Y232,dataset!$O:$O,0),MATCH($A$1,dataset!$A$1:$O$1,0))/1000)</f>
        <v>0.14783587646484375</v>
      </c>
      <c r="E232" s="6">
        <f>IF(AND(E$228&lt;2016,ISNUMBER(SEARCH("* Distribution",gdb_name_asset))),#N/A,INDEX(dataset!$A:$O,MATCH(E$228&amp;$W232,dataset!$O:$O,0),MATCH($A$1,dataset!$A$1:$O$1,0))/1000+INDEX(dataset!$A:$O,MATCH(E$228&amp;$X232,dataset!$O:$O,0),MATCH($A$1,dataset!$A$1:$O$1,0))/1000+INDEX(dataset!$A:$O,MATCH(E$228&amp;$Y232,dataset!$O:$O,0),MATCH($A$1,dataset!$A$1:$O$1,0))/1000)</f>
        <v>0.43343508911132816</v>
      </c>
      <c r="F232" s="6">
        <f>IF(AND(F$228&lt;2016,ISNUMBER(SEARCH("* Distribution",gdb_name_asset))),#N/A,INDEX(dataset!$A:$O,MATCH(F$228&amp;$W232,dataset!$O:$O,0),MATCH($A$1,dataset!$A$1:$O$1,0))/1000+INDEX(dataset!$A:$O,MATCH(F$228&amp;$X232,dataset!$O:$O,0),MATCH($A$1,dataset!$A$1:$O$1,0))/1000+INDEX(dataset!$A:$O,MATCH(F$228&amp;$Y232,dataset!$O:$O,0),MATCH($A$1,dataset!$A$1:$O$1,0))/1000)</f>
        <v>0.88414691162109371</v>
      </c>
      <c r="G232" s="6">
        <f>IF(AND(G$228&lt;2016,ISNUMBER(SEARCH("* Distribution",gdb_name_asset))),#N/A,INDEX(dataset!$A:$O,MATCH(G$228&amp;$W232,dataset!$O:$O,0),MATCH($A$1,dataset!$A$1:$O$1,0))/1000+INDEX(dataset!$A:$O,MATCH(G$228&amp;$X232,dataset!$O:$O,0),MATCH($A$1,dataset!$A$1:$O$1,0))/1000+INDEX(dataset!$A:$O,MATCH(G$228&amp;$Y232,dataset!$O:$O,0),MATCH($A$1,dataset!$A$1:$O$1,0))/1000)</f>
        <v>1.4078106689453125</v>
      </c>
      <c r="H232" s="6">
        <f>IF(AND(H$228&lt;2016,ISNUMBER(SEARCH("* Distribution",gdb_name_asset))),#N/A,IFERROR(INDEX('11a(iv) conversion'!$A:$K,MATCH(H$228&amp;$Z232,'11a(iv) conversion'!$K:$K,0),MATCH($A$1,'11a(iv) conversion'!$A$3:$K$3,0))/1000,0)+IFERROR(INDEX('11a(iv) conversion'!$A:$K,MATCH(H$228&amp;$AA232,'11a(iv) conversion'!$K:$K,0),MATCH($A$1,'11a(iv) conversion'!$A$3:$K$3,0))/1000,0)+IFERROR(INDEX('11a(iv) conversion'!$A:$K,MATCH(H$228&amp;$AB232,'11a(iv) conversion'!$K:$K,0),MATCH($A$1,'11a(iv) conversion'!$A$3:$K$3,0))/1000,0))</f>
        <v>1.5958770708102465</v>
      </c>
      <c r="I232" s="6">
        <f>IF(AND(I$228&lt;2016,ISNUMBER(SEARCH("* Distribution",gdb_name_asset))),#N/A,IFERROR(INDEX('11a(iv) conversion'!$A:$K,MATCH(I$228&amp;$Z232,'11a(iv) conversion'!$K:$K,0),MATCH($A$1,'11a(iv) conversion'!$A$3:$K$3,0))/1000,0)+IFERROR(INDEX('11a(iv) conversion'!$A:$K,MATCH(I$228&amp;$AA232,'11a(iv) conversion'!$K:$K,0),MATCH($A$1,'11a(iv) conversion'!$A$3:$K$3,0))/1000,0)+IFERROR(INDEX('11a(iv) conversion'!$A:$K,MATCH(I$228&amp;$AB232,'11a(iv) conversion'!$K:$K,0),MATCH($A$1,'11a(iv) conversion'!$A$3:$K$3,0))/1000,0))</f>
        <v>1.5394473884804896</v>
      </c>
      <c r="J232" s="6">
        <f>IF(AND(J$228&lt;2016,ISNUMBER(SEARCH("* Distribution",gdb_name_asset))),#N/A,IFERROR(INDEX('11a(iv) conversion'!$A:$K,MATCH(J$228&amp;$Z232,'11a(iv) conversion'!$K:$K,0),MATCH($A$1,'11a(iv) conversion'!$A$3:$K$3,0))/1000,0)+IFERROR(INDEX('11a(iv) conversion'!$A:$K,MATCH(J$228&amp;$AA232,'11a(iv) conversion'!$K:$K,0),MATCH($A$1,'11a(iv) conversion'!$A$3:$K$3,0))/1000,0)+IFERROR(INDEX('11a(iv) conversion'!$A:$K,MATCH(J$228&amp;$AB232,'11a(iv) conversion'!$K:$K,0),MATCH($A$1,'11a(iv) conversion'!$A$3:$K$3,0))/1000,0))</f>
        <v>1.4633289678451109</v>
      </c>
      <c r="K232" s="6">
        <f>IF(AND(K$228&lt;2016,ISNUMBER(SEARCH("* Distribution",gdb_name_asset))),#N/A,IFERROR(INDEX('11a(iv) conversion'!$A:$K,MATCH(K$228&amp;$Z232,'11a(iv) conversion'!$K:$K,0),MATCH($A$1,'11a(iv) conversion'!$A$3:$K$3,0))/1000,0)+IFERROR(INDEX('11a(iv) conversion'!$A:$K,MATCH(K$228&amp;$AA232,'11a(iv) conversion'!$K:$K,0),MATCH($A$1,'11a(iv) conversion'!$A$3:$K$3,0))/1000,0)+IFERROR(INDEX('11a(iv) conversion'!$A:$K,MATCH(K$228&amp;$AB232,'11a(iv) conversion'!$K:$K,0),MATCH($A$1,'11a(iv) conversion'!$A$3:$K$3,0))/1000,0))</f>
        <v>1.583729466260043</v>
      </c>
      <c r="L232" s="6">
        <f>IF(AND(L$228&lt;2016,ISNUMBER(SEARCH("* Distribution",gdb_name_asset))),#N/A,IFERROR(INDEX('11a(iv) conversion'!$A:$K,MATCH(L$228&amp;$Z232,'11a(iv) conversion'!$K:$K,0),MATCH($A$1,'11a(iv) conversion'!$A$3:$K$3,0))/1000,0)+IFERROR(INDEX('11a(iv) conversion'!$A:$K,MATCH(L$228&amp;$AA232,'11a(iv) conversion'!$K:$K,0),MATCH($A$1,'11a(iv) conversion'!$A$3:$K$3,0))/1000,0)+IFERROR(INDEX('11a(iv) conversion'!$A:$K,MATCH(L$228&amp;$AB232,'11a(iv) conversion'!$K:$K,0),MATCH($A$1,'11a(iv) conversion'!$A$3:$K$3,0))/1000,0))</f>
        <v>1.9414244555189353</v>
      </c>
      <c r="M232" s="10"/>
      <c r="N232" s="12">
        <f t="shared" si="19"/>
        <v>0.90846422322591147</v>
      </c>
      <c r="O232" s="12">
        <f t="shared" si="21"/>
        <v>1.6247614697829651</v>
      </c>
      <c r="P232" s="61">
        <f t="shared" si="20"/>
        <v>0.78847050686654185</v>
      </c>
      <c r="W232" t="s">
        <v>248</v>
      </c>
      <c r="X232" t="s">
        <v>249</v>
      </c>
      <c r="Y232" t="s">
        <v>250</v>
      </c>
      <c r="Z232" t="str">
        <f>"AMP"&amp;latest_year&amp;"Capital ExpenditureAsset replacement and renewalIntermediate pressure - Service pipenominal"</f>
        <v>AMP2022Capital ExpenditureAsset replacement and renewalIntermediate pressure - Service pipenominal</v>
      </c>
      <c r="AA232" t="str">
        <f>"AMP"&amp;latest_year&amp;"Capital ExpenditureAsset replacement and renewalMedium pressure - Service pipenominal"</f>
        <v>AMP2022Capital ExpenditureAsset replacement and renewalMedium pressure - Service pipenominal</v>
      </c>
      <c r="AB232" t="str">
        <f>"AMP"&amp;latest_year&amp;"Capital ExpenditureAsset replacement and renewalLow pressure - Service pipenominal"</f>
        <v>AMP2022Capital ExpenditureAsset replacement and renewalLow pressure - Service pipenominal</v>
      </c>
    </row>
    <row r="233" spans="1:28" x14ac:dyDescent="0.45">
      <c r="A233" s="16" t="s">
        <v>179</v>
      </c>
      <c r="B233" s="6">
        <f>IF(AND(B$228&lt;2016,ISNUMBER(SEARCH("* Distribution",gdb_name_asset))),#N/A,INDEX(dataset!$A:$O,MATCH(B$228&amp;$W233,dataset!$O:$O,0),MATCH($A$1,dataset!$A$1:$O$1,0))/1000+INDEX(dataset!$A:$O,MATCH(B$228&amp;$X233,dataset!$O:$O,0),MATCH($A$1,dataset!$A$1:$O$1,0))/1000)</f>
        <v>0.28843231201171876</v>
      </c>
      <c r="C233" s="6">
        <f>IF(AND(C$228&lt;2016,ISNUMBER(SEARCH("* Distribution",gdb_name_asset))),#N/A,INDEX(dataset!$A:$O,MATCH(C$228&amp;$W233,dataset!$O:$O,0),MATCH($A$1,dataset!$A$1:$O$1,0))/1000+INDEX(dataset!$A:$O,MATCH(C$228&amp;$X233,dataset!$O:$O,0),MATCH($A$1,dataset!$A$1:$O$1,0))/1000)</f>
        <v>0.48481088256835936</v>
      </c>
      <c r="D233" s="6">
        <f>IF(AND(D$228&lt;2016,ISNUMBER(SEARCH("* Distribution",gdb_name_asset))),#N/A,INDEX(dataset!$A:$O,MATCH(D$228&amp;$W233,dataset!$O:$O,0),MATCH($A$1,dataset!$A$1:$O$1,0))/1000+INDEX(dataset!$A:$O,MATCH(D$228&amp;$X233,dataset!$O:$O,0),MATCH($A$1,dataset!$A$1:$O$1,0))/1000)</f>
        <v>0.16768283081054686</v>
      </c>
      <c r="E233" s="195">
        <f>IF(AND(E$228&lt;2016,ISNUMBER(SEARCH("* Distribution",gdb_name_asset))),#N/A,INDEX(dataset!$A:$O,MATCH(E$228&amp;$W233,dataset!$O:$O,0),MATCH($A$1,dataset!$A$1:$O$1,0))/1000+INDEX(dataset!$A:$O,MATCH(E$228&amp;$X233,dataset!$O:$O,0),MATCH($A$1,dataset!$A$1:$O$1,0))/1000)</f>
        <v>0.67900000000000005</v>
      </c>
      <c r="F233" s="195">
        <f>IF(AND(F$228&lt;2016,ISNUMBER(SEARCH("* Distribution",gdb_name_asset))),#N/A,INDEX(dataset!$A:$O,MATCH(F$228&amp;$W233,dataset!$O:$O,0),MATCH($A$1,dataset!$A$1:$O$1,0))/1000+INDEX(dataset!$A:$O,MATCH(F$228&amp;$X233,dataset!$O:$O,0),MATCH($A$1,dataset!$A$1:$O$1,0))/1000)</f>
        <v>1.867</v>
      </c>
      <c r="G233" s="195">
        <f>IF(AND(G$228&lt;2016,ISNUMBER(SEARCH("* Distribution",gdb_name_asset))),#N/A,INDEX(dataset!$A:$O,MATCH(G$228&amp;$W233,dataset!$O:$O,0),MATCH($A$1,dataset!$A$1:$O$1,0))/1000+INDEX(dataset!$A:$O,MATCH(G$228&amp;$X233,dataset!$O:$O,0),MATCH($A$1,dataset!$A$1:$O$1,0))/1000)</f>
        <v>1.3817952880859377</v>
      </c>
      <c r="H233" s="195">
        <f>IF(AND(H$228&lt;2016,ISNUMBER(SEARCH("* Distribution",gdb_name_asset))),#N/A,IFERROR(INDEX('11a(iv) conversion'!$A:$K,MATCH(H$228&amp;$Z233,'11a(iv) conversion'!$K:$K,0),MATCH($A$1,'11a(iv) conversion'!$A$3:$K$3,0))/1000,0)+IFERROR(INDEX('11a(iv) conversion'!$A:$K,MATCH(H$228&amp;$AA233,'11a(iv) conversion'!$K:$K,0),MATCH($A$1,'11a(iv) conversion'!$A$3:$K$3,0))/1000,0))</f>
        <v>2.5145520671513562</v>
      </c>
      <c r="I233" s="195">
        <f>IF(AND(I$228&lt;2016,ISNUMBER(SEARCH("* Distribution",gdb_name_asset))),#N/A,IFERROR(INDEX('11a(iv) conversion'!$A:$K,MATCH(I$228&amp;$Z233,'11a(iv) conversion'!$K:$K,0),MATCH($A$1,'11a(iv) conversion'!$A$3:$K$3,0))/1000,0)+IFERROR(INDEX('11a(iv) conversion'!$A:$K,MATCH(I$228&amp;$AA233,'11a(iv) conversion'!$K:$K,0),MATCH($A$1,'11a(iv) conversion'!$A$3:$K$3,0))/1000,0))</f>
        <v>2.6293876326379433</v>
      </c>
      <c r="J233" s="195">
        <f>IF(AND(J$228&lt;2016,ISNUMBER(SEARCH("* Distribution",gdb_name_asset))),#N/A,IFERROR(INDEX('11a(iv) conversion'!$A:$K,MATCH(J$228&amp;$Z233,'11a(iv) conversion'!$K:$K,0),MATCH($A$1,'11a(iv) conversion'!$A$3:$K$3,0))/1000,0)+IFERROR(INDEX('11a(iv) conversion'!$A:$K,MATCH(J$228&amp;$AA233,'11a(iv) conversion'!$K:$K,0),MATCH($A$1,'11a(iv) conversion'!$A$3:$K$3,0))/1000,0))</f>
        <v>2.3809146312667346</v>
      </c>
      <c r="K233" s="195">
        <f>IF(AND(K$228&lt;2016,ISNUMBER(SEARCH("* Distribution",gdb_name_asset))),#N/A,IFERROR(INDEX('11a(iv) conversion'!$A:$K,MATCH(K$228&amp;$Z233,'11a(iv) conversion'!$K:$K,0),MATCH($A$1,'11a(iv) conversion'!$A$3:$K$3,0))/1000,0)+IFERROR(INDEX('11a(iv) conversion'!$A:$K,MATCH(K$228&amp;$AA233,'11a(iv) conversion'!$K:$K,0),MATCH($A$1,'11a(iv) conversion'!$A$3:$K$3,0))/1000,0))</f>
        <v>1.8175890091683988</v>
      </c>
      <c r="L233" s="195">
        <f>IF(AND(L$228&lt;2016,ISNUMBER(SEARCH("* Distribution",gdb_name_asset))),#N/A,IFERROR(INDEX('11a(iv) conversion'!$A:$K,MATCH(L$228&amp;$Z233,'11a(iv) conversion'!$K:$K,0),MATCH($A$1,'11a(iv) conversion'!$A$3:$K$3,0))/1000,0)+IFERROR(INDEX('11a(iv) conversion'!$A:$K,MATCH(L$228&amp;$AA233,'11a(iv) conversion'!$K:$K,0),MATCH($A$1,'11a(iv) conversion'!$A$3:$K$3,0))/1000,0))</f>
        <v>1.8371533420033435</v>
      </c>
      <c r="M233" s="10"/>
      <c r="N233" s="12">
        <f t="shared" si="19"/>
        <v>1.309265096028646</v>
      </c>
      <c r="O233" s="12">
        <f t="shared" si="21"/>
        <v>2.2359193364455554</v>
      </c>
      <c r="P233" s="61">
        <f t="shared" si="20"/>
        <v>0.70776670303646028</v>
      </c>
      <c r="W233" t="s">
        <v>251</v>
      </c>
      <c r="X233" t="s">
        <v>252</v>
      </c>
      <c r="Z233" t="str">
        <f>"AMP"&amp;latest_year&amp;"Capital ExpenditureAsset replacement and renewalIntermediate pressure - Stationsnominal"</f>
        <v>AMP2022Capital ExpenditureAsset replacement and renewalIntermediate pressure - Stationsnominal</v>
      </c>
      <c r="AA233" t="str">
        <f>"AMP"&amp;latest_year&amp;"Capital ExpenditureAsset replacement and renewalMedium pressure - Stationnominal"</f>
        <v>AMP2022Capital ExpenditureAsset replacement and renewalMedium pressure - Stationnominal</v>
      </c>
    </row>
    <row r="234" spans="1:28" x14ac:dyDescent="0.45">
      <c r="A234" s="16" t="s">
        <v>180</v>
      </c>
      <c r="B234" s="6">
        <f>IF(AND(B$228&lt;2016,ISNUMBER(SEARCH("* Distribution",gdb_name_asset))),#N/A,INDEX(dataset!$A:$O,MATCH(B$228&amp;$W234,dataset!$O:$O,0),MATCH($A$1,dataset!$A$1:$O$1,0))/1000+INDEX(dataset!$A:$O,MATCH(B$228&amp;$X234,dataset!$O:$O,0),MATCH($A$1,dataset!$A$1:$O$1,0))/1000+INDEX(dataset!$A:$O,MATCH(B$228&amp;$Y234,dataset!$O:$O,0),MATCH($A$1,dataset!$A$1:$O$1,0))/1000)</f>
        <v>0.12672846221923828</v>
      </c>
      <c r="C234" s="6">
        <f>IF(AND(C$228&lt;2016,ISNUMBER(SEARCH("* Distribution",gdb_name_asset))),#N/A,INDEX(dataset!$A:$O,MATCH(C$228&amp;$W234,dataset!$O:$O,0),MATCH($A$1,dataset!$A$1:$O$1,0))/1000+INDEX(dataset!$A:$O,MATCH(C$228&amp;$X234,dataset!$O:$O,0),MATCH($A$1,dataset!$A$1:$O$1,0))/1000+INDEX(dataset!$A:$O,MATCH(C$228&amp;$Y234,dataset!$O:$O,0),MATCH($A$1,dataset!$A$1:$O$1,0))/1000)</f>
        <v>2E-3</v>
      </c>
      <c r="D234" s="6">
        <f>IF(AND(D$228&lt;2016,ISNUMBER(SEARCH("* Distribution",gdb_name_asset))),#N/A,INDEX(dataset!$A:$O,MATCH(D$228&amp;$W234,dataset!$O:$O,0),MATCH($A$1,dataset!$A$1:$O$1,0))/1000+INDEX(dataset!$A:$O,MATCH(D$228&amp;$X234,dataset!$O:$O,0),MATCH($A$1,dataset!$A$1:$O$1,0))/1000+INDEX(dataset!$A:$O,MATCH(D$228&amp;$Y234,dataset!$O:$O,0),MATCH($A$1,dataset!$A$1:$O$1,0))/1000)</f>
        <v>7.4999999999999997E-2</v>
      </c>
      <c r="E234" s="6">
        <f>IF(AND(E$228&lt;2016,ISNUMBER(SEARCH("* Distribution",gdb_name_asset))),#N/A,INDEX(dataset!$A:$O,MATCH(E$228&amp;$W234,dataset!$O:$O,0),MATCH($A$1,dataset!$A$1:$O$1,0))/1000+INDEX(dataset!$A:$O,MATCH(E$228&amp;$X234,dataset!$O:$O,0),MATCH($A$1,dataset!$A$1:$O$1,0))/1000+INDEX(dataset!$A:$O,MATCH(E$228&amp;$Y234,dataset!$O:$O,0),MATCH($A$1,dataset!$A$1:$O$1,0))/1000)</f>
        <v>0.17849737930297854</v>
      </c>
      <c r="F234" s="6">
        <f>IF(AND(F$228&lt;2016,ISNUMBER(SEARCH("* Distribution",gdb_name_asset))),#N/A,INDEX(dataset!$A:$O,MATCH(F$228&amp;$W234,dataset!$O:$O,0),MATCH($A$1,dataset!$A$1:$O$1,0))/1000+INDEX(dataset!$A:$O,MATCH(F$228&amp;$X234,dataset!$O:$O,0),MATCH($A$1,dataset!$A$1:$O$1,0))/1000+INDEX(dataset!$A:$O,MATCH(F$228&amp;$Y234,dataset!$O:$O,0),MATCH($A$1,dataset!$A$1:$O$1,0))/1000)</f>
        <v>0.11568598413467408</v>
      </c>
      <c r="G234" s="6">
        <f>IF(AND(G$228&lt;2016,ISNUMBER(SEARCH("* Distribution",gdb_name_asset))),#N/A,INDEX(dataset!$A:$O,MATCH(G$228&amp;$W234,dataset!$O:$O,0),MATCH($A$1,dataset!$A$1:$O$1,0))/1000+INDEX(dataset!$A:$O,MATCH(G$228&amp;$X234,dataset!$O:$O,0),MATCH($A$1,dataset!$A$1:$O$1,0))/1000+INDEX(dataset!$A:$O,MATCH(G$228&amp;$Y234,dataset!$O:$O,0),MATCH($A$1,dataset!$A$1:$O$1,0))/1000)</f>
        <v>1.0603820152282715</v>
      </c>
      <c r="H234" s="6">
        <f>IF(AND(H$228&lt;2016,ISNUMBER(SEARCH("* Distribution",gdb_name_asset))),#N/A,IFERROR(INDEX('11a(iv) conversion'!$A:$K,MATCH(H$228&amp;$Z234,'11a(iv) conversion'!$K:$K,0),MATCH($A$1,'11a(iv) conversion'!$A$3:$K$3,0))/1000,0)+IFERROR(INDEX('11a(iv) conversion'!$A:$K,MATCH(H$228&amp;$AA234,'11a(iv) conversion'!$K:$K,0),MATCH($A$1,'11a(iv) conversion'!$A$3:$K$3,0))/1000,0)+IFERROR(INDEX('11a(iv) conversion'!$A:$K,MATCH(H$228&amp;$AB234,'11a(iv) conversion'!$K:$K,0),MATCH($A$1,'11a(iv) conversion'!$A$3:$K$3,0))/1000,0))</f>
        <v>0.97588513798421161</v>
      </c>
      <c r="I234" s="6">
        <f>IF(AND(I$228&lt;2016,ISNUMBER(SEARCH("* Distribution",gdb_name_asset))),#N/A,IFERROR(INDEX('11a(iv) conversion'!$A:$K,MATCH(I$228&amp;$Z234,'11a(iv) conversion'!$K:$K,0),MATCH($A$1,'11a(iv) conversion'!$A$3:$K$3,0))/1000,0)+IFERROR(INDEX('11a(iv) conversion'!$A:$K,MATCH(I$228&amp;$AA234,'11a(iv) conversion'!$K:$K,0),MATCH($A$1,'11a(iv) conversion'!$A$3:$K$3,0))/1000,0)+IFERROR(INDEX('11a(iv) conversion'!$A:$K,MATCH(I$228&amp;$AB234,'11a(iv) conversion'!$K:$K,0),MATCH($A$1,'11a(iv) conversion'!$A$3:$K$3,0))/1000,0))</f>
        <v>0.72005126501985206</v>
      </c>
      <c r="J234" s="6">
        <f>IF(AND(J$228&lt;2016,ISNUMBER(SEARCH("* Distribution",gdb_name_asset))),#N/A,IFERROR(INDEX('11a(iv) conversion'!$A:$K,MATCH(J$228&amp;$Z234,'11a(iv) conversion'!$K:$K,0),MATCH($A$1,'11a(iv) conversion'!$A$3:$K$3,0))/1000,0)+IFERROR(INDEX('11a(iv) conversion'!$A:$K,MATCH(J$228&amp;$AA234,'11a(iv) conversion'!$K:$K,0),MATCH($A$1,'11a(iv) conversion'!$A$3:$K$3,0))/1000,0)+IFERROR(INDEX('11a(iv) conversion'!$A:$K,MATCH(J$228&amp;$AB234,'11a(iv) conversion'!$K:$K,0),MATCH($A$1,'11a(iv) conversion'!$A$3:$K$3,0))/1000,0))</f>
        <v>0.58540482089984536</v>
      </c>
      <c r="K234" s="6">
        <f>IF(AND(K$228&lt;2016,ISNUMBER(SEARCH("* Distribution",gdb_name_asset))),#N/A,IFERROR(INDEX('11a(iv) conversion'!$A:$K,MATCH(K$228&amp;$Z234,'11a(iv) conversion'!$K:$K,0),MATCH($A$1,'11a(iv) conversion'!$A$3:$K$3,0))/1000,0)+IFERROR(INDEX('11a(iv) conversion'!$A:$K,MATCH(K$228&amp;$AA234,'11a(iv) conversion'!$K:$K,0),MATCH($A$1,'11a(iv) conversion'!$A$3:$K$3,0))/1000,0)+IFERROR(INDEX('11a(iv) conversion'!$A:$K,MATCH(K$228&amp;$AB234,'11a(iv) conversion'!$K:$K,0),MATCH($A$1,'11a(iv) conversion'!$A$3:$K$3,0))/1000,0))</f>
        <v>0.55799979875008021</v>
      </c>
      <c r="L234" s="6">
        <f>IF(AND(L$228&lt;2016,ISNUMBER(SEARCH("* Distribution",gdb_name_asset))),#N/A,IFERROR(INDEX('11a(iv) conversion'!$A:$K,MATCH(L$228&amp;$Z234,'11a(iv) conversion'!$K:$K,0),MATCH($A$1,'11a(iv) conversion'!$A$3:$K$3,0))/1000,0)+IFERROR(INDEX('11a(iv) conversion'!$A:$K,MATCH(L$228&amp;$AA234,'11a(iv) conversion'!$K:$K,0),MATCH($A$1,'11a(iv) conversion'!$A$3:$K$3,0))/1000,0)+IFERROR(INDEX('11a(iv) conversion'!$A:$K,MATCH(L$228&amp;$AB234,'11a(iv) conversion'!$K:$K,0),MATCH($A$1,'11a(iv) conversion'!$A$3:$K$3,0))/1000,0))</f>
        <v>0.44881995025521787</v>
      </c>
      <c r="M234" s="10"/>
      <c r="N234" s="12">
        <f t="shared" si="19"/>
        <v>0.4515217928886413</v>
      </c>
      <c r="O234" s="12">
        <f t="shared" si="21"/>
        <v>0.65763219458184141</v>
      </c>
      <c r="P234" s="61">
        <f t="shared" si="20"/>
        <v>0.45647941016223115</v>
      </c>
      <c r="W234" t="s">
        <v>253</v>
      </c>
      <c r="X234" t="s">
        <v>254</v>
      </c>
      <c r="Y234" t="s">
        <v>255</v>
      </c>
      <c r="Z234" t="str">
        <f>"AMP"&amp;latest_year&amp;"Capital ExpenditureAsset replacement and renewalIntermediate pressure - Line valvenominal"</f>
        <v>AMP2022Capital ExpenditureAsset replacement and renewalIntermediate pressure - Line valvenominal</v>
      </c>
      <c r="AA234" t="str">
        <f>"AMP"&amp;latest_year&amp;"Capital ExpenditureAsset replacement and renewalMedium pressure - Line valvenominal"</f>
        <v>AMP2022Capital ExpenditureAsset replacement and renewalMedium pressure - Line valvenominal</v>
      </c>
      <c r="AB234" t="str">
        <f>"AMP"&amp;latest_year&amp;"Capital ExpenditureAsset replacement and renewalLow pressure - Line valvenominal"</f>
        <v>AMP2022Capital ExpenditureAsset replacement and renewalLow pressure - Line valvenominal</v>
      </c>
    </row>
    <row r="235" spans="1:28" x14ac:dyDescent="0.45">
      <c r="A235" s="16" t="s">
        <v>181</v>
      </c>
      <c r="B235" s="6">
        <f>IF(AND(B$228&lt;2016,ISNUMBER(SEARCH("* Distribution",gdb_name_asset))),#N/A,INDEX(dataset!$A:$O,MATCH(B$228&amp;$W235,dataset!$O:$O,0),MATCH($A$1,dataset!$A$1:$O$1,0))/1000+INDEX(dataset!$A:$O,MATCH(B$228&amp;$X235,dataset!$O:$O,0),MATCH($A$1,dataset!$A$1:$O$1,0))/1000+INDEX(dataset!$A:$O,MATCH(B$228&amp;$Y235,dataset!$O:$O,0),MATCH($A$1,dataset!$A$1:$O$1,0))/1000)</f>
        <v>9.8514709472656253E-2</v>
      </c>
      <c r="C235" s="6">
        <f>IF(AND(C$228&lt;2016,ISNUMBER(SEARCH("* Distribution",gdb_name_asset))),#N/A,INDEX(dataset!$A:$O,MATCH(C$228&amp;$W235,dataset!$O:$O,0),MATCH($A$1,dataset!$A$1:$O$1,0))/1000+INDEX(dataset!$A:$O,MATCH(C$228&amp;$X235,dataset!$O:$O,0),MATCH($A$1,dataset!$A$1:$O$1,0))/1000+INDEX(dataset!$A:$O,MATCH(C$228&amp;$Y235,dataset!$O:$O,0),MATCH($A$1,dataset!$A$1:$O$1,0))/1000)</f>
        <v>0.177759033203125</v>
      </c>
      <c r="D235" s="6">
        <f>IF(AND(D$228&lt;2016,ISNUMBER(SEARCH("* Distribution",gdb_name_asset))),#N/A,INDEX(dataset!$A:$O,MATCH(D$228&amp;$W235,dataset!$O:$O,0),MATCH($A$1,dataset!$A$1:$O$1,0))/1000+INDEX(dataset!$A:$O,MATCH(D$228&amp;$X235,dataset!$O:$O,0),MATCH($A$1,dataset!$A$1:$O$1,0))/1000+INDEX(dataset!$A:$O,MATCH(D$228&amp;$Y235,dataset!$O:$O,0),MATCH($A$1,dataset!$A$1:$O$1,0))/1000)</f>
        <v>0.40015701293945316</v>
      </c>
      <c r="E235" s="6">
        <f>IF(AND(E$228&lt;2016,ISNUMBER(SEARCH("* Distribution",gdb_name_asset))),#N/A,INDEX(dataset!$A:$O,MATCH(E$228&amp;$W235,dataset!$O:$O,0),MATCH($A$1,dataset!$A$1:$O$1,0))/1000+INDEX(dataset!$A:$O,MATCH(E$228&amp;$X235,dataset!$O:$O,0),MATCH($A$1,dataset!$A$1:$O$1,0))/1000+INDEX(dataset!$A:$O,MATCH(E$228&amp;$Y235,dataset!$O:$O,0),MATCH($A$1,dataset!$A$1:$O$1,0))/1000)</f>
        <v>0.40799999999999997</v>
      </c>
      <c r="F235" s="6">
        <f>IF(AND(F$228&lt;2016,ISNUMBER(SEARCH("* Distribution",gdb_name_asset))),#N/A,INDEX(dataset!$A:$O,MATCH(F$228&amp;$W235,dataset!$O:$O,0),MATCH($A$1,dataset!$A$1:$O$1,0))/1000+INDEX(dataset!$A:$O,MATCH(F$228&amp;$X235,dataset!$O:$O,0),MATCH($A$1,dataset!$A$1:$O$1,0))/1000+INDEX(dataset!$A:$O,MATCH(F$228&amp;$Y235,dataset!$O:$O,0),MATCH($A$1,dataset!$A$1:$O$1,0))/1000)</f>
        <v>0.61905273437499997</v>
      </c>
      <c r="G235" s="6">
        <f>IF(AND(G$228&lt;2016,ISNUMBER(SEARCH("* Distribution",gdb_name_asset))),#N/A,INDEX(dataset!$A:$O,MATCH(G$228&amp;$W235,dataset!$O:$O,0),MATCH($A$1,dataset!$A$1:$O$1,0))/1000+INDEX(dataset!$A:$O,MATCH(G$228&amp;$X235,dataset!$O:$O,0),MATCH($A$1,dataset!$A$1:$O$1,0))/1000+INDEX(dataset!$A:$O,MATCH(G$228&amp;$Y235,dataset!$O:$O,0),MATCH($A$1,dataset!$A$1:$O$1,0))/1000)</f>
        <v>1.1065062713623046</v>
      </c>
      <c r="H235" s="6">
        <f>IF(AND(H$228&lt;2016,ISNUMBER(SEARCH("* Distribution",gdb_name_asset))),#N/A,IFERROR(INDEX('11a(iv) conversion'!$A:$K,MATCH(H$228&amp;$Z235,'11a(iv) conversion'!$K:$K,0),MATCH($A$1,'11a(iv) conversion'!$A$3:$K$3,0))/1000,0)+IFERROR(INDEX('11a(iv) conversion'!$A:$K,MATCH(H$228&amp;$AA235,'11a(iv) conversion'!$K:$K,0),MATCH($A$1,'11a(iv) conversion'!$A$3:$K$3,0))/1000,0)+IFERROR(INDEX('11a(iv) conversion'!$A:$K,MATCH(H$228&amp;$AB235,'11a(iv) conversion'!$K:$K,0),MATCH($A$1,'11a(iv) conversion'!$A$3:$K$3,0))/1000,0))</f>
        <v>1.0572932948587623</v>
      </c>
      <c r="I235" s="6">
        <f>IF(AND(I$228&lt;2016,ISNUMBER(SEARCH("* Distribution",gdb_name_asset))),#N/A,IFERROR(INDEX('11a(iv) conversion'!$A:$K,MATCH(I$228&amp;$Z235,'11a(iv) conversion'!$K:$K,0),MATCH($A$1,'11a(iv) conversion'!$A$3:$K$3,0))/1000,0)+IFERROR(INDEX('11a(iv) conversion'!$A:$K,MATCH(I$228&amp;$AA235,'11a(iv) conversion'!$K:$K,0),MATCH($A$1,'11a(iv) conversion'!$A$3:$K$3,0))/1000,0)+IFERROR(INDEX('11a(iv) conversion'!$A:$K,MATCH(I$228&amp;$AB235,'11a(iv) conversion'!$K:$K,0),MATCH($A$1,'11a(iv) conversion'!$A$3:$K$3,0))/1000,0))</f>
        <v>1.0533426758577527</v>
      </c>
      <c r="J235" s="6">
        <f>IF(AND(J$228&lt;2016,ISNUMBER(SEARCH("* Distribution",gdb_name_asset))),#N/A,IFERROR(INDEX('11a(iv) conversion'!$A:$K,MATCH(J$228&amp;$Z235,'11a(iv) conversion'!$K:$K,0),MATCH($A$1,'11a(iv) conversion'!$A$3:$K$3,0))/1000,0)+IFERROR(INDEX('11a(iv) conversion'!$A:$K,MATCH(J$228&amp;$AA235,'11a(iv) conversion'!$K:$K,0),MATCH($A$1,'11a(iv) conversion'!$A$3:$K$3,0))/1000,0)+IFERROR(INDEX('11a(iv) conversion'!$A:$K,MATCH(J$228&amp;$AB235,'11a(iv) conversion'!$K:$K,0),MATCH($A$1,'11a(iv) conversion'!$A$3:$K$3,0))/1000,0))</f>
        <v>0.58464141885845367</v>
      </c>
      <c r="K235" s="6">
        <f>IF(AND(K$228&lt;2016,ISNUMBER(SEARCH("* Distribution",gdb_name_asset))),#N/A,IFERROR(INDEX('11a(iv) conversion'!$A:$K,MATCH(K$228&amp;$Z235,'11a(iv) conversion'!$K:$K,0),MATCH($A$1,'11a(iv) conversion'!$A$3:$K$3,0))/1000,0)+IFERROR(INDEX('11a(iv) conversion'!$A:$K,MATCH(K$228&amp;$AA235,'11a(iv) conversion'!$K:$K,0),MATCH($A$1,'11a(iv) conversion'!$A$3:$K$3,0))/1000,0)+IFERROR(INDEX('11a(iv) conversion'!$A:$K,MATCH(K$228&amp;$AB235,'11a(iv) conversion'!$K:$K,0),MATCH($A$1,'11a(iv) conversion'!$A$3:$K$3,0))/1000,0))</f>
        <v>0.58181731171722428</v>
      </c>
      <c r="L235" s="6">
        <f>IF(AND(L$228&lt;2016,ISNUMBER(SEARCH("* Distribution",gdb_name_asset))),#N/A,IFERROR(INDEX('11a(iv) conversion'!$A:$K,MATCH(L$228&amp;$Z235,'11a(iv) conversion'!$K:$K,0),MATCH($A$1,'11a(iv) conversion'!$A$3:$K$3,0))/1000,0)+IFERROR(INDEX('11a(iv) conversion'!$A:$K,MATCH(L$228&amp;$AA235,'11a(iv) conversion'!$K:$K,0),MATCH($A$1,'11a(iv) conversion'!$A$3:$K$3,0))/1000,0)+IFERROR(INDEX('11a(iv) conversion'!$A:$K,MATCH(L$228&amp;$AB235,'11a(iv) conversion'!$K:$K,0),MATCH($A$1,'11a(iv) conversion'!$A$3:$K$3,0))/1000,0))</f>
        <v>0.45734062222624844</v>
      </c>
      <c r="M235" s="10"/>
      <c r="N235" s="12">
        <f>AVERAGE(E235:G235)</f>
        <v>0.71118633524576824</v>
      </c>
      <c r="O235" s="12">
        <f>AVERAGE(H235:L235)</f>
        <v>0.74688706470368837</v>
      </c>
      <c r="P235" s="61">
        <f t="shared" si="20"/>
        <v>5.0198840569093406E-2</v>
      </c>
      <c r="W235" t="s">
        <v>256</v>
      </c>
      <c r="X235" t="s">
        <v>257</v>
      </c>
      <c r="Y235" t="s">
        <v>258</v>
      </c>
      <c r="Z235" t="str">
        <f>"AMP"&amp;latest_year&amp;"Capital ExpenditureAsset replacement and renewalIntermediate pressure - Special crossingsnominal"</f>
        <v>AMP2022Capital ExpenditureAsset replacement and renewalIntermediate pressure - Special crossingsnominal</v>
      </c>
      <c r="AA235" t="str">
        <f>"AMP"&amp;latest_year&amp;"Capital ExpenditureAsset replacement and renewalMedium pressure - Special crossingsnominal"</f>
        <v>AMP2022Capital ExpenditureAsset replacement and renewalMedium pressure - Special crossingsnominal</v>
      </c>
      <c r="AB235" t="str">
        <f>"AMP"&amp;latest_year&amp;"Capital ExpenditureAsset replacement and renewalLow pressure - Special crossingsnominal"</f>
        <v>AMP2022Capital ExpenditureAsset replacement and renewalLow pressure - Special crossingsnominal</v>
      </c>
    </row>
    <row r="236" spans="1:28" x14ac:dyDescent="0.45">
      <c r="A236" s="16" t="s">
        <v>44</v>
      </c>
      <c r="B236" s="6">
        <f>IF(AND(B$228&lt;2016,ISNUMBER(SEARCH("* Distribution",gdb_name_asset))),#N/A,INDEX(dataset!$A:$O,MATCH(B$228&amp;$W236,dataset!$O:$O,0),MATCH($A$1,dataset!$A$1:$O$1,0))/1000)</f>
        <v>1.087359619140625</v>
      </c>
      <c r="C236" s="6">
        <f>IF(AND(C$228&lt;2016,ISNUMBER(SEARCH("* Distribution",gdb_name_asset))),#N/A,INDEX(dataset!$A:$O,MATCH(C$228&amp;$W236,dataset!$O:$O,0),MATCH($A$1,dataset!$A$1:$O$1,0))/1000)</f>
        <v>0.97176367187500001</v>
      </c>
      <c r="D236" s="6">
        <f>IF(AND(D$228&lt;2016,ISNUMBER(SEARCH("* Distribution",gdb_name_asset))),#N/A,INDEX(dataset!$A:$O,MATCH(D$228&amp;$W236,dataset!$O:$O,0),MATCH($A$1,dataset!$A$1:$O$1,0))/1000)</f>
        <v>0.89547766113281246</v>
      </c>
      <c r="E236" s="6">
        <f>IF(AND(E$228&lt;2016,ISNUMBER(SEARCH("* Distribution",gdb_name_asset))),#N/A,INDEX(dataset!$A:$O,MATCH(E$228&amp;$W236,dataset!$O:$O,0),MATCH($A$1,dataset!$A$1:$O$1,0))/1000)</f>
        <v>0.49122656250000002</v>
      </c>
      <c r="F236" s="6">
        <f>IF(AND(F$228&lt;2016,ISNUMBER(SEARCH("* Distribution",gdb_name_asset))),#N/A,INDEX(dataset!$A:$O,MATCH(F$228&amp;$W236,dataset!$O:$O,0),MATCH($A$1,dataset!$A$1:$O$1,0))/1000)</f>
        <v>0.8987418823242187</v>
      </c>
      <c r="G236" s="6">
        <f>IF(AND(G$228&lt;2016,ISNUMBER(SEARCH("* Distribution",gdb_name_asset))),#N/A,INDEX(dataset!$A:$O,MATCH(G$228&amp;$W236,dataset!$O:$O,0),MATCH($A$1,dataset!$A$1:$O$1,0))/1000)</f>
        <v>0.62814660644531251</v>
      </c>
      <c r="H236" s="6">
        <f>IF(AND(H$228&lt;2016,ISNUMBER(SEARCH("* Distribution",gdb_name_asset))),#N/A,IFERROR(INDEX('11a(iv) conversion'!$A:$K,MATCH(H$228&amp;$Z236,'11a(iv) conversion'!$K:$K,0),MATCH($A$1,'11a(iv) conversion'!$A$3:$K$3,0))/1000,0))</f>
        <v>0.57383054924972154</v>
      </c>
      <c r="I236" s="6">
        <f>IF(AND(I$228&lt;2016,ISNUMBER(SEARCH("* Distribution",gdb_name_asset))),#N/A,IFERROR(INDEX('11a(iv) conversion'!$A:$K,MATCH(I$228&amp;$Z236,'11a(iv) conversion'!$K:$K,0),MATCH($A$1,'11a(iv) conversion'!$A$3:$K$3,0))/1000,0))</f>
        <v>0.61696628660684749</v>
      </c>
      <c r="J236" s="6">
        <f>IF(AND(J$228&lt;2016,ISNUMBER(SEARCH("* Distribution",gdb_name_asset))),#N/A,IFERROR(INDEX('11a(iv) conversion'!$A:$K,MATCH(J$228&amp;$Z236,'11a(iv) conversion'!$K:$K,0),MATCH($A$1,'11a(iv) conversion'!$A$3:$K$3,0))/1000,0))</f>
        <v>0.70251411934964869</v>
      </c>
      <c r="K236" s="6">
        <f>IF(AND(K$228&lt;2016,ISNUMBER(SEARCH("* Distribution",gdb_name_asset))),#N/A,IFERROR(INDEX('11a(iv) conversion'!$A:$K,MATCH(K$228&amp;$Z236,'11a(iv) conversion'!$K:$K,0),MATCH($A$1,'11a(iv) conversion'!$A$3:$K$3,0))/1000,0))</f>
        <v>0.41174028390969997</v>
      </c>
      <c r="L236" s="6">
        <f>IF(AND(L$228&lt;2016,ISNUMBER(SEARCH("* Distribution",gdb_name_asset))),#N/A,IFERROR(INDEX('11a(iv) conversion'!$A:$K,MATCH(L$228&amp;$Z236,'11a(iv) conversion'!$K:$K,0),MATCH($A$1,'11a(iv) conversion'!$A$3:$K$3,0))/1000,0))</f>
        <v>0.31553214841021748</v>
      </c>
      <c r="M236" s="10"/>
      <c r="N236" s="12">
        <f>AVERAGE(E236:G236)</f>
        <v>0.67270501708984376</v>
      </c>
      <c r="O236" s="12">
        <f>AVERAGE(H236:L236)</f>
        <v>0.52411667750522706</v>
      </c>
      <c r="P236" s="61">
        <f t="shared" si="20"/>
        <v>-0.22088186621145989</v>
      </c>
      <c r="W236" t="s">
        <v>259</v>
      </c>
      <c r="Z236" t="str">
        <f>"AMP"&amp;latest_year&amp;"Capital ExpenditureAsset replacement and renewalOther network assets - Other network assets totalnominal"</f>
        <v>AMP2022Capital ExpenditureAsset replacement and renewalOther network assets - Other network assets totalnominal</v>
      </c>
    </row>
    <row r="239" spans="1:28" ht="21" x14ac:dyDescent="0.65">
      <c r="A239" s="189" t="s">
        <v>11</v>
      </c>
      <c r="B239" s="4">
        <f t="shared" ref="B239:G239" si="22">latest_year+B$2</f>
        <v>2017</v>
      </c>
      <c r="C239" s="4">
        <f t="shared" si="22"/>
        <v>2018</v>
      </c>
      <c r="D239" s="4">
        <f t="shared" si="22"/>
        <v>2019</v>
      </c>
      <c r="E239" s="4">
        <f t="shared" si="22"/>
        <v>2020</v>
      </c>
      <c r="F239" s="4">
        <f t="shared" si="22"/>
        <v>2021</v>
      </c>
      <c r="G239" s="4">
        <f t="shared" si="22"/>
        <v>2022</v>
      </c>
    </row>
    <row r="240" spans="1:28" x14ac:dyDescent="0.45">
      <c r="A240" s="18" t="s">
        <v>192</v>
      </c>
      <c r="B240" s="58">
        <f>IF(AND(B$239&lt;2016,ISNUMBER(SEARCH("* Distribution",gdb_name_asset))),#N/A,INDEX('line charges'!$C:$I,MATCH(B$239&amp;$A240,'line charges'!$I$1:$I$17,0),MATCH($A$1,'line charges'!$C$1:$H$1,0)))</f>
        <v>39546.328125</v>
      </c>
      <c r="C240" s="58">
        <f>IF(AND(C$239&lt;2016,ISNUMBER(SEARCH("* Distribution",gdb_name_asset))),#N/A,INDEX('line charges'!$C:$I,MATCH(C$239&amp;$A240,'line charges'!$I$1:$I$17,0),MATCH($A$1,'line charges'!$C$1:$H$1,0)))</f>
        <v>38036.9921875</v>
      </c>
      <c r="D240" s="58">
        <f>IF(AND(D$239&lt;2016,ISNUMBER(SEARCH("* Distribution",gdb_name_asset))),#N/A,INDEX('line charges'!$C:$I,MATCH(D$239&amp;$A240,'line charges'!$I$1:$I$17,0),MATCH($A$1,'line charges'!$C$1:$H$1,0)))</f>
        <v>39401.30859375</v>
      </c>
      <c r="E240" s="58">
        <f>IF(AND(E$239&lt;2016,ISNUMBER(SEARCH("* Distribution",gdb_name_asset))),#N/A,INDEX('line charges'!$C:$I,MATCH(E$239&amp;$A240,'line charges'!$I$1:$I$17,0),MATCH($A$1,'line charges'!$C$1:$H$1,0)))</f>
        <v>41707.98828125</v>
      </c>
      <c r="F240" s="58">
        <f>IF(AND(F$239&lt;2016,ISNUMBER(SEARCH("* Distribution",gdb_name_asset))),#N/A,INDEX('line charges'!$C:$I,MATCH(F$239&amp;$A240,'line charges'!$I$1:$I$30,0),MATCH($A$1,'line charges'!$C$1:$H$1,0)))</f>
        <v>43376.35546875</v>
      </c>
      <c r="G240" s="58">
        <f>IF(AND(G$239&lt;2016,ISNUMBER(SEARCH("* Distribution",gdb_name_asset))),#N/A,INDEX('line charges'!$C:$I,MATCH(G$239&amp;$A240,'line charges'!$I$1:$I$30,0),MATCH($A$1,'line charges'!$C$1:$H$1,0)))</f>
        <v>45003.6015625</v>
      </c>
    </row>
    <row r="241" spans="1:16" x14ac:dyDescent="0.45">
      <c r="A241" s="18" t="s">
        <v>219</v>
      </c>
      <c r="B241" s="58">
        <f>IF(AND(B$239&lt;2016,ISNUMBER(SEARCH("* Distribution",gdb_name_asset))),#N/A,INDEX('line charges'!$C:$I,MATCH(B$239&amp;$A241,'line charges'!$I$1:$I$17,0),MATCH($A$1,'line charges'!$C$1:$H$1,0)))</f>
        <v>48416.578125</v>
      </c>
      <c r="C241" s="58">
        <f>IF(AND(C$239&lt;2016,ISNUMBER(SEARCH("* Distribution",gdb_name_asset))),#N/A,INDEX('line charges'!$C:$I,MATCH(C$239&amp;$A241,'line charges'!$I$1:$I$17,0),MATCH($A$1,'line charges'!$C$1:$H$1,0)))</f>
        <v>36953.7890625</v>
      </c>
      <c r="D241" s="58">
        <f>IF(AND(D$239&lt;2016,ISNUMBER(SEARCH("* Distribution",gdb_name_asset))),#N/A,INDEX('line charges'!$C:$I,MATCH(D$239&amp;$A241,'line charges'!$I$1:$I$17,0),MATCH($A$1,'line charges'!$C$1:$H$1,0)))</f>
        <v>35400.015625</v>
      </c>
      <c r="E241" s="58">
        <f>IF(AND(E$239&lt;2016,ISNUMBER(SEARCH("* Distribution",gdb_name_asset))),#N/A,INDEX('line charges'!$C:$I,MATCH(E$239&amp;$A241,'line charges'!$I$1:$I$17,0),MATCH($A$1,'line charges'!$C$1:$H$1,0)))</f>
        <v>35984.6171875</v>
      </c>
      <c r="F241" s="58">
        <f>IF(AND(F$239&lt;2016,ISNUMBER(SEARCH("* Distribution",gdb_name_asset))),#N/A,INDEX('line charges'!$C:$I,MATCH(F$239&amp;$A241,'line charges'!$I$1:$I$30,0),MATCH($A$1,'line charges'!$C$1:$H$1,0)))</f>
        <v>36363.65234375</v>
      </c>
      <c r="G241" s="58">
        <f>IF(AND(G$239&lt;2016,ISNUMBER(SEARCH("* Distribution",gdb_name_asset))),#N/A,INDEX('line charges'!$C:$I,MATCH(G$239&amp;$A241,'line charges'!$I$1:$I$30,0),MATCH($A$1,'line charges'!$C$1:$H$1,0)))</f>
        <v>34866.6640625</v>
      </c>
    </row>
    <row r="242" spans="1:16" x14ac:dyDescent="0.45">
      <c r="A242" s="18"/>
      <c r="B242" s="56"/>
      <c r="C242" s="56"/>
      <c r="D242" s="56"/>
      <c r="E242" s="56"/>
      <c r="F242" s="56"/>
      <c r="G242" s="56"/>
    </row>
    <row r="243" spans="1:16" x14ac:dyDescent="0.45">
      <c r="A243" s="18" t="s">
        <v>192</v>
      </c>
      <c r="B243" s="9">
        <f t="shared" ref="B243" si="23">B240/SUM(B$240:B$241)</f>
        <v>0.44957959907105732</v>
      </c>
      <c r="C243" s="9">
        <f t="shared" ref="C243:G244" si="24">C240/SUM(C$240:C$241)</f>
        <v>0.50722224190056697</v>
      </c>
      <c r="D243" s="9">
        <f t="shared" si="24"/>
        <v>0.52674613725452613</v>
      </c>
      <c r="E243" s="9">
        <f t="shared" si="24"/>
        <v>0.53683343517197457</v>
      </c>
      <c r="F243" s="9">
        <f t="shared" si="24"/>
        <v>0.54397230021277154</v>
      </c>
      <c r="G243" s="9">
        <f t="shared" si="24"/>
        <v>0.56345876917195992</v>
      </c>
    </row>
    <row r="244" spans="1:16" x14ac:dyDescent="0.45">
      <c r="A244" s="18" t="s">
        <v>191</v>
      </c>
      <c r="B244" s="9">
        <f t="shared" ref="B244" si="25">B241/SUM(B$240:B$241)</f>
        <v>0.55042040092894273</v>
      </c>
      <c r="C244" s="9">
        <f t="shared" si="24"/>
        <v>0.49277775809943308</v>
      </c>
      <c r="D244" s="9">
        <f t="shared" si="24"/>
        <v>0.47325386274547382</v>
      </c>
      <c r="E244" s="9">
        <f t="shared" si="24"/>
        <v>0.46316656482802543</v>
      </c>
      <c r="F244" s="9">
        <f t="shared" si="24"/>
        <v>0.45602769978722846</v>
      </c>
      <c r="G244" s="9">
        <f t="shared" si="24"/>
        <v>0.43654123082804008</v>
      </c>
    </row>
    <row r="245" spans="1:16" x14ac:dyDescent="0.45">
      <c r="B245" s="10"/>
      <c r="C245" s="10"/>
      <c r="D245" s="10"/>
      <c r="E245" s="10"/>
      <c r="F245" s="10"/>
      <c r="G245" s="10"/>
    </row>
    <row r="246" spans="1:16" x14ac:dyDescent="0.45">
      <c r="A246" s="18" t="s">
        <v>129</v>
      </c>
      <c r="B246" s="57">
        <f t="shared" ref="B246:G246" si="26">B240*100000/B12/365</f>
        <v>37.881001636984792</v>
      </c>
      <c r="C246" s="57">
        <f t="shared" si="26"/>
        <v>35.79249999141345</v>
      </c>
      <c r="D246" s="57">
        <f t="shared" si="26"/>
        <v>36.431031915159203</v>
      </c>
      <c r="E246" s="57">
        <f t="shared" si="26"/>
        <v>37.869088917341259</v>
      </c>
      <c r="F246" s="57">
        <f t="shared" si="26"/>
        <v>38.843490982457531</v>
      </c>
      <c r="G246" s="57">
        <f t="shared" si="26"/>
        <v>39.929123105076656</v>
      </c>
      <c r="H246" s="101"/>
    </row>
    <row r="247" spans="1:16" x14ac:dyDescent="0.45">
      <c r="A247" s="18" t="s">
        <v>189</v>
      </c>
      <c r="B247" s="100">
        <f t="shared" ref="B247:G247" si="27">B241/B13</f>
        <v>1.4343638293466341</v>
      </c>
      <c r="C247" s="100">
        <f t="shared" si="27"/>
        <v>1.0707884965497778</v>
      </c>
      <c r="D247" s="100">
        <f t="shared" si="27"/>
        <v>1.0146880800057694</v>
      </c>
      <c r="E247" s="100">
        <f t="shared" si="27"/>
        <v>1.0342492379354413</v>
      </c>
      <c r="F247" s="100">
        <f t="shared" si="27"/>
        <v>1.0702338509736029</v>
      </c>
      <c r="G247" s="100">
        <f t="shared" si="27"/>
        <v>1.0734602810789249</v>
      </c>
      <c r="H247" s="101"/>
    </row>
    <row r="250" spans="1:16" ht="21" x14ac:dyDescent="0.65">
      <c r="A250" s="17" t="s">
        <v>218</v>
      </c>
    </row>
    <row r="251" spans="1:16" x14ac:dyDescent="0.45">
      <c r="B251" s="4">
        <f t="shared" ref="B251:G251" si="28">latest_year+B$2</f>
        <v>2017</v>
      </c>
      <c r="C251" s="4">
        <f t="shared" si="28"/>
        <v>2018</v>
      </c>
      <c r="D251" s="4">
        <f t="shared" si="28"/>
        <v>2019</v>
      </c>
      <c r="E251" s="4">
        <f t="shared" si="28"/>
        <v>2020</v>
      </c>
      <c r="F251" s="4">
        <f t="shared" si="28"/>
        <v>2021</v>
      </c>
      <c r="G251" s="4">
        <f t="shared" si="28"/>
        <v>2022</v>
      </c>
    </row>
    <row r="252" spans="1:16" ht="18" x14ac:dyDescent="0.55000000000000004">
      <c r="A252" s="19" t="s">
        <v>113</v>
      </c>
    </row>
    <row r="253" spans="1:16" x14ac:dyDescent="0.45">
      <c r="A253" s="18" t="s">
        <v>110</v>
      </c>
      <c r="B253" s="6">
        <f>IF(AND(B$251&lt;2016,ISNUMBER(SEARCH("* Distribution",gdb_name_asset))),#N/A,INDEX(dataset!$A:$O,MATCH(B$251&amp;$P253,dataset!$O:$O,0),MATCH($A$1,dataset!$A$1:$O$1,0)))</f>
        <v>671</v>
      </c>
      <c r="C253" s="6">
        <f>IF(AND(C$251&lt;2016,ISNUMBER(SEARCH("* Distribution",gdb_name_asset))),#N/A,INDEX(dataset!$A:$O,MATCH(C$251&amp;$P253,dataset!$O:$O,0),MATCH($A$1,dataset!$A$1:$O$1,0)))</f>
        <v>638</v>
      </c>
      <c r="D253" s="6">
        <f>IF(AND(D$251&lt;2016,ISNUMBER(SEARCH("* Distribution",gdb_name_asset))),#N/A,INDEX(dataset!$A:$O,MATCH(D$251&amp;$P253,dataset!$O:$O,0),MATCH($A$1,dataset!$A$1:$O$1,0)))</f>
        <v>467</v>
      </c>
      <c r="E253" s="6">
        <f>IF(AND(E$251&lt;2016,ISNUMBER(SEARCH("* Distribution",gdb_name_asset))),#N/A,INDEX(dataset!$A:$O,MATCH(E$251&amp;$P253,dataset!$O:$O,0),MATCH($A$1,dataset!$A$1:$O$1,0)))</f>
        <v>397</v>
      </c>
      <c r="F253" s="6">
        <f>IF(AND(F$251&lt;2016,ISNUMBER(SEARCH("* Distribution",gdb_name_asset))),#N/A,INDEX(dataset!$A:$O,MATCH(F$251&amp;$P253,dataset!$O:$O,0),MATCH($A$1,dataset!$A$1:$O$1,0)))</f>
        <v>649</v>
      </c>
      <c r="G253" s="6">
        <f>IF(AND(G$251&lt;2016,ISNUMBER(SEARCH("* Distribution",gdb_name_asset))),#N/A,INDEX(dataset!$A:$O,MATCH(G$251&amp;$P253,dataset!$O:$O,0),MATCH($A$1,dataset!$A$1:$O$1,0)))</f>
        <v>472</v>
      </c>
      <c r="P253" t="s">
        <v>194</v>
      </c>
    </row>
    <row r="254" spans="1:16" x14ac:dyDescent="0.45">
      <c r="A254" s="18" t="s">
        <v>112</v>
      </c>
      <c r="B254" s="33">
        <f t="shared" ref="B254:G254" si="29">B58*1000000/B253</f>
        <v>6941.2956408345754</v>
      </c>
      <c r="C254" s="33">
        <f t="shared" si="29"/>
        <v>7928.6236897531344</v>
      </c>
      <c r="D254" s="33">
        <f t="shared" si="29"/>
        <v>11766.484458645611</v>
      </c>
      <c r="E254" s="33">
        <f t="shared" si="29"/>
        <v>15395.945666719144</v>
      </c>
      <c r="F254" s="33">
        <f t="shared" si="29"/>
        <v>9185.0435465620176</v>
      </c>
      <c r="G254" s="33">
        <f t="shared" si="29"/>
        <v>13767.787092823093</v>
      </c>
    </row>
    <row r="256" spans="1:16" ht="18" x14ac:dyDescent="0.55000000000000004">
      <c r="A256" s="19" t="s">
        <v>114</v>
      </c>
    </row>
    <row r="257" spans="1:16" x14ac:dyDescent="0.45">
      <c r="A257" s="18" t="s">
        <v>110</v>
      </c>
      <c r="B257" s="6">
        <f>IF(AND(B$251&lt;2016,ISNUMBER(SEARCH("* Distribution",gdb_name_asset))),#N/A,INDEX(dataset!$A:$O,MATCH(B$251&amp;$P257,dataset!$O:$O,0),MATCH($A$1,dataset!$A$1:$O$1,0)))</f>
        <v>1086</v>
      </c>
      <c r="C257" s="6">
        <f>IF(AND(C$251&lt;2016,ISNUMBER(SEARCH("* Distribution",gdb_name_asset))),#N/A,INDEX(dataset!$A:$O,MATCH(C$251&amp;$P257,dataset!$O:$O,0),MATCH($A$1,dataset!$A$1:$O$1,0)))</f>
        <v>721</v>
      </c>
      <c r="D257" s="6">
        <f>IF(AND(D$251&lt;2016,ISNUMBER(SEARCH("* Distribution",gdb_name_asset))),#N/A,INDEX(dataset!$A:$O,MATCH(D$251&amp;$P257,dataset!$O:$O,0),MATCH($A$1,dataset!$A$1:$O$1,0)))</f>
        <v>934</v>
      </c>
      <c r="E257" s="6">
        <f>IF(AND(E$251&lt;2016,ISNUMBER(SEARCH("* Distribution",gdb_name_asset))),#N/A,INDEX(dataset!$A:$O,MATCH(E$251&amp;$P257,dataset!$O:$O,0),MATCH($A$1,dataset!$A$1:$O$1,0)))</f>
        <v>1057</v>
      </c>
      <c r="F257" s="6">
        <f>IF(AND(F$251&lt;2016,ISNUMBER(SEARCH("* Distribution",gdb_name_asset))),#N/A,INDEX(dataset!$A:$O,MATCH(F$251&amp;$P257,dataset!$O:$O,0),MATCH($A$1,dataset!$A$1:$O$1,0)))</f>
        <v>1184</v>
      </c>
      <c r="G257" s="6">
        <f>IF(AND(G$251&lt;2016,ISNUMBER(SEARCH("* Distribution",gdb_name_asset))),#N/A,INDEX(dataset!$A:$O,MATCH(G$251&amp;$P257,dataset!$O:$O,0),MATCH($A$1,dataset!$A$1:$O$1,0)))</f>
        <v>891</v>
      </c>
      <c r="P257" t="s">
        <v>193</v>
      </c>
    </row>
    <row r="258" spans="1:16" x14ac:dyDescent="0.45">
      <c r="A258" s="18" t="s">
        <v>112</v>
      </c>
      <c r="B258" s="33">
        <f t="shared" ref="B258:G258" si="30">(B56+B59)*1000000/B257</f>
        <v>10737.944938420811</v>
      </c>
      <c r="C258" s="33">
        <f t="shared" si="30"/>
        <v>14077.705795986478</v>
      </c>
      <c r="D258" s="33">
        <f t="shared" si="30"/>
        <v>12286.786293830297</v>
      </c>
      <c r="E258" s="33">
        <f t="shared" si="30"/>
        <v>12383.914712925734</v>
      </c>
      <c r="F258" s="33">
        <f t="shared" si="30"/>
        <v>10832.01063001478</v>
      </c>
      <c r="G258" s="33">
        <f t="shared" si="30"/>
        <v>14132.171596608445</v>
      </c>
    </row>
    <row r="259" spans="1:16" x14ac:dyDescent="0.45">
      <c r="A259" s="104"/>
      <c r="B259" s="105"/>
      <c r="C259" s="105"/>
      <c r="D259" s="105"/>
      <c r="E259" s="105"/>
      <c r="F259" s="105"/>
      <c r="G259" s="105"/>
    </row>
    <row r="260" spans="1:16" ht="18" x14ac:dyDescent="0.55000000000000004">
      <c r="A260" s="106" t="s">
        <v>188</v>
      </c>
      <c r="B260" s="92"/>
      <c r="C260" s="92"/>
      <c r="D260" s="92"/>
      <c r="E260" s="92"/>
      <c r="F260" s="92"/>
      <c r="G260" s="92"/>
    </row>
    <row r="261" spans="1:16" x14ac:dyDescent="0.45">
      <c r="A261" s="18" t="s">
        <v>110</v>
      </c>
      <c r="B261" s="6"/>
      <c r="C261" s="6"/>
      <c r="D261" s="6"/>
      <c r="E261" s="6"/>
      <c r="F261" s="6"/>
      <c r="G261" s="6"/>
    </row>
    <row r="262" spans="1:16" x14ac:dyDescent="0.45">
      <c r="A262" s="18" t="s">
        <v>0</v>
      </c>
      <c r="B262" s="6">
        <f>IF(AND(B$251&lt;2016,ISNUMBER(SEARCH("* Distribution",gdb_name_asset))),#N/A,INDEX(dataset!$A:$O,MATCH(B$251&amp;$P262,dataset!$O:$O,0),MATCH($A$1,dataset!$A$1:$O$1,0)))</f>
        <v>1626.9033203125</v>
      </c>
      <c r="C262" s="6">
        <f>IF(AND(C$251&lt;2016,ISNUMBER(SEARCH("* Distribution",gdb_name_asset))),#N/A,INDEX(dataset!$A:$O,MATCH(C$251&amp;$P262,dataset!$O:$O,0),MATCH($A$1,dataset!$A$1:$O$1,0)))</f>
        <v>2087.673095703125</v>
      </c>
      <c r="D262" s="6">
        <f>IF(AND(D$251&lt;2016,ISNUMBER(SEARCH("* Distribution",gdb_name_asset))),#N/A,INDEX(dataset!$A:$O,MATCH(D$251&amp;$P262,dataset!$O:$O,0),MATCH($A$1,dataset!$A$1:$O$1,0)))</f>
        <v>1153.938232421875</v>
      </c>
      <c r="E262" s="6">
        <f>IF(AND(E$251&lt;2016,ISNUMBER(SEARCH("* Distribution",gdb_name_asset))),#N/A,INDEX(dataset!$A:$O,MATCH(E$251&amp;$P262,dataset!$O:$O,0),MATCH($A$1,dataset!$A$1:$O$1,0)))</f>
        <v>53654.3125</v>
      </c>
      <c r="F262" s="6">
        <f>IF(AND(F$251&lt;2016,ISNUMBER(SEARCH("* Distribution",gdb_name_asset))),#N/A,INDEX(dataset!$A:$O,MATCH(F$251&amp;$P262,dataset!$O:$O,0),MATCH($A$1,dataset!$A$1:$O$1,0)))</f>
        <v>1506.029052734375</v>
      </c>
      <c r="G262" s="6">
        <f>IF(AND(G$251&lt;2016,ISNUMBER(SEARCH("* Distribution",gdb_name_asset))),#N/A,INDEX(dataset!$A:$O,MATCH(G$251&amp;$P262,dataset!$O:$O,0),MATCH($A$1,dataset!$A$1:$O$1,0)))</f>
        <v>1815.1064453125</v>
      </c>
      <c r="P262" t="s">
        <v>200</v>
      </c>
    </row>
    <row r="263" spans="1:16" x14ac:dyDescent="0.45">
      <c r="A263" s="18" t="s">
        <v>42</v>
      </c>
      <c r="B263" s="6">
        <f>IF(AND(B$251&lt;2016,ISNUMBER(SEARCH("* Distribution",gdb_name_asset))),#N/A,INDEX(dataset!$A:$O,MATCH(B$251&amp;$P263,dataset!$O:$O,0),MATCH($A$1,dataset!$A$1:$O$1,0)))</f>
        <v>11.013700485229492</v>
      </c>
      <c r="C263" s="6">
        <f>IF(AND(C$251&lt;2016,ISNUMBER(SEARCH("* Distribution",gdb_name_asset))),#N/A,INDEX(dataset!$A:$O,MATCH(C$251&amp;$P263,dataset!$O:$O,0),MATCH($A$1,dataset!$A$1:$O$1,0)))</f>
        <v>9.9530553817749023</v>
      </c>
      <c r="D263" s="6">
        <f>IF(AND(D$251&lt;2016,ISNUMBER(SEARCH("* Distribution",gdb_name_asset))),#N/A,INDEX(dataset!$A:$O,MATCH(D$251&amp;$P263,dataset!$O:$O,0),MATCH($A$1,dataset!$A$1:$O$1,0)))</f>
        <v>9.7821025848388672</v>
      </c>
      <c r="E263" s="6">
        <f>IF(AND(E$251&lt;2016,ISNUMBER(SEARCH("* Distribution",gdb_name_asset))),#N/A,INDEX(dataset!$A:$O,MATCH(E$251&amp;$P263,dataset!$O:$O,0),MATCH($A$1,dataset!$A$1:$O$1,0)))</f>
        <v>14.862736701965332</v>
      </c>
      <c r="F263" s="6">
        <f>IF(AND(F$251&lt;2016,ISNUMBER(SEARCH("* Distribution",gdb_name_asset))),#N/A,INDEX(dataset!$A:$O,MATCH(F$251&amp;$P263,dataset!$O:$O,0),MATCH($A$1,dataset!$A$1:$O$1,0)))</f>
        <v>10.088803291320801</v>
      </c>
      <c r="G263" s="6">
        <f>IF(AND(G$251&lt;2016,ISNUMBER(SEARCH("* Distribution",gdb_name_asset))),#N/A,INDEX(dataset!$A:$O,MATCH(G$251&amp;$P263,dataset!$O:$O,0),MATCH($A$1,dataset!$A$1:$O$1,0)))</f>
        <v>8.7671537399291992</v>
      </c>
      <c r="P263" t="s">
        <v>201</v>
      </c>
    </row>
    <row r="264" spans="1:16" x14ac:dyDescent="0.45">
      <c r="A264" s="18" t="s">
        <v>111</v>
      </c>
      <c r="B264" s="6">
        <f>IF($A$1="Industry",INDEX(dataset!$A:$O,MATCH(B$251&amp;$P264,dataset!$O:$O,0),MATCH($A$1,dataset!$A$1:$O$1,0)),B262/B263)</f>
        <v>150.80032348632813</v>
      </c>
      <c r="C264" s="6">
        <f>IF($A$1="Industry",INDEX(dataset!$A:$O,MATCH(C$251&amp;$P264,dataset!$O:$O,0),MATCH($A$1,dataset!$A$1:$O$1,0)),C262/C263)</f>
        <v>189.20864868164063</v>
      </c>
      <c r="D264" s="6">
        <f>IF($A$1="Industry",INDEX(dataset!$A:$O,MATCH(D$251&amp;$P264,dataset!$O:$O,0),MATCH($A$1,dataset!$A$1:$O$1,0)),D262/D263)</f>
        <v>118.75389862060547</v>
      </c>
      <c r="E264" s="6">
        <f>IF($A$1="Industry",INDEX(dataset!$A:$O,MATCH(E$251&amp;$P264,dataset!$O:$O,0),MATCH($A$1,dataset!$A$1:$O$1,0)),E262/E263)</f>
        <v>1588.2847900390625</v>
      </c>
      <c r="F264" s="6">
        <f>IF($A$1="Industry",INDEX(dataset!$A:$O,MATCH(F$251&amp;$P264,dataset!$O:$O,0),MATCH($A$1,dataset!$A$1:$O$1,0)),F262/F263)</f>
        <v>147.10406494140625</v>
      </c>
      <c r="G264" s="6">
        <f>IF($A$1="Industry",INDEX(dataset!$A:$O,MATCH(G$251&amp;$P264,dataset!$O:$O,0),MATCH($A$1,dataset!$A$1:$O$1,0)),G262/G263)</f>
        <v>205.45878601074219</v>
      </c>
      <c r="P264" t="s">
        <v>199</v>
      </c>
    </row>
    <row r="265" spans="1:16" x14ac:dyDescent="0.45">
      <c r="A265" s="104"/>
      <c r="B265" s="105"/>
      <c r="C265" s="105"/>
      <c r="D265" s="105"/>
      <c r="E265" s="105"/>
      <c r="F265" s="105"/>
      <c r="G265" s="105"/>
    </row>
    <row r="266" spans="1:16" ht="18" x14ac:dyDescent="0.55000000000000004">
      <c r="A266" s="19" t="s">
        <v>115</v>
      </c>
      <c r="I266" s="4" t="s">
        <v>116</v>
      </c>
      <c r="J266" s="4" t="s">
        <v>117</v>
      </c>
    </row>
    <row r="267" spans="1:16" x14ac:dyDescent="0.45">
      <c r="A267" s="18" t="s">
        <v>110</v>
      </c>
      <c r="B267" s="34">
        <f t="shared" ref="B267:G267" si="31">IFERROR(B253+B257,"")</f>
        <v>1757</v>
      </c>
      <c r="C267" s="34">
        <f t="shared" si="31"/>
        <v>1359</v>
      </c>
      <c r="D267" s="34">
        <f t="shared" si="31"/>
        <v>1401</v>
      </c>
      <c r="E267" s="34">
        <f t="shared" si="31"/>
        <v>1454</v>
      </c>
      <c r="F267" s="34">
        <f t="shared" si="31"/>
        <v>1833</v>
      </c>
      <c r="G267" s="34">
        <f t="shared" si="31"/>
        <v>1363</v>
      </c>
      <c r="I267" s="10">
        <f>SLOPE(C267:G267,$C$251:$G$251)</f>
        <v>44</v>
      </c>
      <c r="J267" s="11">
        <f>I267/AVERAGE(C267:G267)</f>
        <v>2.9689608636977057E-2</v>
      </c>
    </row>
    <row r="268" spans="1:16" x14ac:dyDescent="0.45">
      <c r="A268" s="18" t="s">
        <v>0</v>
      </c>
      <c r="B268" s="34">
        <f t="shared" ref="B268" si="32">IFERROR(B262,"")</f>
        <v>1626.9033203125</v>
      </c>
      <c r="C268" s="34">
        <f t="shared" ref="C268:G270" si="33">IFERROR(C262,"")</f>
        <v>2087.673095703125</v>
      </c>
      <c r="D268" s="34">
        <f t="shared" si="33"/>
        <v>1153.938232421875</v>
      </c>
      <c r="E268" s="34">
        <f t="shared" si="33"/>
        <v>53654.3125</v>
      </c>
      <c r="F268" s="34">
        <f t="shared" si="33"/>
        <v>1506.029052734375</v>
      </c>
      <c r="G268" s="34">
        <f t="shared" si="33"/>
        <v>1815.1064453125</v>
      </c>
      <c r="I268" s="10">
        <f t="shared" ref="I268:I281" si="34">SLOPE(C268:G268,$C$251:$G$251)</f>
        <v>-19.304248046874999</v>
      </c>
      <c r="J268" s="11">
        <f>I268/AVERAGE(C268:G268)</f>
        <v>-1.6028886384430996E-3</v>
      </c>
    </row>
    <row r="269" spans="1:16" x14ac:dyDescent="0.45">
      <c r="A269" s="18" t="s">
        <v>42</v>
      </c>
      <c r="B269" s="34">
        <f t="shared" ref="B269" si="35">IFERROR(B263,"")</f>
        <v>11.013700485229492</v>
      </c>
      <c r="C269" s="34">
        <f t="shared" si="33"/>
        <v>9.9530553817749023</v>
      </c>
      <c r="D269" s="34">
        <f t="shared" si="33"/>
        <v>9.7821025848388672</v>
      </c>
      <c r="E269" s="34">
        <f t="shared" si="33"/>
        <v>14.862736701965332</v>
      </c>
      <c r="F269" s="34">
        <f t="shared" si="33"/>
        <v>10.088803291320801</v>
      </c>
      <c r="G269" s="34">
        <f t="shared" si="33"/>
        <v>8.7671537399291992</v>
      </c>
      <c r="I269" s="10">
        <f t="shared" si="34"/>
        <v>-0.20651025772094728</v>
      </c>
      <c r="J269" s="11">
        <f>I269/AVERAGE(C269:G269)</f>
        <v>-1.9316686370947477E-2</v>
      </c>
    </row>
    <row r="270" spans="1:16" x14ac:dyDescent="0.45">
      <c r="A270" s="18" t="s">
        <v>111</v>
      </c>
      <c r="B270" s="34">
        <f t="shared" ref="B270" si="36">IFERROR(B264,"")</f>
        <v>150.80032348632813</v>
      </c>
      <c r="C270" s="34">
        <f t="shared" si="33"/>
        <v>189.20864868164063</v>
      </c>
      <c r="D270" s="34">
        <f t="shared" si="33"/>
        <v>118.75389862060547</v>
      </c>
      <c r="E270" s="34">
        <f t="shared" si="33"/>
        <v>1588.2847900390625</v>
      </c>
      <c r="F270" s="34">
        <f t="shared" si="33"/>
        <v>147.10406494140625</v>
      </c>
      <c r="G270" s="34">
        <f t="shared" si="33"/>
        <v>205.45878601074219</v>
      </c>
      <c r="I270" s="10">
        <f t="shared" si="34"/>
        <v>6.0850440979003908</v>
      </c>
      <c r="J270" s="11">
        <f>I270/AVERAGE(C270:G270)</f>
        <v>1.352947467415673E-2</v>
      </c>
    </row>
    <row r="271" spans="1:16" x14ac:dyDescent="0.45">
      <c r="I271" s="107"/>
    </row>
    <row r="272" spans="1:16" ht="18" x14ac:dyDescent="0.55000000000000004">
      <c r="A272" s="19" t="s">
        <v>158</v>
      </c>
      <c r="I272" s="108"/>
    </row>
    <row r="273" spans="1:10" x14ac:dyDescent="0.45">
      <c r="A273" s="18" t="s">
        <v>187</v>
      </c>
      <c r="B273" s="6">
        <f>IFERROR(IF(AND(B$251&lt;2016,ISNUMBER(SEARCH("* Distribution",gdb_name))),#N/A,INDEX(service!$A$1:$L$69,MATCH(B$251&amp;gdb_name,service!$L$1:$L$69,0),MATCH($A273,service!$A$1:$L$1,0))),"")</f>
        <v>198</v>
      </c>
      <c r="C273" s="6">
        <f>IFERROR(IF(AND(C$251&lt;2016,ISNUMBER(SEARCH("* Distribution",gdb_name))),#N/A,INDEX(service!$A$1:$L$69,MATCH(C$251&amp;gdb_name,service!$L$1:$L$69,0),MATCH($A273,service!$A$1:$L$1,0))),"")</f>
        <v>192</v>
      </c>
      <c r="D273" s="6">
        <f>IFERROR(IF(AND(D$251&lt;2016,ISNUMBER(SEARCH("* Distribution",gdb_name))),#N/A,INDEX(service!$A$1:$L$69,MATCH(D$251&amp;gdb_name,service!$L$1:$L$69,0),MATCH($A273,service!$A$1:$L$1,0))),"")</f>
        <v>186</v>
      </c>
      <c r="E273" s="6">
        <f>IFERROR(IF(AND(E$251&lt;2016,ISNUMBER(SEARCH("* Distribution",gdb_name))),#N/A,INDEX(service!$A$1:$L$69,MATCH(E$251&amp;gdb_name,service!$L$1:$L$69,0),MATCH($A273,service!$A$1:$L$1,0))),"")</f>
        <v>202</v>
      </c>
      <c r="F273" s="6">
        <f>IFERROR(IF(AND(F$251&lt;2016,ISNUMBER(SEARCH("* Distribution",gdb_name))),#N/A,INDEX(service!$A$1:$L$69,MATCH(F$251&amp;gdb_name,service!$L$1:$L$69,0),MATCH($A273,service!$A$1:$L$1,0))),"")</f>
        <v>261</v>
      </c>
      <c r="G273" s="6">
        <f>IFERROR(IF(AND(G$251&lt;2016,ISNUMBER(SEARCH("* Distribution",gdb_name))),#N/A,INDEX(service!$A$1:$L$69,MATCH(G$251&amp;gdb_name,service!$L$1:$L$69,0),MATCH($A273,service!$A$1:$L$1,0))),"")</f>
        <v>299</v>
      </c>
      <c r="I273" s="10">
        <f t="shared" si="34"/>
        <v>28.9</v>
      </c>
      <c r="J273" s="11">
        <f>I273/AVERAGE(C273:G273)</f>
        <v>0.12675438596491229</v>
      </c>
    </row>
    <row r="274" spans="1:10" ht="26.65" x14ac:dyDescent="0.45">
      <c r="A274" s="18" t="s">
        <v>185</v>
      </c>
      <c r="B274" s="6">
        <f>IFERROR(IF(AND(B$251&lt;2016,ISNUMBER(SEARCH("* Distribution",gdb_name))),#N/A,INDEX(service!$A$1:$L$69,MATCH(B$251&amp;gdb_name,service!$L$1:$L$69,0),MATCH($A274,service!$A$1:$L$1,0))),"")</f>
        <v>0.97015000000000007</v>
      </c>
      <c r="C274" s="6">
        <f>IFERROR(IF(AND(C$251&lt;2016,ISNUMBER(SEARCH("* Distribution",gdb_name))),#N/A,INDEX(service!$A$1:$L$69,MATCH(C$251&amp;gdb_name,service!$L$1:$L$69,0),MATCH($A274,service!$A$1:$L$1,0))),"")</f>
        <v>0.96736785329018349</v>
      </c>
      <c r="D274" s="6">
        <f>IFERROR(IF(AND(D$251&lt;2016,ISNUMBER(SEARCH("* Distribution",gdb_name))),#N/A,INDEX(service!$A$1:$L$69,MATCH(D$251&amp;gdb_name,service!$L$1:$L$69,0),MATCH($A274,service!$A$1:$L$1,0))),"")</f>
        <v>0.97419019230769233</v>
      </c>
      <c r="E274" s="6">
        <f>IFERROR(IF(AND(E$251&lt;2016,ISNUMBER(SEARCH("* Distribution",gdb_name))),#N/A,INDEX(service!$A$1:$L$69,MATCH(E$251&amp;gdb_name,service!$L$1:$L$69,0),MATCH($A274,service!$A$1:$L$1,0))),"")</f>
        <v>0.94857843137254905</v>
      </c>
      <c r="F274" s="6">
        <f>IFERROR(IF(AND(F$251&lt;2016,ISNUMBER(SEARCH("* Distribution",gdb_name))),#N/A,INDEX(service!$A$1:$L$69,MATCH(F$251&amp;gdb_name,service!$L$1:$L$69,0),MATCH($A274,service!$A$1:$L$1,0))),"")</f>
        <v>0.97261904760000006</v>
      </c>
      <c r="G274" s="6">
        <f>IFERROR(IF(AND(G$251&lt;2016,ISNUMBER(SEARCH("* Distribution",gdb_name))),#N/A,INDEX(service!$A$1:$L$69,MATCH(G$251&amp;gdb_name,service!$L$1:$L$69,0),MATCH($A274,service!$A$1:$L$1,0))),"")</f>
        <v>0.97261904760000006</v>
      </c>
      <c r="I274" s="10">
        <f t="shared" si="34"/>
        <v>8.9312439119408897E-4</v>
      </c>
      <c r="J274" s="11">
        <f>I274/AVERAGE(C274:G274)</f>
        <v>9.2353175319073331E-4</v>
      </c>
    </row>
    <row r="275" spans="1:10" ht="26.65" x14ac:dyDescent="0.45">
      <c r="A275" s="18" t="s">
        <v>186</v>
      </c>
      <c r="B275" s="6">
        <f>IFERROR(IF(AND(B$251&lt;2016,ISNUMBER(SEARCH("* Distribution",gdb_name))),#N/A,INDEX(service!$A$1:$L$69,MATCH(B$251&amp;gdb_name,service!$L$1:$L$69,0),MATCH($A275,service!$A$1:$L$1,0))),"")</f>
        <v>1</v>
      </c>
      <c r="C275" s="6">
        <f>IFERROR(IF(AND(C$251&lt;2016,ISNUMBER(SEARCH("* Distribution",gdb_name))),#N/A,INDEX(service!$A$1:$L$69,MATCH(C$251&amp;gdb_name,service!$L$1:$L$69,0),MATCH($A275,service!$A$1:$L$1,0))),"")</f>
        <v>1</v>
      </c>
      <c r="D275" s="6">
        <f>IFERROR(IF(AND(D$251&lt;2016,ISNUMBER(SEARCH("* Distribution",gdb_name))),#N/A,INDEX(service!$A$1:$L$69,MATCH(D$251&amp;gdb_name,service!$L$1:$L$69,0),MATCH($A275,service!$A$1:$L$1,0))),"")</f>
        <v>1</v>
      </c>
      <c r="E275" s="6">
        <f>IFERROR(IF(AND(E$251&lt;2016,ISNUMBER(SEARCH("* Distribution",gdb_name))),#N/A,INDEX(service!$A$1:$L$69,MATCH(E$251&amp;gdb_name,service!$L$1:$L$69,0),MATCH($A275,service!$A$1:$L$1,0))),"")</f>
        <v>1</v>
      </c>
      <c r="F275" s="6">
        <f>IFERROR(IF(AND(F$251&lt;2016,ISNUMBER(SEARCH("* Distribution",gdb_name))),#N/A,INDEX(service!$A$1:$L$69,MATCH(F$251&amp;gdb_name,service!$L$1:$L$69,0),MATCH($A275,service!$A$1:$L$1,0))),"")</f>
        <v>1</v>
      </c>
      <c r="G275" s="6">
        <f>IFERROR(IF(AND(G$251&lt;2016,ISNUMBER(SEARCH("* Distribution",gdb_name))),#N/A,INDEX(service!$A$1:$L$69,MATCH(G$251&amp;gdb_name,service!$L$1:$L$69,0),MATCH($A275,service!$A$1:$L$1,0))),"")</f>
        <v>1</v>
      </c>
      <c r="I275" s="10">
        <f t="shared" si="34"/>
        <v>0</v>
      </c>
      <c r="J275" s="11">
        <f>I275/AVERAGE(C275:G275)</f>
        <v>0</v>
      </c>
    </row>
    <row r="276" spans="1:10" x14ac:dyDescent="0.45">
      <c r="A276" s="18" t="s">
        <v>206</v>
      </c>
      <c r="B276" s="6">
        <f>IFERROR(IF(AND(B$251&lt;2016,ISNUMBER(SEARCH("* Distribution",gdb_name))),#N/A,INDEX(service!$A$1:$L$69,MATCH(B$251&amp;gdb_name,service!$L$1:$L$69,0),MATCH($A276,service!$A$1:$L$1,0))),"")</f>
        <v>0.46914285714285719</v>
      </c>
      <c r="C276" s="6">
        <f>IFERROR(IF(AND(C$251&lt;2016,ISNUMBER(SEARCH("* Distribution",gdb_name))),#N/A,INDEX(service!$A$1:$L$69,MATCH(C$251&amp;gdb_name,service!$L$1:$L$69,0),MATCH($A276,service!$A$1:$L$1,0))),"")</f>
        <v>0.45292957697642156</v>
      </c>
      <c r="D276" s="6">
        <f>IFERROR(IF(AND(D$251&lt;2016,ISNUMBER(SEARCH("* Distribution",gdb_name))),#N/A,INDEX(service!$A$1:$L$69,MATCH(D$251&amp;gdb_name,service!$L$1:$L$69,0),MATCH($A276,service!$A$1:$L$1,0))),"")</f>
        <v>0.50788513316872663</v>
      </c>
      <c r="E276" s="6">
        <f>IFERROR(IF(AND(E$251&lt;2016,ISNUMBER(SEARCH("* Distribution",gdb_name))),#N/A,INDEX(service!$A$1:$L$69,MATCH(E$251&amp;gdb_name,service!$L$1:$L$69,0),MATCH($A276,service!$A$1:$L$1,0))),"")</f>
        <v>0.47568894331581885</v>
      </c>
      <c r="F276" s="6">
        <f>IFERROR(IF(AND(F$251&lt;2016,ISNUMBER(SEARCH("* Distribution",gdb_name))),#N/A,INDEX(service!$A$1:$L$69,MATCH(F$251&amp;gdb_name,service!$L$1:$L$69,0),MATCH($A276,service!$A$1:$L$1,0))),"")</f>
        <v>0.42780898448133897</v>
      </c>
      <c r="G276" s="6">
        <f>IFERROR(IF(AND(G$251&lt;2016,ISNUMBER(SEARCH("* Distribution",gdb_name))),#N/A,INDEX(service!$A$1:$L$69,MATCH(G$251&amp;gdb_name,service!$L$1:$L$69,0),MATCH($A276,service!$A$1:$L$1,0))),"")</f>
        <v>0.42780898448133897</v>
      </c>
      <c r="I276" s="10">
        <f t="shared" si="34"/>
        <v>-1.3031733367755283E-2</v>
      </c>
      <c r="J276" s="11">
        <f>I276/AVERAGE(C276:G276)</f>
        <v>-2.8427229254038844E-2</v>
      </c>
    </row>
    <row r="277" spans="1:10" x14ac:dyDescent="0.45">
      <c r="A277" s="18" t="s">
        <v>7</v>
      </c>
      <c r="B277" s="6">
        <f t="shared" ref="B277:G277" si="37">(B253+B257)/(B22/100)</f>
        <v>9.8831371850202103</v>
      </c>
      <c r="C277" s="6">
        <f t="shared" si="37"/>
        <v>7.5314443386335705</v>
      </c>
      <c r="D277" s="6">
        <f t="shared" si="37"/>
        <v>7.672098724022872</v>
      </c>
      <c r="E277" s="6">
        <f t="shared" si="37"/>
        <v>7.8939237036359966</v>
      </c>
      <c r="F277" s="6">
        <f t="shared" si="37"/>
        <v>9.8657516199980115</v>
      </c>
      <c r="G277" s="6">
        <f t="shared" si="37"/>
        <v>7.2289932917052138</v>
      </c>
      <c r="I277" s="10">
        <f t="shared" si="34"/>
        <v>0.1588750802118426</v>
      </c>
      <c r="J277" s="11">
        <f>I277/AVERAGE(C277:G277)</f>
        <v>1.9764411260157544E-2</v>
      </c>
    </row>
    <row r="279" spans="1:10" ht="26.65" x14ac:dyDescent="0.45">
      <c r="A279" s="18" t="s">
        <v>8556</v>
      </c>
      <c r="B279" s="6">
        <f>IFERROR(IF(AND(B$251&lt;2016,ISNUMBER(SEARCH("* Distribution",gdb_name))),#N/A,INDEX(service!$A$1:$L$69,MATCH(B$251&amp;gdb_name,service!$L$1:$L$69,0),MATCH($A279,service!$A$1:$L$1,0))),"")</f>
        <v>45.648412046366992</v>
      </c>
      <c r="C279" s="6">
        <f>IFERROR(IF(AND(C$251&lt;2016,ISNUMBER(SEARCH("* Distribution",gdb_name))),#N/A,INDEX(service!$A$1:$L$69,MATCH(C$251&amp;gdb_name,service!$L$1:$L$69,0),MATCH($A279,service!$A$1:$L$1,0))),"")</f>
        <v>43.145148910779433</v>
      </c>
      <c r="D279" s="6">
        <f>IFERROR(IF(AND(D$251&lt;2016,ISNUMBER(SEARCH("* Distribution",gdb_name))),#N/A,INDEX(service!$A$1:$L$69,MATCH(D$251&amp;gdb_name,service!$L$1:$L$69,0),MATCH($A279,service!$A$1:$L$1,0))),"")</f>
        <v>45.93472736409111</v>
      </c>
      <c r="E279" s="6">
        <f>IFERROR(IF(AND(E$251&lt;2016,ISNUMBER(SEARCH("* Distribution",gdb_name))),#N/A,INDEX(service!$A$1:$L$69,MATCH(E$251&amp;gdb_name,service!$L$1:$L$69,0),MATCH($A279,service!$A$1:$L$1,0))),"")</f>
        <v>42.659763571224104</v>
      </c>
      <c r="F279" s="6">
        <f>IFERROR(IF(AND(F$251&lt;2016,ISNUMBER(SEARCH("* Distribution",gdb_name))),#N/A,INDEX(service!$A$1:$L$69,MATCH(F$251&amp;gdb_name,service!$L$1:$L$69,0),MATCH($A279,service!$A$1:$L$1,0))),"")</f>
        <v>40.697659122471492</v>
      </c>
      <c r="G279" s="6">
        <f>IFERROR(IF(AND(G$251&lt;2016,ISNUMBER(SEARCH("* Distribution",gdb_name))),#N/A,INDEX(service!$A$1:$L$69,MATCH(G$251&amp;gdb_name,service!$L$1:$L$69,0),MATCH($A279,service!$A$1:$L$1,0))),"")</f>
        <v>356</v>
      </c>
      <c r="I279" s="10">
        <f>SLOPE(C279:G279,$C$251:$G$251)</f>
        <v>62.047263393682144</v>
      </c>
      <c r="J279" s="11">
        <f>I279/AVERAGE(C279:G279)</f>
        <v>0.58708254995237386</v>
      </c>
    </row>
    <row r="280" spans="1:10" ht="26.65" x14ac:dyDescent="0.45">
      <c r="A280" s="18" t="s">
        <v>8558</v>
      </c>
      <c r="B280" s="6">
        <f>IFERROR(IF(AND(B$251&lt;2016,ISNUMBER(SEARCH("* Distribution",gdb_name))),#N/A,INDEX(service!$A$1:$L$69,MATCH(B$251&amp;gdb_name,service!$L$1:$L$69,0),MATCH($A280,service!$A$1:$L$1,0))),"")</f>
        <v>13.044501199954368</v>
      </c>
      <c r="C280" s="6">
        <f>IFERROR(IF(AND(C$251&lt;2016,ISNUMBER(SEARCH("* Distribution",gdb_name))),#N/A,INDEX(service!$A$1:$L$69,MATCH(C$251&amp;gdb_name,service!$L$1:$L$69,0),MATCH($A280,service!$A$1:$L$1,0))),"")</f>
        <v>7.5319724103866186</v>
      </c>
      <c r="D280" s="6">
        <f>IFERROR(IF(AND(D$251&lt;2016,ISNUMBER(SEARCH("* Distribution",gdb_name))),#N/A,INDEX(service!$A$1:$L$69,MATCH(D$251&amp;gdb_name,service!$L$1:$L$69,0),MATCH($A280,service!$A$1:$L$1,0))),"")</f>
        <v>3.3574572895939285</v>
      </c>
      <c r="E280" s="6">
        <f>IFERROR(IF(AND(E$251&lt;2016,ISNUMBER(SEARCH("* Distribution",gdb_name))),#N/A,INDEX(service!$A$1:$L$69,MATCH(E$251&amp;gdb_name,service!$L$1:$L$69,0),MATCH($A280,service!$A$1:$L$1,0))),"")</f>
        <v>6.1158912375093699</v>
      </c>
      <c r="F280" s="6">
        <f>IFERROR(IF(AND(F$251&lt;2016,ISNUMBER(SEARCH("* Distribution",gdb_name))),#N/A,INDEX(service!$A$1:$L$69,MATCH(F$251&amp;gdb_name,service!$L$1:$L$69,0),MATCH($A280,service!$A$1:$L$1,0))),"")</f>
        <v>12.175190286412302</v>
      </c>
      <c r="G280" s="6">
        <f>IFERROR(IF(AND(G$251&lt;2016,ISNUMBER(SEARCH("* Distribution",gdb_name))),#N/A,INDEX(service!$A$1:$L$69,MATCH(G$251&amp;gdb_name,service!$L$1:$L$69,0),MATCH($A280,service!$A$1:$L$1,0))),"")</f>
        <v>64</v>
      </c>
      <c r="I280" s="10">
        <f t="shared" si="34"/>
        <v>12.175378817604514</v>
      </c>
      <c r="J280" s="11">
        <f>I280/AVERAGE(C280:G280)</f>
        <v>0.65332217314994434</v>
      </c>
    </row>
    <row r="281" spans="1:10" ht="26.65" x14ac:dyDescent="0.45">
      <c r="A281" s="18" t="s">
        <v>8559</v>
      </c>
      <c r="B281" s="6">
        <f>IFERROR(IF(AND(B$251&lt;2016,ISNUMBER(SEARCH("* Distribution",gdb_name))),#N/A,INDEX(service!$A$1:$L$69,MATCH(B$251&amp;gdb_name,service!$L$1:$L$69,0),MATCH($A281,service!$A$1:$L$1,0))),"")</f>
        <v>18</v>
      </c>
      <c r="C281" s="6">
        <f>IFERROR(IF(AND(C$251&lt;2016,ISNUMBER(SEARCH("* Distribution",gdb_name))),#N/A,INDEX(service!$A$1:$L$69,MATCH(C$251&amp;gdb_name,service!$L$1:$L$69,0),MATCH($A281,service!$A$1:$L$1,0))),"")</f>
        <v>19</v>
      </c>
      <c r="D281" s="6">
        <f>IFERROR(IF(AND(D$251&lt;2016,ISNUMBER(SEARCH("* Distribution",gdb_name))),#N/A,INDEX(service!$A$1:$L$69,MATCH(D$251&amp;gdb_name,service!$L$1:$L$69,0),MATCH($A281,service!$A$1:$L$1,0))),"")</f>
        <v>11</v>
      </c>
      <c r="E281" s="6">
        <f>IFERROR(IF(AND(E$251&lt;2016,ISNUMBER(SEARCH("* Distribution",gdb_name))),#N/A,INDEX(service!$A$1:$L$69,MATCH(E$251&amp;gdb_name,service!$L$1:$L$69,0),MATCH($A281,service!$A$1:$L$1,0))),"")</f>
        <v>32</v>
      </c>
      <c r="F281" s="6">
        <f>IFERROR(IF(AND(F$251&lt;2016,ISNUMBER(SEARCH("* Distribution",gdb_name))),#N/A,INDEX(service!$A$1:$L$69,MATCH(F$251&amp;gdb_name,service!$L$1:$L$69,0),MATCH($A281,service!$A$1:$L$1,0))),"")</f>
        <v>22</v>
      </c>
      <c r="G281" s="6">
        <f>IFERROR(IF(AND(G$251&lt;2016,ISNUMBER(SEARCH("* Distribution",gdb_name))),#N/A,INDEX(service!$A$1:$L$69,MATCH(G$251&amp;gdb_name,service!$L$1:$L$69,0),MATCH($A281,service!$A$1:$L$1,0))),"")</f>
        <v>29</v>
      </c>
      <c r="I281" s="10">
        <f t="shared" si="34"/>
        <v>3.1</v>
      </c>
      <c r="J281" s="11">
        <f>I281/AVERAGE(C281:G281)</f>
        <v>0.13716814159292035</v>
      </c>
    </row>
  </sheetData>
  <conditionalFormatting sqref="K38">
    <cfRule type="cellIs" dxfId="3" priority="3" operator="equal">
      <formula>FALSE</formula>
    </cfRule>
    <cfRule type="cellIs" dxfId="2" priority="4" operator="equal">
      <formula>TRUE</formula>
    </cfRule>
  </conditionalFormatting>
  <conditionalFormatting sqref="K62">
    <cfRule type="cellIs" dxfId="1" priority="1" operator="equal">
      <formula>FALSE</formula>
    </cfRule>
    <cfRule type="cellIs" dxfId="0" priority="2" operator="equal">
      <formula>TRUE</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sheetPr>
  <dimension ref="A1:L90"/>
  <sheetViews>
    <sheetView zoomScaleNormal="100" workbookViewId="0">
      <pane ySplit="1" topLeftCell="A8" activePane="bottomLeft" state="frozen"/>
      <selection activeCell="F46" activeCellId="1" sqref="K91 F46"/>
      <selection pane="bottomLeft" activeCell="F46" activeCellId="1" sqref="K91 F46"/>
    </sheetView>
  </sheetViews>
  <sheetFormatPr defaultColWidth="9.1328125" defaultRowHeight="14.25" x14ac:dyDescent="0.45"/>
  <cols>
    <col min="1" max="1" width="21.86328125" bestFit="1" customWidth="1"/>
    <col min="2" max="2" width="5" bestFit="1" customWidth="1"/>
    <col min="3" max="3" width="6.86328125" bestFit="1" customWidth="1"/>
    <col min="4" max="4" width="25.3984375" customWidth="1"/>
    <col min="5" max="5" width="30.1328125" customWidth="1"/>
    <col min="6" max="6" width="39" customWidth="1"/>
    <col min="7" max="8" width="12.265625" customWidth="1"/>
    <col min="9" max="9" width="14.73046875" customWidth="1"/>
    <col min="10" max="10" width="16.73046875" customWidth="1"/>
    <col min="11" max="11" width="14.59765625" customWidth="1"/>
  </cols>
  <sheetData>
    <row r="1" spans="1:12" x14ac:dyDescent="0.45">
      <c r="A1" s="198" t="s">
        <v>169</v>
      </c>
      <c r="B1" s="198" t="s">
        <v>203</v>
      </c>
      <c r="C1" s="198" t="s">
        <v>204</v>
      </c>
      <c r="D1" s="198" t="s">
        <v>29</v>
      </c>
      <c r="E1" s="198" t="s">
        <v>187</v>
      </c>
      <c r="F1" s="198" t="s">
        <v>205</v>
      </c>
      <c r="G1" s="198" t="s">
        <v>185</v>
      </c>
      <c r="H1" s="198" t="s">
        <v>186</v>
      </c>
      <c r="I1" s="198" t="s">
        <v>8556</v>
      </c>
      <c r="J1" s="198" t="s">
        <v>8558</v>
      </c>
      <c r="K1" s="198" t="s">
        <v>8559</v>
      </c>
      <c r="L1" t="s">
        <v>33</v>
      </c>
    </row>
    <row r="2" spans="1:12" x14ac:dyDescent="0.45">
      <c r="A2" s="198" t="s">
        <v>266</v>
      </c>
      <c r="B2" s="190">
        <v>2016</v>
      </c>
      <c r="C2" s="198" t="s">
        <v>34</v>
      </c>
      <c r="D2" s="199" t="s">
        <v>8557</v>
      </c>
      <c r="E2" s="190">
        <v>57</v>
      </c>
      <c r="F2" s="190">
        <v>0.51</v>
      </c>
      <c r="G2" s="190">
        <v>0.94740000000000002</v>
      </c>
      <c r="H2" s="190">
        <v>1</v>
      </c>
      <c r="I2" s="187">
        <v>37.222999999999999</v>
      </c>
      <c r="J2" s="187">
        <v>1.994</v>
      </c>
      <c r="K2">
        <v>1</v>
      </c>
      <c r="L2" s="200" t="str">
        <f t="shared" ref="L2:L38" si="0">B2&amp;A2</f>
        <v>2016First Gas Distribution</v>
      </c>
    </row>
    <row r="3" spans="1:12" x14ac:dyDescent="0.45">
      <c r="A3" s="198" t="s">
        <v>266</v>
      </c>
      <c r="B3" s="190">
        <v>2017</v>
      </c>
      <c r="C3" s="198" t="s">
        <v>34</v>
      </c>
      <c r="D3" s="198" t="s">
        <v>8557</v>
      </c>
      <c r="E3" s="190">
        <v>65</v>
      </c>
      <c r="F3" s="190">
        <v>0.71666666666666667</v>
      </c>
      <c r="G3" s="190">
        <v>0.94310000000000005</v>
      </c>
      <c r="H3" s="190">
        <v>1</v>
      </c>
      <c r="I3" s="187">
        <v>38.630000000000003</v>
      </c>
      <c r="J3" s="187">
        <v>0.64</v>
      </c>
      <c r="K3">
        <v>8</v>
      </c>
      <c r="L3" s="200" t="str">
        <f t="shared" si="0"/>
        <v>2017First Gas Distribution</v>
      </c>
    </row>
    <row r="4" spans="1:12" x14ac:dyDescent="0.45">
      <c r="A4" s="198" t="s">
        <v>266</v>
      </c>
      <c r="B4" s="190">
        <v>2018</v>
      </c>
      <c r="C4" s="198" t="s">
        <v>34</v>
      </c>
      <c r="D4" s="198" t="s">
        <v>8557</v>
      </c>
      <c r="E4" s="190">
        <v>54</v>
      </c>
      <c r="F4" s="190">
        <v>0.62</v>
      </c>
      <c r="G4" s="190">
        <v>0.88888888888888884</v>
      </c>
      <c r="H4" s="190">
        <v>1</v>
      </c>
      <c r="I4" s="187">
        <v>32.223871104515588</v>
      </c>
      <c r="J4" s="187">
        <v>2.543989824040704</v>
      </c>
      <c r="K4">
        <v>5</v>
      </c>
      <c r="L4" s="200" t="str">
        <f t="shared" si="0"/>
        <v>2018First Gas Distribution</v>
      </c>
    </row>
    <row r="5" spans="1:12" x14ac:dyDescent="0.45">
      <c r="A5" s="198" t="s">
        <v>266</v>
      </c>
      <c r="B5" s="190">
        <v>2019</v>
      </c>
      <c r="C5" s="198" t="s">
        <v>34</v>
      </c>
      <c r="D5" s="198" t="s">
        <v>8557</v>
      </c>
      <c r="E5" s="190">
        <v>57</v>
      </c>
      <c r="F5" s="190">
        <v>0.46</v>
      </c>
      <c r="G5" s="190">
        <v>0.95</v>
      </c>
      <c r="H5" s="190">
        <v>1</v>
      </c>
      <c r="I5" s="187">
        <v>34.367840033326388</v>
      </c>
      <c r="J5" s="187">
        <v>2.49947927515101</v>
      </c>
      <c r="K5">
        <v>6</v>
      </c>
      <c r="L5" s="200" t="str">
        <f t="shared" si="0"/>
        <v>2019First Gas Distribution</v>
      </c>
    </row>
    <row r="6" spans="1:12" x14ac:dyDescent="0.45">
      <c r="A6" s="198" t="s">
        <v>266</v>
      </c>
      <c r="B6" s="190">
        <v>2020</v>
      </c>
      <c r="C6" s="198" t="s">
        <v>34</v>
      </c>
      <c r="D6" s="198" t="s">
        <v>8557</v>
      </c>
      <c r="E6" s="190">
        <v>60</v>
      </c>
      <c r="F6" s="190">
        <v>0.57407407391687026</v>
      </c>
      <c r="G6" s="190">
        <v>0.8833333333333333</v>
      </c>
      <c r="H6" s="190">
        <v>1</v>
      </c>
      <c r="I6" s="187">
        <v>30.059707638459951</v>
      </c>
      <c r="J6" s="187">
        <v>9.6767551986823133</v>
      </c>
      <c r="K6">
        <v>8</v>
      </c>
      <c r="L6" s="200" t="str">
        <f t="shared" si="0"/>
        <v>2020First Gas Distribution</v>
      </c>
    </row>
    <row r="7" spans="1:12" x14ac:dyDescent="0.45">
      <c r="A7" s="198" t="s">
        <v>266</v>
      </c>
      <c r="B7" s="190">
        <v>2021</v>
      </c>
      <c r="C7" s="198" t="s">
        <v>34</v>
      </c>
      <c r="D7" s="198" t="s">
        <v>8557</v>
      </c>
      <c r="E7" s="190">
        <v>68</v>
      </c>
      <c r="F7" s="190">
        <v>0.55000000000000004</v>
      </c>
      <c r="G7" s="190">
        <v>0.9</v>
      </c>
      <c r="H7" s="190">
        <v>1</v>
      </c>
      <c r="I7" s="187">
        <v>30.303030303030301</v>
      </c>
      <c r="J7" s="187">
        <v>10.57555419971527</v>
      </c>
      <c r="K7">
        <v>8</v>
      </c>
      <c r="L7" s="200" t="str">
        <f t="shared" si="0"/>
        <v>2021First Gas Distribution</v>
      </c>
    </row>
    <row r="8" spans="1:12" x14ac:dyDescent="0.45">
      <c r="A8" s="198" t="s">
        <v>266</v>
      </c>
      <c r="B8" s="190">
        <v>2022</v>
      </c>
      <c r="C8" s="198" t="s">
        <v>34</v>
      </c>
      <c r="D8" s="198" t="s">
        <v>8557</v>
      </c>
      <c r="E8" s="190">
        <v>69</v>
      </c>
      <c r="F8" s="190">
        <v>0.55000000000000004</v>
      </c>
      <c r="G8" s="190">
        <v>0.9</v>
      </c>
      <c r="H8" s="190">
        <v>1</v>
      </c>
      <c r="I8" s="187">
        <v>28</v>
      </c>
      <c r="J8" s="187">
        <v>6</v>
      </c>
      <c r="K8">
        <v>18</v>
      </c>
      <c r="L8" s="200" t="str">
        <f t="shared" ref="L8" si="1">B8&amp;A8</f>
        <v>2022First Gas Distribution</v>
      </c>
    </row>
    <row r="9" spans="1:12" x14ac:dyDescent="0.45">
      <c r="A9" s="198" t="s">
        <v>156</v>
      </c>
      <c r="B9" s="190">
        <v>2013</v>
      </c>
      <c r="C9" s="198" t="s">
        <v>34</v>
      </c>
      <c r="D9" s="198" t="s">
        <v>8557</v>
      </c>
      <c r="E9" s="190">
        <v>6</v>
      </c>
      <c r="F9" s="190">
        <v>0.13</v>
      </c>
      <c r="G9" s="190">
        <v>1</v>
      </c>
      <c r="H9" s="190">
        <v>0</v>
      </c>
      <c r="I9" s="187">
        <v>72.92</v>
      </c>
      <c r="J9" s="187">
        <v>9.51</v>
      </c>
      <c r="K9">
        <v>9</v>
      </c>
      <c r="L9" s="200" t="str">
        <f t="shared" si="0"/>
        <v>2013GasNet</v>
      </c>
    </row>
    <row r="10" spans="1:12" x14ac:dyDescent="0.45">
      <c r="A10" s="198" t="s">
        <v>156</v>
      </c>
      <c r="B10" s="190">
        <v>2014</v>
      </c>
      <c r="C10" s="198" t="s">
        <v>34</v>
      </c>
      <c r="D10" s="198" t="s">
        <v>8557</v>
      </c>
      <c r="E10" s="190">
        <v>2</v>
      </c>
      <c r="F10" s="190">
        <v>0.17</v>
      </c>
      <c r="G10" s="190">
        <v>1</v>
      </c>
      <c r="H10" s="190">
        <v>1</v>
      </c>
      <c r="I10" s="187">
        <v>44.12</v>
      </c>
      <c r="J10" s="187">
        <v>39.39</v>
      </c>
      <c r="K10">
        <v>11</v>
      </c>
      <c r="L10" s="200" t="str">
        <f t="shared" si="0"/>
        <v>2014GasNet</v>
      </c>
    </row>
    <row r="11" spans="1:12" x14ac:dyDescent="0.45">
      <c r="A11" s="198" t="s">
        <v>156</v>
      </c>
      <c r="B11" s="190">
        <v>2015</v>
      </c>
      <c r="C11" s="198" t="s">
        <v>34</v>
      </c>
      <c r="D11" s="198" t="s">
        <v>8557</v>
      </c>
      <c r="E11" s="190">
        <v>2</v>
      </c>
      <c r="F11" s="190">
        <v>0.25829999999999997</v>
      </c>
      <c r="G11" s="190">
        <v>1</v>
      </c>
      <c r="H11" s="190">
        <v>1</v>
      </c>
      <c r="I11" s="187">
        <v>34.922199999999997</v>
      </c>
      <c r="J11" s="187">
        <v>21.257000000000001</v>
      </c>
      <c r="K11">
        <v>10</v>
      </c>
      <c r="L11" s="200" t="str">
        <f t="shared" si="0"/>
        <v>2015GasNet</v>
      </c>
    </row>
    <row r="12" spans="1:12" x14ac:dyDescent="0.45">
      <c r="A12" s="198" t="s">
        <v>156</v>
      </c>
      <c r="B12" s="190">
        <v>2016</v>
      </c>
      <c r="C12" s="198" t="s">
        <v>34</v>
      </c>
      <c r="D12" s="198" t="s">
        <v>8557</v>
      </c>
      <c r="E12" s="190">
        <v>4</v>
      </c>
      <c r="F12" s="190">
        <v>0.26250000000000001</v>
      </c>
      <c r="G12" s="190">
        <v>1</v>
      </c>
      <c r="H12" s="190">
        <v>1</v>
      </c>
      <c r="I12" s="187">
        <v>42.288726278667603</v>
      </c>
      <c r="J12" s="187">
        <v>1.510311652809557</v>
      </c>
      <c r="K12">
        <v>6</v>
      </c>
      <c r="L12" s="200" t="str">
        <f t="shared" si="0"/>
        <v>2016GasNet</v>
      </c>
    </row>
    <row r="13" spans="1:12" x14ac:dyDescent="0.45">
      <c r="A13" s="198" t="s">
        <v>156</v>
      </c>
      <c r="B13" s="190">
        <v>2017</v>
      </c>
      <c r="C13" s="198" t="s">
        <v>34</v>
      </c>
      <c r="D13" s="198" t="s">
        <v>8557</v>
      </c>
      <c r="E13" s="190">
        <v>3</v>
      </c>
      <c r="F13" s="190">
        <v>0.222</v>
      </c>
      <c r="G13" s="190">
        <v>1</v>
      </c>
      <c r="H13" s="190">
        <v>1</v>
      </c>
      <c r="I13" s="187">
        <v>43.678699999999999</v>
      </c>
      <c r="J13" s="187">
        <v>42.172499999999999</v>
      </c>
      <c r="K13">
        <v>3</v>
      </c>
      <c r="L13" s="200" t="str">
        <f t="shared" si="0"/>
        <v>2017GasNet</v>
      </c>
    </row>
    <row r="14" spans="1:12" x14ac:dyDescent="0.45">
      <c r="A14" s="198" t="s">
        <v>156</v>
      </c>
      <c r="B14" s="190">
        <v>2018</v>
      </c>
      <c r="C14" s="198" t="s">
        <v>34</v>
      </c>
      <c r="D14" s="198" t="s">
        <v>8557</v>
      </c>
      <c r="E14" s="190">
        <v>3</v>
      </c>
      <c r="F14" s="190">
        <v>0.2944</v>
      </c>
      <c r="G14" s="190">
        <v>1</v>
      </c>
      <c r="H14" s="190">
        <v>1</v>
      </c>
      <c r="I14" s="187">
        <v>41.7819</v>
      </c>
      <c r="J14" s="187">
        <v>16.414300000000001</v>
      </c>
      <c r="K14">
        <v>8</v>
      </c>
      <c r="L14" s="200" t="str">
        <f t="shared" si="0"/>
        <v>2018GasNet</v>
      </c>
    </row>
    <row r="15" spans="1:12" x14ac:dyDescent="0.45">
      <c r="A15" s="198" t="s">
        <v>156</v>
      </c>
      <c r="B15" s="190">
        <v>2019</v>
      </c>
      <c r="C15" s="198" t="s">
        <v>34</v>
      </c>
      <c r="D15" s="198" t="s">
        <v>8557</v>
      </c>
      <c r="E15" s="190">
        <v>2</v>
      </c>
      <c r="F15" s="190">
        <v>0.50829999999999997</v>
      </c>
      <c r="G15" s="190">
        <v>1</v>
      </c>
      <c r="H15" s="190">
        <v>1</v>
      </c>
      <c r="I15" s="187">
        <v>65.267799999999994</v>
      </c>
      <c r="J15" s="187">
        <v>4.4500999999999999</v>
      </c>
      <c r="K15">
        <v>1</v>
      </c>
      <c r="L15" s="200" t="str">
        <f t="shared" si="0"/>
        <v>2019GasNet</v>
      </c>
    </row>
    <row r="16" spans="1:12" x14ac:dyDescent="0.45">
      <c r="A16" s="198" t="s">
        <v>156</v>
      </c>
      <c r="B16" s="190">
        <v>2020</v>
      </c>
      <c r="C16" s="198" t="s">
        <v>34</v>
      </c>
      <c r="D16" s="198" t="s">
        <v>8557</v>
      </c>
      <c r="E16" s="190">
        <v>6</v>
      </c>
      <c r="F16" s="190">
        <v>0.26</v>
      </c>
      <c r="G16" s="190">
        <v>1</v>
      </c>
      <c r="H16" s="190">
        <v>1</v>
      </c>
      <c r="I16" s="187">
        <v>57.18</v>
      </c>
      <c r="J16" s="187">
        <v>5.8650000000000002</v>
      </c>
      <c r="K16">
        <v>20</v>
      </c>
      <c r="L16" s="200" t="str">
        <f t="shared" si="0"/>
        <v>2020GasNet</v>
      </c>
    </row>
    <row r="17" spans="1:12" x14ac:dyDescent="0.45">
      <c r="A17" s="198" t="s">
        <v>156</v>
      </c>
      <c r="B17" s="190">
        <v>2021</v>
      </c>
      <c r="C17" s="198" t="s">
        <v>34</v>
      </c>
      <c r="D17" s="198" t="s">
        <v>8557</v>
      </c>
      <c r="E17" s="190">
        <v>2</v>
      </c>
      <c r="F17" s="190">
        <v>0.15</v>
      </c>
      <c r="G17" s="190">
        <v>1</v>
      </c>
      <c r="H17" s="190">
        <v>1</v>
      </c>
      <c r="I17" s="187">
        <v>55.491302468486779</v>
      </c>
      <c r="J17" s="187">
        <v>21.904461500718469</v>
      </c>
      <c r="K17">
        <v>7</v>
      </c>
      <c r="L17" s="200" t="str">
        <f t="shared" ref="L17" si="2">B17&amp;A17</f>
        <v>2021GasNet</v>
      </c>
    </row>
    <row r="18" spans="1:12" x14ac:dyDescent="0.45">
      <c r="A18" s="198" t="s">
        <v>156</v>
      </c>
      <c r="B18" s="190">
        <v>2022</v>
      </c>
      <c r="C18" s="198" t="s">
        <v>34</v>
      </c>
      <c r="D18" s="198" t="s">
        <v>8557</v>
      </c>
      <c r="E18" s="190">
        <v>2</v>
      </c>
      <c r="F18" s="190">
        <v>0.15</v>
      </c>
      <c r="G18" s="190">
        <v>1</v>
      </c>
      <c r="H18" s="190">
        <v>1</v>
      </c>
      <c r="I18" s="187">
        <v>42</v>
      </c>
      <c r="J18" s="187">
        <v>7</v>
      </c>
      <c r="K18">
        <v>3</v>
      </c>
      <c r="L18" s="200" t="str">
        <f t="shared" si="0"/>
        <v>2022GasNet</v>
      </c>
    </row>
    <row r="19" spans="1:12" x14ac:dyDescent="0.45">
      <c r="A19" s="198" t="s">
        <v>32</v>
      </c>
      <c r="B19" s="190">
        <v>2013</v>
      </c>
      <c r="C19" s="198" t="s">
        <v>34</v>
      </c>
      <c r="D19" s="198" t="s">
        <v>8557</v>
      </c>
      <c r="E19" s="190">
        <v>43</v>
      </c>
      <c r="F19" s="190">
        <v>0.37788586848880962</v>
      </c>
      <c r="G19" s="190">
        <v>0.93005347593582888</v>
      </c>
      <c r="H19" s="190">
        <v>1</v>
      </c>
      <c r="I19" s="187">
        <v>86.826066961006831</v>
      </c>
      <c r="J19" s="187">
        <v>58.150116994163056</v>
      </c>
      <c r="K19" s="187">
        <v>6</v>
      </c>
      <c r="L19" s="200" t="str">
        <f t="shared" si="0"/>
        <v>2013Powerco</v>
      </c>
    </row>
    <row r="20" spans="1:12" x14ac:dyDescent="0.45">
      <c r="A20" s="198" t="s">
        <v>32</v>
      </c>
      <c r="B20" s="190">
        <v>2014</v>
      </c>
      <c r="C20" s="198" t="s">
        <v>34</v>
      </c>
      <c r="D20" s="198" t="s">
        <v>8557</v>
      </c>
      <c r="E20" s="190">
        <v>12</v>
      </c>
      <c r="F20" s="190">
        <v>0.30399999999999999</v>
      </c>
      <c r="G20" s="190">
        <v>0.8</v>
      </c>
      <c r="H20" s="190">
        <v>1</v>
      </c>
      <c r="I20" s="187">
        <v>86.990383681726115</v>
      </c>
      <c r="J20" s="187">
        <v>15.965249748770479</v>
      </c>
      <c r="K20" s="187">
        <v>1</v>
      </c>
      <c r="L20" s="200" t="str">
        <f t="shared" si="0"/>
        <v>2014Powerco</v>
      </c>
    </row>
    <row r="21" spans="1:12" x14ac:dyDescent="0.45">
      <c r="A21" s="198" t="s">
        <v>32</v>
      </c>
      <c r="B21" s="190">
        <v>2015</v>
      </c>
      <c r="C21" s="198" t="s">
        <v>34</v>
      </c>
      <c r="D21" s="198" t="s">
        <v>8557</v>
      </c>
      <c r="E21" s="190">
        <v>17</v>
      </c>
      <c r="F21" s="190">
        <v>0.14737037037037035</v>
      </c>
      <c r="G21" s="190">
        <v>0.8</v>
      </c>
      <c r="H21" s="190">
        <v>0.8</v>
      </c>
      <c r="I21" s="187">
        <v>67.067038411853275</v>
      </c>
      <c r="J21" s="187">
        <v>7.0735412142082765</v>
      </c>
      <c r="K21" s="187">
        <v>3</v>
      </c>
      <c r="L21" s="200" t="str">
        <f t="shared" si="0"/>
        <v>2015Powerco</v>
      </c>
    </row>
    <row r="22" spans="1:12" x14ac:dyDescent="0.45">
      <c r="A22" s="198" t="s">
        <v>32</v>
      </c>
      <c r="B22" s="190">
        <v>2016</v>
      </c>
      <c r="C22" s="198" t="s">
        <v>34</v>
      </c>
      <c r="D22" s="198" t="s">
        <v>8557</v>
      </c>
      <c r="E22" s="190">
        <v>52</v>
      </c>
      <c r="F22" s="190">
        <v>0.36110375816274509</v>
      </c>
      <c r="G22" s="190">
        <v>0.98333333333333317</v>
      </c>
      <c r="H22" s="190">
        <v>1</v>
      </c>
      <c r="I22" s="187">
        <v>74.277736655056842</v>
      </c>
      <c r="J22" s="187">
        <v>5.1365813965651181</v>
      </c>
      <c r="K22" s="187">
        <v>0</v>
      </c>
      <c r="L22" s="200" t="str">
        <f t="shared" si="0"/>
        <v>2016Powerco</v>
      </c>
    </row>
    <row r="23" spans="1:12" x14ac:dyDescent="0.45">
      <c r="A23" s="198" t="s">
        <v>32</v>
      </c>
      <c r="B23" s="190">
        <v>2017</v>
      </c>
      <c r="C23" s="198" t="s">
        <v>34</v>
      </c>
      <c r="D23" s="198" t="s">
        <v>8557</v>
      </c>
      <c r="E23" s="190">
        <v>34</v>
      </c>
      <c r="F23" s="190">
        <v>0.28651587301587306</v>
      </c>
      <c r="G23" s="190">
        <v>1</v>
      </c>
      <c r="H23" s="190">
        <v>1</v>
      </c>
      <c r="I23" s="187">
        <v>69.831999999999994</v>
      </c>
      <c r="J23" s="187">
        <v>4.7280000000000006</v>
      </c>
      <c r="K23" s="187">
        <v>2</v>
      </c>
      <c r="L23" s="200" t="str">
        <f t="shared" si="0"/>
        <v>2017Powerco</v>
      </c>
    </row>
    <row r="24" spans="1:12" x14ac:dyDescent="0.45">
      <c r="A24" s="198" t="s">
        <v>32</v>
      </c>
      <c r="B24" s="190">
        <v>2018</v>
      </c>
      <c r="C24" s="198" t="s">
        <v>34</v>
      </c>
      <c r="D24" s="198" t="s">
        <v>8557</v>
      </c>
      <c r="E24" s="190">
        <v>32</v>
      </c>
      <c r="F24" s="190">
        <v>0.31269047619047619</v>
      </c>
      <c r="G24" s="190">
        <v>1</v>
      </c>
      <c r="H24" s="190">
        <v>1</v>
      </c>
      <c r="I24" s="187">
        <v>74.626983542565924</v>
      </c>
      <c r="J24" s="187">
        <v>2.6817574391638286</v>
      </c>
      <c r="K24" s="187">
        <v>5</v>
      </c>
      <c r="L24" s="200" t="str">
        <f t="shared" si="0"/>
        <v>2018Powerco</v>
      </c>
    </row>
    <row r="25" spans="1:12" x14ac:dyDescent="0.45">
      <c r="A25" s="198" t="s">
        <v>32</v>
      </c>
      <c r="B25" s="190">
        <v>2019</v>
      </c>
      <c r="C25" s="198" t="s">
        <v>34</v>
      </c>
      <c r="D25" s="198" t="s">
        <v>8557</v>
      </c>
      <c r="E25" s="190">
        <v>38</v>
      </c>
      <c r="F25" s="190">
        <v>0.44825925926666665</v>
      </c>
      <c r="G25" s="190">
        <v>0.96923076923076934</v>
      </c>
      <c r="H25" s="190">
        <v>1</v>
      </c>
      <c r="I25" s="187">
        <v>63.158527890061272</v>
      </c>
      <c r="J25" s="187">
        <v>3.2122760270155544</v>
      </c>
      <c r="K25" s="187">
        <v>3</v>
      </c>
      <c r="L25" s="200" t="str">
        <f t="shared" si="0"/>
        <v>2019Powerco</v>
      </c>
    </row>
    <row r="26" spans="1:12" x14ac:dyDescent="0.45">
      <c r="A26" s="198" t="s">
        <v>32</v>
      </c>
      <c r="B26" s="190">
        <v>2020</v>
      </c>
      <c r="C26" s="198" t="s">
        <v>34</v>
      </c>
      <c r="D26" s="198" t="s">
        <v>8557</v>
      </c>
      <c r="E26" s="190">
        <v>34</v>
      </c>
      <c r="F26" s="190">
        <v>0.45610000000000001</v>
      </c>
      <c r="G26" s="190">
        <v>0.96</v>
      </c>
      <c r="H26" s="190">
        <v>1</v>
      </c>
      <c r="I26" s="187">
        <v>63.900645069372658</v>
      </c>
      <c r="J26" s="187">
        <v>5.1100335032073598</v>
      </c>
      <c r="K26" s="187">
        <v>2</v>
      </c>
      <c r="L26" s="200" t="str">
        <f t="shared" si="0"/>
        <v>2020Powerco</v>
      </c>
    </row>
    <row r="27" spans="1:12" x14ac:dyDescent="0.45">
      <c r="A27" s="198" t="s">
        <v>32</v>
      </c>
      <c r="B27" s="190">
        <v>2021</v>
      </c>
      <c r="C27" s="198" t="s">
        <v>34</v>
      </c>
      <c r="D27" s="198" t="s">
        <v>8557</v>
      </c>
      <c r="E27" s="190">
        <v>74</v>
      </c>
      <c r="F27" s="190">
        <v>0.40511058179999998</v>
      </c>
      <c r="G27" s="190">
        <v>0.99047619040000012</v>
      </c>
      <c r="H27" s="190">
        <v>1</v>
      </c>
      <c r="I27" s="187">
        <v>59.706926428991572</v>
      </c>
      <c r="J27" s="187">
        <v>14.46250368697371</v>
      </c>
      <c r="K27" s="187">
        <v>4</v>
      </c>
      <c r="L27" s="200" t="str">
        <f t="shared" ref="L27" si="3">B27&amp;A27</f>
        <v>2021Powerco</v>
      </c>
    </row>
    <row r="28" spans="1:12" x14ac:dyDescent="0.45">
      <c r="A28" s="198" t="s">
        <v>32</v>
      </c>
      <c r="B28" s="190">
        <v>2022</v>
      </c>
      <c r="C28" s="198" t="s">
        <v>34</v>
      </c>
      <c r="D28" s="198" t="s">
        <v>8557</v>
      </c>
      <c r="E28" s="190">
        <v>62</v>
      </c>
      <c r="F28" s="190">
        <v>0.40511058179999998</v>
      </c>
      <c r="G28" s="190">
        <v>0.99047619040000012</v>
      </c>
      <c r="H28" s="190">
        <v>1</v>
      </c>
      <c r="I28" s="187">
        <v>267</v>
      </c>
      <c r="J28" s="187">
        <v>48</v>
      </c>
      <c r="K28" s="187">
        <v>4</v>
      </c>
      <c r="L28" s="200" t="str">
        <f t="shared" si="0"/>
        <v>2022Powerco</v>
      </c>
    </row>
    <row r="29" spans="1:12" x14ac:dyDescent="0.45">
      <c r="A29" s="198" t="s">
        <v>299</v>
      </c>
      <c r="B29" s="190">
        <v>2013</v>
      </c>
      <c r="C29" s="198" t="s">
        <v>34</v>
      </c>
      <c r="D29" s="198" t="s">
        <v>8557</v>
      </c>
      <c r="E29" s="190">
        <v>218</v>
      </c>
      <c r="F29" s="190">
        <v>0.6</v>
      </c>
      <c r="G29" s="190">
        <v>0.93100000000000005</v>
      </c>
      <c r="H29" s="190">
        <v>1</v>
      </c>
      <c r="I29" s="187">
        <v>45.8</v>
      </c>
      <c r="J29" s="187">
        <v>1.3</v>
      </c>
      <c r="K29">
        <v>3</v>
      </c>
      <c r="L29" s="200" t="str">
        <f t="shared" si="0"/>
        <v>2013Vector Distribution</v>
      </c>
    </row>
    <row r="30" spans="1:12" x14ac:dyDescent="0.45">
      <c r="A30" s="198" t="s">
        <v>299</v>
      </c>
      <c r="B30" s="190">
        <v>2014</v>
      </c>
      <c r="C30" s="198" t="s">
        <v>34</v>
      </c>
      <c r="D30" s="198" t="s">
        <v>8557</v>
      </c>
      <c r="E30" s="190">
        <v>182</v>
      </c>
      <c r="F30" s="190">
        <v>0.6</v>
      </c>
      <c r="G30" s="190">
        <v>0.91200000000000003</v>
      </c>
      <c r="H30" s="190">
        <v>1</v>
      </c>
      <c r="I30" s="187">
        <v>46</v>
      </c>
      <c r="J30" s="187">
        <v>0.9</v>
      </c>
      <c r="K30">
        <v>6</v>
      </c>
      <c r="L30" s="200" t="str">
        <f t="shared" si="0"/>
        <v>2014Vector Distribution</v>
      </c>
    </row>
    <row r="31" spans="1:12" x14ac:dyDescent="0.45">
      <c r="A31" s="198" t="s">
        <v>299</v>
      </c>
      <c r="B31" s="190">
        <v>2015</v>
      </c>
      <c r="C31" s="198" t="s">
        <v>34</v>
      </c>
      <c r="D31" s="198" t="s">
        <v>8557</v>
      </c>
      <c r="E31" s="190">
        <v>166</v>
      </c>
      <c r="F31" s="190">
        <v>0.56275100401606426</v>
      </c>
      <c r="G31" s="190">
        <v>0.95180722891566261</v>
      </c>
      <c r="H31" s="190">
        <v>1</v>
      </c>
      <c r="I31" s="187">
        <v>42.162055983617442</v>
      </c>
      <c r="J31" s="187">
        <v>0.65439998200736604</v>
      </c>
      <c r="K31">
        <v>6</v>
      </c>
      <c r="L31" s="200" t="str">
        <f t="shared" si="0"/>
        <v>2015Vector Distribution</v>
      </c>
    </row>
    <row r="32" spans="1:12" x14ac:dyDescent="0.45">
      <c r="A32" s="198" t="s">
        <v>299</v>
      </c>
      <c r="B32" s="190">
        <v>2016</v>
      </c>
      <c r="C32" s="198" t="s">
        <v>34</v>
      </c>
      <c r="D32" s="198" t="s">
        <v>8557</v>
      </c>
      <c r="E32" s="190">
        <v>91</v>
      </c>
      <c r="F32" s="190">
        <v>0.60347985347985356</v>
      </c>
      <c r="G32" s="190">
        <v>0.95604395604395609</v>
      </c>
      <c r="H32" s="190">
        <v>1</v>
      </c>
      <c r="I32" s="187">
        <v>31.739023745526929</v>
      </c>
      <c r="J32" s="187">
        <v>7.4215627663669927</v>
      </c>
      <c r="K32">
        <v>4</v>
      </c>
      <c r="L32" s="200" t="str">
        <f t="shared" si="0"/>
        <v>2016Vector Distribution</v>
      </c>
    </row>
    <row r="33" spans="1:12" x14ac:dyDescent="0.45">
      <c r="A33" s="198" t="s">
        <v>299</v>
      </c>
      <c r="B33" s="190">
        <v>2017</v>
      </c>
      <c r="C33" s="198" t="s">
        <v>34</v>
      </c>
      <c r="D33" s="198" t="s">
        <v>8557</v>
      </c>
      <c r="E33" s="190">
        <v>96</v>
      </c>
      <c r="F33" s="190">
        <v>0.65138888888888902</v>
      </c>
      <c r="G33" s="190">
        <v>0.9375</v>
      </c>
      <c r="H33" s="190">
        <v>1</v>
      </c>
      <c r="I33" s="187">
        <v>30.452948185467999</v>
      </c>
      <c r="J33" s="187">
        <v>4.6375047998174699</v>
      </c>
      <c r="K33">
        <v>5</v>
      </c>
      <c r="L33" s="200" t="str">
        <f t="shared" si="0"/>
        <v>2017Vector Distribution</v>
      </c>
    </row>
    <row r="34" spans="1:12" x14ac:dyDescent="0.45">
      <c r="A34" s="198" t="s">
        <v>299</v>
      </c>
      <c r="B34" s="190">
        <v>2018</v>
      </c>
      <c r="C34" s="198" t="s">
        <v>34</v>
      </c>
      <c r="D34" s="198" t="s">
        <v>8557</v>
      </c>
      <c r="E34" s="190">
        <v>103</v>
      </c>
      <c r="F34" s="190">
        <v>0.58462783171521004</v>
      </c>
      <c r="G34" s="190">
        <v>0.980582524271845</v>
      </c>
      <c r="H34" s="190">
        <v>1</v>
      </c>
      <c r="I34" s="187">
        <v>23.947840996036199</v>
      </c>
      <c r="J34" s="187">
        <v>8.4878423783419397</v>
      </c>
      <c r="K34">
        <v>1</v>
      </c>
      <c r="L34" s="200" t="str">
        <f t="shared" si="0"/>
        <v>2018Vector Distribution</v>
      </c>
    </row>
    <row r="35" spans="1:12" x14ac:dyDescent="0.45">
      <c r="A35" s="198" t="s">
        <v>299</v>
      </c>
      <c r="B35" s="190">
        <v>2019</v>
      </c>
      <c r="C35" s="198" t="s">
        <v>34</v>
      </c>
      <c r="D35" s="198" t="s">
        <v>8557</v>
      </c>
      <c r="E35" s="190">
        <v>89</v>
      </c>
      <c r="F35" s="190">
        <v>0.61498127340824005</v>
      </c>
      <c r="G35" s="190">
        <v>0.97753000000000001</v>
      </c>
      <c r="H35" s="190">
        <v>1</v>
      </c>
      <c r="I35" s="187">
        <v>20.944741532976799</v>
      </c>
      <c r="J35" s="187">
        <v>3.2679738562091498</v>
      </c>
      <c r="K35">
        <v>1</v>
      </c>
      <c r="L35" s="200" t="str">
        <f t="shared" si="0"/>
        <v>2019Vector Distribution</v>
      </c>
    </row>
    <row r="36" spans="1:12" x14ac:dyDescent="0.45">
      <c r="A36" s="198" t="s">
        <v>299</v>
      </c>
      <c r="B36" s="190">
        <v>2020</v>
      </c>
      <c r="C36" s="198" t="s">
        <v>34</v>
      </c>
      <c r="D36" s="198" t="s">
        <v>8557</v>
      </c>
      <c r="E36" s="190">
        <v>102</v>
      </c>
      <c r="F36" s="190">
        <v>0.61258169934640505</v>
      </c>
      <c r="G36" s="190">
        <v>0.95098039215686303</v>
      </c>
      <c r="H36" s="190">
        <v>1</v>
      </c>
      <c r="I36" s="187">
        <v>19.498701577063802</v>
      </c>
      <c r="J36" s="187">
        <v>3.8117762481478099</v>
      </c>
      <c r="K36">
        <v>2</v>
      </c>
      <c r="L36" s="200" t="str">
        <f t="shared" si="0"/>
        <v>2020Vector Distribution</v>
      </c>
    </row>
    <row r="37" spans="1:12" x14ac:dyDescent="0.45">
      <c r="A37" s="198" t="s">
        <v>299</v>
      </c>
      <c r="B37" s="190">
        <v>2021</v>
      </c>
      <c r="C37" s="198" t="s">
        <v>34</v>
      </c>
      <c r="D37" s="198" t="s">
        <v>8557</v>
      </c>
      <c r="E37" s="190">
        <v>117</v>
      </c>
      <c r="F37" s="190">
        <v>0.60612535612535601</v>
      </c>
      <c r="G37" s="190">
        <v>1</v>
      </c>
      <c r="H37" s="190">
        <v>1</v>
      </c>
      <c r="I37" s="187">
        <v>17.289377289377299</v>
      </c>
      <c r="J37" s="187">
        <v>1.75824175824176</v>
      </c>
      <c r="K37">
        <v>3</v>
      </c>
      <c r="L37" s="200" t="str">
        <f t="shared" ref="L37" si="4">B37&amp;A37</f>
        <v>2021Vector Distribution</v>
      </c>
    </row>
    <row r="38" spans="1:12" x14ac:dyDescent="0.45">
      <c r="A38" s="198" t="s">
        <v>299</v>
      </c>
      <c r="B38" s="190">
        <v>2022</v>
      </c>
      <c r="C38" s="198" t="s">
        <v>34</v>
      </c>
      <c r="D38" s="198" t="s">
        <v>8557</v>
      </c>
      <c r="E38" s="190">
        <v>104</v>
      </c>
      <c r="F38" s="190">
        <v>0.60612535612535601</v>
      </c>
      <c r="G38" s="190">
        <v>1</v>
      </c>
      <c r="H38" s="190">
        <v>1</v>
      </c>
      <c r="I38" s="187">
        <v>19</v>
      </c>
      <c r="J38" s="187">
        <v>3</v>
      </c>
      <c r="K38">
        <v>4</v>
      </c>
      <c r="L38" s="200" t="str">
        <f t="shared" si="0"/>
        <v>2022Vector Distribution</v>
      </c>
    </row>
    <row r="39" spans="1:12" x14ac:dyDescent="0.45">
      <c r="A39" s="199" t="s">
        <v>298</v>
      </c>
      <c r="B39" s="190">
        <v>2013</v>
      </c>
      <c r="C39" s="198" t="s">
        <v>34</v>
      </c>
      <c r="D39" s="198" t="s">
        <v>8557</v>
      </c>
      <c r="E39" s="190">
        <v>267</v>
      </c>
      <c r="F39" s="190">
        <v>0.36929528949626994</v>
      </c>
      <c r="G39" s="190">
        <v>0.95368449197860972</v>
      </c>
      <c r="H39" s="190">
        <v>0.66666666666666663</v>
      </c>
      <c r="I39" s="187">
        <v>68.515355653668948</v>
      </c>
      <c r="J39" s="187">
        <v>22.986705664721018</v>
      </c>
      <c r="K39" s="187">
        <v>18</v>
      </c>
      <c r="L39" s="200" t="str">
        <f>B39&amp;A39</f>
        <v>2013Industry</v>
      </c>
    </row>
    <row r="40" spans="1:12" x14ac:dyDescent="0.45">
      <c r="A40" s="199" t="s">
        <v>298</v>
      </c>
      <c r="B40" s="190">
        <v>2014</v>
      </c>
      <c r="C40" s="198" t="s">
        <v>34</v>
      </c>
      <c r="D40" s="198" t="s">
        <v>8557</v>
      </c>
      <c r="E40" s="190">
        <v>196</v>
      </c>
      <c r="F40" s="190">
        <v>0.35799999999999993</v>
      </c>
      <c r="G40" s="190">
        <v>0.90400000000000003</v>
      </c>
      <c r="H40" s="190">
        <v>1</v>
      </c>
      <c r="I40" s="187">
        <v>59.036794560575373</v>
      </c>
      <c r="J40" s="187">
        <v>18.751749916256824</v>
      </c>
      <c r="K40" s="187">
        <v>18</v>
      </c>
      <c r="L40" s="200" t="str">
        <f t="shared" ref="L40:L48" si="5">B40&amp;A40</f>
        <v>2014Industry</v>
      </c>
    </row>
    <row r="41" spans="1:12" x14ac:dyDescent="0.45">
      <c r="A41" s="199" t="s">
        <v>298</v>
      </c>
      <c r="B41" s="190">
        <v>2015</v>
      </c>
      <c r="C41" s="198" t="s">
        <v>34</v>
      </c>
      <c r="D41" s="198" t="s">
        <v>8557</v>
      </c>
      <c r="E41" s="190">
        <v>185</v>
      </c>
      <c r="F41" s="190">
        <v>0.32280712479547818</v>
      </c>
      <c r="G41" s="190">
        <v>0.91726907630522092</v>
      </c>
      <c r="H41" s="190">
        <v>0.93333333333333324</v>
      </c>
      <c r="I41" s="187">
        <v>48.050431465156912</v>
      </c>
      <c r="J41" s="187">
        <v>9.661647065405214</v>
      </c>
      <c r="K41" s="187">
        <v>19</v>
      </c>
      <c r="L41" s="200" t="str">
        <f t="shared" si="5"/>
        <v>2015Industry</v>
      </c>
    </row>
    <row r="42" spans="1:12" x14ac:dyDescent="0.45">
      <c r="A42" s="199" t="s">
        <v>298</v>
      </c>
      <c r="B42" s="190">
        <v>2016</v>
      </c>
      <c r="C42" s="198" t="s">
        <v>34</v>
      </c>
      <c r="D42" s="198" t="s">
        <v>8557</v>
      </c>
      <c r="E42" s="190">
        <v>204</v>
      </c>
      <c r="F42" s="190">
        <v>0.43427090291064963</v>
      </c>
      <c r="G42" s="190">
        <v>0.9716943223443224</v>
      </c>
      <c r="H42" s="190">
        <v>1</v>
      </c>
      <c r="I42" s="187">
        <v>46.382121669812847</v>
      </c>
      <c r="J42" s="187">
        <v>4.015613953935417</v>
      </c>
      <c r="K42" s="187">
        <v>11</v>
      </c>
      <c r="L42" s="200" t="str">
        <f t="shared" si="5"/>
        <v>2016Industry</v>
      </c>
    </row>
    <row r="43" spans="1:12" x14ac:dyDescent="0.45">
      <c r="A43" s="199" t="s">
        <v>298</v>
      </c>
      <c r="B43" s="190">
        <v>2017</v>
      </c>
      <c r="C43" s="198" t="s">
        <v>34</v>
      </c>
      <c r="D43" s="198" t="s">
        <v>8557</v>
      </c>
      <c r="E43" s="190">
        <v>198</v>
      </c>
      <c r="F43" s="190">
        <v>0.46914285714285719</v>
      </c>
      <c r="G43" s="190">
        <v>0.97015000000000007</v>
      </c>
      <c r="H43" s="190">
        <v>1</v>
      </c>
      <c r="I43" s="187">
        <v>45.648412046366992</v>
      </c>
      <c r="J43" s="187">
        <v>13.044501199954368</v>
      </c>
      <c r="K43" s="187">
        <v>18</v>
      </c>
      <c r="L43" s="200" t="str">
        <f t="shared" si="5"/>
        <v>2017Industry</v>
      </c>
    </row>
    <row r="44" spans="1:12" x14ac:dyDescent="0.45">
      <c r="A44" s="199" t="s">
        <v>298</v>
      </c>
      <c r="B44" s="190">
        <v>2018</v>
      </c>
      <c r="C44" s="198" t="s">
        <v>34</v>
      </c>
      <c r="D44" s="198" t="s">
        <v>8557</v>
      </c>
      <c r="E44" s="190">
        <v>192</v>
      </c>
      <c r="F44" s="190">
        <v>0.45292957697642156</v>
      </c>
      <c r="G44" s="190">
        <v>0.96736785329018349</v>
      </c>
      <c r="H44" s="190">
        <v>1</v>
      </c>
      <c r="I44" s="187">
        <v>43.145148910779433</v>
      </c>
      <c r="J44" s="187">
        <v>7.5319724103866186</v>
      </c>
      <c r="K44" s="187">
        <v>19</v>
      </c>
      <c r="L44" s="200" t="str">
        <f t="shared" si="5"/>
        <v>2018Industry</v>
      </c>
    </row>
    <row r="45" spans="1:12" x14ac:dyDescent="0.45">
      <c r="A45" s="199" t="s">
        <v>298</v>
      </c>
      <c r="B45" s="190">
        <v>2019</v>
      </c>
      <c r="C45" s="198" t="s">
        <v>34</v>
      </c>
      <c r="D45" s="198" t="s">
        <v>8557</v>
      </c>
      <c r="E45" s="190">
        <v>186</v>
      </c>
      <c r="F45" s="190">
        <v>0.50788513316872663</v>
      </c>
      <c r="G45" s="190">
        <v>0.97419019230769233</v>
      </c>
      <c r="H45" s="190">
        <v>1</v>
      </c>
      <c r="I45" s="187">
        <v>45.93472736409111</v>
      </c>
      <c r="J45" s="187">
        <v>3.3574572895939285</v>
      </c>
      <c r="K45" s="187">
        <v>11</v>
      </c>
      <c r="L45" s="200" t="str">
        <f t="shared" si="5"/>
        <v>2019Industry</v>
      </c>
    </row>
    <row r="46" spans="1:12" x14ac:dyDescent="0.45">
      <c r="A46" s="199" t="s">
        <v>298</v>
      </c>
      <c r="B46" s="190">
        <v>2020</v>
      </c>
      <c r="C46" s="198" t="s">
        <v>34</v>
      </c>
      <c r="D46" s="198" t="s">
        <v>8557</v>
      </c>
      <c r="E46" s="190">
        <v>202</v>
      </c>
      <c r="F46" s="190">
        <v>0.47568894331581885</v>
      </c>
      <c r="G46" s="190">
        <v>0.94857843137254905</v>
      </c>
      <c r="H46" s="190">
        <v>1</v>
      </c>
      <c r="I46" s="187">
        <v>42.659763571224104</v>
      </c>
      <c r="J46" s="187">
        <v>6.1158912375093699</v>
      </c>
      <c r="K46" s="187">
        <v>32</v>
      </c>
      <c r="L46" s="200" t="str">
        <f t="shared" si="5"/>
        <v>2020Industry</v>
      </c>
    </row>
    <row r="47" spans="1:12" x14ac:dyDescent="0.45">
      <c r="A47" s="199" t="s">
        <v>298</v>
      </c>
      <c r="B47" s="190">
        <v>2021</v>
      </c>
      <c r="C47" s="198" t="s">
        <v>34</v>
      </c>
      <c r="D47" s="198" t="s">
        <v>8557</v>
      </c>
      <c r="E47" s="190">
        <v>261</v>
      </c>
      <c r="F47" s="190">
        <v>0.42780898448133897</v>
      </c>
      <c r="G47" s="190">
        <v>0.97261904760000006</v>
      </c>
      <c r="H47" s="190">
        <v>1</v>
      </c>
      <c r="I47" s="187">
        <v>40.697659122471492</v>
      </c>
      <c r="J47" s="187">
        <v>12.175190286412302</v>
      </c>
      <c r="K47" s="187">
        <v>22</v>
      </c>
      <c r="L47" s="200" t="str">
        <f t="shared" ref="L47" si="6">B47&amp;A47</f>
        <v>2021Industry</v>
      </c>
    </row>
    <row r="48" spans="1:12" x14ac:dyDescent="0.45">
      <c r="A48" s="199" t="s">
        <v>298</v>
      </c>
      <c r="B48" s="190">
        <v>2022</v>
      </c>
      <c r="C48" s="198" t="s">
        <v>34</v>
      </c>
      <c r="D48" s="198" t="s">
        <v>8557</v>
      </c>
      <c r="E48" s="190">
        <v>299</v>
      </c>
      <c r="F48" s="190">
        <v>0.42780898448133897</v>
      </c>
      <c r="G48" s="190">
        <v>0.97261904760000006</v>
      </c>
      <c r="H48" s="190">
        <v>1</v>
      </c>
      <c r="I48" s="187">
        <v>356</v>
      </c>
      <c r="J48" s="187">
        <v>64</v>
      </c>
      <c r="K48" s="187">
        <v>29</v>
      </c>
      <c r="L48" s="200" t="str">
        <f t="shared" si="5"/>
        <v>2022Industry</v>
      </c>
    </row>
    <row r="49" spans="2:12" x14ac:dyDescent="0.45">
      <c r="B49" s="187"/>
      <c r="L49" s="200"/>
    </row>
    <row r="50" spans="2:12" x14ac:dyDescent="0.45">
      <c r="B50" s="187"/>
      <c r="L50" s="200"/>
    </row>
    <row r="51" spans="2:12" x14ac:dyDescent="0.45">
      <c r="B51" s="187"/>
      <c r="L51" s="200"/>
    </row>
    <row r="52" spans="2:12" x14ac:dyDescent="0.45">
      <c r="B52" s="187"/>
      <c r="L52" s="200"/>
    </row>
    <row r="53" spans="2:12" x14ac:dyDescent="0.45">
      <c r="B53" s="187"/>
      <c r="L53" s="200"/>
    </row>
    <row r="54" spans="2:12" x14ac:dyDescent="0.45">
      <c r="B54" s="187"/>
      <c r="L54" s="200"/>
    </row>
    <row r="55" spans="2:12" x14ac:dyDescent="0.45">
      <c r="B55" s="187"/>
      <c r="L55" s="200"/>
    </row>
    <row r="56" spans="2:12" x14ac:dyDescent="0.45">
      <c r="B56" s="187"/>
      <c r="L56" s="200"/>
    </row>
    <row r="57" spans="2:12" x14ac:dyDescent="0.45">
      <c r="B57" s="187"/>
      <c r="L57" s="200"/>
    </row>
    <row r="58" spans="2:12" x14ac:dyDescent="0.45">
      <c r="B58" s="187"/>
      <c r="L58" s="200"/>
    </row>
    <row r="59" spans="2:12" x14ac:dyDescent="0.45">
      <c r="B59" s="187"/>
      <c r="L59" s="200"/>
    </row>
    <row r="60" spans="2:12" x14ac:dyDescent="0.45">
      <c r="B60" s="187"/>
      <c r="L60" s="200"/>
    </row>
    <row r="61" spans="2:12" x14ac:dyDescent="0.45">
      <c r="B61" s="187"/>
      <c r="L61" s="200"/>
    </row>
    <row r="62" spans="2:12" x14ac:dyDescent="0.45">
      <c r="B62" s="187"/>
      <c r="L62" s="200"/>
    </row>
    <row r="63" spans="2:12" x14ac:dyDescent="0.45">
      <c r="B63" s="187"/>
      <c r="L63" s="200"/>
    </row>
    <row r="64" spans="2:12" x14ac:dyDescent="0.45">
      <c r="B64" s="187"/>
      <c r="L64" s="200"/>
    </row>
    <row r="65" spans="2:12" x14ac:dyDescent="0.45">
      <c r="B65" s="187"/>
      <c r="L65" s="200"/>
    </row>
    <row r="66" spans="2:12" x14ac:dyDescent="0.45">
      <c r="B66" s="187"/>
      <c r="L66" s="200"/>
    </row>
    <row r="67" spans="2:12" x14ac:dyDescent="0.45">
      <c r="B67" s="187"/>
      <c r="L67" s="200"/>
    </row>
    <row r="68" spans="2:12" x14ac:dyDescent="0.45">
      <c r="B68" s="187"/>
      <c r="L68" s="200"/>
    </row>
    <row r="69" spans="2:12" x14ac:dyDescent="0.45">
      <c r="B69" s="187"/>
      <c r="L69" s="200"/>
    </row>
    <row r="70" spans="2:12" x14ac:dyDescent="0.45">
      <c r="B70" s="187"/>
      <c r="L70" s="200"/>
    </row>
    <row r="71" spans="2:12" x14ac:dyDescent="0.45">
      <c r="B71" s="187"/>
      <c r="L71" s="200"/>
    </row>
    <row r="72" spans="2:12" x14ac:dyDescent="0.45">
      <c r="B72" s="187"/>
      <c r="L72" s="200"/>
    </row>
    <row r="73" spans="2:12" x14ac:dyDescent="0.45">
      <c r="B73" s="187"/>
      <c r="L73" s="200"/>
    </row>
    <row r="74" spans="2:12" x14ac:dyDescent="0.45">
      <c r="B74" s="187"/>
      <c r="L74" s="200"/>
    </row>
    <row r="75" spans="2:12" x14ac:dyDescent="0.45">
      <c r="B75" s="187"/>
      <c r="L75" s="200"/>
    </row>
    <row r="76" spans="2:12" x14ac:dyDescent="0.45">
      <c r="B76" s="187"/>
      <c r="L76" s="200"/>
    </row>
    <row r="77" spans="2:12" x14ac:dyDescent="0.45">
      <c r="B77" s="187"/>
      <c r="L77" s="200"/>
    </row>
    <row r="78" spans="2:12" x14ac:dyDescent="0.45">
      <c r="B78" s="187"/>
      <c r="L78" s="200"/>
    </row>
    <row r="79" spans="2:12" x14ac:dyDescent="0.45">
      <c r="B79" s="187"/>
      <c r="L79" s="200"/>
    </row>
    <row r="80" spans="2:12" x14ac:dyDescent="0.45">
      <c r="B80" s="187"/>
      <c r="L80" s="200"/>
    </row>
    <row r="81" spans="1:12" x14ac:dyDescent="0.45">
      <c r="B81" s="187"/>
      <c r="L81" s="200"/>
    </row>
    <row r="82" spans="1:12" x14ac:dyDescent="0.45">
      <c r="A82" s="199"/>
      <c r="B82" s="190"/>
      <c r="C82" s="198"/>
      <c r="D82" s="198"/>
      <c r="L82" s="200"/>
    </row>
    <row r="83" spans="1:12" x14ac:dyDescent="0.45">
      <c r="A83" s="199"/>
      <c r="B83" s="190"/>
      <c r="C83" s="198"/>
      <c r="D83" s="198"/>
      <c r="L83" s="200"/>
    </row>
    <row r="84" spans="1:12" x14ac:dyDescent="0.45">
      <c r="A84" s="199"/>
      <c r="B84" s="190"/>
      <c r="C84" s="198"/>
      <c r="D84" s="198"/>
      <c r="L84" s="200"/>
    </row>
    <row r="85" spans="1:12" x14ac:dyDescent="0.45">
      <c r="A85" s="199"/>
      <c r="B85" s="190"/>
      <c r="C85" s="198"/>
      <c r="D85" s="198"/>
      <c r="L85" s="200"/>
    </row>
    <row r="86" spans="1:12" x14ac:dyDescent="0.45">
      <c r="A86" s="199"/>
      <c r="B86" s="190"/>
      <c r="C86" s="198"/>
      <c r="D86" s="198"/>
      <c r="L86" s="200"/>
    </row>
    <row r="87" spans="1:12" x14ac:dyDescent="0.45">
      <c r="A87" s="199"/>
      <c r="B87" s="190"/>
      <c r="C87" s="198"/>
      <c r="D87" s="198"/>
      <c r="L87" s="200"/>
    </row>
    <row r="88" spans="1:12" x14ac:dyDescent="0.45">
      <c r="A88" s="199"/>
      <c r="B88" s="190"/>
      <c r="C88" s="198"/>
      <c r="D88" s="198"/>
      <c r="L88" s="200"/>
    </row>
    <row r="89" spans="1:12" x14ac:dyDescent="0.45">
      <c r="A89" s="199"/>
      <c r="B89" s="190"/>
      <c r="C89" s="198"/>
      <c r="D89" s="198"/>
      <c r="L89" s="200"/>
    </row>
    <row r="90" spans="1:12" x14ac:dyDescent="0.45">
      <c r="A90" s="199"/>
      <c r="B90" s="190"/>
      <c r="C90" s="198"/>
      <c r="D90" s="198"/>
      <c r="L90" s="200"/>
    </row>
  </sheetData>
  <autoFilter ref="A1:L90" xr:uid="{E407401C-97BE-4134-9583-F107026A3106}"/>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theme="6"/>
  </sheetPr>
  <dimension ref="A1:O8971"/>
  <sheetViews>
    <sheetView zoomScale="90" zoomScaleNormal="90" workbookViewId="0">
      <selection activeCell="F46" activeCellId="1" sqref="K91 F46"/>
    </sheetView>
  </sheetViews>
  <sheetFormatPr defaultColWidth="9.1328125" defaultRowHeight="14.25" x14ac:dyDescent="0.45"/>
  <cols>
    <col min="1" max="3" width="9.06640625"/>
    <col min="4" max="4" width="20" customWidth="1"/>
    <col min="5" max="5" width="16.9296875" customWidth="1"/>
    <col min="6" max="6" width="26.86328125" customWidth="1"/>
    <col min="7" max="15" width="9.06640625"/>
    <col min="16" max="16" width="25.86328125" style="185" customWidth="1"/>
    <col min="17" max="17" width="19.1328125" style="185" customWidth="1"/>
    <col min="18" max="18" width="18.73046875" style="185" customWidth="1"/>
    <col min="19" max="19" width="22.86328125" style="185" customWidth="1"/>
    <col min="20" max="20" width="21.86328125" style="185" customWidth="1"/>
    <col min="21" max="21" width="20.86328125" style="185" customWidth="1"/>
    <col min="22" max="22" width="20.1328125" style="185" customWidth="1"/>
    <col min="23" max="23" width="15.59765625" style="185" customWidth="1"/>
    <col min="24" max="24" width="12.86328125" style="185" customWidth="1"/>
    <col min="25" max="25" width="13.3984375" style="185" customWidth="1"/>
    <col min="26" max="26" width="12.73046875" style="185" customWidth="1"/>
    <col min="27" max="27" width="14.73046875" style="185" customWidth="1"/>
    <col min="28" max="28" width="23.73046875" style="185" customWidth="1"/>
    <col min="29" max="29" width="24.73046875" style="185" customWidth="1"/>
    <col min="30" max="30" width="15.1328125" style="185" customWidth="1"/>
    <col min="31" max="31" width="21" style="185" customWidth="1"/>
    <col min="32" max="32" width="16.59765625" style="185" customWidth="1"/>
    <col min="33" max="33" width="18.3984375" style="185" customWidth="1"/>
    <col min="34" max="34" width="20" style="185" customWidth="1"/>
    <col min="35" max="35" width="25.265625" style="185" customWidth="1"/>
    <col min="36" max="36" width="14.73046875" style="185" customWidth="1"/>
    <col min="37" max="37" width="11.59765625" style="185" customWidth="1"/>
    <col min="38" max="38" width="16.59765625" style="185" customWidth="1"/>
    <col min="39" max="39" width="14" style="185" bestFit="1" customWidth="1"/>
    <col min="40" max="40" width="57.3984375" style="185" customWidth="1"/>
    <col min="41" max="41" width="9.1328125" style="185"/>
    <col min="42" max="42" width="32.1328125" style="185" customWidth="1"/>
    <col min="43" max="16384" width="9.1328125" style="185"/>
  </cols>
  <sheetData>
    <row r="1" spans="1:15" x14ac:dyDescent="0.45">
      <c r="A1" t="s">
        <v>307</v>
      </c>
      <c r="B1" t="s">
        <v>308</v>
      </c>
      <c r="C1" t="s">
        <v>318</v>
      </c>
      <c r="D1" t="s">
        <v>29</v>
      </c>
      <c r="E1" t="s">
        <v>340</v>
      </c>
      <c r="F1" t="s">
        <v>371</v>
      </c>
      <c r="G1" t="s">
        <v>30</v>
      </c>
      <c r="H1" t="s">
        <v>31</v>
      </c>
      <c r="I1" t="s">
        <v>266</v>
      </c>
      <c r="J1" t="s">
        <v>156</v>
      </c>
      <c r="K1" t="s">
        <v>32</v>
      </c>
      <c r="L1" t="s">
        <v>299</v>
      </c>
      <c r="M1" t="s">
        <v>298</v>
      </c>
      <c r="N1" t="s">
        <v>300</v>
      </c>
      <c r="O1" t="s">
        <v>33</v>
      </c>
    </row>
    <row r="2" spans="1:15" hidden="1" x14ac:dyDescent="0.45">
      <c r="A2" s="187">
        <v>2011</v>
      </c>
      <c r="B2" t="s">
        <v>34</v>
      </c>
      <c r="C2" t="s">
        <v>319</v>
      </c>
      <c r="D2" t="s">
        <v>335</v>
      </c>
      <c r="E2" t="s">
        <v>10</v>
      </c>
      <c r="F2" t="s">
        <v>372</v>
      </c>
      <c r="G2" t="s">
        <v>453</v>
      </c>
      <c r="H2" t="s">
        <v>454</v>
      </c>
      <c r="I2" s="187"/>
      <c r="J2" s="187"/>
      <c r="K2" s="187">
        <v>0</v>
      </c>
      <c r="L2" s="187"/>
      <c r="M2" s="187">
        <v>0</v>
      </c>
      <c r="N2" s="187">
        <v>0</v>
      </c>
      <c r="O2" t="s">
        <v>461</v>
      </c>
    </row>
    <row r="3" spans="1:15" hidden="1" x14ac:dyDescent="0.45">
      <c r="A3" s="187">
        <v>2011</v>
      </c>
      <c r="B3" t="s">
        <v>34</v>
      </c>
      <c r="C3" t="s">
        <v>319</v>
      </c>
      <c r="D3" t="s">
        <v>335</v>
      </c>
      <c r="E3" t="s">
        <v>10</v>
      </c>
      <c r="F3" t="s">
        <v>373</v>
      </c>
      <c r="G3" t="s">
        <v>453</v>
      </c>
      <c r="H3" t="s">
        <v>454</v>
      </c>
      <c r="I3" s="187"/>
      <c r="J3" s="187"/>
      <c r="K3" s="187">
        <v>0</v>
      </c>
      <c r="L3" s="187"/>
      <c r="M3" s="187">
        <v>0</v>
      </c>
      <c r="N3" s="187">
        <v>0</v>
      </c>
      <c r="O3" t="s">
        <v>462</v>
      </c>
    </row>
    <row r="4" spans="1:15" hidden="1" x14ac:dyDescent="0.45">
      <c r="A4" s="187">
        <v>2012</v>
      </c>
      <c r="B4" t="s">
        <v>34</v>
      </c>
      <c r="C4" t="s">
        <v>320</v>
      </c>
      <c r="D4" t="s">
        <v>336</v>
      </c>
      <c r="E4" t="s">
        <v>102</v>
      </c>
      <c r="F4" t="s">
        <v>14</v>
      </c>
      <c r="G4" t="s">
        <v>36</v>
      </c>
      <c r="H4" t="s">
        <v>43</v>
      </c>
      <c r="I4" s="187"/>
      <c r="J4" s="187">
        <v>0</v>
      </c>
      <c r="K4" s="187">
        <v>0</v>
      </c>
      <c r="L4" s="187">
        <v>0</v>
      </c>
      <c r="M4" s="187">
        <v>0</v>
      </c>
      <c r="N4" s="187">
        <v>0</v>
      </c>
      <c r="O4" t="s">
        <v>463</v>
      </c>
    </row>
    <row r="5" spans="1:15" hidden="1" x14ac:dyDescent="0.45">
      <c r="A5" s="187">
        <v>2012</v>
      </c>
      <c r="B5" t="s">
        <v>34</v>
      </c>
      <c r="C5" t="s">
        <v>320</v>
      </c>
      <c r="D5" t="s">
        <v>336</v>
      </c>
      <c r="E5" t="s">
        <v>102</v>
      </c>
      <c r="F5" t="s">
        <v>14</v>
      </c>
      <c r="G5" t="s">
        <v>37</v>
      </c>
      <c r="H5" t="s">
        <v>43</v>
      </c>
      <c r="I5" s="187"/>
      <c r="J5" s="187">
        <v>0</v>
      </c>
      <c r="K5" s="187">
        <v>0</v>
      </c>
      <c r="L5" s="187">
        <v>0</v>
      </c>
      <c r="M5" s="187">
        <v>0</v>
      </c>
      <c r="N5" s="187">
        <v>0</v>
      </c>
      <c r="O5" t="s">
        <v>464</v>
      </c>
    </row>
    <row r="6" spans="1:15" hidden="1" x14ac:dyDescent="0.45">
      <c r="A6" s="187">
        <v>2012</v>
      </c>
      <c r="B6" t="s">
        <v>34</v>
      </c>
      <c r="C6" t="s">
        <v>320</v>
      </c>
      <c r="D6" t="s">
        <v>336</v>
      </c>
      <c r="E6" t="s">
        <v>102</v>
      </c>
      <c r="F6" t="s">
        <v>374</v>
      </c>
      <c r="G6" t="s">
        <v>36</v>
      </c>
      <c r="H6" t="s">
        <v>43</v>
      </c>
      <c r="I6" s="187"/>
      <c r="J6" s="187">
        <v>0</v>
      </c>
      <c r="K6" s="187">
        <v>0</v>
      </c>
      <c r="L6" s="187">
        <v>0</v>
      </c>
      <c r="M6" s="187">
        <v>0</v>
      </c>
      <c r="N6" s="187">
        <v>0</v>
      </c>
      <c r="O6" t="s">
        <v>465</v>
      </c>
    </row>
    <row r="7" spans="1:15" hidden="1" x14ac:dyDescent="0.45">
      <c r="A7" s="187">
        <v>2012</v>
      </c>
      <c r="B7" t="s">
        <v>34</v>
      </c>
      <c r="C7" t="s">
        <v>320</v>
      </c>
      <c r="D7" t="s">
        <v>336</v>
      </c>
      <c r="E7" t="s">
        <v>102</v>
      </c>
      <c r="F7" t="s">
        <v>374</v>
      </c>
      <c r="G7" t="s">
        <v>37</v>
      </c>
      <c r="H7" t="s">
        <v>43</v>
      </c>
      <c r="I7" s="187"/>
      <c r="J7" s="187">
        <v>0</v>
      </c>
      <c r="K7" s="187">
        <v>0</v>
      </c>
      <c r="L7" s="187">
        <v>0</v>
      </c>
      <c r="M7" s="187">
        <v>0</v>
      </c>
      <c r="N7" s="187">
        <v>0</v>
      </c>
      <c r="O7" t="s">
        <v>466</v>
      </c>
    </row>
    <row r="8" spans="1:15" hidden="1" x14ac:dyDescent="0.45">
      <c r="A8" s="187">
        <v>2012</v>
      </c>
      <c r="B8" t="s">
        <v>34</v>
      </c>
      <c r="C8" t="s">
        <v>320</v>
      </c>
      <c r="D8" t="s">
        <v>336</v>
      </c>
      <c r="E8" t="s">
        <v>102</v>
      </c>
      <c r="F8" t="s">
        <v>375</v>
      </c>
      <c r="G8" t="s">
        <v>36</v>
      </c>
      <c r="H8" t="s">
        <v>43</v>
      </c>
      <c r="I8" s="187"/>
      <c r="J8" s="187">
        <v>427.111328125</v>
      </c>
      <c r="K8" s="187">
        <v>0</v>
      </c>
      <c r="L8" s="187">
        <v>0</v>
      </c>
      <c r="M8" s="187">
        <v>427.111328125</v>
      </c>
      <c r="N8" s="187">
        <v>0</v>
      </c>
      <c r="O8" t="s">
        <v>467</v>
      </c>
    </row>
    <row r="9" spans="1:15" hidden="1" x14ac:dyDescent="0.45">
      <c r="A9" s="187">
        <v>2012</v>
      </c>
      <c r="B9" t="s">
        <v>34</v>
      </c>
      <c r="C9" t="s">
        <v>320</v>
      </c>
      <c r="D9" t="s">
        <v>336</v>
      </c>
      <c r="E9" t="s">
        <v>102</v>
      </c>
      <c r="F9" t="s">
        <v>375</v>
      </c>
      <c r="G9" t="s">
        <v>37</v>
      </c>
      <c r="H9" t="s">
        <v>43</v>
      </c>
      <c r="I9" s="187"/>
      <c r="J9" s="187">
        <v>354</v>
      </c>
      <c r="K9" s="187">
        <v>0</v>
      </c>
      <c r="L9" s="187">
        <v>0</v>
      </c>
      <c r="M9" s="187">
        <v>354</v>
      </c>
      <c r="N9" s="187">
        <v>0</v>
      </c>
      <c r="O9" t="s">
        <v>468</v>
      </c>
    </row>
    <row r="10" spans="1:15" hidden="1" x14ac:dyDescent="0.45">
      <c r="A10" s="187">
        <v>2012</v>
      </c>
      <c r="B10" t="s">
        <v>34</v>
      </c>
      <c r="C10" t="s">
        <v>320</v>
      </c>
      <c r="D10" t="s">
        <v>336</v>
      </c>
      <c r="E10" t="s">
        <v>102</v>
      </c>
      <c r="F10" t="s">
        <v>376</v>
      </c>
      <c r="G10" t="s">
        <v>36</v>
      </c>
      <c r="H10" t="s">
        <v>43</v>
      </c>
      <c r="I10" s="187"/>
      <c r="J10" s="187">
        <v>0</v>
      </c>
      <c r="K10" s="187">
        <v>0</v>
      </c>
      <c r="L10" s="187">
        <v>0</v>
      </c>
      <c r="M10" s="187">
        <v>0</v>
      </c>
      <c r="N10" s="187">
        <v>0</v>
      </c>
      <c r="O10" t="s">
        <v>469</v>
      </c>
    </row>
    <row r="11" spans="1:15" hidden="1" x14ac:dyDescent="0.45">
      <c r="A11" s="187">
        <v>2012</v>
      </c>
      <c r="B11" t="s">
        <v>34</v>
      </c>
      <c r="C11" t="s">
        <v>320</v>
      </c>
      <c r="D11" t="s">
        <v>336</v>
      </c>
      <c r="E11" t="s">
        <v>102</v>
      </c>
      <c r="F11" t="s">
        <v>376</v>
      </c>
      <c r="G11" t="s">
        <v>37</v>
      </c>
      <c r="H11" t="s">
        <v>43</v>
      </c>
      <c r="I11" s="187"/>
      <c r="J11" s="187">
        <v>0</v>
      </c>
      <c r="K11" s="187">
        <v>0</v>
      </c>
      <c r="L11" s="187">
        <v>0</v>
      </c>
      <c r="M11" s="187">
        <v>0</v>
      </c>
      <c r="N11" s="187">
        <v>0</v>
      </c>
      <c r="O11" t="s">
        <v>470</v>
      </c>
    </row>
    <row r="12" spans="1:15" hidden="1" x14ac:dyDescent="0.45">
      <c r="A12" s="187">
        <v>2012</v>
      </c>
      <c r="B12" t="s">
        <v>34</v>
      </c>
      <c r="C12" t="s">
        <v>320</v>
      </c>
      <c r="D12" t="s">
        <v>336</v>
      </c>
      <c r="E12" t="s">
        <v>102</v>
      </c>
      <c r="F12" t="s">
        <v>347</v>
      </c>
      <c r="G12" t="s">
        <v>36</v>
      </c>
      <c r="H12" t="s">
        <v>43</v>
      </c>
      <c r="I12" s="187"/>
      <c r="J12" s="187">
        <v>2477.984619140625</v>
      </c>
      <c r="K12" s="187">
        <v>0</v>
      </c>
      <c r="L12" s="187">
        <v>0</v>
      </c>
      <c r="M12" s="187">
        <v>2477.984619140625</v>
      </c>
      <c r="N12" s="187">
        <v>0</v>
      </c>
      <c r="O12" t="s">
        <v>471</v>
      </c>
    </row>
    <row r="13" spans="1:15" hidden="1" x14ac:dyDescent="0.45">
      <c r="A13" s="187">
        <v>2012</v>
      </c>
      <c r="B13" t="s">
        <v>34</v>
      </c>
      <c r="C13" t="s">
        <v>320</v>
      </c>
      <c r="D13" t="s">
        <v>336</v>
      </c>
      <c r="E13" t="s">
        <v>102</v>
      </c>
      <c r="F13" t="s">
        <v>347</v>
      </c>
      <c r="G13" t="s">
        <v>37</v>
      </c>
      <c r="H13" t="s">
        <v>43</v>
      </c>
      <c r="I13" s="187"/>
      <c r="J13" s="187">
        <v>2107</v>
      </c>
      <c r="K13" s="187">
        <v>0</v>
      </c>
      <c r="L13" s="187">
        <v>0</v>
      </c>
      <c r="M13" s="187">
        <v>2107</v>
      </c>
      <c r="N13" s="187">
        <v>0</v>
      </c>
      <c r="O13" t="s">
        <v>472</v>
      </c>
    </row>
    <row r="14" spans="1:15" hidden="1" x14ac:dyDescent="0.45">
      <c r="A14" s="187">
        <v>2012</v>
      </c>
      <c r="B14" t="s">
        <v>34</v>
      </c>
      <c r="C14" t="s">
        <v>319</v>
      </c>
      <c r="D14" t="s">
        <v>335</v>
      </c>
      <c r="E14" t="s">
        <v>10</v>
      </c>
      <c r="F14" t="s">
        <v>372</v>
      </c>
      <c r="G14" t="s">
        <v>453</v>
      </c>
      <c r="H14" t="s">
        <v>454</v>
      </c>
      <c r="I14" s="187"/>
      <c r="J14" s="187">
        <v>6.5199999999999994E-2</v>
      </c>
      <c r="K14" s="187">
        <v>4.0684039634560902E-2</v>
      </c>
      <c r="L14" s="187">
        <v>7.9299999999999995E-2</v>
      </c>
      <c r="M14" s="187">
        <v>6.1728011816740036E-2</v>
      </c>
      <c r="N14" s="187">
        <v>2.643333375453949E-2</v>
      </c>
      <c r="O14" t="s">
        <v>473</v>
      </c>
    </row>
    <row r="15" spans="1:15" hidden="1" x14ac:dyDescent="0.45">
      <c r="A15" s="187">
        <v>2012</v>
      </c>
      <c r="B15" t="s">
        <v>34</v>
      </c>
      <c r="C15" t="s">
        <v>319</v>
      </c>
      <c r="D15" t="s">
        <v>335</v>
      </c>
      <c r="E15" t="s">
        <v>10</v>
      </c>
      <c r="F15" t="s">
        <v>373</v>
      </c>
      <c r="G15" t="s">
        <v>453</v>
      </c>
      <c r="H15" t="s">
        <v>454</v>
      </c>
      <c r="I15" s="187"/>
      <c r="J15" s="187">
        <v>7.3099999999999998E-2</v>
      </c>
      <c r="K15" s="187">
        <v>4.8149959634560903E-2</v>
      </c>
      <c r="L15" s="187">
        <v>8.72E-2</v>
      </c>
      <c r="M15" s="187">
        <v>6.948331743478775E-2</v>
      </c>
      <c r="N15" s="187">
        <v>2.9066666960716248E-2</v>
      </c>
      <c r="O15" t="s">
        <v>474</v>
      </c>
    </row>
    <row r="16" spans="1:15" hidden="1" x14ac:dyDescent="0.45">
      <c r="A16" s="187">
        <v>2012</v>
      </c>
      <c r="B16" t="s">
        <v>34</v>
      </c>
      <c r="C16" t="s">
        <v>321</v>
      </c>
      <c r="D16" t="s">
        <v>335</v>
      </c>
      <c r="E16" t="s">
        <v>341</v>
      </c>
      <c r="F16" t="s">
        <v>375</v>
      </c>
      <c r="G16" t="s">
        <v>36</v>
      </c>
      <c r="H16" t="s">
        <v>43</v>
      </c>
      <c r="I16" s="187"/>
      <c r="J16" s="187">
        <v>1717.065673828125</v>
      </c>
      <c r="K16" s="187">
        <v>17265.294921875</v>
      </c>
      <c r="L16" s="187">
        <v>22824.037109375</v>
      </c>
      <c r="M16" s="187">
        <v>41806.3984375</v>
      </c>
      <c r="N16" s="187">
        <v>22824.037109375</v>
      </c>
      <c r="O16" t="s">
        <v>475</v>
      </c>
    </row>
    <row r="17" spans="1:15" hidden="1" x14ac:dyDescent="0.45">
      <c r="A17" s="187">
        <v>2012</v>
      </c>
      <c r="B17" t="s">
        <v>34</v>
      </c>
      <c r="C17" t="s">
        <v>321</v>
      </c>
      <c r="D17" t="s">
        <v>335</v>
      </c>
      <c r="E17" t="s">
        <v>341</v>
      </c>
      <c r="F17" t="s">
        <v>375</v>
      </c>
      <c r="G17" t="s">
        <v>37</v>
      </c>
      <c r="H17" t="s">
        <v>43</v>
      </c>
      <c r="I17" s="187"/>
      <c r="J17" s="187">
        <v>1460</v>
      </c>
      <c r="K17" s="187">
        <v>14680.46875</v>
      </c>
      <c r="L17" s="187">
        <v>19407</v>
      </c>
      <c r="M17" s="187">
        <v>35547.46875</v>
      </c>
      <c r="N17" s="187">
        <v>19407</v>
      </c>
      <c r="O17" t="s">
        <v>476</v>
      </c>
    </row>
    <row r="18" spans="1:15" hidden="1" x14ac:dyDescent="0.45">
      <c r="A18" s="187">
        <v>2012</v>
      </c>
      <c r="B18" t="s">
        <v>34</v>
      </c>
      <c r="C18" t="s">
        <v>321</v>
      </c>
      <c r="D18" t="s">
        <v>335</v>
      </c>
      <c r="E18" t="s">
        <v>341</v>
      </c>
      <c r="F18" t="s">
        <v>377</v>
      </c>
      <c r="G18" t="s">
        <v>36</v>
      </c>
      <c r="H18" t="s">
        <v>43</v>
      </c>
      <c r="I18" s="187"/>
      <c r="J18" s="187">
        <v>109.37473297119141</v>
      </c>
      <c r="K18" s="187">
        <v>2255.684814453125</v>
      </c>
      <c r="L18" s="187">
        <v>1916.998046875</v>
      </c>
      <c r="M18" s="187">
        <v>4282.0576171875</v>
      </c>
      <c r="N18" s="187">
        <v>1916.998046875</v>
      </c>
      <c r="O18" t="s">
        <v>477</v>
      </c>
    </row>
    <row r="19" spans="1:15" hidden="1" x14ac:dyDescent="0.45">
      <c r="A19" s="187">
        <v>2012</v>
      </c>
      <c r="B19" t="s">
        <v>34</v>
      </c>
      <c r="C19" t="s">
        <v>321</v>
      </c>
      <c r="D19" t="s">
        <v>335</v>
      </c>
      <c r="E19" t="s">
        <v>341</v>
      </c>
      <c r="F19" t="s">
        <v>377</v>
      </c>
      <c r="G19" t="s">
        <v>37</v>
      </c>
      <c r="H19" t="s">
        <v>43</v>
      </c>
      <c r="I19" s="187"/>
      <c r="J19" s="187">
        <v>93</v>
      </c>
      <c r="K19" s="187">
        <v>1917.9813232421875</v>
      </c>
      <c r="L19" s="187">
        <v>1630</v>
      </c>
      <c r="M19" s="187">
        <v>3640.9814453125</v>
      </c>
      <c r="N19" s="187">
        <v>1630</v>
      </c>
      <c r="O19" t="s">
        <v>478</v>
      </c>
    </row>
    <row r="20" spans="1:15" hidden="1" x14ac:dyDescent="0.45">
      <c r="A20" s="187">
        <v>2012</v>
      </c>
      <c r="B20" t="s">
        <v>34</v>
      </c>
      <c r="C20" t="s">
        <v>321</v>
      </c>
      <c r="D20" t="s">
        <v>335</v>
      </c>
      <c r="E20" t="s">
        <v>342</v>
      </c>
      <c r="F20" t="s">
        <v>342</v>
      </c>
      <c r="G20" t="s">
        <v>36</v>
      </c>
      <c r="H20" t="s">
        <v>43</v>
      </c>
      <c r="I20" s="187"/>
      <c r="J20" s="187">
        <v>3504.69580078125</v>
      </c>
      <c r="K20" s="187">
        <v>34736.8984375</v>
      </c>
      <c r="L20" s="187">
        <v>74677.0703125</v>
      </c>
      <c r="M20" s="187">
        <v>112918.6640625</v>
      </c>
      <c r="N20" s="187">
        <v>74677.0703125</v>
      </c>
      <c r="O20" t="s">
        <v>479</v>
      </c>
    </row>
    <row r="21" spans="1:15" hidden="1" x14ac:dyDescent="0.45">
      <c r="A21" s="187">
        <v>2012</v>
      </c>
      <c r="B21" t="s">
        <v>34</v>
      </c>
      <c r="C21" t="s">
        <v>321</v>
      </c>
      <c r="D21" t="s">
        <v>335</v>
      </c>
      <c r="E21" t="s">
        <v>342</v>
      </c>
      <c r="F21" t="s">
        <v>342</v>
      </c>
      <c r="G21" t="s">
        <v>37</v>
      </c>
      <c r="H21" t="s">
        <v>43</v>
      </c>
      <c r="I21" s="187"/>
      <c r="J21" s="187">
        <v>2980</v>
      </c>
      <c r="K21" s="187">
        <v>29536.359375</v>
      </c>
      <c r="L21" s="187">
        <v>63497</v>
      </c>
      <c r="M21" s="187">
        <v>96013.359375</v>
      </c>
      <c r="N21" s="187">
        <v>63497</v>
      </c>
      <c r="O21" t="s">
        <v>480</v>
      </c>
    </row>
    <row r="22" spans="1:15" hidden="1" x14ac:dyDescent="0.45">
      <c r="A22" s="187">
        <v>2012</v>
      </c>
      <c r="B22" t="s">
        <v>34</v>
      </c>
      <c r="C22" t="s">
        <v>321</v>
      </c>
      <c r="D22" t="s">
        <v>335</v>
      </c>
      <c r="E22" t="s">
        <v>343</v>
      </c>
      <c r="F22" t="s">
        <v>343</v>
      </c>
      <c r="G22" t="s">
        <v>36</v>
      </c>
      <c r="H22" t="s">
        <v>43</v>
      </c>
      <c r="I22" s="187"/>
      <c r="J22" s="187">
        <v>2039.3095703125</v>
      </c>
      <c r="K22" s="187">
        <v>22713.80078125</v>
      </c>
      <c r="L22" s="187">
        <v>49390.78125</v>
      </c>
      <c r="M22" s="187">
        <v>74143.890625</v>
      </c>
      <c r="N22" s="187">
        <v>49390.78125</v>
      </c>
      <c r="O22" t="s">
        <v>481</v>
      </c>
    </row>
    <row r="23" spans="1:15" hidden="1" x14ac:dyDescent="0.45">
      <c r="A23" s="187">
        <v>2012</v>
      </c>
      <c r="B23" t="s">
        <v>34</v>
      </c>
      <c r="C23" t="s">
        <v>321</v>
      </c>
      <c r="D23" t="s">
        <v>335</v>
      </c>
      <c r="E23" t="s">
        <v>343</v>
      </c>
      <c r="F23" t="s">
        <v>343</v>
      </c>
      <c r="G23" t="s">
        <v>37</v>
      </c>
      <c r="H23" t="s">
        <v>43</v>
      </c>
      <c r="I23" s="187"/>
      <c r="J23" s="187">
        <v>1734</v>
      </c>
      <c r="K23" s="187">
        <v>19313.267578125</v>
      </c>
      <c r="L23" s="187">
        <v>41996.37890625</v>
      </c>
      <c r="M23" s="187">
        <v>63043.6484375</v>
      </c>
      <c r="N23" s="187">
        <v>41996.37890625</v>
      </c>
      <c r="O23" t="s">
        <v>482</v>
      </c>
    </row>
    <row r="24" spans="1:15" hidden="1" x14ac:dyDescent="0.45">
      <c r="A24" s="187">
        <v>2012</v>
      </c>
      <c r="B24" t="s">
        <v>34</v>
      </c>
      <c r="C24" t="s">
        <v>321</v>
      </c>
      <c r="D24" t="s">
        <v>335</v>
      </c>
      <c r="E24" t="s">
        <v>344</v>
      </c>
      <c r="F24" t="s">
        <v>344</v>
      </c>
      <c r="G24" t="s">
        <v>36</v>
      </c>
      <c r="H24" t="s">
        <v>43</v>
      </c>
      <c r="I24" s="187"/>
      <c r="J24" s="187">
        <v>2734.368408203125</v>
      </c>
      <c r="K24" s="187">
        <v>27561.69921875</v>
      </c>
      <c r="L24" s="187">
        <v>63497.93359375</v>
      </c>
      <c r="M24" s="187">
        <v>93794</v>
      </c>
      <c r="N24" s="187">
        <v>63497.93359375</v>
      </c>
      <c r="O24" t="s">
        <v>483</v>
      </c>
    </row>
    <row r="25" spans="1:15" hidden="1" x14ac:dyDescent="0.45">
      <c r="A25" s="187">
        <v>2012</v>
      </c>
      <c r="B25" t="s">
        <v>34</v>
      </c>
      <c r="C25" t="s">
        <v>321</v>
      </c>
      <c r="D25" t="s">
        <v>335</v>
      </c>
      <c r="E25" t="s">
        <v>344</v>
      </c>
      <c r="F25" t="s">
        <v>344</v>
      </c>
      <c r="G25" t="s">
        <v>37</v>
      </c>
      <c r="H25" t="s">
        <v>43</v>
      </c>
      <c r="I25" s="187"/>
      <c r="J25" s="187">
        <v>2325</v>
      </c>
      <c r="K25" s="187">
        <v>23435.376953125</v>
      </c>
      <c r="L25" s="187">
        <v>53991.51953125</v>
      </c>
      <c r="M25" s="187">
        <v>79751.8984375</v>
      </c>
      <c r="N25" s="187">
        <v>53991.51953125</v>
      </c>
      <c r="O25" t="s">
        <v>484</v>
      </c>
    </row>
    <row r="26" spans="1:15" hidden="1" x14ac:dyDescent="0.45">
      <c r="A26" s="187">
        <v>2012</v>
      </c>
      <c r="B26" t="s">
        <v>34</v>
      </c>
      <c r="C26" t="s">
        <v>321</v>
      </c>
      <c r="D26" t="s">
        <v>335</v>
      </c>
      <c r="E26" t="s">
        <v>345</v>
      </c>
      <c r="F26" t="s">
        <v>378</v>
      </c>
      <c r="G26" t="s">
        <v>36</v>
      </c>
      <c r="H26" t="s">
        <v>43</v>
      </c>
      <c r="I26" s="187"/>
      <c r="J26" s="187">
        <v>695.05877685546875</v>
      </c>
      <c r="K26" s="187">
        <v>4847.89794921875</v>
      </c>
      <c r="L26" s="187">
        <v>14107.1533203125</v>
      </c>
      <c r="M26" s="187">
        <v>19650.109375</v>
      </c>
      <c r="N26" s="187">
        <v>14107.1533203125</v>
      </c>
      <c r="O26" t="s">
        <v>485</v>
      </c>
    </row>
    <row r="27" spans="1:15" hidden="1" x14ac:dyDescent="0.45">
      <c r="A27" s="187">
        <v>2012</v>
      </c>
      <c r="B27" t="s">
        <v>34</v>
      </c>
      <c r="C27" t="s">
        <v>321</v>
      </c>
      <c r="D27" t="s">
        <v>335</v>
      </c>
      <c r="E27" t="s">
        <v>345</v>
      </c>
      <c r="F27" t="s">
        <v>378</v>
      </c>
      <c r="G27" t="s">
        <v>37</v>
      </c>
      <c r="H27" t="s">
        <v>43</v>
      </c>
      <c r="I27" s="187"/>
      <c r="J27" s="187">
        <v>591</v>
      </c>
      <c r="K27" s="187">
        <v>4122.1083984375</v>
      </c>
      <c r="L27" s="187">
        <v>11995.140625</v>
      </c>
      <c r="M27" s="187">
        <v>16708.25</v>
      </c>
      <c r="N27" s="187">
        <v>11995.140625</v>
      </c>
      <c r="O27" t="s">
        <v>486</v>
      </c>
    </row>
    <row r="28" spans="1:15" hidden="1" x14ac:dyDescent="0.45">
      <c r="A28" s="187">
        <v>2012</v>
      </c>
      <c r="B28" t="s">
        <v>34</v>
      </c>
      <c r="C28" t="s">
        <v>321</v>
      </c>
      <c r="D28" t="s">
        <v>335</v>
      </c>
      <c r="E28" t="s">
        <v>346</v>
      </c>
      <c r="F28" t="s">
        <v>379</v>
      </c>
      <c r="G28" t="s">
        <v>36</v>
      </c>
      <c r="H28" t="s">
        <v>43</v>
      </c>
      <c r="I28" s="187"/>
      <c r="J28" s="187">
        <v>0</v>
      </c>
      <c r="K28" s="187">
        <v>0</v>
      </c>
      <c r="L28" s="187">
        <v>107.58745574951172</v>
      </c>
      <c r="M28" s="187">
        <v>107.58745574951172</v>
      </c>
      <c r="N28" s="187">
        <v>107.58745574951172</v>
      </c>
      <c r="O28" t="s">
        <v>487</v>
      </c>
    </row>
    <row r="29" spans="1:15" hidden="1" x14ac:dyDescent="0.45">
      <c r="A29" s="187">
        <v>2012</v>
      </c>
      <c r="B29" t="s">
        <v>34</v>
      </c>
      <c r="C29" t="s">
        <v>321</v>
      </c>
      <c r="D29" t="s">
        <v>335</v>
      </c>
      <c r="E29" t="s">
        <v>346</v>
      </c>
      <c r="F29" t="s">
        <v>379</v>
      </c>
      <c r="G29" t="s">
        <v>37</v>
      </c>
      <c r="H29" t="s">
        <v>43</v>
      </c>
      <c r="I29" s="187"/>
      <c r="J29" s="187">
        <v>0</v>
      </c>
      <c r="K29" s="187">
        <v>0</v>
      </c>
      <c r="L29" s="187">
        <v>91.480300903320313</v>
      </c>
      <c r="M29" s="187">
        <v>91.480300903320313</v>
      </c>
      <c r="N29" s="187">
        <v>91.480300903320313</v>
      </c>
      <c r="O29" t="s">
        <v>488</v>
      </c>
    </row>
    <row r="30" spans="1:15" hidden="1" x14ac:dyDescent="0.45">
      <c r="A30" s="187">
        <v>2012</v>
      </c>
      <c r="B30" t="s">
        <v>34</v>
      </c>
      <c r="C30" t="s">
        <v>321</v>
      </c>
      <c r="D30" t="s">
        <v>335</v>
      </c>
      <c r="E30" t="s">
        <v>347</v>
      </c>
      <c r="F30" t="s">
        <v>380</v>
      </c>
      <c r="G30" t="s">
        <v>36</v>
      </c>
      <c r="H30" t="s">
        <v>43</v>
      </c>
      <c r="I30" s="187"/>
      <c r="J30" s="187">
        <v>0</v>
      </c>
      <c r="K30" s="187">
        <v>-76.02215576171875</v>
      </c>
      <c r="L30" s="187">
        <v>-25.873592376708984</v>
      </c>
      <c r="M30" s="187">
        <v>-101.895751953125</v>
      </c>
      <c r="N30" s="187">
        <v>-25.873592376708984</v>
      </c>
      <c r="O30" t="s">
        <v>489</v>
      </c>
    </row>
    <row r="31" spans="1:15" hidden="1" x14ac:dyDescent="0.45">
      <c r="A31" s="187">
        <v>2012</v>
      </c>
      <c r="B31" t="s">
        <v>34</v>
      </c>
      <c r="C31" t="s">
        <v>321</v>
      </c>
      <c r="D31" t="s">
        <v>335</v>
      </c>
      <c r="E31" t="s">
        <v>347</v>
      </c>
      <c r="F31" t="s">
        <v>380</v>
      </c>
      <c r="G31" t="s">
        <v>37</v>
      </c>
      <c r="H31" t="s">
        <v>43</v>
      </c>
      <c r="I31" s="187"/>
      <c r="J31" s="187">
        <v>0</v>
      </c>
      <c r="K31" s="187">
        <v>-64.640708923339844</v>
      </c>
      <c r="L31" s="187">
        <v>-22</v>
      </c>
      <c r="M31" s="187">
        <v>-86.640708923339844</v>
      </c>
      <c r="N31" s="187">
        <v>-22</v>
      </c>
      <c r="O31" t="s">
        <v>490</v>
      </c>
    </row>
    <row r="32" spans="1:15" hidden="1" x14ac:dyDescent="0.45">
      <c r="A32" s="187">
        <v>2012</v>
      </c>
      <c r="B32" t="s">
        <v>34</v>
      </c>
      <c r="C32" t="s">
        <v>321</v>
      </c>
      <c r="D32" t="s">
        <v>335</v>
      </c>
      <c r="E32" t="s">
        <v>347</v>
      </c>
      <c r="F32" t="s">
        <v>11</v>
      </c>
      <c r="G32" t="s">
        <v>36</v>
      </c>
      <c r="H32" t="s">
        <v>43</v>
      </c>
      <c r="I32" s="187"/>
      <c r="J32" s="187">
        <v>5308.791015625</v>
      </c>
      <c r="K32" s="187">
        <v>54190.9296875</v>
      </c>
      <c r="L32" s="187">
        <v>99443.9765625</v>
      </c>
      <c r="M32" s="187">
        <v>158943.6875</v>
      </c>
      <c r="N32" s="187">
        <v>99443.9765625</v>
      </c>
      <c r="O32" t="s">
        <v>491</v>
      </c>
    </row>
    <row r="33" spans="1:15" hidden="1" x14ac:dyDescent="0.45">
      <c r="A33" s="187">
        <v>2012</v>
      </c>
      <c r="B33" t="s">
        <v>34</v>
      </c>
      <c r="C33" t="s">
        <v>321</v>
      </c>
      <c r="D33" t="s">
        <v>335</v>
      </c>
      <c r="E33" t="s">
        <v>347</v>
      </c>
      <c r="F33" t="s">
        <v>11</v>
      </c>
      <c r="G33" t="s">
        <v>37</v>
      </c>
      <c r="H33" t="s">
        <v>43</v>
      </c>
      <c r="I33" s="187"/>
      <c r="J33" s="187">
        <v>4514</v>
      </c>
      <c r="K33" s="187">
        <v>46077.88671875</v>
      </c>
      <c r="L33" s="187">
        <v>84556</v>
      </c>
      <c r="M33" s="187">
        <v>135147.890625</v>
      </c>
      <c r="N33" s="187">
        <v>84556</v>
      </c>
      <c r="O33" t="s">
        <v>492</v>
      </c>
    </row>
    <row r="34" spans="1:15" hidden="1" x14ac:dyDescent="0.45">
      <c r="A34" s="187">
        <v>2012</v>
      </c>
      <c r="B34" t="s">
        <v>34</v>
      </c>
      <c r="C34" t="s">
        <v>321</v>
      </c>
      <c r="D34" t="s">
        <v>335</v>
      </c>
      <c r="E34" t="s">
        <v>347</v>
      </c>
      <c r="F34" t="s">
        <v>381</v>
      </c>
      <c r="G34" t="s">
        <v>36</v>
      </c>
      <c r="H34" t="s">
        <v>43</v>
      </c>
      <c r="I34" s="187"/>
      <c r="J34" s="187">
        <v>22.345375061035156</v>
      </c>
      <c r="K34" s="187">
        <v>142.96539306640625</v>
      </c>
      <c r="L34" s="187">
        <v>0</v>
      </c>
      <c r="M34" s="187">
        <v>165.31076049804688</v>
      </c>
      <c r="N34" s="187">
        <v>0</v>
      </c>
      <c r="O34" t="s">
        <v>493</v>
      </c>
    </row>
    <row r="35" spans="1:15" hidden="1" x14ac:dyDescent="0.45">
      <c r="A35" s="187">
        <v>2012</v>
      </c>
      <c r="B35" t="s">
        <v>34</v>
      </c>
      <c r="C35" t="s">
        <v>321</v>
      </c>
      <c r="D35" t="s">
        <v>335</v>
      </c>
      <c r="E35" t="s">
        <v>347</v>
      </c>
      <c r="F35" t="s">
        <v>381</v>
      </c>
      <c r="G35" t="s">
        <v>37</v>
      </c>
      <c r="H35" t="s">
        <v>43</v>
      </c>
      <c r="I35" s="187"/>
      <c r="J35" s="187">
        <v>19</v>
      </c>
      <c r="K35" s="187">
        <v>121.56172943115234</v>
      </c>
      <c r="L35" s="187">
        <v>0</v>
      </c>
      <c r="M35" s="187">
        <v>140.56173706054688</v>
      </c>
      <c r="N35" s="187">
        <v>0</v>
      </c>
      <c r="O35" t="s">
        <v>494</v>
      </c>
    </row>
    <row r="36" spans="1:15" hidden="1" x14ac:dyDescent="0.45">
      <c r="A36" s="187">
        <v>2012</v>
      </c>
      <c r="B36" t="s">
        <v>34</v>
      </c>
      <c r="C36" t="s">
        <v>321</v>
      </c>
      <c r="D36" t="s">
        <v>335</v>
      </c>
      <c r="E36" t="s">
        <v>347</v>
      </c>
      <c r="F36" t="s">
        <v>347</v>
      </c>
      <c r="G36" t="s">
        <v>36</v>
      </c>
      <c r="H36" t="s">
        <v>43</v>
      </c>
      <c r="I36" s="187"/>
      <c r="J36" s="187">
        <v>5331.13623046875</v>
      </c>
      <c r="K36" s="187">
        <v>54257.875</v>
      </c>
      <c r="L36" s="187">
        <v>99418.1015625</v>
      </c>
      <c r="M36" s="187">
        <v>159007.109375</v>
      </c>
      <c r="N36" s="187">
        <v>99418.1015625</v>
      </c>
      <c r="O36" t="s">
        <v>495</v>
      </c>
    </row>
    <row r="37" spans="1:15" hidden="1" x14ac:dyDescent="0.45">
      <c r="A37" s="187">
        <v>2012</v>
      </c>
      <c r="B37" t="s">
        <v>34</v>
      </c>
      <c r="C37" t="s">
        <v>321</v>
      </c>
      <c r="D37" t="s">
        <v>335</v>
      </c>
      <c r="E37" t="s">
        <v>347</v>
      </c>
      <c r="F37" t="s">
        <v>347</v>
      </c>
      <c r="G37" t="s">
        <v>37</v>
      </c>
      <c r="H37" t="s">
        <v>43</v>
      </c>
      <c r="I37" s="187"/>
      <c r="J37" s="187">
        <v>4533</v>
      </c>
      <c r="K37" s="187">
        <v>46134.80859375</v>
      </c>
      <c r="L37" s="187">
        <v>84534</v>
      </c>
      <c r="M37" s="187">
        <v>135201.8125</v>
      </c>
      <c r="N37" s="187">
        <v>84534</v>
      </c>
      <c r="O37" t="s">
        <v>496</v>
      </c>
    </row>
    <row r="38" spans="1:15" hidden="1" x14ac:dyDescent="0.45">
      <c r="A38" s="187">
        <v>2013</v>
      </c>
      <c r="B38" t="s">
        <v>309</v>
      </c>
      <c r="C38" t="s">
        <v>322</v>
      </c>
      <c r="D38" t="s">
        <v>35</v>
      </c>
      <c r="E38" t="s">
        <v>348</v>
      </c>
      <c r="F38" t="s">
        <v>382</v>
      </c>
      <c r="G38" t="s">
        <v>36</v>
      </c>
      <c r="H38" t="s">
        <v>43</v>
      </c>
      <c r="I38" s="187"/>
      <c r="J38" s="187">
        <v>896.81179812807829</v>
      </c>
      <c r="K38" s="187">
        <v>11688.571681429159</v>
      </c>
      <c r="L38" s="187">
        <v>32132.88594858611</v>
      </c>
      <c r="M38" s="187">
        <v>44718.26953125</v>
      </c>
      <c r="N38" s="187">
        <v>32132.88671875</v>
      </c>
      <c r="O38" t="s">
        <v>497</v>
      </c>
    </row>
    <row r="39" spans="1:15" hidden="1" x14ac:dyDescent="0.45">
      <c r="A39" s="187">
        <v>2013</v>
      </c>
      <c r="B39" t="s">
        <v>309</v>
      </c>
      <c r="C39" t="s">
        <v>322</v>
      </c>
      <c r="D39" t="s">
        <v>35</v>
      </c>
      <c r="E39" t="s">
        <v>348</v>
      </c>
      <c r="F39" t="s">
        <v>382</v>
      </c>
      <c r="G39" t="s">
        <v>37</v>
      </c>
      <c r="H39" t="s">
        <v>43</v>
      </c>
      <c r="I39" s="187"/>
      <c r="J39" s="187">
        <v>677</v>
      </c>
      <c r="K39" s="187">
        <v>8823.660711026263</v>
      </c>
      <c r="L39" s="187">
        <v>24257</v>
      </c>
      <c r="M39" s="187">
        <v>33757.66015625</v>
      </c>
      <c r="N39" s="187">
        <v>24257</v>
      </c>
      <c r="O39" t="s">
        <v>498</v>
      </c>
    </row>
    <row r="40" spans="1:15" hidden="1" x14ac:dyDescent="0.45">
      <c r="A40" s="187">
        <v>2013</v>
      </c>
      <c r="B40" t="s">
        <v>309</v>
      </c>
      <c r="C40" t="s">
        <v>322</v>
      </c>
      <c r="D40" t="s">
        <v>35</v>
      </c>
      <c r="E40" t="s">
        <v>19</v>
      </c>
      <c r="F40" t="s">
        <v>19</v>
      </c>
      <c r="G40" t="s">
        <v>36</v>
      </c>
      <c r="H40" t="s">
        <v>43</v>
      </c>
      <c r="I40" s="187"/>
      <c r="J40" s="187">
        <v>0</v>
      </c>
      <c r="K40" s="187">
        <v>148.5369378494851</v>
      </c>
      <c r="L40" s="187">
        <v>1609.4923703480283</v>
      </c>
      <c r="M40" s="187">
        <v>1758.029296875</v>
      </c>
      <c r="N40" s="187">
        <v>1609.4923095703125</v>
      </c>
      <c r="O40" t="s">
        <v>499</v>
      </c>
    </row>
    <row r="41" spans="1:15" hidden="1" x14ac:dyDescent="0.45">
      <c r="A41" s="187">
        <v>2013</v>
      </c>
      <c r="B41" t="s">
        <v>309</v>
      </c>
      <c r="C41" t="s">
        <v>322</v>
      </c>
      <c r="D41" t="s">
        <v>35</v>
      </c>
      <c r="E41" t="s">
        <v>19</v>
      </c>
      <c r="F41" t="s">
        <v>19</v>
      </c>
      <c r="G41" t="s">
        <v>37</v>
      </c>
      <c r="H41" t="s">
        <v>43</v>
      </c>
      <c r="I41" s="187"/>
      <c r="J41" s="187">
        <v>0</v>
      </c>
      <c r="K41" s="187">
        <v>112.13</v>
      </c>
      <c r="L41" s="187">
        <v>1215</v>
      </c>
      <c r="M41" s="187">
        <v>1327.1300048828125</v>
      </c>
      <c r="N41" s="187">
        <v>1215</v>
      </c>
      <c r="O41" t="s">
        <v>500</v>
      </c>
    </row>
    <row r="42" spans="1:15" hidden="1" x14ac:dyDescent="0.45">
      <c r="A42" s="187">
        <v>2013</v>
      </c>
      <c r="B42" t="s">
        <v>309</v>
      </c>
      <c r="C42" t="s">
        <v>322</v>
      </c>
      <c r="D42" t="s">
        <v>35</v>
      </c>
      <c r="E42" t="s">
        <v>349</v>
      </c>
      <c r="F42" t="s">
        <v>349</v>
      </c>
      <c r="G42" t="s">
        <v>36</v>
      </c>
      <c r="H42" t="s">
        <v>43</v>
      </c>
      <c r="I42" s="187"/>
      <c r="J42" s="187">
        <v>508.6790701346855</v>
      </c>
      <c r="K42" s="187">
        <v>1782.4432541938213</v>
      </c>
      <c r="L42" s="187">
        <v>13158.09688449956</v>
      </c>
      <c r="M42" s="187">
        <v>15449.21875</v>
      </c>
      <c r="N42" s="187">
        <v>13158.0966796875</v>
      </c>
      <c r="O42" t="s">
        <v>501</v>
      </c>
    </row>
    <row r="43" spans="1:15" hidden="1" x14ac:dyDescent="0.45">
      <c r="A43" s="187">
        <v>2013</v>
      </c>
      <c r="B43" t="s">
        <v>309</v>
      </c>
      <c r="C43" t="s">
        <v>322</v>
      </c>
      <c r="D43" t="s">
        <v>35</v>
      </c>
      <c r="E43" t="s">
        <v>349</v>
      </c>
      <c r="F43" t="s">
        <v>349</v>
      </c>
      <c r="G43" t="s">
        <v>37</v>
      </c>
      <c r="H43" t="s">
        <v>43</v>
      </c>
      <c r="I43" s="187"/>
      <c r="J43" s="187">
        <v>384</v>
      </c>
      <c r="K43" s="187">
        <v>1345.56</v>
      </c>
      <c r="L43" s="187">
        <v>9933</v>
      </c>
      <c r="M43" s="187">
        <v>11662.560546875</v>
      </c>
      <c r="N43" s="187">
        <v>9933</v>
      </c>
      <c r="O43" t="s">
        <v>502</v>
      </c>
    </row>
    <row r="44" spans="1:15" hidden="1" x14ac:dyDescent="0.45">
      <c r="A44" s="187">
        <v>2013</v>
      </c>
      <c r="B44" t="s">
        <v>309</v>
      </c>
      <c r="C44" t="s">
        <v>322</v>
      </c>
      <c r="D44" t="s">
        <v>35</v>
      </c>
      <c r="E44" t="s">
        <v>350</v>
      </c>
      <c r="F44" t="s">
        <v>350</v>
      </c>
      <c r="G44" t="s">
        <v>37</v>
      </c>
      <c r="H44" t="s">
        <v>43</v>
      </c>
      <c r="I44" s="187"/>
      <c r="J44" s="187">
        <v>677</v>
      </c>
      <c r="K44" s="187">
        <v>8119.3087210262629</v>
      </c>
      <c r="L44" s="187">
        <v>21052</v>
      </c>
      <c r="M44" s="187">
        <v>29848.30859375</v>
      </c>
      <c r="N44" s="187">
        <v>21052</v>
      </c>
      <c r="O44" t="s">
        <v>503</v>
      </c>
    </row>
    <row r="45" spans="1:15" hidden="1" x14ac:dyDescent="0.45">
      <c r="A45" s="187">
        <v>2013</v>
      </c>
      <c r="B45" t="s">
        <v>309</v>
      </c>
      <c r="C45" t="s">
        <v>322</v>
      </c>
      <c r="D45" t="s">
        <v>35</v>
      </c>
      <c r="E45" t="s">
        <v>16</v>
      </c>
      <c r="F45" t="s">
        <v>16</v>
      </c>
      <c r="G45" t="s">
        <v>36</v>
      </c>
      <c r="H45" t="s">
        <v>43</v>
      </c>
      <c r="I45" s="187"/>
      <c r="J45" s="187">
        <v>92.727955493302048</v>
      </c>
      <c r="K45" s="187">
        <v>4619.4987671189856</v>
      </c>
      <c r="L45" s="187">
        <v>13673.399380026625</v>
      </c>
      <c r="M45" s="187">
        <v>18385.625</v>
      </c>
      <c r="N45" s="187">
        <v>13673.3994140625</v>
      </c>
      <c r="O45" t="s">
        <v>504</v>
      </c>
    </row>
    <row r="46" spans="1:15" hidden="1" x14ac:dyDescent="0.45">
      <c r="A46" s="187">
        <v>2013</v>
      </c>
      <c r="B46" t="s">
        <v>309</v>
      </c>
      <c r="C46" t="s">
        <v>322</v>
      </c>
      <c r="D46" t="s">
        <v>35</v>
      </c>
      <c r="E46" t="s">
        <v>16</v>
      </c>
      <c r="F46" t="s">
        <v>16</v>
      </c>
      <c r="G46" t="s">
        <v>37</v>
      </c>
      <c r="H46" t="s">
        <v>43</v>
      </c>
      <c r="I46" s="187"/>
      <c r="J46" s="187">
        <v>70</v>
      </c>
      <c r="K46" s="187">
        <v>3487.2429999999999</v>
      </c>
      <c r="L46" s="187">
        <v>10322</v>
      </c>
      <c r="M46" s="187">
        <v>13879.2431640625</v>
      </c>
      <c r="N46" s="187">
        <v>10322</v>
      </c>
      <c r="O46" t="s">
        <v>505</v>
      </c>
    </row>
    <row r="47" spans="1:15" hidden="1" x14ac:dyDescent="0.45">
      <c r="A47" s="187">
        <v>2013</v>
      </c>
      <c r="B47" t="s">
        <v>309</v>
      </c>
      <c r="C47" t="s">
        <v>322</v>
      </c>
      <c r="D47" t="s">
        <v>35</v>
      </c>
      <c r="E47" t="s">
        <v>351</v>
      </c>
      <c r="F47" t="s">
        <v>351</v>
      </c>
      <c r="G47" t="s">
        <v>37</v>
      </c>
      <c r="H47" t="s">
        <v>43</v>
      </c>
      <c r="I47" s="187"/>
      <c r="J47" s="187">
        <v>0</v>
      </c>
      <c r="K47" s="187">
        <v>70.5</v>
      </c>
      <c r="L47" s="187">
        <v>48</v>
      </c>
      <c r="M47" s="187">
        <v>118.5</v>
      </c>
      <c r="N47" s="187">
        <v>48</v>
      </c>
      <c r="O47" t="s">
        <v>506</v>
      </c>
    </row>
    <row r="48" spans="1:15" hidden="1" x14ac:dyDescent="0.45">
      <c r="A48" s="187">
        <v>2013</v>
      </c>
      <c r="B48" t="s">
        <v>309</v>
      </c>
      <c r="C48" t="s">
        <v>322</v>
      </c>
      <c r="D48" t="s">
        <v>35</v>
      </c>
      <c r="E48" t="s">
        <v>352</v>
      </c>
      <c r="F48" t="s">
        <v>361</v>
      </c>
      <c r="G48" t="s">
        <v>36</v>
      </c>
      <c r="H48" t="s">
        <v>43</v>
      </c>
      <c r="I48" s="187"/>
      <c r="J48" s="187">
        <v>0</v>
      </c>
      <c r="K48" s="187">
        <v>0</v>
      </c>
      <c r="L48" s="187">
        <v>0</v>
      </c>
      <c r="M48" s="187">
        <v>0</v>
      </c>
      <c r="N48" s="187">
        <v>0</v>
      </c>
      <c r="O48" t="s">
        <v>507</v>
      </c>
    </row>
    <row r="49" spans="1:15" hidden="1" x14ac:dyDescent="0.45">
      <c r="A49" s="187">
        <v>2013</v>
      </c>
      <c r="B49" t="s">
        <v>309</v>
      </c>
      <c r="C49" t="s">
        <v>322</v>
      </c>
      <c r="D49" t="s">
        <v>35</v>
      </c>
      <c r="E49" t="s">
        <v>353</v>
      </c>
      <c r="F49" t="s">
        <v>383</v>
      </c>
      <c r="G49" t="s">
        <v>36</v>
      </c>
      <c r="H49" t="s">
        <v>43</v>
      </c>
      <c r="I49" s="187"/>
      <c r="J49" s="187">
        <v>796.13573216392183</v>
      </c>
      <c r="K49" s="187">
        <v>10452.544316468269</v>
      </c>
      <c r="L49" s="187">
        <v>29890.194110726676</v>
      </c>
      <c r="M49" s="187">
        <v>41138.875</v>
      </c>
      <c r="N49" s="187">
        <v>29890.193359375</v>
      </c>
      <c r="O49" t="s">
        <v>508</v>
      </c>
    </row>
    <row r="50" spans="1:15" hidden="1" x14ac:dyDescent="0.45">
      <c r="A50" s="187">
        <v>2013</v>
      </c>
      <c r="B50" t="s">
        <v>309</v>
      </c>
      <c r="C50" t="s">
        <v>322</v>
      </c>
      <c r="D50" t="s">
        <v>35</v>
      </c>
      <c r="E50" t="s">
        <v>353</v>
      </c>
      <c r="F50" t="s">
        <v>383</v>
      </c>
      <c r="G50" t="s">
        <v>37</v>
      </c>
      <c r="H50" t="s">
        <v>43</v>
      </c>
      <c r="I50" s="187"/>
      <c r="J50" s="187">
        <v>601</v>
      </c>
      <c r="K50" s="187">
        <v>7890.5881000000008</v>
      </c>
      <c r="L50" s="187">
        <v>22564</v>
      </c>
      <c r="M50" s="187">
        <v>31055.587890625</v>
      </c>
      <c r="N50" s="187">
        <v>22564</v>
      </c>
      <c r="O50" t="s">
        <v>509</v>
      </c>
    </row>
    <row r="51" spans="1:15" hidden="1" x14ac:dyDescent="0.45">
      <c r="A51" s="187">
        <v>2013</v>
      </c>
      <c r="B51" t="s">
        <v>309</v>
      </c>
      <c r="C51" t="s">
        <v>322</v>
      </c>
      <c r="D51" t="s">
        <v>35</v>
      </c>
      <c r="E51" t="s">
        <v>38</v>
      </c>
      <c r="F51" t="s">
        <v>38</v>
      </c>
      <c r="G51" t="s">
        <v>36</v>
      </c>
      <c r="H51" t="s">
        <v>43</v>
      </c>
      <c r="I51" s="187"/>
      <c r="J51" s="187">
        <v>100.67606596415651</v>
      </c>
      <c r="K51" s="187">
        <v>1236.0273649608921</v>
      </c>
      <c r="L51" s="187">
        <v>2242.6918378594337</v>
      </c>
      <c r="M51" s="187">
        <v>3579.395263671875</v>
      </c>
      <c r="N51" s="187">
        <v>2242.69189453125</v>
      </c>
      <c r="O51" t="s">
        <v>510</v>
      </c>
    </row>
    <row r="52" spans="1:15" hidden="1" x14ac:dyDescent="0.45">
      <c r="A52" s="187">
        <v>2013</v>
      </c>
      <c r="B52" t="s">
        <v>309</v>
      </c>
      <c r="C52" t="s">
        <v>322</v>
      </c>
      <c r="D52" t="s">
        <v>35</v>
      </c>
      <c r="E52" t="s">
        <v>38</v>
      </c>
      <c r="F52" t="s">
        <v>38</v>
      </c>
      <c r="G52" t="s">
        <v>37</v>
      </c>
      <c r="H52" t="s">
        <v>43</v>
      </c>
      <c r="I52" s="187"/>
      <c r="J52" s="187">
        <v>76</v>
      </c>
      <c r="K52" s="187">
        <v>933.07261102626296</v>
      </c>
      <c r="L52" s="187">
        <v>1693</v>
      </c>
      <c r="M52" s="187">
        <v>2702.07275390625</v>
      </c>
      <c r="N52" s="187">
        <v>1693</v>
      </c>
      <c r="O52" t="s">
        <v>511</v>
      </c>
    </row>
    <row r="53" spans="1:15" hidden="1" x14ac:dyDescent="0.45">
      <c r="A53" s="187">
        <v>2013</v>
      </c>
      <c r="B53" t="s">
        <v>309</v>
      </c>
      <c r="C53" t="s">
        <v>322</v>
      </c>
      <c r="D53" t="s">
        <v>35</v>
      </c>
      <c r="E53" t="s">
        <v>354</v>
      </c>
      <c r="F53" t="s">
        <v>384</v>
      </c>
      <c r="G53" t="s">
        <v>36</v>
      </c>
      <c r="H53" t="s">
        <v>43</v>
      </c>
      <c r="I53" s="187"/>
      <c r="J53" s="187">
        <v>0</v>
      </c>
      <c r="K53" s="187">
        <v>0</v>
      </c>
      <c r="L53" s="187">
        <v>0</v>
      </c>
      <c r="M53" s="187">
        <v>0</v>
      </c>
      <c r="N53" s="187">
        <v>0</v>
      </c>
      <c r="O53" t="s">
        <v>512</v>
      </c>
    </row>
    <row r="54" spans="1:15" hidden="1" x14ac:dyDescent="0.45">
      <c r="A54" s="187">
        <v>2013</v>
      </c>
      <c r="B54" t="s">
        <v>309</v>
      </c>
      <c r="C54" t="s">
        <v>322</v>
      </c>
      <c r="D54" t="s">
        <v>35</v>
      </c>
      <c r="E54" t="s">
        <v>354</v>
      </c>
      <c r="F54" t="s">
        <v>384</v>
      </c>
      <c r="G54" t="s">
        <v>37</v>
      </c>
      <c r="H54" t="s">
        <v>43</v>
      </c>
      <c r="I54" s="187"/>
      <c r="J54" s="187">
        <v>0</v>
      </c>
      <c r="K54" s="187">
        <v>0</v>
      </c>
      <c r="L54" s="187">
        <v>0</v>
      </c>
      <c r="M54" s="187">
        <v>0</v>
      </c>
      <c r="N54" s="187">
        <v>0</v>
      </c>
      <c r="O54" t="s">
        <v>513</v>
      </c>
    </row>
    <row r="55" spans="1:15" hidden="1" x14ac:dyDescent="0.45">
      <c r="A55" s="187">
        <v>2013</v>
      </c>
      <c r="B55" t="s">
        <v>309</v>
      </c>
      <c r="C55" t="s">
        <v>322</v>
      </c>
      <c r="D55" t="s">
        <v>35</v>
      </c>
      <c r="E55" t="s">
        <v>354</v>
      </c>
      <c r="F55" t="s">
        <v>385</v>
      </c>
      <c r="G55" t="s">
        <v>36</v>
      </c>
      <c r="H55" t="s">
        <v>43</v>
      </c>
      <c r="I55" s="187"/>
      <c r="J55" s="187">
        <v>35.766497118845074</v>
      </c>
      <c r="K55" s="187">
        <v>430.75711976350686</v>
      </c>
      <c r="L55" s="187">
        <v>26.493701569514869</v>
      </c>
      <c r="M55" s="187">
        <v>493.017333984375</v>
      </c>
      <c r="N55" s="187">
        <v>26.493701934814453</v>
      </c>
      <c r="O55" t="s">
        <v>514</v>
      </c>
    </row>
    <row r="56" spans="1:15" hidden="1" x14ac:dyDescent="0.45">
      <c r="A56" s="187">
        <v>2013</v>
      </c>
      <c r="B56" t="s">
        <v>309</v>
      </c>
      <c r="C56" t="s">
        <v>322</v>
      </c>
      <c r="D56" t="s">
        <v>35</v>
      </c>
      <c r="E56" t="s">
        <v>354</v>
      </c>
      <c r="F56" t="s">
        <v>385</v>
      </c>
      <c r="G56" t="s">
        <v>37</v>
      </c>
      <c r="H56" t="s">
        <v>43</v>
      </c>
      <c r="I56" s="187"/>
      <c r="J56" s="187">
        <v>27</v>
      </c>
      <c r="K56" s="187">
        <v>325.17700000000002</v>
      </c>
      <c r="L56" s="187">
        <v>20</v>
      </c>
      <c r="M56" s="187">
        <v>372.177001953125</v>
      </c>
      <c r="N56" s="187">
        <v>20</v>
      </c>
      <c r="O56" t="s">
        <v>515</v>
      </c>
    </row>
    <row r="57" spans="1:15" hidden="1" x14ac:dyDescent="0.45">
      <c r="A57" s="187">
        <v>2013</v>
      </c>
      <c r="B57" t="s">
        <v>309</v>
      </c>
      <c r="C57" t="s">
        <v>322</v>
      </c>
      <c r="D57" t="s">
        <v>35</v>
      </c>
      <c r="E57" t="s">
        <v>354</v>
      </c>
      <c r="F57" t="s">
        <v>386</v>
      </c>
      <c r="G57" t="s">
        <v>36</v>
      </c>
      <c r="H57" t="s">
        <v>43</v>
      </c>
      <c r="I57" s="187"/>
      <c r="J57" s="187">
        <v>120.54634214129266</v>
      </c>
      <c r="K57" s="187">
        <v>727.83099546247695</v>
      </c>
      <c r="L57" s="187">
        <v>562.99115835219095</v>
      </c>
      <c r="M57" s="187">
        <v>1411.3685302734375</v>
      </c>
      <c r="N57" s="187">
        <v>562.99114990234375</v>
      </c>
      <c r="O57" t="s">
        <v>516</v>
      </c>
    </row>
    <row r="58" spans="1:15" hidden="1" x14ac:dyDescent="0.45">
      <c r="A58" s="187">
        <v>2013</v>
      </c>
      <c r="B58" t="s">
        <v>309</v>
      </c>
      <c r="C58" t="s">
        <v>322</v>
      </c>
      <c r="D58" t="s">
        <v>35</v>
      </c>
      <c r="E58" t="s">
        <v>354</v>
      </c>
      <c r="F58" t="s">
        <v>386</v>
      </c>
      <c r="G58" t="s">
        <v>37</v>
      </c>
      <c r="H58" t="s">
        <v>43</v>
      </c>
      <c r="I58" s="187"/>
      <c r="J58" s="187">
        <v>91</v>
      </c>
      <c r="K58" s="187">
        <v>549.43700000000001</v>
      </c>
      <c r="L58" s="187">
        <v>425</v>
      </c>
      <c r="M58" s="187">
        <v>1065.43701171875</v>
      </c>
      <c r="N58" s="187">
        <v>425</v>
      </c>
      <c r="O58" t="s">
        <v>517</v>
      </c>
    </row>
    <row r="59" spans="1:15" hidden="1" x14ac:dyDescent="0.45">
      <c r="A59" s="187">
        <v>2013</v>
      </c>
      <c r="B59" t="s">
        <v>309</v>
      </c>
      <c r="C59" t="s">
        <v>322</v>
      </c>
      <c r="D59" t="s">
        <v>35</v>
      </c>
      <c r="E59" t="s">
        <v>354</v>
      </c>
      <c r="F59" t="s">
        <v>387</v>
      </c>
      <c r="G59" t="s">
        <v>36</v>
      </c>
      <c r="H59" t="s">
        <v>43</v>
      </c>
      <c r="I59" s="187"/>
      <c r="J59" s="187">
        <v>156.31283926013774</v>
      </c>
      <c r="K59" s="187">
        <v>1158.5881152259838</v>
      </c>
      <c r="L59" s="187">
        <v>589.48485992170583</v>
      </c>
      <c r="M59" s="187">
        <v>1904.3858642578125</v>
      </c>
      <c r="N59" s="187">
        <v>589.48486328125</v>
      </c>
      <c r="O59" t="s">
        <v>518</v>
      </c>
    </row>
    <row r="60" spans="1:15" hidden="1" x14ac:dyDescent="0.45">
      <c r="A60" s="187">
        <v>2013</v>
      </c>
      <c r="B60" t="s">
        <v>309</v>
      </c>
      <c r="C60" t="s">
        <v>322</v>
      </c>
      <c r="D60" t="s">
        <v>35</v>
      </c>
      <c r="E60" t="s">
        <v>354</v>
      </c>
      <c r="F60" t="s">
        <v>387</v>
      </c>
      <c r="G60" t="s">
        <v>37</v>
      </c>
      <c r="H60" t="s">
        <v>43</v>
      </c>
      <c r="I60" s="187"/>
      <c r="J60" s="187">
        <v>118</v>
      </c>
      <c r="K60" s="187">
        <v>874.61400000000003</v>
      </c>
      <c r="L60" s="187">
        <v>445</v>
      </c>
      <c r="M60" s="187">
        <v>1437.614013671875</v>
      </c>
      <c r="N60" s="187">
        <v>445</v>
      </c>
      <c r="O60" t="s">
        <v>519</v>
      </c>
    </row>
    <row r="61" spans="1:15" hidden="1" x14ac:dyDescent="0.45">
      <c r="A61" s="187">
        <v>2013</v>
      </c>
      <c r="B61" t="s">
        <v>309</v>
      </c>
      <c r="C61" t="s">
        <v>322</v>
      </c>
      <c r="D61" t="s">
        <v>35</v>
      </c>
      <c r="E61" t="s">
        <v>17</v>
      </c>
      <c r="F61" t="s">
        <v>17</v>
      </c>
      <c r="G61" t="s">
        <v>36</v>
      </c>
      <c r="H61" t="s">
        <v>43</v>
      </c>
      <c r="I61" s="187"/>
      <c r="J61" s="187">
        <v>38.415867275796565</v>
      </c>
      <c r="K61" s="187">
        <v>2743.4772420799914</v>
      </c>
      <c r="L61" s="187">
        <v>859.7206159307575</v>
      </c>
      <c r="M61" s="187">
        <v>3641.61376953125</v>
      </c>
      <c r="N61" s="187">
        <v>859.72064208984375</v>
      </c>
      <c r="O61" t="s">
        <v>520</v>
      </c>
    </row>
    <row r="62" spans="1:15" hidden="1" x14ac:dyDescent="0.45">
      <c r="A62" s="187">
        <v>2013</v>
      </c>
      <c r="B62" t="s">
        <v>309</v>
      </c>
      <c r="C62" t="s">
        <v>322</v>
      </c>
      <c r="D62" t="s">
        <v>35</v>
      </c>
      <c r="E62" t="s">
        <v>17</v>
      </c>
      <c r="F62" t="s">
        <v>17</v>
      </c>
      <c r="G62" t="s">
        <v>37</v>
      </c>
      <c r="H62" t="s">
        <v>43</v>
      </c>
      <c r="I62" s="187"/>
      <c r="J62" s="187">
        <v>29</v>
      </c>
      <c r="K62" s="187">
        <v>2071.0410999999999</v>
      </c>
      <c r="L62" s="187">
        <v>649</v>
      </c>
      <c r="M62" s="187">
        <v>2749.041015625</v>
      </c>
      <c r="N62" s="187">
        <v>649</v>
      </c>
      <c r="O62" t="s">
        <v>521</v>
      </c>
    </row>
    <row r="63" spans="1:15" hidden="1" x14ac:dyDescent="0.45">
      <c r="A63" s="187">
        <v>2013</v>
      </c>
      <c r="B63" t="s">
        <v>309</v>
      </c>
      <c r="C63" t="s">
        <v>322</v>
      </c>
      <c r="D63" t="s">
        <v>35</v>
      </c>
      <c r="E63" t="s">
        <v>45</v>
      </c>
      <c r="F63" t="s">
        <v>45</v>
      </c>
      <c r="G63" t="s">
        <v>37</v>
      </c>
      <c r="H63" t="s">
        <v>43</v>
      </c>
      <c r="I63" s="187"/>
      <c r="J63" s="187">
        <v>0</v>
      </c>
      <c r="K63" s="187">
        <v>774.85199</v>
      </c>
      <c r="L63" s="187">
        <v>3253</v>
      </c>
      <c r="M63" s="187">
        <v>4027.85205078125</v>
      </c>
      <c r="N63" s="187">
        <v>3253</v>
      </c>
      <c r="O63" t="s">
        <v>522</v>
      </c>
    </row>
    <row r="64" spans="1:15" hidden="1" x14ac:dyDescent="0.45">
      <c r="A64" s="187">
        <v>2013</v>
      </c>
      <c r="B64" t="s">
        <v>309</v>
      </c>
      <c r="C64" t="s">
        <v>322</v>
      </c>
      <c r="D64" t="s">
        <v>35</v>
      </c>
      <c r="E64" t="s">
        <v>355</v>
      </c>
      <c r="F64" t="s">
        <v>355</v>
      </c>
      <c r="G64" t="s">
        <v>37</v>
      </c>
      <c r="H64" t="s">
        <v>43</v>
      </c>
      <c r="I64" s="187"/>
      <c r="J64" s="187">
        <v>677</v>
      </c>
      <c r="K64" s="187">
        <v>7713.3432849749497</v>
      </c>
      <c r="L64" s="187">
        <v>23423</v>
      </c>
      <c r="M64" s="187">
        <v>31813.34375</v>
      </c>
      <c r="N64" s="187">
        <v>23423</v>
      </c>
      <c r="O64" t="s">
        <v>523</v>
      </c>
    </row>
    <row r="65" spans="1:15" hidden="1" x14ac:dyDescent="0.45">
      <c r="A65" s="187">
        <v>2013</v>
      </c>
      <c r="B65" t="s">
        <v>309</v>
      </c>
      <c r="C65" t="s">
        <v>322</v>
      </c>
      <c r="D65" t="s">
        <v>35</v>
      </c>
      <c r="E65" t="s">
        <v>356</v>
      </c>
      <c r="F65" t="s">
        <v>356</v>
      </c>
      <c r="G65" t="s">
        <v>37</v>
      </c>
      <c r="H65" t="s">
        <v>43</v>
      </c>
      <c r="I65" s="187"/>
      <c r="J65" s="187">
        <v>0</v>
      </c>
      <c r="K65" s="187">
        <v>0</v>
      </c>
      <c r="L65" s="187">
        <v>0</v>
      </c>
      <c r="M65" s="187">
        <v>0</v>
      </c>
      <c r="N65" s="187">
        <v>0</v>
      </c>
      <c r="O65" t="s">
        <v>524</v>
      </c>
    </row>
    <row r="66" spans="1:15" hidden="1" x14ac:dyDescent="0.45">
      <c r="A66" s="187">
        <v>2013</v>
      </c>
      <c r="B66" t="s">
        <v>309</v>
      </c>
      <c r="C66" t="s">
        <v>323</v>
      </c>
      <c r="D66" t="s">
        <v>35</v>
      </c>
      <c r="E66" t="s">
        <v>349</v>
      </c>
      <c r="F66" t="s">
        <v>388</v>
      </c>
      <c r="G66" t="s">
        <v>36</v>
      </c>
      <c r="H66" t="s">
        <v>43</v>
      </c>
      <c r="I66" s="187"/>
      <c r="J66" s="187">
        <v>508.6790701346855</v>
      </c>
      <c r="K66" s="187">
        <v>1782.4432541938213</v>
      </c>
      <c r="L66" s="187">
        <v>13158.09688449956</v>
      </c>
      <c r="M66" s="187">
        <v>15449.21875</v>
      </c>
      <c r="N66" s="187">
        <v>13158.0966796875</v>
      </c>
      <c r="O66" t="s">
        <v>525</v>
      </c>
    </row>
    <row r="67" spans="1:15" hidden="1" x14ac:dyDescent="0.45">
      <c r="A67" s="187">
        <v>2013</v>
      </c>
      <c r="B67" t="s">
        <v>309</v>
      </c>
      <c r="C67" t="s">
        <v>323</v>
      </c>
      <c r="D67" t="s">
        <v>35</v>
      </c>
      <c r="E67" t="s">
        <v>349</v>
      </c>
      <c r="F67" t="s">
        <v>389</v>
      </c>
      <c r="G67" t="s">
        <v>36</v>
      </c>
      <c r="H67" t="s">
        <v>43</v>
      </c>
      <c r="I67" s="187"/>
      <c r="J67" s="187"/>
      <c r="K67" s="187">
        <v>0</v>
      </c>
      <c r="L67" s="187">
        <v>0</v>
      </c>
      <c r="M67" s="187">
        <v>0</v>
      </c>
      <c r="N67" s="187">
        <v>0</v>
      </c>
      <c r="O67" t="s">
        <v>526</v>
      </c>
    </row>
    <row r="68" spans="1:15" hidden="1" x14ac:dyDescent="0.45">
      <c r="A68" s="187">
        <v>2013</v>
      </c>
      <c r="B68" t="s">
        <v>309</v>
      </c>
      <c r="C68" t="s">
        <v>323</v>
      </c>
      <c r="D68" t="s">
        <v>35</v>
      </c>
      <c r="E68" t="s">
        <v>349</v>
      </c>
      <c r="F68" t="s">
        <v>390</v>
      </c>
      <c r="G68" t="s">
        <v>36</v>
      </c>
      <c r="H68" t="s">
        <v>43</v>
      </c>
      <c r="I68" s="187"/>
      <c r="J68" s="187">
        <v>508.6790701346855</v>
      </c>
      <c r="K68" s="187">
        <v>1782.4432541938213</v>
      </c>
      <c r="L68" s="187">
        <v>13158.09688449956</v>
      </c>
      <c r="M68" s="187">
        <v>15449.21875</v>
      </c>
      <c r="N68" s="187">
        <v>13158.0966796875</v>
      </c>
      <c r="O68" t="s">
        <v>527</v>
      </c>
    </row>
    <row r="69" spans="1:15" hidden="1" x14ac:dyDescent="0.45">
      <c r="A69" s="187">
        <v>2013</v>
      </c>
      <c r="B69" t="s">
        <v>309</v>
      </c>
      <c r="C69" t="s">
        <v>323</v>
      </c>
      <c r="D69" t="s">
        <v>35</v>
      </c>
      <c r="E69" t="s">
        <v>349</v>
      </c>
      <c r="F69" t="s">
        <v>391</v>
      </c>
      <c r="G69" t="s">
        <v>36</v>
      </c>
      <c r="H69" t="s">
        <v>43</v>
      </c>
      <c r="I69" s="187"/>
      <c r="J69" s="187">
        <v>0</v>
      </c>
      <c r="K69" s="187">
        <v>87.312466223725778</v>
      </c>
      <c r="L69" s="187">
        <v>1308.7888575340346</v>
      </c>
      <c r="M69" s="187">
        <v>1396.101318359375</v>
      </c>
      <c r="N69" s="187">
        <v>1308.788818359375</v>
      </c>
      <c r="O69" t="s">
        <v>528</v>
      </c>
    </row>
    <row r="70" spans="1:15" hidden="1" x14ac:dyDescent="0.45">
      <c r="A70" s="187">
        <v>2013</v>
      </c>
      <c r="B70" t="s">
        <v>309</v>
      </c>
      <c r="C70" t="s">
        <v>323</v>
      </c>
      <c r="D70" t="s">
        <v>35</v>
      </c>
      <c r="E70" t="s">
        <v>349</v>
      </c>
      <c r="F70" t="s">
        <v>392</v>
      </c>
      <c r="G70" t="s">
        <v>36</v>
      </c>
      <c r="H70" t="s">
        <v>43</v>
      </c>
      <c r="I70" s="187"/>
      <c r="J70" s="187">
        <v>0</v>
      </c>
      <c r="K70" s="187">
        <v>0.9556311171127293</v>
      </c>
      <c r="L70" s="187">
        <v>13.246850784757434</v>
      </c>
      <c r="M70" s="187">
        <v>14.202482223510742</v>
      </c>
      <c r="N70" s="187">
        <v>13.246850967407227</v>
      </c>
      <c r="O70" t="s">
        <v>529</v>
      </c>
    </row>
    <row r="71" spans="1:15" hidden="1" x14ac:dyDescent="0.45">
      <c r="A71" s="187">
        <v>2013</v>
      </c>
      <c r="B71" t="s">
        <v>309</v>
      </c>
      <c r="C71" t="s">
        <v>323</v>
      </c>
      <c r="D71" t="s">
        <v>35</v>
      </c>
      <c r="E71" t="s">
        <v>349</v>
      </c>
      <c r="F71" t="s">
        <v>393</v>
      </c>
      <c r="G71" t="s">
        <v>36</v>
      </c>
      <c r="H71" t="s">
        <v>43</v>
      </c>
      <c r="I71" s="187"/>
      <c r="J71" s="187">
        <v>0</v>
      </c>
      <c r="K71" s="187">
        <v>60.81707471888727</v>
      </c>
      <c r="L71" s="187">
        <v>405.3536340135775</v>
      </c>
      <c r="M71" s="187">
        <v>466.17071533203125</v>
      </c>
      <c r="N71" s="187">
        <v>405.3536376953125</v>
      </c>
      <c r="O71" t="s">
        <v>530</v>
      </c>
    </row>
    <row r="72" spans="1:15" hidden="1" x14ac:dyDescent="0.45">
      <c r="A72" s="187">
        <v>2013</v>
      </c>
      <c r="B72" t="s">
        <v>309</v>
      </c>
      <c r="C72" t="s">
        <v>323</v>
      </c>
      <c r="D72" t="s">
        <v>35</v>
      </c>
      <c r="E72" t="s">
        <v>349</v>
      </c>
      <c r="F72" t="s">
        <v>394</v>
      </c>
      <c r="G72" t="s">
        <v>36</v>
      </c>
      <c r="H72" t="s">
        <v>43</v>
      </c>
      <c r="I72" s="187"/>
      <c r="J72" s="187">
        <v>0</v>
      </c>
      <c r="K72" s="187">
        <v>25.491369449758743</v>
      </c>
      <c r="L72" s="187">
        <v>0</v>
      </c>
      <c r="M72" s="187">
        <v>25.491369247436523</v>
      </c>
      <c r="N72" s="187">
        <v>0</v>
      </c>
      <c r="O72" t="s">
        <v>531</v>
      </c>
    </row>
    <row r="73" spans="1:15" hidden="1" x14ac:dyDescent="0.45">
      <c r="A73" s="187">
        <v>2013</v>
      </c>
      <c r="B73" t="s">
        <v>309</v>
      </c>
      <c r="C73" t="s">
        <v>323</v>
      </c>
      <c r="D73" t="s">
        <v>35</v>
      </c>
      <c r="E73" t="s">
        <v>349</v>
      </c>
      <c r="F73" t="s">
        <v>395</v>
      </c>
      <c r="G73" t="s">
        <v>36</v>
      </c>
      <c r="H73" t="s">
        <v>43</v>
      </c>
      <c r="I73" s="187"/>
      <c r="J73" s="187">
        <v>0</v>
      </c>
      <c r="K73" s="187">
        <v>4.8390937967020049E-2</v>
      </c>
      <c r="L73" s="187">
        <v>0</v>
      </c>
      <c r="M73" s="187">
        <v>4.8390936106443405E-2</v>
      </c>
      <c r="N73" s="187">
        <v>0</v>
      </c>
      <c r="O73" t="s">
        <v>532</v>
      </c>
    </row>
    <row r="74" spans="1:15" hidden="1" x14ac:dyDescent="0.45">
      <c r="A74" s="187">
        <v>2013</v>
      </c>
      <c r="B74" t="s">
        <v>309</v>
      </c>
      <c r="C74" t="s">
        <v>323</v>
      </c>
      <c r="D74" t="s">
        <v>35</v>
      </c>
      <c r="E74" t="s">
        <v>349</v>
      </c>
      <c r="F74" t="s">
        <v>396</v>
      </c>
      <c r="G74" t="s">
        <v>36</v>
      </c>
      <c r="H74" t="s">
        <v>43</v>
      </c>
      <c r="I74" s="187"/>
      <c r="J74" s="187">
        <v>0</v>
      </c>
      <c r="K74" s="187">
        <v>0</v>
      </c>
      <c r="L74" s="187">
        <v>890.18837273569966</v>
      </c>
      <c r="M74" s="187">
        <v>890.1883544921875</v>
      </c>
      <c r="N74" s="187">
        <v>890.1883544921875</v>
      </c>
      <c r="O74" t="s">
        <v>533</v>
      </c>
    </row>
    <row r="75" spans="1:15" hidden="1" x14ac:dyDescent="0.45">
      <c r="A75" s="187">
        <v>2013</v>
      </c>
      <c r="B75" t="s">
        <v>309</v>
      </c>
      <c r="C75" t="s">
        <v>323</v>
      </c>
      <c r="D75" t="s">
        <v>35</v>
      </c>
      <c r="E75" t="s">
        <v>349</v>
      </c>
      <c r="F75" t="s">
        <v>397</v>
      </c>
      <c r="G75" t="s">
        <v>36</v>
      </c>
      <c r="H75" t="s">
        <v>43</v>
      </c>
      <c r="I75" s="187"/>
      <c r="J75" s="187"/>
      <c r="K75" s="187">
        <v>0.2406434306460519</v>
      </c>
      <c r="L75" s="187">
        <v>0</v>
      </c>
      <c r="M75" s="187">
        <v>0.24064342677593231</v>
      </c>
      <c r="N75" s="187">
        <v>0</v>
      </c>
      <c r="O75" t="s">
        <v>534</v>
      </c>
    </row>
    <row r="76" spans="1:15" hidden="1" x14ac:dyDescent="0.45">
      <c r="A76" s="187">
        <v>2013</v>
      </c>
      <c r="B76" t="s">
        <v>309</v>
      </c>
      <c r="C76" t="s">
        <v>323</v>
      </c>
      <c r="D76" t="s">
        <v>35</v>
      </c>
      <c r="E76" t="s">
        <v>349</v>
      </c>
      <c r="F76" t="s">
        <v>398</v>
      </c>
      <c r="G76" t="s">
        <v>36</v>
      </c>
      <c r="H76" t="s">
        <v>43</v>
      </c>
      <c r="I76" s="187"/>
      <c r="J76" s="187">
        <v>508.6790701346855</v>
      </c>
      <c r="K76" s="187">
        <v>21.986696575689628</v>
      </c>
      <c r="L76" s="187">
        <v>6179.6558910893436</v>
      </c>
      <c r="M76" s="187">
        <v>6710.32177734375</v>
      </c>
      <c r="N76" s="187">
        <v>6179.65576171875</v>
      </c>
      <c r="O76" t="s">
        <v>535</v>
      </c>
    </row>
    <row r="77" spans="1:15" hidden="1" x14ac:dyDescent="0.45">
      <c r="A77" s="187">
        <v>2013</v>
      </c>
      <c r="B77" t="s">
        <v>309</v>
      </c>
      <c r="C77" t="s">
        <v>323</v>
      </c>
      <c r="D77" t="s">
        <v>35</v>
      </c>
      <c r="E77" t="s">
        <v>349</v>
      </c>
      <c r="F77" t="s">
        <v>399</v>
      </c>
      <c r="G77" t="s">
        <v>36</v>
      </c>
      <c r="H77" t="s">
        <v>43</v>
      </c>
      <c r="I77" s="187"/>
      <c r="J77" s="187">
        <v>251.69016491039127</v>
      </c>
      <c r="K77" s="187">
        <v>15.314726823073809</v>
      </c>
      <c r="L77" s="187">
        <v>4433.7209576583136</v>
      </c>
      <c r="M77" s="187">
        <v>4700.72607421875</v>
      </c>
      <c r="N77" s="187">
        <v>4433.72119140625</v>
      </c>
      <c r="O77" t="s">
        <v>536</v>
      </c>
    </row>
    <row r="78" spans="1:15" hidden="1" x14ac:dyDescent="0.45">
      <c r="A78" s="187">
        <v>2013</v>
      </c>
      <c r="B78" t="s">
        <v>309</v>
      </c>
      <c r="C78" t="s">
        <v>323</v>
      </c>
      <c r="D78" t="s">
        <v>35</v>
      </c>
      <c r="E78" t="s">
        <v>349</v>
      </c>
      <c r="F78" t="s">
        <v>400</v>
      </c>
      <c r="G78" t="s">
        <v>36</v>
      </c>
      <c r="H78" t="s">
        <v>43</v>
      </c>
      <c r="I78" s="187"/>
      <c r="J78" s="187">
        <v>256.98890522429423</v>
      </c>
      <c r="K78" s="187">
        <v>6.4191406981280617</v>
      </c>
      <c r="L78" s="187">
        <v>1745.93493343103</v>
      </c>
      <c r="M78" s="187">
        <v>2009.3428955078125</v>
      </c>
      <c r="N78" s="187">
        <v>1745.9349365234375</v>
      </c>
      <c r="O78" t="s">
        <v>537</v>
      </c>
    </row>
    <row r="79" spans="1:15" hidden="1" x14ac:dyDescent="0.45">
      <c r="A79" s="187">
        <v>2013</v>
      </c>
      <c r="B79" t="s">
        <v>309</v>
      </c>
      <c r="C79" t="s">
        <v>323</v>
      </c>
      <c r="D79" t="s">
        <v>35</v>
      </c>
      <c r="E79" t="s">
        <v>349</v>
      </c>
      <c r="F79" t="s">
        <v>401</v>
      </c>
      <c r="G79" t="s">
        <v>36</v>
      </c>
      <c r="H79" t="s">
        <v>43</v>
      </c>
      <c r="I79" s="187"/>
      <c r="J79" s="187">
        <v>0</v>
      </c>
      <c r="K79" s="187">
        <v>1.218562384170491E-2</v>
      </c>
      <c r="L79" s="187">
        <v>0</v>
      </c>
      <c r="M79" s="187">
        <v>1.2185623869299889E-2</v>
      </c>
      <c r="N79" s="187">
        <v>0</v>
      </c>
      <c r="O79" t="s">
        <v>538</v>
      </c>
    </row>
    <row r="80" spans="1:15" hidden="1" x14ac:dyDescent="0.45">
      <c r="A80" s="187">
        <v>2013</v>
      </c>
      <c r="B80" t="s">
        <v>309</v>
      </c>
      <c r="C80" t="s">
        <v>323</v>
      </c>
      <c r="D80" t="s">
        <v>35</v>
      </c>
      <c r="E80" t="s">
        <v>349</v>
      </c>
      <c r="F80" t="s">
        <v>402</v>
      </c>
      <c r="G80" t="s">
        <v>36</v>
      </c>
      <c r="H80" t="s">
        <v>43</v>
      </c>
      <c r="I80" s="187"/>
      <c r="J80" s="187">
        <v>0</v>
      </c>
      <c r="K80" s="187">
        <v>18.312488769390885</v>
      </c>
      <c r="L80" s="187">
        <v>349.71686071759626</v>
      </c>
      <c r="M80" s="187">
        <v>368.02935791015625</v>
      </c>
      <c r="N80" s="187">
        <v>349.71685791015625</v>
      </c>
      <c r="O80" t="s">
        <v>539</v>
      </c>
    </row>
    <row r="81" spans="1:15" hidden="1" x14ac:dyDescent="0.45">
      <c r="A81" s="187">
        <v>2013</v>
      </c>
      <c r="B81" t="s">
        <v>309</v>
      </c>
      <c r="C81" t="s">
        <v>323</v>
      </c>
      <c r="D81" t="s">
        <v>35</v>
      </c>
      <c r="E81" t="s">
        <v>349</v>
      </c>
      <c r="F81" t="s">
        <v>403</v>
      </c>
      <c r="G81" t="s">
        <v>36</v>
      </c>
      <c r="H81" t="s">
        <v>43</v>
      </c>
      <c r="I81" s="187"/>
      <c r="J81" s="187">
        <v>0</v>
      </c>
      <c r="K81" s="187">
        <v>1165.4203989733126</v>
      </c>
      <c r="L81" s="187">
        <v>3940.9381084653369</v>
      </c>
      <c r="M81" s="187">
        <v>5106.3583984375</v>
      </c>
      <c r="N81" s="187">
        <v>3940.93798828125</v>
      </c>
      <c r="O81" t="s">
        <v>540</v>
      </c>
    </row>
    <row r="82" spans="1:15" hidden="1" x14ac:dyDescent="0.45">
      <c r="A82" s="187">
        <v>2013</v>
      </c>
      <c r="B82" t="s">
        <v>309</v>
      </c>
      <c r="C82" t="s">
        <v>323</v>
      </c>
      <c r="D82" t="s">
        <v>35</v>
      </c>
      <c r="E82" t="s">
        <v>349</v>
      </c>
      <c r="F82" t="s">
        <v>404</v>
      </c>
      <c r="G82" t="s">
        <v>36</v>
      </c>
      <c r="H82" t="s">
        <v>43</v>
      </c>
      <c r="I82" s="187"/>
      <c r="J82" s="187">
        <v>0</v>
      </c>
      <c r="K82" s="187">
        <v>1673.1440913944064</v>
      </c>
      <c r="L82" s="187">
        <v>4579.4363162906457</v>
      </c>
      <c r="M82" s="187">
        <v>6252.58056640625</v>
      </c>
      <c r="N82" s="187">
        <v>4579.4365234375</v>
      </c>
      <c r="O82" t="s">
        <v>541</v>
      </c>
    </row>
    <row r="83" spans="1:15" hidden="1" x14ac:dyDescent="0.45">
      <c r="A83" s="187">
        <v>2013</v>
      </c>
      <c r="B83" t="s">
        <v>309</v>
      </c>
      <c r="C83" t="s">
        <v>323</v>
      </c>
      <c r="D83" t="s">
        <v>35</v>
      </c>
      <c r="E83" t="s">
        <v>349</v>
      </c>
      <c r="F83" t="s">
        <v>405</v>
      </c>
      <c r="G83" t="s">
        <v>36</v>
      </c>
      <c r="H83" t="s">
        <v>43</v>
      </c>
      <c r="I83" s="187"/>
      <c r="J83" s="187">
        <v>0</v>
      </c>
      <c r="K83" s="187">
        <v>488.48390179621424</v>
      </c>
      <c r="L83" s="187">
        <v>38.415867275796565</v>
      </c>
      <c r="M83" s="187">
        <v>526.8997802734375</v>
      </c>
      <c r="N83" s="187">
        <v>38.415866851806641</v>
      </c>
      <c r="O83" t="s">
        <v>542</v>
      </c>
    </row>
    <row r="84" spans="1:15" hidden="1" x14ac:dyDescent="0.45">
      <c r="A84" s="187">
        <v>2013</v>
      </c>
      <c r="B84" t="s">
        <v>309</v>
      </c>
      <c r="C84" t="s">
        <v>323</v>
      </c>
      <c r="D84" t="s">
        <v>35</v>
      </c>
      <c r="E84" t="s">
        <v>349</v>
      </c>
      <c r="F84" t="s">
        <v>406</v>
      </c>
      <c r="G84" t="s">
        <v>36</v>
      </c>
      <c r="H84" t="s">
        <v>43</v>
      </c>
      <c r="I84" s="187"/>
      <c r="J84" s="187">
        <v>0</v>
      </c>
      <c r="K84" s="187">
        <v>0.92730185548867006</v>
      </c>
      <c r="L84" s="187">
        <v>56.961458374456967</v>
      </c>
      <c r="M84" s="187">
        <v>57.888759613037109</v>
      </c>
      <c r="N84" s="187">
        <v>56.961460113525391</v>
      </c>
      <c r="O84" t="s">
        <v>543</v>
      </c>
    </row>
    <row r="85" spans="1:15" hidden="1" x14ac:dyDescent="0.45">
      <c r="A85" s="187">
        <v>2013</v>
      </c>
      <c r="B85" t="s">
        <v>309</v>
      </c>
      <c r="C85" t="s">
        <v>323</v>
      </c>
      <c r="D85" t="s">
        <v>35</v>
      </c>
      <c r="E85" t="s">
        <v>349</v>
      </c>
      <c r="F85" t="s">
        <v>407</v>
      </c>
      <c r="G85" t="s">
        <v>36</v>
      </c>
      <c r="H85" t="s">
        <v>43</v>
      </c>
      <c r="I85" s="187"/>
      <c r="J85" s="187">
        <v>0</v>
      </c>
      <c r="K85" s="187">
        <v>0</v>
      </c>
      <c r="L85" s="187">
        <v>193.40402145745855</v>
      </c>
      <c r="M85" s="187">
        <v>193.40402221679688</v>
      </c>
      <c r="N85" s="187">
        <v>193.40402221679688</v>
      </c>
      <c r="O85" t="s">
        <v>544</v>
      </c>
    </row>
    <row r="86" spans="1:15" hidden="1" x14ac:dyDescent="0.45">
      <c r="A86" s="187">
        <v>2013</v>
      </c>
      <c r="B86" t="s">
        <v>309</v>
      </c>
      <c r="C86" t="s">
        <v>323</v>
      </c>
      <c r="D86" t="s">
        <v>35</v>
      </c>
      <c r="E86" t="s">
        <v>349</v>
      </c>
      <c r="F86" t="s">
        <v>408</v>
      </c>
      <c r="G86" t="s">
        <v>36</v>
      </c>
      <c r="H86" t="s">
        <v>43</v>
      </c>
      <c r="I86" s="187"/>
      <c r="J86" s="187"/>
      <c r="K86" s="187">
        <v>0</v>
      </c>
      <c r="L86" s="187">
        <v>1043.8518418388858</v>
      </c>
      <c r="M86" s="187">
        <v>1043.851806640625</v>
      </c>
      <c r="N86" s="187">
        <v>1043.851806640625</v>
      </c>
      <c r="O86" t="s">
        <v>545</v>
      </c>
    </row>
    <row r="87" spans="1:15" hidden="1" x14ac:dyDescent="0.45">
      <c r="A87" s="187">
        <v>2013</v>
      </c>
      <c r="B87" t="s">
        <v>309</v>
      </c>
      <c r="C87" t="s">
        <v>323</v>
      </c>
      <c r="D87" t="s">
        <v>35</v>
      </c>
      <c r="E87" t="s">
        <v>349</v>
      </c>
      <c r="F87" t="s">
        <v>409</v>
      </c>
      <c r="G87" t="s">
        <v>36</v>
      </c>
      <c r="H87" t="s">
        <v>43</v>
      </c>
      <c r="I87" s="187"/>
      <c r="J87" s="187"/>
      <c r="K87" s="187">
        <v>0</v>
      </c>
      <c r="L87" s="187">
        <v>39.740552354272303</v>
      </c>
      <c r="M87" s="187">
        <v>39.740550994873047</v>
      </c>
      <c r="N87" s="187">
        <v>39.740550994873047</v>
      </c>
      <c r="O87" t="s">
        <v>546</v>
      </c>
    </row>
    <row r="88" spans="1:15" hidden="1" x14ac:dyDescent="0.45">
      <c r="A88" s="187">
        <v>2013</v>
      </c>
      <c r="B88" t="s">
        <v>309</v>
      </c>
      <c r="C88" t="s">
        <v>323</v>
      </c>
      <c r="D88" t="s">
        <v>35</v>
      </c>
      <c r="E88" t="s">
        <v>349</v>
      </c>
      <c r="F88" t="s">
        <v>410</v>
      </c>
      <c r="G88" t="s">
        <v>36</v>
      </c>
      <c r="H88" t="s">
        <v>43</v>
      </c>
      <c r="I88" s="187"/>
      <c r="J88" s="187"/>
      <c r="K88" s="187">
        <v>0</v>
      </c>
      <c r="L88" s="187">
        <v>6.6234253923787172</v>
      </c>
      <c r="M88" s="187">
        <v>6.6234254837036133</v>
      </c>
      <c r="N88" s="187">
        <v>6.6234254837036133</v>
      </c>
      <c r="O88" t="s">
        <v>547</v>
      </c>
    </row>
    <row r="89" spans="1:15" hidden="1" x14ac:dyDescent="0.45">
      <c r="A89" s="187">
        <v>2013</v>
      </c>
      <c r="B89" t="s">
        <v>309</v>
      </c>
      <c r="C89" t="s">
        <v>323</v>
      </c>
      <c r="D89" t="s">
        <v>35</v>
      </c>
      <c r="E89" t="s">
        <v>349</v>
      </c>
      <c r="F89" t="s">
        <v>411</v>
      </c>
      <c r="G89" t="s">
        <v>36</v>
      </c>
      <c r="H89" t="s">
        <v>43</v>
      </c>
      <c r="I89" s="187"/>
      <c r="J89" s="187">
        <v>0</v>
      </c>
      <c r="K89" s="187">
        <v>0</v>
      </c>
      <c r="L89" s="187">
        <v>1090.2158195855368</v>
      </c>
      <c r="M89" s="187">
        <v>1090.2158203125</v>
      </c>
      <c r="N89" s="187">
        <v>1090.2158203125</v>
      </c>
      <c r="O89" t="s">
        <v>548</v>
      </c>
    </row>
    <row r="90" spans="1:15" hidden="1" x14ac:dyDescent="0.45">
      <c r="A90" s="187">
        <v>2013</v>
      </c>
      <c r="B90" t="s">
        <v>34</v>
      </c>
      <c r="C90" t="s">
        <v>324</v>
      </c>
      <c r="D90" t="s">
        <v>35</v>
      </c>
      <c r="E90" t="s">
        <v>348</v>
      </c>
      <c r="F90" t="s">
        <v>382</v>
      </c>
      <c r="G90" t="s">
        <v>36</v>
      </c>
      <c r="H90" t="s">
        <v>43</v>
      </c>
      <c r="I90" s="187"/>
      <c r="J90" s="187">
        <v>895.48712158203125</v>
      </c>
      <c r="K90" s="187">
        <v>9779.3408203125</v>
      </c>
      <c r="L90" s="187">
        <v>32225.61328125</v>
      </c>
      <c r="M90" s="187">
        <v>42900.44140625</v>
      </c>
      <c r="N90" s="187">
        <v>32225.61328125</v>
      </c>
      <c r="O90" t="s">
        <v>549</v>
      </c>
    </row>
    <row r="91" spans="1:15" hidden="1" x14ac:dyDescent="0.45">
      <c r="A91" s="187">
        <v>2013</v>
      </c>
      <c r="B91" t="s">
        <v>34</v>
      </c>
      <c r="C91" t="s">
        <v>324</v>
      </c>
      <c r="D91" t="s">
        <v>35</v>
      </c>
      <c r="E91" t="s">
        <v>348</v>
      </c>
      <c r="F91" t="s">
        <v>382</v>
      </c>
      <c r="G91" t="s">
        <v>37</v>
      </c>
      <c r="H91" t="s">
        <v>43</v>
      </c>
      <c r="I91" s="187"/>
      <c r="J91" s="187">
        <v>676</v>
      </c>
      <c r="K91" s="187">
        <v>7382.3889330372422</v>
      </c>
      <c r="L91" s="187">
        <v>24327</v>
      </c>
      <c r="M91" s="187">
        <v>32385.388671875</v>
      </c>
      <c r="N91" s="187">
        <v>24327</v>
      </c>
      <c r="O91" t="s">
        <v>550</v>
      </c>
    </row>
    <row r="92" spans="1:15" hidden="1" x14ac:dyDescent="0.45">
      <c r="A92" s="187">
        <v>2013</v>
      </c>
      <c r="B92" t="s">
        <v>34</v>
      </c>
      <c r="C92" t="s">
        <v>324</v>
      </c>
      <c r="D92" t="s">
        <v>35</v>
      </c>
      <c r="E92" t="s">
        <v>19</v>
      </c>
      <c r="F92" t="s">
        <v>19</v>
      </c>
      <c r="G92" t="s">
        <v>36</v>
      </c>
      <c r="H92" t="s">
        <v>43</v>
      </c>
      <c r="I92" s="187"/>
      <c r="J92" s="187">
        <v>0</v>
      </c>
      <c r="K92" s="187">
        <v>132.33392333984375</v>
      </c>
      <c r="L92" s="187">
        <v>1609.4923095703125</v>
      </c>
      <c r="M92" s="187">
        <v>1741.826171875</v>
      </c>
      <c r="N92" s="187">
        <v>1609.4923095703125</v>
      </c>
      <c r="O92" t="s">
        <v>551</v>
      </c>
    </row>
    <row r="93" spans="1:15" hidden="1" x14ac:dyDescent="0.45">
      <c r="A93" s="187">
        <v>2013</v>
      </c>
      <c r="B93" t="s">
        <v>34</v>
      </c>
      <c r="C93" t="s">
        <v>324</v>
      </c>
      <c r="D93" t="s">
        <v>35</v>
      </c>
      <c r="E93" t="s">
        <v>19</v>
      </c>
      <c r="F93" t="s">
        <v>19</v>
      </c>
      <c r="G93" t="s">
        <v>37</v>
      </c>
      <c r="H93" t="s">
        <v>43</v>
      </c>
      <c r="I93" s="187"/>
      <c r="J93" s="187">
        <v>0</v>
      </c>
      <c r="K93" s="187">
        <v>99.898399999999995</v>
      </c>
      <c r="L93" s="187">
        <v>1215</v>
      </c>
      <c r="M93" s="187">
        <v>1314.8984375</v>
      </c>
      <c r="N93" s="187">
        <v>1215</v>
      </c>
      <c r="O93" t="s">
        <v>552</v>
      </c>
    </row>
    <row r="94" spans="1:15" hidden="1" x14ac:dyDescent="0.45">
      <c r="A94" s="187">
        <v>2013</v>
      </c>
      <c r="B94" t="s">
        <v>34</v>
      </c>
      <c r="C94" t="s">
        <v>324</v>
      </c>
      <c r="D94" t="s">
        <v>35</v>
      </c>
      <c r="E94" t="s">
        <v>349</v>
      </c>
      <c r="F94" t="s">
        <v>349</v>
      </c>
      <c r="G94" t="s">
        <v>36</v>
      </c>
      <c r="H94" t="s">
        <v>43</v>
      </c>
      <c r="I94" s="187"/>
      <c r="J94" s="187">
        <v>506.02969360351563</v>
      </c>
      <c r="K94" s="187">
        <v>823.64227294921875</v>
      </c>
      <c r="L94" s="187">
        <v>13158.0966796875</v>
      </c>
      <c r="M94" s="187">
        <v>14487.7685546875</v>
      </c>
      <c r="N94" s="187">
        <v>13158.0966796875</v>
      </c>
      <c r="O94" t="s">
        <v>553</v>
      </c>
    </row>
    <row r="95" spans="1:15" hidden="1" x14ac:dyDescent="0.45">
      <c r="A95" s="187">
        <v>2013</v>
      </c>
      <c r="B95" t="s">
        <v>34</v>
      </c>
      <c r="C95" t="s">
        <v>324</v>
      </c>
      <c r="D95" t="s">
        <v>35</v>
      </c>
      <c r="E95" t="s">
        <v>349</v>
      </c>
      <c r="F95" t="s">
        <v>349</v>
      </c>
      <c r="G95" t="s">
        <v>37</v>
      </c>
      <c r="H95" t="s">
        <v>43</v>
      </c>
      <c r="I95" s="187"/>
      <c r="J95" s="187">
        <v>382</v>
      </c>
      <c r="K95" s="187">
        <v>621.76459</v>
      </c>
      <c r="L95" s="187">
        <v>9933</v>
      </c>
      <c r="M95" s="187">
        <v>10936.7646484375</v>
      </c>
      <c r="N95" s="187">
        <v>9933</v>
      </c>
      <c r="O95" t="s">
        <v>554</v>
      </c>
    </row>
    <row r="96" spans="1:15" hidden="1" x14ac:dyDescent="0.45">
      <c r="A96" s="187">
        <v>2013</v>
      </c>
      <c r="B96" t="s">
        <v>34</v>
      </c>
      <c r="C96" t="s">
        <v>324</v>
      </c>
      <c r="D96" t="s">
        <v>35</v>
      </c>
      <c r="E96" t="s">
        <v>14</v>
      </c>
      <c r="F96" t="s">
        <v>14</v>
      </c>
      <c r="G96" t="s">
        <v>36</v>
      </c>
      <c r="H96" t="s">
        <v>43</v>
      </c>
      <c r="I96" s="187"/>
      <c r="J96" s="187">
        <v>895.48712158203125</v>
      </c>
      <c r="K96" s="187">
        <v>9398.833984375</v>
      </c>
      <c r="L96" s="187">
        <v>27699.1640625</v>
      </c>
      <c r="M96" s="187">
        <v>37993.484375</v>
      </c>
      <c r="N96" s="187">
        <v>27699.1640625</v>
      </c>
      <c r="O96" t="s">
        <v>555</v>
      </c>
    </row>
    <row r="97" spans="1:15" hidden="1" x14ac:dyDescent="0.45">
      <c r="A97" s="187">
        <v>2013</v>
      </c>
      <c r="B97" t="s">
        <v>34</v>
      </c>
      <c r="C97" t="s">
        <v>324</v>
      </c>
      <c r="D97" t="s">
        <v>35</v>
      </c>
      <c r="E97" t="s">
        <v>14</v>
      </c>
      <c r="F97" t="s">
        <v>14</v>
      </c>
      <c r="G97" t="s">
        <v>37</v>
      </c>
      <c r="H97" t="s">
        <v>43</v>
      </c>
      <c r="I97" s="187"/>
      <c r="J97" s="187">
        <v>676</v>
      </c>
      <c r="K97" s="187">
        <v>7095.1460030372418</v>
      </c>
      <c r="L97" s="187">
        <v>20910</v>
      </c>
      <c r="M97" s="187">
        <v>28681.146484375</v>
      </c>
      <c r="N97" s="187">
        <v>20910</v>
      </c>
      <c r="O97" t="s">
        <v>556</v>
      </c>
    </row>
    <row r="98" spans="1:15" hidden="1" x14ac:dyDescent="0.45">
      <c r="A98" s="187">
        <v>2013</v>
      </c>
      <c r="B98" t="s">
        <v>34</v>
      </c>
      <c r="C98" t="s">
        <v>324</v>
      </c>
      <c r="D98" t="s">
        <v>35</v>
      </c>
      <c r="E98" t="s">
        <v>16</v>
      </c>
      <c r="F98" t="s">
        <v>16</v>
      </c>
      <c r="G98" t="s">
        <v>36</v>
      </c>
      <c r="H98" t="s">
        <v>43</v>
      </c>
      <c r="I98" s="187"/>
      <c r="J98" s="187">
        <v>92.727958679199219</v>
      </c>
      <c r="K98" s="187">
        <v>5476.740234375</v>
      </c>
      <c r="L98" s="187">
        <v>13673.3994140625</v>
      </c>
      <c r="M98" s="187">
        <v>19242.8671875</v>
      </c>
      <c r="N98" s="187">
        <v>13673.3994140625</v>
      </c>
      <c r="O98" t="s">
        <v>557</v>
      </c>
    </row>
    <row r="99" spans="1:15" hidden="1" x14ac:dyDescent="0.45">
      <c r="A99" s="187">
        <v>2013</v>
      </c>
      <c r="B99" t="s">
        <v>34</v>
      </c>
      <c r="C99" t="s">
        <v>324</v>
      </c>
      <c r="D99" t="s">
        <v>35</v>
      </c>
      <c r="E99" t="s">
        <v>16</v>
      </c>
      <c r="F99" t="s">
        <v>16</v>
      </c>
      <c r="G99" t="s">
        <v>37</v>
      </c>
      <c r="H99" t="s">
        <v>43</v>
      </c>
      <c r="I99" s="187"/>
      <c r="J99" s="187">
        <v>70</v>
      </c>
      <c r="K99" s="187">
        <v>4134.3713200000002</v>
      </c>
      <c r="L99" s="187">
        <v>10322</v>
      </c>
      <c r="M99" s="187">
        <v>14526.37109375</v>
      </c>
      <c r="N99" s="187">
        <v>10322</v>
      </c>
      <c r="O99" t="s">
        <v>558</v>
      </c>
    </row>
    <row r="100" spans="1:15" hidden="1" x14ac:dyDescent="0.45">
      <c r="A100" s="187">
        <v>2013</v>
      </c>
      <c r="B100" t="s">
        <v>34</v>
      </c>
      <c r="C100" t="s">
        <v>324</v>
      </c>
      <c r="D100" t="s">
        <v>35</v>
      </c>
      <c r="E100" t="s">
        <v>351</v>
      </c>
      <c r="F100" t="s">
        <v>351</v>
      </c>
      <c r="G100" t="s">
        <v>36</v>
      </c>
      <c r="H100" t="s">
        <v>43</v>
      </c>
      <c r="I100" s="187"/>
      <c r="J100" s="187">
        <v>0</v>
      </c>
      <c r="K100" s="187">
        <v>0</v>
      </c>
      <c r="L100" s="187">
        <v>66.2342529296875</v>
      </c>
      <c r="M100" s="187">
        <v>66.2342529296875</v>
      </c>
      <c r="N100" s="187">
        <v>66.2342529296875</v>
      </c>
      <c r="O100" t="s">
        <v>559</v>
      </c>
    </row>
    <row r="101" spans="1:15" hidden="1" x14ac:dyDescent="0.45">
      <c r="A101" s="187">
        <v>2013</v>
      </c>
      <c r="B101" t="s">
        <v>34</v>
      </c>
      <c r="C101" t="s">
        <v>324</v>
      </c>
      <c r="D101" t="s">
        <v>35</v>
      </c>
      <c r="E101" t="s">
        <v>351</v>
      </c>
      <c r="F101" t="s">
        <v>351</v>
      </c>
      <c r="G101" t="s">
        <v>37</v>
      </c>
      <c r="H101" t="s">
        <v>43</v>
      </c>
      <c r="I101" s="187"/>
      <c r="J101" s="187">
        <v>0</v>
      </c>
      <c r="K101" s="187">
        <v>0</v>
      </c>
      <c r="L101" s="187">
        <v>50</v>
      </c>
      <c r="M101" s="187">
        <v>50</v>
      </c>
      <c r="N101" s="187">
        <v>50</v>
      </c>
      <c r="O101" t="s">
        <v>560</v>
      </c>
    </row>
    <row r="102" spans="1:15" hidden="1" x14ac:dyDescent="0.45">
      <c r="A102" s="187">
        <v>2013</v>
      </c>
      <c r="B102" t="s">
        <v>34</v>
      </c>
      <c r="C102" t="s">
        <v>324</v>
      </c>
      <c r="D102" t="s">
        <v>35</v>
      </c>
      <c r="E102" t="s">
        <v>353</v>
      </c>
      <c r="F102" t="s">
        <v>383</v>
      </c>
      <c r="G102" t="s">
        <v>36</v>
      </c>
      <c r="H102" t="s">
        <v>43</v>
      </c>
      <c r="I102" s="187"/>
      <c r="J102" s="187">
        <v>808.05792236328125</v>
      </c>
      <c r="K102" s="187">
        <v>7704.1708984375</v>
      </c>
      <c r="L102" s="187">
        <v>29890.193359375</v>
      </c>
      <c r="M102" s="187">
        <v>38402.421875</v>
      </c>
      <c r="N102" s="187">
        <v>29890.193359375</v>
      </c>
      <c r="O102" t="s">
        <v>561</v>
      </c>
    </row>
    <row r="103" spans="1:15" hidden="1" x14ac:dyDescent="0.45">
      <c r="A103" s="187">
        <v>2013</v>
      </c>
      <c r="B103" t="s">
        <v>34</v>
      </c>
      <c r="C103" t="s">
        <v>324</v>
      </c>
      <c r="D103" t="s">
        <v>35</v>
      </c>
      <c r="E103" t="s">
        <v>353</v>
      </c>
      <c r="F103" t="s">
        <v>383</v>
      </c>
      <c r="G103" t="s">
        <v>37</v>
      </c>
      <c r="H103" t="s">
        <v>43</v>
      </c>
      <c r="I103" s="187"/>
      <c r="J103" s="187">
        <v>610</v>
      </c>
      <c r="K103" s="187">
        <v>5815.8508599999996</v>
      </c>
      <c r="L103" s="187">
        <v>22564</v>
      </c>
      <c r="M103" s="187">
        <v>28989.8515625</v>
      </c>
      <c r="N103" s="187">
        <v>22564</v>
      </c>
      <c r="O103" t="s">
        <v>562</v>
      </c>
    </row>
    <row r="104" spans="1:15" hidden="1" x14ac:dyDescent="0.45">
      <c r="A104" s="187">
        <v>2013</v>
      </c>
      <c r="B104" t="s">
        <v>34</v>
      </c>
      <c r="C104" t="s">
        <v>324</v>
      </c>
      <c r="D104" t="s">
        <v>35</v>
      </c>
      <c r="E104" t="s">
        <v>38</v>
      </c>
      <c r="F104" t="s">
        <v>38</v>
      </c>
      <c r="G104" t="s">
        <v>36</v>
      </c>
      <c r="H104" t="s">
        <v>43</v>
      </c>
      <c r="I104" s="187"/>
      <c r="J104" s="187">
        <v>87.429214477539063</v>
      </c>
      <c r="K104" s="187">
        <v>2075.169677734375</v>
      </c>
      <c r="L104" s="187">
        <v>2335.419677734375</v>
      </c>
      <c r="M104" s="187">
        <v>4498.0185546875</v>
      </c>
      <c r="N104" s="187">
        <v>2335.419677734375</v>
      </c>
      <c r="O104" t="s">
        <v>563</v>
      </c>
    </row>
    <row r="105" spans="1:15" hidden="1" x14ac:dyDescent="0.45">
      <c r="A105" s="187">
        <v>2013</v>
      </c>
      <c r="B105" t="s">
        <v>34</v>
      </c>
      <c r="C105" t="s">
        <v>324</v>
      </c>
      <c r="D105" t="s">
        <v>35</v>
      </c>
      <c r="E105" t="s">
        <v>38</v>
      </c>
      <c r="F105" t="s">
        <v>38</v>
      </c>
      <c r="G105" t="s">
        <v>37</v>
      </c>
      <c r="H105" t="s">
        <v>43</v>
      </c>
      <c r="I105" s="187"/>
      <c r="J105" s="187">
        <v>66</v>
      </c>
      <c r="K105" s="187">
        <v>1566.538073037241</v>
      </c>
      <c r="L105" s="187">
        <v>1763</v>
      </c>
      <c r="M105" s="187">
        <v>3395.5380859375</v>
      </c>
      <c r="N105" s="187">
        <v>1763</v>
      </c>
      <c r="O105" t="s">
        <v>564</v>
      </c>
    </row>
    <row r="106" spans="1:15" hidden="1" x14ac:dyDescent="0.45">
      <c r="A106" s="187">
        <v>2013</v>
      </c>
      <c r="B106" t="s">
        <v>34</v>
      </c>
      <c r="C106" t="s">
        <v>324</v>
      </c>
      <c r="D106" t="s">
        <v>35</v>
      </c>
      <c r="E106" t="s">
        <v>354</v>
      </c>
      <c r="F106" t="s">
        <v>384</v>
      </c>
      <c r="G106" t="s">
        <v>36</v>
      </c>
      <c r="H106" t="s">
        <v>43</v>
      </c>
      <c r="I106" s="187"/>
      <c r="J106" s="187">
        <v>0</v>
      </c>
      <c r="K106" s="187">
        <v>0</v>
      </c>
      <c r="L106" s="187">
        <v>0</v>
      </c>
      <c r="M106" s="187">
        <v>0</v>
      </c>
      <c r="N106" s="187">
        <v>0</v>
      </c>
      <c r="O106" t="s">
        <v>565</v>
      </c>
    </row>
    <row r="107" spans="1:15" hidden="1" x14ac:dyDescent="0.45">
      <c r="A107" s="187">
        <v>2013</v>
      </c>
      <c r="B107" t="s">
        <v>34</v>
      </c>
      <c r="C107" t="s">
        <v>324</v>
      </c>
      <c r="D107" t="s">
        <v>35</v>
      </c>
      <c r="E107" t="s">
        <v>354</v>
      </c>
      <c r="F107" t="s">
        <v>384</v>
      </c>
      <c r="G107" t="s">
        <v>37</v>
      </c>
      <c r="H107" t="s">
        <v>43</v>
      </c>
      <c r="I107" s="187"/>
      <c r="J107" s="187">
        <v>0</v>
      </c>
      <c r="K107" s="187">
        <v>0</v>
      </c>
      <c r="L107" s="187">
        <v>0</v>
      </c>
      <c r="M107" s="187">
        <v>0</v>
      </c>
      <c r="N107" s="187">
        <v>0</v>
      </c>
      <c r="O107" t="s">
        <v>566</v>
      </c>
    </row>
    <row r="108" spans="1:15" hidden="1" x14ac:dyDescent="0.45">
      <c r="A108" s="187">
        <v>2013</v>
      </c>
      <c r="B108" t="s">
        <v>34</v>
      </c>
      <c r="C108" t="s">
        <v>324</v>
      </c>
      <c r="D108" t="s">
        <v>35</v>
      </c>
      <c r="E108" t="s">
        <v>354</v>
      </c>
      <c r="F108" t="s">
        <v>385</v>
      </c>
      <c r="G108" t="s">
        <v>36</v>
      </c>
      <c r="H108" t="s">
        <v>43</v>
      </c>
      <c r="I108" s="187"/>
      <c r="J108" s="187">
        <v>45.039291381835938</v>
      </c>
      <c r="K108" s="187">
        <v>166.99079895019531</v>
      </c>
      <c r="L108" s="187">
        <v>26.493701934814453</v>
      </c>
      <c r="M108" s="187">
        <v>238.52378845214844</v>
      </c>
      <c r="N108" s="187">
        <v>26.493701934814453</v>
      </c>
      <c r="O108" t="s">
        <v>567</v>
      </c>
    </row>
    <row r="109" spans="1:15" hidden="1" x14ac:dyDescent="0.45">
      <c r="A109" s="187">
        <v>2013</v>
      </c>
      <c r="B109" t="s">
        <v>34</v>
      </c>
      <c r="C109" t="s">
        <v>324</v>
      </c>
      <c r="D109" t="s">
        <v>35</v>
      </c>
      <c r="E109" t="s">
        <v>354</v>
      </c>
      <c r="F109" t="s">
        <v>385</v>
      </c>
      <c r="G109" t="s">
        <v>37</v>
      </c>
      <c r="H109" t="s">
        <v>43</v>
      </c>
      <c r="I109" s="187"/>
      <c r="J109" s="187">
        <v>34</v>
      </c>
      <c r="K109" s="187">
        <v>126.06075</v>
      </c>
      <c r="L109" s="187">
        <v>20</v>
      </c>
      <c r="M109" s="187">
        <v>180.06074523925781</v>
      </c>
      <c r="N109" s="187">
        <v>20</v>
      </c>
      <c r="O109" t="s">
        <v>568</v>
      </c>
    </row>
    <row r="110" spans="1:15" hidden="1" x14ac:dyDescent="0.45">
      <c r="A110" s="187">
        <v>2013</v>
      </c>
      <c r="B110" t="s">
        <v>34</v>
      </c>
      <c r="C110" t="s">
        <v>324</v>
      </c>
      <c r="D110" t="s">
        <v>35</v>
      </c>
      <c r="E110" t="s">
        <v>354</v>
      </c>
      <c r="F110" t="s">
        <v>386</v>
      </c>
      <c r="G110" t="s">
        <v>36</v>
      </c>
      <c r="H110" t="s">
        <v>43</v>
      </c>
      <c r="I110" s="187"/>
      <c r="J110" s="187">
        <v>119.22165679931641</v>
      </c>
      <c r="K110" s="187">
        <v>238.33468627929688</v>
      </c>
      <c r="L110" s="187">
        <v>562.99114990234375</v>
      </c>
      <c r="M110" s="187">
        <v>920.5474853515625</v>
      </c>
      <c r="N110" s="187">
        <v>562.99114990234375</v>
      </c>
      <c r="O110" t="s">
        <v>569</v>
      </c>
    </row>
    <row r="111" spans="1:15" hidden="1" x14ac:dyDescent="0.45">
      <c r="A111" s="187">
        <v>2013</v>
      </c>
      <c r="B111" t="s">
        <v>34</v>
      </c>
      <c r="C111" t="s">
        <v>324</v>
      </c>
      <c r="D111" t="s">
        <v>35</v>
      </c>
      <c r="E111" t="s">
        <v>354</v>
      </c>
      <c r="F111" t="s">
        <v>386</v>
      </c>
      <c r="G111" t="s">
        <v>37</v>
      </c>
      <c r="H111" t="s">
        <v>43</v>
      </c>
      <c r="I111" s="187"/>
      <c r="J111" s="187">
        <v>90</v>
      </c>
      <c r="K111" s="187">
        <v>179.91800000000001</v>
      </c>
      <c r="L111" s="187">
        <v>425</v>
      </c>
      <c r="M111" s="187">
        <v>694.91796875</v>
      </c>
      <c r="N111" s="187">
        <v>425</v>
      </c>
      <c r="O111" t="s">
        <v>570</v>
      </c>
    </row>
    <row r="112" spans="1:15" hidden="1" x14ac:dyDescent="0.45">
      <c r="A112" s="187">
        <v>2013</v>
      </c>
      <c r="B112" t="s">
        <v>34</v>
      </c>
      <c r="C112" t="s">
        <v>324</v>
      </c>
      <c r="D112" t="s">
        <v>35</v>
      </c>
      <c r="E112" t="s">
        <v>354</v>
      </c>
      <c r="F112" t="s">
        <v>387</v>
      </c>
      <c r="G112" t="s">
        <v>36</v>
      </c>
      <c r="H112" t="s">
        <v>43</v>
      </c>
      <c r="I112" s="187"/>
      <c r="J112" s="187">
        <v>164.26095581054688</v>
      </c>
      <c r="K112" s="187">
        <v>405.32546997070313</v>
      </c>
      <c r="L112" s="187">
        <v>589.48486328125</v>
      </c>
      <c r="M112" s="187">
        <v>1159.0712890625</v>
      </c>
      <c r="N112" s="187">
        <v>589.48486328125</v>
      </c>
      <c r="O112" t="s">
        <v>571</v>
      </c>
    </row>
    <row r="113" spans="1:15" hidden="1" x14ac:dyDescent="0.45">
      <c r="A113" s="187">
        <v>2013</v>
      </c>
      <c r="B113" t="s">
        <v>34</v>
      </c>
      <c r="C113" t="s">
        <v>324</v>
      </c>
      <c r="D113" t="s">
        <v>35</v>
      </c>
      <c r="E113" t="s">
        <v>354</v>
      </c>
      <c r="F113" t="s">
        <v>387</v>
      </c>
      <c r="G113" t="s">
        <v>37</v>
      </c>
      <c r="H113" t="s">
        <v>43</v>
      </c>
      <c r="I113" s="187"/>
      <c r="J113" s="187">
        <v>124</v>
      </c>
      <c r="K113" s="187">
        <v>305.97874999999999</v>
      </c>
      <c r="L113" s="187">
        <v>445</v>
      </c>
      <c r="M113" s="187">
        <v>874.978759765625</v>
      </c>
      <c r="N113" s="187">
        <v>445</v>
      </c>
      <c r="O113" t="s">
        <v>572</v>
      </c>
    </row>
    <row r="114" spans="1:15" hidden="1" x14ac:dyDescent="0.45">
      <c r="A114" s="187">
        <v>2013</v>
      </c>
      <c r="B114" t="s">
        <v>34</v>
      </c>
      <c r="C114" t="s">
        <v>324</v>
      </c>
      <c r="D114" t="s">
        <v>35</v>
      </c>
      <c r="E114" t="s">
        <v>17</v>
      </c>
      <c r="F114" t="s">
        <v>17</v>
      </c>
      <c r="G114" t="s">
        <v>36</v>
      </c>
      <c r="H114" t="s">
        <v>43</v>
      </c>
      <c r="I114" s="187"/>
      <c r="J114" s="187">
        <v>45.039291381835938</v>
      </c>
      <c r="K114" s="187">
        <v>866.129150390625</v>
      </c>
      <c r="L114" s="187">
        <v>859.72064208984375</v>
      </c>
      <c r="M114" s="187">
        <v>1770.88916015625</v>
      </c>
      <c r="N114" s="187">
        <v>859.72064208984375</v>
      </c>
      <c r="O114" t="s">
        <v>573</v>
      </c>
    </row>
    <row r="115" spans="1:15" hidden="1" x14ac:dyDescent="0.45">
      <c r="A115" s="187">
        <v>2013</v>
      </c>
      <c r="B115" t="s">
        <v>34</v>
      </c>
      <c r="C115" t="s">
        <v>324</v>
      </c>
      <c r="D115" t="s">
        <v>35</v>
      </c>
      <c r="E115" t="s">
        <v>17</v>
      </c>
      <c r="F115" t="s">
        <v>17</v>
      </c>
      <c r="G115" t="s">
        <v>37</v>
      </c>
      <c r="H115" t="s">
        <v>43</v>
      </c>
      <c r="I115" s="187"/>
      <c r="J115" s="187">
        <v>34</v>
      </c>
      <c r="K115" s="187">
        <v>653.83780000000002</v>
      </c>
      <c r="L115" s="187">
        <v>649</v>
      </c>
      <c r="M115" s="187">
        <v>1336.837890625</v>
      </c>
      <c r="N115" s="187">
        <v>649</v>
      </c>
      <c r="O115" t="s">
        <v>574</v>
      </c>
    </row>
    <row r="116" spans="1:15" hidden="1" x14ac:dyDescent="0.45">
      <c r="A116" s="187">
        <v>2013</v>
      </c>
      <c r="B116" t="s">
        <v>34</v>
      </c>
      <c r="C116" t="s">
        <v>324</v>
      </c>
      <c r="D116" t="s">
        <v>35</v>
      </c>
      <c r="E116" t="s">
        <v>45</v>
      </c>
      <c r="F116" t="s">
        <v>45</v>
      </c>
      <c r="G116" t="s">
        <v>36</v>
      </c>
      <c r="H116" t="s">
        <v>43</v>
      </c>
      <c r="I116" s="187"/>
      <c r="J116" s="187">
        <v>0</v>
      </c>
      <c r="K116" s="187">
        <v>380.50640869140625</v>
      </c>
      <c r="L116" s="187">
        <v>4592.68310546875</v>
      </c>
      <c r="M116" s="187">
        <v>4973.189453125</v>
      </c>
      <c r="N116" s="187">
        <v>4592.68310546875</v>
      </c>
      <c r="O116" t="s">
        <v>575</v>
      </c>
    </row>
    <row r="117" spans="1:15" hidden="1" x14ac:dyDescent="0.45">
      <c r="A117" s="187">
        <v>2013</v>
      </c>
      <c r="B117" t="s">
        <v>34</v>
      </c>
      <c r="C117" t="s">
        <v>324</v>
      </c>
      <c r="D117" t="s">
        <v>35</v>
      </c>
      <c r="E117" t="s">
        <v>45</v>
      </c>
      <c r="F117" t="s">
        <v>45</v>
      </c>
      <c r="G117" t="s">
        <v>37</v>
      </c>
      <c r="H117" t="s">
        <v>43</v>
      </c>
      <c r="I117" s="187"/>
      <c r="J117" s="187">
        <v>0</v>
      </c>
      <c r="K117" s="187">
        <v>287.24293</v>
      </c>
      <c r="L117" s="187">
        <v>3467</v>
      </c>
      <c r="M117" s="187">
        <v>3754.242919921875</v>
      </c>
      <c r="N117" s="187">
        <v>3467</v>
      </c>
      <c r="O117" t="s">
        <v>576</v>
      </c>
    </row>
    <row r="118" spans="1:15" hidden="1" x14ac:dyDescent="0.45">
      <c r="A118" s="187">
        <v>2013</v>
      </c>
      <c r="B118" t="s">
        <v>34</v>
      </c>
      <c r="C118" t="s">
        <v>324</v>
      </c>
      <c r="D118" t="s">
        <v>35</v>
      </c>
      <c r="E118" t="s">
        <v>356</v>
      </c>
      <c r="F118" t="s">
        <v>356</v>
      </c>
      <c r="G118" t="s">
        <v>36</v>
      </c>
      <c r="H118" t="s">
        <v>43</v>
      </c>
      <c r="I118" s="187"/>
      <c r="J118" s="187">
        <v>0</v>
      </c>
      <c r="K118" s="187">
        <v>0</v>
      </c>
      <c r="L118" s="187">
        <v>0</v>
      </c>
      <c r="M118" s="187">
        <v>0</v>
      </c>
      <c r="N118" s="187">
        <v>0</v>
      </c>
      <c r="O118" t="s">
        <v>577</v>
      </c>
    </row>
    <row r="119" spans="1:15" hidden="1" x14ac:dyDescent="0.45">
      <c r="A119" s="187">
        <v>2013</v>
      </c>
      <c r="B119" t="s">
        <v>34</v>
      </c>
      <c r="C119" t="s">
        <v>324</v>
      </c>
      <c r="D119" t="s">
        <v>35</v>
      </c>
      <c r="E119" t="s">
        <v>356</v>
      </c>
      <c r="F119" t="s">
        <v>356</v>
      </c>
      <c r="G119" t="s">
        <v>37</v>
      </c>
      <c r="H119" t="s">
        <v>43</v>
      </c>
      <c r="I119" s="187"/>
      <c r="J119" s="187">
        <v>0</v>
      </c>
      <c r="K119" s="187">
        <v>0</v>
      </c>
      <c r="L119" s="187">
        <v>0</v>
      </c>
      <c r="M119" s="187">
        <v>0</v>
      </c>
      <c r="N119" s="187">
        <v>0</v>
      </c>
      <c r="O119" t="s">
        <v>578</v>
      </c>
    </row>
    <row r="120" spans="1:15" hidden="1" x14ac:dyDescent="0.45">
      <c r="A120" s="187">
        <v>2013</v>
      </c>
      <c r="B120" t="s">
        <v>34</v>
      </c>
      <c r="C120" t="s">
        <v>325</v>
      </c>
      <c r="D120" t="s">
        <v>35</v>
      </c>
      <c r="E120" t="s">
        <v>357</v>
      </c>
      <c r="F120" t="s">
        <v>412</v>
      </c>
      <c r="G120" t="s">
        <v>36</v>
      </c>
      <c r="H120" t="s">
        <v>43</v>
      </c>
      <c r="I120" s="187"/>
      <c r="J120" s="187">
        <v>506.02969360351563</v>
      </c>
      <c r="K120" s="187">
        <v>823.64227294921875</v>
      </c>
      <c r="L120" s="187">
        <v>0</v>
      </c>
      <c r="M120" s="187">
        <v>1329.6719970703125</v>
      </c>
      <c r="N120" s="187">
        <v>0</v>
      </c>
      <c r="O120" t="s">
        <v>579</v>
      </c>
    </row>
    <row r="121" spans="1:15" hidden="1" x14ac:dyDescent="0.45">
      <c r="A121" s="187">
        <v>2013</v>
      </c>
      <c r="B121" t="s">
        <v>34</v>
      </c>
      <c r="C121" t="s">
        <v>325</v>
      </c>
      <c r="D121" t="s">
        <v>35</v>
      </c>
      <c r="E121" t="s">
        <v>357</v>
      </c>
      <c r="F121" t="s">
        <v>412</v>
      </c>
      <c r="G121" t="s">
        <v>37</v>
      </c>
      <c r="H121" t="s">
        <v>43</v>
      </c>
      <c r="I121" s="187"/>
      <c r="J121" s="187">
        <v>382</v>
      </c>
      <c r="K121" s="187">
        <v>621.76459</v>
      </c>
      <c r="L121" s="187">
        <v>0</v>
      </c>
      <c r="M121" s="187">
        <v>1003.7645874023438</v>
      </c>
      <c r="N121" s="187">
        <v>0</v>
      </c>
      <c r="O121" t="s">
        <v>580</v>
      </c>
    </row>
    <row r="122" spans="1:15" hidden="1" x14ac:dyDescent="0.45">
      <c r="A122" s="187">
        <v>2013</v>
      </c>
      <c r="B122" t="s">
        <v>34</v>
      </c>
      <c r="C122" t="s">
        <v>325</v>
      </c>
      <c r="D122" t="s">
        <v>35</v>
      </c>
      <c r="E122" t="s">
        <v>357</v>
      </c>
      <c r="F122" t="s">
        <v>413</v>
      </c>
      <c r="G122" t="s">
        <v>36</v>
      </c>
      <c r="H122" t="s">
        <v>43</v>
      </c>
      <c r="I122" s="187"/>
      <c r="J122" s="187">
        <v>506.02969360351563</v>
      </c>
      <c r="K122" s="187">
        <v>823.64227294921875</v>
      </c>
      <c r="L122" s="187">
        <v>0</v>
      </c>
      <c r="M122" s="187">
        <v>1329.6719970703125</v>
      </c>
      <c r="N122" s="187">
        <v>0</v>
      </c>
      <c r="O122" t="s">
        <v>581</v>
      </c>
    </row>
    <row r="123" spans="1:15" hidden="1" x14ac:dyDescent="0.45">
      <c r="A123" s="187">
        <v>2013</v>
      </c>
      <c r="B123" t="s">
        <v>34</v>
      </c>
      <c r="C123" t="s">
        <v>325</v>
      </c>
      <c r="D123" t="s">
        <v>35</v>
      </c>
      <c r="E123" t="s">
        <v>357</v>
      </c>
      <c r="F123" t="s">
        <v>413</v>
      </c>
      <c r="G123" t="s">
        <v>37</v>
      </c>
      <c r="H123" t="s">
        <v>43</v>
      </c>
      <c r="I123" s="187"/>
      <c r="J123" s="187">
        <v>382</v>
      </c>
      <c r="K123" s="187">
        <v>621.76459</v>
      </c>
      <c r="L123" s="187">
        <v>0</v>
      </c>
      <c r="M123" s="187">
        <v>1003.7645874023438</v>
      </c>
      <c r="N123" s="187">
        <v>0</v>
      </c>
      <c r="O123" t="s">
        <v>582</v>
      </c>
    </row>
    <row r="124" spans="1:15" hidden="1" x14ac:dyDescent="0.45">
      <c r="A124" s="187">
        <v>2013</v>
      </c>
      <c r="B124" t="s">
        <v>34</v>
      </c>
      <c r="C124" t="s">
        <v>325</v>
      </c>
      <c r="D124" t="s">
        <v>35</v>
      </c>
      <c r="E124" t="s">
        <v>357</v>
      </c>
      <c r="F124" t="s">
        <v>414</v>
      </c>
      <c r="G124" t="s">
        <v>36</v>
      </c>
      <c r="H124" t="s">
        <v>43</v>
      </c>
      <c r="I124" s="187"/>
      <c r="J124" s="187">
        <v>0</v>
      </c>
      <c r="K124" s="187">
        <v>0</v>
      </c>
      <c r="L124" s="187"/>
      <c r="M124" s="187">
        <v>0</v>
      </c>
      <c r="N124" s="187">
        <v>0</v>
      </c>
      <c r="O124" t="s">
        <v>583</v>
      </c>
    </row>
    <row r="125" spans="1:15" hidden="1" x14ac:dyDescent="0.45">
      <c r="A125" s="187">
        <v>2013</v>
      </c>
      <c r="B125" t="s">
        <v>34</v>
      </c>
      <c r="C125" t="s">
        <v>325</v>
      </c>
      <c r="D125" t="s">
        <v>35</v>
      </c>
      <c r="E125" t="s">
        <v>357</v>
      </c>
      <c r="F125" t="s">
        <v>414</v>
      </c>
      <c r="G125" t="s">
        <v>37</v>
      </c>
      <c r="H125" t="s">
        <v>43</v>
      </c>
      <c r="I125" s="187"/>
      <c r="J125" s="187">
        <v>0</v>
      </c>
      <c r="K125" s="187">
        <v>0</v>
      </c>
      <c r="L125" s="187"/>
      <c r="M125" s="187">
        <v>0</v>
      </c>
      <c r="N125" s="187">
        <v>0</v>
      </c>
      <c r="O125" t="s">
        <v>584</v>
      </c>
    </row>
    <row r="126" spans="1:15" hidden="1" x14ac:dyDescent="0.45">
      <c r="A126" s="187">
        <v>2013</v>
      </c>
      <c r="B126" t="s">
        <v>34</v>
      </c>
      <c r="C126" t="s">
        <v>325</v>
      </c>
      <c r="D126" t="s">
        <v>35</v>
      </c>
      <c r="E126" t="s">
        <v>357</v>
      </c>
      <c r="F126" t="s">
        <v>392</v>
      </c>
      <c r="G126" t="s">
        <v>36</v>
      </c>
      <c r="H126" t="s">
        <v>43</v>
      </c>
      <c r="I126" s="187"/>
      <c r="J126" s="187">
        <v>0</v>
      </c>
      <c r="K126" s="187">
        <v>0</v>
      </c>
      <c r="L126" s="187"/>
      <c r="M126" s="187">
        <v>0</v>
      </c>
      <c r="N126" s="187">
        <v>0</v>
      </c>
      <c r="O126" t="s">
        <v>585</v>
      </c>
    </row>
    <row r="127" spans="1:15" hidden="1" x14ac:dyDescent="0.45">
      <c r="A127" s="187">
        <v>2013</v>
      </c>
      <c r="B127" t="s">
        <v>34</v>
      </c>
      <c r="C127" t="s">
        <v>325</v>
      </c>
      <c r="D127" t="s">
        <v>35</v>
      </c>
      <c r="E127" t="s">
        <v>357</v>
      </c>
      <c r="F127" t="s">
        <v>392</v>
      </c>
      <c r="G127" t="s">
        <v>37</v>
      </c>
      <c r="H127" t="s">
        <v>43</v>
      </c>
      <c r="I127" s="187"/>
      <c r="J127" s="187">
        <v>0</v>
      </c>
      <c r="K127" s="187">
        <v>0</v>
      </c>
      <c r="L127" s="187"/>
      <c r="M127" s="187">
        <v>0</v>
      </c>
      <c r="N127" s="187">
        <v>0</v>
      </c>
      <c r="O127" t="s">
        <v>586</v>
      </c>
    </row>
    <row r="128" spans="1:15" hidden="1" x14ac:dyDescent="0.45">
      <c r="A128" s="187">
        <v>2013</v>
      </c>
      <c r="B128" t="s">
        <v>34</v>
      </c>
      <c r="C128" t="s">
        <v>325</v>
      </c>
      <c r="D128" t="s">
        <v>35</v>
      </c>
      <c r="E128" t="s">
        <v>357</v>
      </c>
      <c r="F128" t="s">
        <v>393</v>
      </c>
      <c r="G128" t="s">
        <v>36</v>
      </c>
      <c r="H128" t="s">
        <v>43</v>
      </c>
      <c r="I128" s="187"/>
      <c r="J128" s="187">
        <v>0</v>
      </c>
      <c r="K128" s="187">
        <v>0</v>
      </c>
      <c r="L128" s="187"/>
      <c r="M128" s="187">
        <v>0</v>
      </c>
      <c r="N128" s="187">
        <v>0</v>
      </c>
      <c r="O128" t="s">
        <v>587</v>
      </c>
    </row>
    <row r="129" spans="1:15" hidden="1" x14ac:dyDescent="0.45">
      <c r="A129" s="187">
        <v>2013</v>
      </c>
      <c r="B129" t="s">
        <v>34</v>
      </c>
      <c r="C129" t="s">
        <v>325</v>
      </c>
      <c r="D129" t="s">
        <v>35</v>
      </c>
      <c r="E129" t="s">
        <v>357</v>
      </c>
      <c r="F129" t="s">
        <v>393</v>
      </c>
      <c r="G129" t="s">
        <v>37</v>
      </c>
      <c r="H129" t="s">
        <v>43</v>
      </c>
      <c r="I129" s="187"/>
      <c r="J129" s="187">
        <v>0</v>
      </c>
      <c r="K129" s="187">
        <v>0</v>
      </c>
      <c r="L129" s="187"/>
      <c r="M129" s="187">
        <v>0</v>
      </c>
      <c r="N129" s="187">
        <v>0</v>
      </c>
      <c r="O129" t="s">
        <v>588</v>
      </c>
    </row>
    <row r="130" spans="1:15" hidden="1" x14ac:dyDescent="0.45">
      <c r="A130" s="187">
        <v>2013</v>
      </c>
      <c r="B130" t="s">
        <v>34</v>
      </c>
      <c r="C130" t="s">
        <v>325</v>
      </c>
      <c r="D130" t="s">
        <v>35</v>
      </c>
      <c r="E130" t="s">
        <v>357</v>
      </c>
      <c r="F130" t="s">
        <v>394</v>
      </c>
      <c r="G130" t="s">
        <v>36</v>
      </c>
      <c r="H130" t="s">
        <v>43</v>
      </c>
      <c r="I130" s="187"/>
      <c r="J130" s="187">
        <v>0</v>
      </c>
      <c r="K130" s="187">
        <v>0</v>
      </c>
      <c r="L130" s="187"/>
      <c r="M130" s="187">
        <v>0</v>
      </c>
      <c r="N130" s="187">
        <v>0</v>
      </c>
      <c r="O130" t="s">
        <v>589</v>
      </c>
    </row>
    <row r="131" spans="1:15" hidden="1" x14ac:dyDescent="0.45">
      <c r="A131" s="187">
        <v>2013</v>
      </c>
      <c r="B131" t="s">
        <v>34</v>
      </c>
      <c r="C131" t="s">
        <v>325</v>
      </c>
      <c r="D131" t="s">
        <v>35</v>
      </c>
      <c r="E131" t="s">
        <v>357</v>
      </c>
      <c r="F131" t="s">
        <v>394</v>
      </c>
      <c r="G131" t="s">
        <v>37</v>
      </c>
      <c r="H131" t="s">
        <v>43</v>
      </c>
      <c r="I131" s="187"/>
      <c r="J131" s="187">
        <v>0</v>
      </c>
      <c r="K131" s="187">
        <v>0</v>
      </c>
      <c r="L131" s="187"/>
      <c r="M131" s="187">
        <v>0</v>
      </c>
      <c r="N131" s="187">
        <v>0</v>
      </c>
      <c r="O131" t="s">
        <v>590</v>
      </c>
    </row>
    <row r="132" spans="1:15" hidden="1" x14ac:dyDescent="0.45">
      <c r="A132" s="187">
        <v>2013</v>
      </c>
      <c r="B132" t="s">
        <v>34</v>
      </c>
      <c r="C132" t="s">
        <v>325</v>
      </c>
      <c r="D132" t="s">
        <v>35</v>
      </c>
      <c r="E132" t="s">
        <v>357</v>
      </c>
      <c r="F132" t="s">
        <v>395</v>
      </c>
      <c r="G132" t="s">
        <v>36</v>
      </c>
      <c r="H132" t="s">
        <v>43</v>
      </c>
      <c r="I132" s="187"/>
      <c r="J132" s="187">
        <v>0</v>
      </c>
      <c r="K132" s="187">
        <v>0</v>
      </c>
      <c r="L132" s="187"/>
      <c r="M132" s="187">
        <v>0</v>
      </c>
      <c r="N132" s="187">
        <v>0</v>
      </c>
      <c r="O132" t="s">
        <v>591</v>
      </c>
    </row>
    <row r="133" spans="1:15" hidden="1" x14ac:dyDescent="0.45">
      <c r="A133" s="187">
        <v>2013</v>
      </c>
      <c r="B133" t="s">
        <v>34</v>
      </c>
      <c r="C133" t="s">
        <v>325</v>
      </c>
      <c r="D133" t="s">
        <v>35</v>
      </c>
      <c r="E133" t="s">
        <v>357</v>
      </c>
      <c r="F133" t="s">
        <v>395</v>
      </c>
      <c r="G133" t="s">
        <v>37</v>
      </c>
      <c r="H133" t="s">
        <v>43</v>
      </c>
      <c r="I133" s="187"/>
      <c r="J133" s="187">
        <v>0</v>
      </c>
      <c r="K133" s="187">
        <v>0</v>
      </c>
      <c r="L133" s="187"/>
      <c r="M133" s="187">
        <v>0</v>
      </c>
      <c r="N133" s="187">
        <v>0</v>
      </c>
      <c r="O133" t="s">
        <v>592</v>
      </c>
    </row>
    <row r="134" spans="1:15" hidden="1" x14ac:dyDescent="0.45">
      <c r="A134" s="187">
        <v>2013</v>
      </c>
      <c r="B134" t="s">
        <v>34</v>
      </c>
      <c r="C134" t="s">
        <v>325</v>
      </c>
      <c r="D134" t="s">
        <v>35</v>
      </c>
      <c r="E134" t="s">
        <v>357</v>
      </c>
      <c r="F134" t="s">
        <v>396</v>
      </c>
      <c r="G134" t="s">
        <v>36</v>
      </c>
      <c r="H134" t="s">
        <v>43</v>
      </c>
      <c r="I134" s="187"/>
      <c r="J134" s="187">
        <v>0</v>
      </c>
      <c r="K134" s="187">
        <v>0</v>
      </c>
      <c r="L134" s="187"/>
      <c r="M134" s="187">
        <v>0</v>
      </c>
      <c r="N134" s="187">
        <v>0</v>
      </c>
      <c r="O134" t="s">
        <v>593</v>
      </c>
    </row>
    <row r="135" spans="1:15" hidden="1" x14ac:dyDescent="0.45">
      <c r="A135" s="187">
        <v>2013</v>
      </c>
      <c r="B135" t="s">
        <v>34</v>
      </c>
      <c r="C135" t="s">
        <v>325</v>
      </c>
      <c r="D135" t="s">
        <v>35</v>
      </c>
      <c r="E135" t="s">
        <v>357</v>
      </c>
      <c r="F135" t="s">
        <v>396</v>
      </c>
      <c r="G135" t="s">
        <v>37</v>
      </c>
      <c r="H135" t="s">
        <v>43</v>
      </c>
      <c r="I135" s="187"/>
      <c r="J135" s="187">
        <v>0</v>
      </c>
      <c r="K135" s="187">
        <v>0</v>
      </c>
      <c r="L135" s="187"/>
      <c r="M135" s="187">
        <v>0</v>
      </c>
      <c r="N135" s="187">
        <v>0</v>
      </c>
      <c r="O135" t="s">
        <v>594</v>
      </c>
    </row>
    <row r="136" spans="1:15" hidden="1" x14ac:dyDescent="0.45">
      <c r="A136" s="187">
        <v>2013</v>
      </c>
      <c r="B136" t="s">
        <v>34</v>
      </c>
      <c r="C136" t="s">
        <v>325</v>
      </c>
      <c r="D136" t="s">
        <v>35</v>
      </c>
      <c r="E136" t="s">
        <v>357</v>
      </c>
      <c r="F136" t="s">
        <v>415</v>
      </c>
      <c r="G136" t="s">
        <v>36</v>
      </c>
      <c r="H136" t="s">
        <v>43</v>
      </c>
      <c r="I136" s="187"/>
      <c r="J136" s="187">
        <v>0</v>
      </c>
      <c r="K136" s="187">
        <v>0</v>
      </c>
      <c r="L136" s="187">
        <v>0</v>
      </c>
      <c r="M136" s="187">
        <v>0</v>
      </c>
      <c r="N136" s="187">
        <v>0</v>
      </c>
      <c r="O136" t="s">
        <v>595</v>
      </c>
    </row>
    <row r="137" spans="1:15" hidden="1" x14ac:dyDescent="0.45">
      <c r="A137" s="187">
        <v>2013</v>
      </c>
      <c r="B137" t="s">
        <v>34</v>
      </c>
      <c r="C137" t="s">
        <v>325</v>
      </c>
      <c r="D137" t="s">
        <v>35</v>
      </c>
      <c r="E137" t="s">
        <v>357</v>
      </c>
      <c r="F137" t="s">
        <v>415</v>
      </c>
      <c r="G137" t="s">
        <v>37</v>
      </c>
      <c r="H137" t="s">
        <v>43</v>
      </c>
      <c r="I137" s="187"/>
      <c r="J137" s="187">
        <v>0</v>
      </c>
      <c r="K137" s="187">
        <v>0</v>
      </c>
      <c r="L137" s="187">
        <v>0</v>
      </c>
      <c r="M137" s="187">
        <v>0</v>
      </c>
      <c r="N137" s="187">
        <v>0</v>
      </c>
      <c r="O137" t="s">
        <v>596</v>
      </c>
    </row>
    <row r="138" spans="1:15" hidden="1" x14ac:dyDescent="0.45">
      <c r="A138" s="187">
        <v>2013</v>
      </c>
      <c r="B138" t="s">
        <v>34</v>
      </c>
      <c r="C138" t="s">
        <v>325</v>
      </c>
      <c r="D138" t="s">
        <v>35</v>
      </c>
      <c r="E138" t="s">
        <v>357</v>
      </c>
      <c r="F138" t="s">
        <v>416</v>
      </c>
      <c r="G138" t="s">
        <v>36</v>
      </c>
      <c r="H138" t="s">
        <v>43</v>
      </c>
      <c r="I138" s="187"/>
      <c r="J138" s="187">
        <v>0</v>
      </c>
      <c r="K138" s="187">
        <v>0</v>
      </c>
      <c r="L138" s="187"/>
      <c r="M138" s="187">
        <v>0</v>
      </c>
      <c r="N138" s="187">
        <v>0</v>
      </c>
      <c r="O138" t="s">
        <v>597</v>
      </c>
    </row>
    <row r="139" spans="1:15" hidden="1" x14ac:dyDescent="0.45">
      <c r="A139" s="187">
        <v>2013</v>
      </c>
      <c r="B139" t="s">
        <v>34</v>
      </c>
      <c r="C139" t="s">
        <v>325</v>
      </c>
      <c r="D139" t="s">
        <v>35</v>
      </c>
      <c r="E139" t="s">
        <v>357</v>
      </c>
      <c r="F139" t="s">
        <v>416</v>
      </c>
      <c r="G139" t="s">
        <v>37</v>
      </c>
      <c r="H139" t="s">
        <v>43</v>
      </c>
      <c r="I139" s="187"/>
      <c r="J139" s="187">
        <v>0</v>
      </c>
      <c r="K139" s="187">
        <v>0</v>
      </c>
      <c r="L139" s="187"/>
      <c r="M139" s="187">
        <v>0</v>
      </c>
      <c r="N139" s="187">
        <v>0</v>
      </c>
      <c r="O139" t="s">
        <v>598</v>
      </c>
    </row>
    <row r="140" spans="1:15" hidden="1" x14ac:dyDescent="0.45">
      <c r="A140" s="187">
        <v>2013</v>
      </c>
      <c r="B140" t="s">
        <v>34</v>
      </c>
      <c r="C140" t="s">
        <v>325</v>
      </c>
      <c r="D140" t="s">
        <v>35</v>
      </c>
      <c r="E140" t="s">
        <v>357</v>
      </c>
      <c r="F140" t="s">
        <v>417</v>
      </c>
      <c r="G140" t="s">
        <v>36</v>
      </c>
      <c r="H140" t="s">
        <v>43</v>
      </c>
      <c r="I140" s="187"/>
      <c r="J140" s="187">
        <v>9.2727956771850586</v>
      </c>
      <c r="K140" s="187">
        <v>0</v>
      </c>
      <c r="L140" s="187"/>
      <c r="M140" s="187">
        <v>9.2727956771850586</v>
      </c>
      <c r="N140" s="187">
        <v>0</v>
      </c>
      <c r="O140" t="s">
        <v>599</v>
      </c>
    </row>
    <row r="141" spans="1:15" hidden="1" x14ac:dyDescent="0.45">
      <c r="A141" s="187">
        <v>2013</v>
      </c>
      <c r="B141" t="s">
        <v>34</v>
      </c>
      <c r="C141" t="s">
        <v>325</v>
      </c>
      <c r="D141" t="s">
        <v>35</v>
      </c>
      <c r="E141" t="s">
        <v>357</v>
      </c>
      <c r="F141" t="s">
        <v>417</v>
      </c>
      <c r="G141" t="s">
        <v>37</v>
      </c>
      <c r="H141" t="s">
        <v>43</v>
      </c>
      <c r="I141" s="187"/>
      <c r="J141" s="187">
        <v>7</v>
      </c>
      <c r="K141" s="187">
        <v>0</v>
      </c>
      <c r="L141" s="187"/>
      <c r="M141" s="187">
        <v>7</v>
      </c>
      <c r="N141" s="187">
        <v>0</v>
      </c>
      <c r="O141" t="s">
        <v>600</v>
      </c>
    </row>
    <row r="142" spans="1:15" hidden="1" x14ac:dyDescent="0.45">
      <c r="A142" s="187">
        <v>2013</v>
      </c>
      <c r="B142" t="s">
        <v>34</v>
      </c>
      <c r="C142" t="s">
        <v>325</v>
      </c>
      <c r="D142" t="s">
        <v>35</v>
      </c>
      <c r="E142" t="s">
        <v>357</v>
      </c>
      <c r="F142" t="s">
        <v>418</v>
      </c>
      <c r="G142" t="s">
        <v>36</v>
      </c>
      <c r="H142" t="s">
        <v>43</v>
      </c>
      <c r="I142" s="187"/>
      <c r="J142" s="187">
        <v>207.97555541992188</v>
      </c>
      <c r="K142" s="187">
        <v>0</v>
      </c>
      <c r="L142" s="187"/>
      <c r="M142" s="187">
        <v>207.97555541992188</v>
      </c>
      <c r="N142" s="187">
        <v>0</v>
      </c>
      <c r="O142" t="s">
        <v>601</v>
      </c>
    </row>
    <row r="143" spans="1:15" hidden="1" x14ac:dyDescent="0.45">
      <c r="A143" s="187">
        <v>2013</v>
      </c>
      <c r="B143" t="s">
        <v>34</v>
      </c>
      <c r="C143" t="s">
        <v>325</v>
      </c>
      <c r="D143" t="s">
        <v>35</v>
      </c>
      <c r="E143" t="s">
        <v>357</v>
      </c>
      <c r="F143" t="s">
        <v>418</v>
      </c>
      <c r="G143" t="s">
        <v>37</v>
      </c>
      <c r="H143" t="s">
        <v>43</v>
      </c>
      <c r="I143" s="187"/>
      <c r="J143" s="187">
        <v>157</v>
      </c>
      <c r="K143" s="187">
        <v>0</v>
      </c>
      <c r="L143" s="187"/>
      <c r="M143" s="187">
        <v>157</v>
      </c>
      <c r="N143" s="187">
        <v>0</v>
      </c>
      <c r="O143" t="s">
        <v>602</v>
      </c>
    </row>
    <row r="144" spans="1:15" hidden="1" x14ac:dyDescent="0.45">
      <c r="A144" s="187">
        <v>2013</v>
      </c>
      <c r="B144" t="s">
        <v>34</v>
      </c>
      <c r="C144" t="s">
        <v>325</v>
      </c>
      <c r="D144" t="s">
        <v>35</v>
      </c>
      <c r="E144" t="s">
        <v>357</v>
      </c>
      <c r="F144" t="s">
        <v>419</v>
      </c>
      <c r="G144" t="s">
        <v>36</v>
      </c>
      <c r="H144" t="s">
        <v>43</v>
      </c>
      <c r="I144" s="187"/>
      <c r="J144" s="187">
        <v>0</v>
      </c>
      <c r="K144" s="187">
        <v>0</v>
      </c>
      <c r="L144" s="187"/>
      <c r="M144" s="187">
        <v>0</v>
      </c>
      <c r="N144" s="187">
        <v>0</v>
      </c>
      <c r="O144" t="s">
        <v>603</v>
      </c>
    </row>
    <row r="145" spans="1:15" hidden="1" x14ac:dyDescent="0.45">
      <c r="A145" s="187">
        <v>2013</v>
      </c>
      <c r="B145" t="s">
        <v>34</v>
      </c>
      <c r="C145" t="s">
        <v>325</v>
      </c>
      <c r="D145" t="s">
        <v>35</v>
      </c>
      <c r="E145" t="s">
        <v>357</v>
      </c>
      <c r="F145" t="s">
        <v>419</v>
      </c>
      <c r="G145" t="s">
        <v>37</v>
      </c>
      <c r="H145" t="s">
        <v>43</v>
      </c>
      <c r="I145" s="187"/>
      <c r="J145" s="187">
        <v>0</v>
      </c>
      <c r="K145" s="187">
        <v>0</v>
      </c>
      <c r="L145" s="187"/>
      <c r="M145" s="187">
        <v>0</v>
      </c>
      <c r="N145" s="187">
        <v>0</v>
      </c>
      <c r="O145" t="s">
        <v>604</v>
      </c>
    </row>
    <row r="146" spans="1:15" hidden="1" x14ac:dyDescent="0.45">
      <c r="A146" s="187">
        <v>2013</v>
      </c>
      <c r="B146" t="s">
        <v>34</v>
      </c>
      <c r="C146" t="s">
        <v>325</v>
      </c>
      <c r="D146" t="s">
        <v>35</v>
      </c>
      <c r="E146" t="s">
        <v>357</v>
      </c>
      <c r="F146" t="s">
        <v>420</v>
      </c>
      <c r="G146" t="s">
        <v>36</v>
      </c>
      <c r="H146" t="s">
        <v>43</v>
      </c>
      <c r="I146" s="187"/>
      <c r="J146" s="187">
        <v>217.24835205078125</v>
      </c>
      <c r="K146" s="187">
        <v>0</v>
      </c>
      <c r="L146" s="187">
        <v>0</v>
      </c>
      <c r="M146" s="187">
        <v>217.24835205078125</v>
      </c>
      <c r="N146" s="187">
        <v>0</v>
      </c>
      <c r="O146" t="s">
        <v>605</v>
      </c>
    </row>
    <row r="147" spans="1:15" hidden="1" x14ac:dyDescent="0.45">
      <c r="A147" s="187">
        <v>2013</v>
      </c>
      <c r="B147" t="s">
        <v>34</v>
      </c>
      <c r="C147" t="s">
        <v>325</v>
      </c>
      <c r="D147" t="s">
        <v>35</v>
      </c>
      <c r="E147" t="s">
        <v>357</v>
      </c>
      <c r="F147" t="s">
        <v>420</v>
      </c>
      <c r="G147" t="s">
        <v>37</v>
      </c>
      <c r="H147" t="s">
        <v>43</v>
      </c>
      <c r="I147" s="187"/>
      <c r="J147" s="187">
        <v>164</v>
      </c>
      <c r="K147" s="187">
        <v>0</v>
      </c>
      <c r="L147" s="187">
        <v>0</v>
      </c>
      <c r="M147" s="187">
        <v>164</v>
      </c>
      <c r="N147" s="187">
        <v>0</v>
      </c>
      <c r="O147" t="s">
        <v>606</v>
      </c>
    </row>
    <row r="148" spans="1:15" hidden="1" x14ac:dyDescent="0.45">
      <c r="A148" s="187">
        <v>2013</v>
      </c>
      <c r="B148" t="s">
        <v>34</v>
      </c>
      <c r="C148" t="s">
        <v>325</v>
      </c>
      <c r="D148" t="s">
        <v>35</v>
      </c>
      <c r="E148" t="s">
        <v>357</v>
      </c>
      <c r="F148" t="s">
        <v>402</v>
      </c>
      <c r="G148" t="s">
        <v>36</v>
      </c>
      <c r="H148" t="s">
        <v>43</v>
      </c>
      <c r="I148" s="187"/>
      <c r="J148" s="187">
        <v>5.2987403869628906</v>
      </c>
      <c r="K148" s="187">
        <v>0</v>
      </c>
      <c r="L148" s="187"/>
      <c r="M148" s="187">
        <v>5.2987403869628906</v>
      </c>
      <c r="N148" s="187">
        <v>0</v>
      </c>
      <c r="O148" t="s">
        <v>607</v>
      </c>
    </row>
    <row r="149" spans="1:15" hidden="1" x14ac:dyDescent="0.45">
      <c r="A149" s="187">
        <v>2013</v>
      </c>
      <c r="B149" t="s">
        <v>34</v>
      </c>
      <c r="C149" t="s">
        <v>325</v>
      </c>
      <c r="D149" t="s">
        <v>35</v>
      </c>
      <c r="E149" t="s">
        <v>357</v>
      </c>
      <c r="F149" t="s">
        <v>402</v>
      </c>
      <c r="G149" t="s">
        <v>37</v>
      </c>
      <c r="H149" t="s">
        <v>43</v>
      </c>
      <c r="I149" s="187"/>
      <c r="J149" s="187">
        <v>4</v>
      </c>
      <c r="K149" s="187">
        <v>0</v>
      </c>
      <c r="L149" s="187"/>
      <c r="M149" s="187">
        <v>4</v>
      </c>
      <c r="N149" s="187">
        <v>0</v>
      </c>
      <c r="O149" t="s">
        <v>608</v>
      </c>
    </row>
    <row r="150" spans="1:15" hidden="1" x14ac:dyDescent="0.45">
      <c r="A150" s="187">
        <v>2013</v>
      </c>
      <c r="B150" t="s">
        <v>34</v>
      </c>
      <c r="C150" t="s">
        <v>325</v>
      </c>
      <c r="D150" t="s">
        <v>35</v>
      </c>
      <c r="E150" t="s">
        <v>357</v>
      </c>
      <c r="F150" t="s">
        <v>403</v>
      </c>
      <c r="G150" t="s">
        <v>36</v>
      </c>
      <c r="H150" t="s">
        <v>43</v>
      </c>
      <c r="I150" s="187"/>
      <c r="J150" s="187">
        <v>246.39141845703125</v>
      </c>
      <c r="K150" s="187">
        <v>0</v>
      </c>
      <c r="L150" s="187"/>
      <c r="M150" s="187">
        <v>246.39141845703125</v>
      </c>
      <c r="N150" s="187">
        <v>0</v>
      </c>
      <c r="O150" t="s">
        <v>609</v>
      </c>
    </row>
    <row r="151" spans="1:15" hidden="1" x14ac:dyDescent="0.45">
      <c r="A151" s="187">
        <v>2013</v>
      </c>
      <c r="B151" t="s">
        <v>34</v>
      </c>
      <c r="C151" t="s">
        <v>325</v>
      </c>
      <c r="D151" t="s">
        <v>35</v>
      </c>
      <c r="E151" t="s">
        <v>357</v>
      </c>
      <c r="F151" t="s">
        <v>403</v>
      </c>
      <c r="G151" t="s">
        <v>37</v>
      </c>
      <c r="H151" t="s">
        <v>43</v>
      </c>
      <c r="I151" s="187"/>
      <c r="J151" s="187">
        <v>186</v>
      </c>
      <c r="K151" s="187">
        <v>0</v>
      </c>
      <c r="L151" s="187"/>
      <c r="M151" s="187">
        <v>186</v>
      </c>
      <c r="N151" s="187">
        <v>0</v>
      </c>
      <c r="O151" t="s">
        <v>610</v>
      </c>
    </row>
    <row r="152" spans="1:15" hidden="1" x14ac:dyDescent="0.45">
      <c r="A152" s="187">
        <v>2013</v>
      </c>
      <c r="B152" t="s">
        <v>34</v>
      </c>
      <c r="C152" t="s">
        <v>325</v>
      </c>
      <c r="D152" t="s">
        <v>35</v>
      </c>
      <c r="E152" t="s">
        <v>357</v>
      </c>
      <c r="F152" t="s">
        <v>405</v>
      </c>
      <c r="G152" t="s">
        <v>36</v>
      </c>
      <c r="H152" t="s">
        <v>43</v>
      </c>
      <c r="I152" s="187"/>
      <c r="J152" s="187">
        <v>37.091182708740234</v>
      </c>
      <c r="K152" s="187">
        <v>0</v>
      </c>
      <c r="L152" s="187"/>
      <c r="M152" s="187">
        <v>37.091182708740234</v>
      </c>
      <c r="N152" s="187">
        <v>0</v>
      </c>
      <c r="O152" t="s">
        <v>611</v>
      </c>
    </row>
    <row r="153" spans="1:15" hidden="1" x14ac:dyDescent="0.45">
      <c r="A153" s="187">
        <v>2013</v>
      </c>
      <c r="B153" t="s">
        <v>34</v>
      </c>
      <c r="C153" t="s">
        <v>325</v>
      </c>
      <c r="D153" t="s">
        <v>35</v>
      </c>
      <c r="E153" t="s">
        <v>357</v>
      </c>
      <c r="F153" t="s">
        <v>405</v>
      </c>
      <c r="G153" t="s">
        <v>37</v>
      </c>
      <c r="H153" t="s">
        <v>43</v>
      </c>
      <c r="I153" s="187"/>
      <c r="J153" s="187">
        <v>28</v>
      </c>
      <c r="K153" s="187">
        <v>0</v>
      </c>
      <c r="L153" s="187"/>
      <c r="M153" s="187">
        <v>28</v>
      </c>
      <c r="N153" s="187">
        <v>0</v>
      </c>
      <c r="O153" t="s">
        <v>612</v>
      </c>
    </row>
    <row r="154" spans="1:15" hidden="1" x14ac:dyDescent="0.45">
      <c r="A154" s="187">
        <v>2013</v>
      </c>
      <c r="B154" t="s">
        <v>34</v>
      </c>
      <c r="C154" t="s">
        <v>325</v>
      </c>
      <c r="D154" t="s">
        <v>35</v>
      </c>
      <c r="E154" t="s">
        <v>357</v>
      </c>
      <c r="F154" t="s">
        <v>406</v>
      </c>
      <c r="G154" t="s">
        <v>36</v>
      </c>
      <c r="H154" t="s">
        <v>43</v>
      </c>
      <c r="I154" s="187"/>
      <c r="J154" s="187">
        <v>0</v>
      </c>
      <c r="K154" s="187">
        <v>0</v>
      </c>
      <c r="L154" s="187"/>
      <c r="M154" s="187">
        <v>0</v>
      </c>
      <c r="N154" s="187">
        <v>0</v>
      </c>
      <c r="O154" t="s">
        <v>613</v>
      </c>
    </row>
    <row r="155" spans="1:15" hidden="1" x14ac:dyDescent="0.45">
      <c r="A155" s="187">
        <v>2013</v>
      </c>
      <c r="B155" t="s">
        <v>34</v>
      </c>
      <c r="C155" t="s">
        <v>325</v>
      </c>
      <c r="D155" t="s">
        <v>35</v>
      </c>
      <c r="E155" t="s">
        <v>357</v>
      </c>
      <c r="F155" t="s">
        <v>406</v>
      </c>
      <c r="G155" t="s">
        <v>37</v>
      </c>
      <c r="H155" t="s">
        <v>43</v>
      </c>
      <c r="I155" s="187"/>
      <c r="J155" s="187">
        <v>0</v>
      </c>
      <c r="K155" s="187">
        <v>0</v>
      </c>
      <c r="L155" s="187"/>
      <c r="M155" s="187">
        <v>0</v>
      </c>
      <c r="N155" s="187">
        <v>0</v>
      </c>
      <c r="O155" t="s">
        <v>614</v>
      </c>
    </row>
    <row r="156" spans="1:15" hidden="1" x14ac:dyDescent="0.45">
      <c r="A156" s="187">
        <v>2013</v>
      </c>
      <c r="B156" t="s">
        <v>34</v>
      </c>
      <c r="C156" t="s">
        <v>325</v>
      </c>
      <c r="D156" t="s">
        <v>35</v>
      </c>
      <c r="E156" t="s">
        <v>357</v>
      </c>
      <c r="F156" t="s">
        <v>421</v>
      </c>
      <c r="G156" t="s">
        <v>36</v>
      </c>
      <c r="H156" t="s">
        <v>43</v>
      </c>
      <c r="I156" s="187"/>
      <c r="J156" s="187">
        <v>0</v>
      </c>
      <c r="K156" s="187">
        <v>0</v>
      </c>
      <c r="L156" s="187"/>
      <c r="M156" s="187">
        <v>0</v>
      </c>
      <c r="N156" s="187">
        <v>0</v>
      </c>
      <c r="O156" t="s">
        <v>615</v>
      </c>
    </row>
    <row r="157" spans="1:15" hidden="1" x14ac:dyDescent="0.45">
      <c r="A157" s="187">
        <v>2013</v>
      </c>
      <c r="B157" t="s">
        <v>34</v>
      </c>
      <c r="C157" t="s">
        <v>325</v>
      </c>
      <c r="D157" t="s">
        <v>35</v>
      </c>
      <c r="E157" t="s">
        <v>357</v>
      </c>
      <c r="F157" t="s">
        <v>421</v>
      </c>
      <c r="G157" t="s">
        <v>37</v>
      </c>
      <c r="H157" t="s">
        <v>43</v>
      </c>
      <c r="I157" s="187"/>
      <c r="J157" s="187">
        <v>0</v>
      </c>
      <c r="K157" s="187">
        <v>0</v>
      </c>
      <c r="L157" s="187"/>
      <c r="M157" s="187">
        <v>0</v>
      </c>
      <c r="N157" s="187">
        <v>0</v>
      </c>
      <c r="O157" t="s">
        <v>616</v>
      </c>
    </row>
    <row r="158" spans="1:15" hidden="1" x14ac:dyDescent="0.45">
      <c r="A158" s="187">
        <v>2013</v>
      </c>
      <c r="B158" t="s">
        <v>34</v>
      </c>
      <c r="C158" t="s">
        <v>325</v>
      </c>
      <c r="D158" t="s">
        <v>35</v>
      </c>
      <c r="E158" t="s">
        <v>357</v>
      </c>
      <c r="F158" t="s">
        <v>422</v>
      </c>
      <c r="G158" t="s">
        <v>36</v>
      </c>
      <c r="H158" t="s">
        <v>43</v>
      </c>
      <c r="I158" s="187"/>
      <c r="J158" s="187">
        <v>288.78134155273438</v>
      </c>
      <c r="K158" s="187">
        <v>0</v>
      </c>
      <c r="L158" s="187">
        <v>0</v>
      </c>
      <c r="M158" s="187">
        <v>288.78134155273438</v>
      </c>
      <c r="N158" s="187">
        <v>0</v>
      </c>
      <c r="O158" t="s">
        <v>617</v>
      </c>
    </row>
    <row r="159" spans="1:15" hidden="1" x14ac:dyDescent="0.45">
      <c r="A159" s="187">
        <v>2013</v>
      </c>
      <c r="B159" t="s">
        <v>34</v>
      </c>
      <c r="C159" t="s">
        <v>325</v>
      </c>
      <c r="D159" t="s">
        <v>35</v>
      </c>
      <c r="E159" t="s">
        <v>357</v>
      </c>
      <c r="F159" t="s">
        <v>422</v>
      </c>
      <c r="G159" t="s">
        <v>37</v>
      </c>
      <c r="H159" t="s">
        <v>43</v>
      </c>
      <c r="I159" s="187"/>
      <c r="J159" s="187">
        <v>218</v>
      </c>
      <c r="K159" s="187">
        <v>0</v>
      </c>
      <c r="L159" s="187">
        <v>0</v>
      </c>
      <c r="M159" s="187">
        <v>218</v>
      </c>
      <c r="N159" s="187">
        <v>0</v>
      </c>
      <c r="O159" t="s">
        <v>618</v>
      </c>
    </row>
    <row r="160" spans="1:15" hidden="1" x14ac:dyDescent="0.45">
      <c r="A160" s="187">
        <v>2013</v>
      </c>
      <c r="B160" t="s">
        <v>34</v>
      </c>
      <c r="C160" t="s">
        <v>325</v>
      </c>
      <c r="D160" t="s">
        <v>35</v>
      </c>
      <c r="E160" t="s">
        <v>357</v>
      </c>
      <c r="F160" t="s">
        <v>423</v>
      </c>
      <c r="G160" t="s">
        <v>36</v>
      </c>
      <c r="H160" t="s">
        <v>43</v>
      </c>
      <c r="I160" s="187"/>
      <c r="J160" s="187">
        <v>0</v>
      </c>
      <c r="K160" s="187">
        <v>0</v>
      </c>
      <c r="L160" s="187"/>
      <c r="M160" s="187">
        <v>0</v>
      </c>
      <c r="N160" s="187">
        <v>0</v>
      </c>
      <c r="O160" t="s">
        <v>619</v>
      </c>
    </row>
    <row r="161" spans="1:15" hidden="1" x14ac:dyDescent="0.45">
      <c r="A161" s="187">
        <v>2013</v>
      </c>
      <c r="B161" t="s">
        <v>34</v>
      </c>
      <c r="C161" t="s">
        <v>325</v>
      </c>
      <c r="D161" t="s">
        <v>35</v>
      </c>
      <c r="E161" t="s">
        <v>357</v>
      </c>
      <c r="F161" t="s">
        <v>423</v>
      </c>
      <c r="G161" t="s">
        <v>37</v>
      </c>
      <c r="H161" t="s">
        <v>43</v>
      </c>
      <c r="I161" s="187"/>
      <c r="J161" s="187">
        <v>0</v>
      </c>
      <c r="K161" s="187">
        <v>0</v>
      </c>
      <c r="L161" s="187"/>
      <c r="M161" s="187">
        <v>0</v>
      </c>
      <c r="N161" s="187">
        <v>0</v>
      </c>
      <c r="O161" t="s">
        <v>620</v>
      </c>
    </row>
    <row r="162" spans="1:15" hidden="1" x14ac:dyDescent="0.45">
      <c r="A162" s="187">
        <v>2013</v>
      </c>
      <c r="B162" t="s">
        <v>34</v>
      </c>
      <c r="C162" t="s">
        <v>325</v>
      </c>
      <c r="D162" t="s">
        <v>35</v>
      </c>
      <c r="E162" t="s">
        <v>357</v>
      </c>
      <c r="F162" t="s">
        <v>424</v>
      </c>
      <c r="G162" t="s">
        <v>36</v>
      </c>
      <c r="H162" t="s">
        <v>43</v>
      </c>
      <c r="I162" s="187"/>
      <c r="J162" s="187">
        <v>0</v>
      </c>
      <c r="K162" s="187">
        <v>0</v>
      </c>
      <c r="L162" s="187"/>
      <c r="M162" s="187">
        <v>0</v>
      </c>
      <c r="N162" s="187">
        <v>0</v>
      </c>
      <c r="O162" t="s">
        <v>621</v>
      </c>
    </row>
    <row r="163" spans="1:15" hidden="1" x14ac:dyDescent="0.45">
      <c r="A163" s="187">
        <v>2013</v>
      </c>
      <c r="B163" t="s">
        <v>34</v>
      </c>
      <c r="C163" t="s">
        <v>325</v>
      </c>
      <c r="D163" t="s">
        <v>35</v>
      </c>
      <c r="E163" t="s">
        <v>357</v>
      </c>
      <c r="F163" t="s">
        <v>424</v>
      </c>
      <c r="G163" t="s">
        <v>37</v>
      </c>
      <c r="H163" t="s">
        <v>43</v>
      </c>
      <c r="I163" s="187"/>
      <c r="J163" s="187">
        <v>0</v>
      </c>
      <c r="K163" s="187">
        <v>0</v>
      </c>
      <c r="L163" s="187"/>
      <c r="M163" s="187">
        <v>0</v>
      </c>
      <c r="N163" s="187">
        <v>0</v>
      </c>
      <c r="O163" t="s">
        <v>622</v>
      </c>
    </row>
    <row r="164" spans="1:15" hidden="1" x14ac:dyDescent="0.45">
      <c r="A164" s="187">
        <v>2013</v>
      </c>
      <c r="B164" t="s">
        <v>34</v>
      </c>
      <c r="C164" t="s">
        <v>325</v>
      </c>
      <c r="D164" t="s">
        <v>35</v>
      </c>
      <c r="E164" t="s">
        <v>357</v>
      </c>
      <c r="F164" t="s">
        <v>425</v>
      </c>
      <c r="G164" t="s">
        <v>36</v>
      </c>
      <c r="H164" t="s">
        <v>43</v>
      </c>
      <c r="I164" s="187"/>
      <c r="J164" s="187">
        <v>0</v>
      </c>
      <c r="K164" s="187">
        <v>823.64227294921875</v>
      </c>
      <c r="L164" s="187"/>
      <c r="M164" s="187">
        <v>823.64227294921875</v>
      </c>
      <c r="N164" s="187">
        <v>0</v>
      </c>
      <c r="O164" t="s">
        <v>623</v>
      </c>
    </row>
    <row r="165" spans="1:15" hidden="1" x14ac:dyDescent="0.45">
      <c r="A165" s="187">
        <v>2013</v>
      </c>
      <c r="B165" t="s">
        <v>34</v>
      </c>
      <c r="C165" t="s">
        <v>325</v>
      </c>
      <c r="D165" t="s">
        <v>35</v>
      </c>
      <c r="E165" t="s">
        <v>357</v>
      </c>
      <c r="F165" t="s">
        <v>425</v>
      </c>
      <c r="G165" t="s">
        <v>37</v>
      </c>
      <c r="H165" t="s">
        <v>43</v>
      </c>
      <c r="I165" s="187"/>
      <c r="J165" s="187">
        <v>0</v>
      </c>
      <c r="K165" s="187">
        <v>621.76459</v>
      </c>
      <c r="L165" s="187"/>
      <c r="M165" s="187">
        <v>621.76458740234375</v>
      </c>
      <c r="N165" s="187">
        <v>0</v>
      </c>
      <c r="O165" t="s">
        <v>624</v>
      </c>
    </row>
    <row r="166" spans="1:15" hidden="1" x14ac:dyDescent="0.45">
      <c r="A166" s="187">
        <v>2013</v>
      </c>
      <c r="B166" t="s">
        <v>34</v>
      </c>
      <c r="C166" t="s">
        <v>325</v>
      </c>
      <c r="D166" t="s">
        <v>35</v>
      </c>
      <c r="E166" t="s">
        <v>357</v>
      </c>
      <c r="F166" t="s">
        <v>426</v>
      </c>
      <c r="G166" t="s">
        <v>36</v>
      </c>
      <c r="H166" t="s">
        <v>43</v>
      </c>
      <c r="I166" s="187"/>
      <c r="J166" s="187">
        <v>0</v>
      </c>
      <c r="K166" s="187">
        <v>823.64227294921875</v>
      </c>
      <c r="L166" s="187">
        <v>0</v>
      </c>
      <c r="M166" s="187">
        <v>823.64227294921875</v>
      </c>
      <c r="N166" s="187">
        <v>0</v>
      </c>
      <c r="O166" t="s">
        <v>625</v>
      </c>
    </row>
    <row r="167" spans="1:15" hidden="1" x14ac:dyDescent="0.45">
      <c r="A167" s="187">
        <v>2013</v>
      </c>
      <c r="B167" t="s">
        <v>34</v>
      </c>
      <c r="C167" t="s">
        <v>325</v>
      </c>
      <c r="D167" t="s">
        <v>35</v>
      </c>
      <c r="E167" t="s">
        <v>357</v>
      </c>
      <c r="F167" t="s">
        <v>426</v>
      </c>
      <c r="G167" t="s">
        <v>37</v>
      </c>
      <c r="H167" t="s">
        <v>43</v>
      </c>
      <c r="I167" s="187"/>
      <c r="J167" s="187">
        <v>0</v>
      </c>
      <c r="K167" s="187">
        <v>621.76459</v>
      </c>
      <c r="L167" s="187">
        <v>0</v>
      </c>
      <c r="M167" s="187">
        <v>621.76458740234375</v>
      </c>
      <c r="N167" s="187">
        <v>0</v>
      </c>
      <c r="O167" t="s">
        <v>626</v>
      </c>
    </row>
    <row r="168" spans="1:15" hidden="1" x14ac:dyDescent="0.45">
      <c r="A168" s="187">
        <v>2013</v>
      </c>
      <c r="B168" t="s">
        <v>34</v>
      </c>
      <c r="C168" t="s">
        <v>325</v>
      </c>
      <c r="D168" t="s">
        <v>35</v>
      </c>
      <c r="E168" t="s">
        <v>358</v>
      </c>
      <c r="F168" t="s">
        <v>427</v>
      </c>
      <c r="G168" t="s">
        <v>36</v>
      </c>
      <c r="H168" t="s">
        <v>43</v>
      </c>
      <c r="I168" s="187"/>
      <c r="J168" s="187">
        <v>0</v>
      </c>
      <c r="K168" s="187">
        <v>0</v>
      </c>
      <c r="L168" s="187"/>
      <c r="M168" s="187">
        <v>0</v>
      </c>
      <c r="N168" s="187">
        <v>0</v>
      </c>
      <c r="O168" t="s">
        <v>627</v>
      </c>
    </row>
    <row r="169" spans="1:15" hidden="1" x14ac:dyDescent="0.45">
      <c r="A169" s="187">
        <v>2013</v>
      </c>
      <c r="B169" t="s">
        <v>34</v>
      </c>
      <c r="C169" t="s">
        <v>325</v>
      </c>
      <c r="D169" t="s">
        <v>35</v>
      </c>
      <c r="E169" t="s">
        <v>358</v>
      </c>
      <c r="F169" t="s">
        <v>427</v>
      </c>
      <c r="G169" t="s">
        <v>37</v>
      </c>
      <c r="H169" t="s">
        <v>43</v>
      </c>
      <c r="I169" s="187"/>
      <c r="J169" s="187">
        <v>0</v>
      </c>
      <c r="K169" s="187">
        <v>0</v>
      </c>
      <c r="L169" s="187"/>
      <c r="M169" s="187">
        <v>0</v>
      </c>
      <c r="N169" s="187">
        <v>0</v>
      </c>
      <c r="O169" t="s">
        <v>628</v>
      </c>
    </row>
    <row r="170" spans="1:15" hidden="1" x14ac:dyDescent="0.45">
      <c r="A170" s="187">
        <v>2013</v>
      </c>
      <c r="B170" t="s">
        <v>34</v>
      </c>
      <c r="C170" t="s">
        <v>325</v>
      </c>
      <c r="D170" t="s">
        <v>35</v>
      </c>
      <c r="E170" t="s">
        <v>358</v>
      </c>
      <c r="F170" t="s">
        <v>392</v>
      </c>
      <c r="G170" t="s">
        <v>36</v>
      </c>
      <c r="H170" t="s">
        <v>43</v>
      </c>
      <c r="I170" s="187"/>
      <c r="J170" s="187">
        <v>0</v>
      </c>
      <c r="K170" s="187">
        <v>0</v>
      </c>
      <c r="L170" s="187"/>
      <c r="M170" s="187">
        <v>0</v>
      </c>
      <c r="N170" s="187">
        <v>0</v>
      </c>
      <c r="O170" t="s">
        <v>629</v>
      </c>
    </row>
    <row r="171" spans="1:15" hidden="1" x14ac:dyDescent="0.45">
      <c r="A171" s="187">
        <v>2013</v>
      </c>
      <c r="B171" t="s">
        <v>34</v>
      </c>
      <c r="C171" t="s">
        <v>325</v>
      </c>
      <c r="D171" t="s">
        <v>35</v>
      </c>
      <c r="E171" t="s">
        <v>358</v>
      </c>
      <c r="F171" t="s">
        <v>392</v>
      </c>
      <c r="G171" t="s">
        <v>37</v>
      </c>
      <c r="H171" t="s">
        <v>43</v>
      </c>
      <c r="I171" s="187"/>
      <c r="J171" s="187">
        <v>0</v>
      </c>
      <c r="K171" s="187">
        <v>0</v>
      </c>
      <c r="L171" s="187"/>
      <c r="M171" s="187">
        <v>0</v>
      </c>
      <c r="N171" s="187">
        <v>0</v>
      </c>
      <c r="O171" t="s">
        <v>630</v>
      </c>
    </row>
    <row r="172" spans="1:15" hidden="1" x14ac:dyDescent="0.45">
      <c r="A172" s="187">
        <v>2013</v>
      </c>
      <c r="B172" t="s">
        <v>34</v>
      </c>
      <c r="C172" t="s">
        <v>325</v>
      </c>
      <c r="D172" t="s">
        <v>35</v>
      </c>
      <c r="E172" t="s">
        <v>358</v>
      </c>
      <c r="F172" t="s">
        <v>393</v>
      </c>
      <c r="G172" t="s">
        <v>36</v>
      </c>
      <c r="H172" t="s">
        <v>43</v>
      </c>
      <c r="I172" s="187"/>
      <c r="J172" s="187">
        <v>0</v>
      </c>
      <c r="K172" s="187">
        <v>0</v>
      </c>
      <c r="L172" s="187"/>
      <c r="M172" s="187">
        <v>0</v>
      </c>
      <c r="N172" s="187">
        <v>0</v>
      </c>
      <c r="O172" t="s">
        <v>631</v>
      </c>
    </row>
    <row r="173" spans="1:15" hidden="1" x14ac:dyDescent="0.45">
      <c r="A173" s="187">
        <v>2013</v>
      </c>
      <c r="B173" t="s">
        <v>34</v>
      </c>
      <c r="C173" t="s">
        <v>325</v>
      </c>
      <c r="D173" t="s">
        <v>35</v>
      </c>
      <c r="E173" t="s">
        <v>358</v>
      </c>
      <c r="F173" t="s">
        <v>393</v>
      </c>
      <c r="G173" t="s">
        <v>37</v>
      </c>
      <c r="H173" t="s">
        <v>43</v>
      </c>
      <c r="I173" s="187"/>
      <c r="J173" s="187">
        <v>0</v>
      </c>
      <c r="K173" s="187">
        <v>0</v>
      </c>
      <c r="L173" s="187"/>
      <c r="M173" s="187">
        <v>0</v>
      </c>
      <c r="N173" s="187">
        <v>0</v>
      </c>
      <c r="O173" t="s">
        <v>632</v>
      </c>
    </row>
    <row r="174" spans="1:15" hidden="1" x14ac:dyDescent="0.45">
      <c r="A174" s="187">
        <v>2013</v>
      </c>
      <c r="B174" t="s">
        <v>34</v>
      </c>
      <c r="C174" t="s">
        <v>325</v>
      </c>
      <c r="D174" t="s">
        <v>35</v>
      </c>
      <c r="E174" t="s">
        <v>358</v>
      </c>
      <c r="F174" t="s">
        <v>394</v>
      </c>
      <c r="G174" t="s">
        <v>36</v>
      </c>
      <c r="H174" t="s">
        <v>43</v>
      </c>
      <c r="I174" s="187"/>
      <c r="J174" s="187">
        <v>0</v>
      </c>
      <c r="K174" s="187">
        <v>0</v>
      </c>
      <c r="L174" s="187"/>
      <c r="M174" s="187">
        <v>0</v>
      </c>
      <c r="N174" s="187">
        <v>0</v>
      </c>
      <c r="O174" t="s">
        <v>633</v>
      </c>
    </row>
    <row r="175" spans="1:15" hidden="1" x14ac:dyDescent="0.45">
      <c r="A175" s="187">
        <v>2013</v>
      </c>
      <c r="B175" t="s">
        <v>34</v>
      </c>
      <c r="C175" t="s">
        <v>325</v>
      </c>
      <c r="D175" t="s">
        <v>35</v>
      </c>
      <c r="E175" t="s">
        <v>358</v>
      </c>
      <c r="F175" t="s">
        <v>394</v>
      </c>
      <c r="G175" t="s">
        <v>37</v>
      </c>
      <c r="H175" t="s">
        <v>43</v>
      </c>
      <c r="I175" s="187"/>
      <c r="J175" s="187">
        <v>0</v>
      </c>
      <c r="K175" s="187">
        <v>0</v>
      </c>
      <c r="L175" s="187"/>
      <c r="M175" s="187">
        <v>0</v>
      </c>
      <c r="N175" s="187">
        <v>0</v>
      </c>
      <c r="O175" t="s">
        <v>634</v>
      </c>
    </row>
    <row r="176" spans="1:15" hidden="1" x14ac:dyDescent="0.45">
      <c r="A176" s="187">
        <v>2013</v>
      </c>
      <c r="B176" t="s">
        <v>34</v>
      </c>
      <c r="C176" t="s">
        <v>325</v>
      </c>
      <c r="D176" t="s">
        <v>35</v>
      </c>
      <c r="E176" t="s">
        <v>358</v>
      </c>
      <c r="F176" t="s">
        <v>395</v>
      </c>
      <c r="G176" t="s">
        <v>36</v>
      </c>
      <c r="H176" t="s">
        <v>43</v>
      </c>
      <c r="I176" s="187"/>
      <c r="J176" s="187">
        <v>0</v>
      </c>
      <c r="K176" s="187">
        <v>0</v>
      </c>
      <c r="L176" s="187"/>
      <c r="M176" s="187">
        <v>0</v>
      </c>
      <c r="N176" s="187">
        <v>0</v>
      </c>
      <c r="O176" t="s">
        <v>635</v>
      </c>
    </row>
    <row r="177" spans="1:15" hidden="1" x14ac:dyDescent="0.45">
      <c r="A177" s="187">
        <v>2013</v>
      </c>
      <c r="B177" t="s">
        <v>34</v>
      </c>
      <c r="C177" t="s">
        <v>325</v>
      </c>
      <c r="D177" t="s">
        <v>35</v>
      </c>
      <c r="E177" t="s">
        <v>358</v>
      </c>
      <c r="F177" t="s">
        <v>395</v>
      </c>
      <c r="G177" t="s">
        <v>37</v>
      </c>
      <c r="H177" t="s">
        <v>43</v>
      </c>
      <c r="I177" s="187"/>
      <c r="J177" s="187">
        <v>0</v>
      </c>
      <c r="K177" s="187">
        <v>0</v>
      </c>
      <c r="L177" s="187"/>
      <c r="M177" s="187">
        <v>0</v>
      </c>
      <c r="N177" s="187">
        <v>0</v>
      </c>
      <c r="O177" t="s">
        <v>636</v>
      </c>
    </row>
    <row r="178" spans="1:15" hidden="1" x14ac:dyDescent="0.45">
      <c r="A178" s="187">
        <v>2013</v>
      </c>
      <c r="B178" t="s">
        <v>34</v>
      </c>
      <c r="C178" t="s">
        <v>325</v>
      </c>
      <c r="D178" t="s">
        <v>35</v>
      </c>
      <c r="E178" t="s">
        <v>358</v>
      </c>
      <c r="F178" t="s">
        <v>396</v>
      </c>
      <c r="G178" t="s">
        <v>36</v>
      </c>
      <c r="H178" t="s">
        <v>43</v>
      </c>
      <c r="I178" s="187"/>
      <c r="J178" s="187">
        <v>0</v>
      </c>
      <c r="K178" s="187">
        <v>0</v>
      </c>
      <c r="L178" s="187"/>
      <c r="M178" s="187">
        <v>0</v>
      </c>
      <c r="N178" s="187">
        <v>0</v>
      </c>
      <c r="O178" t="s">
        <v>637</v>
      </c>
    </row>
    <row r="179" spans="1:15" hidden="1" x14ac:dyDescent="0.45">
      <c r="A179" s="187">
        <v>2013</v>
      </c>
      <c r="B179" t="s">
        <v>34</v>
      </c>
      <c r="C179" t="s">
        <v>325</v>
      </c>
      <c r="D179" t="s">
        <v>35</v>
      </c>
      <c r="E179" t="s">
        <v>358</v>
      </c>
      <c r="F179" t="s">
        <v>396</v>
      </c>
      <c r="G179" t="s">
        <v>37</v>
      </c>
      <c r="H179" t="s">
        <v>43</v>
      </c>
      <c r="I179" s="187"/>
      <c r="J179" s="187">
        <v>0</v>
      </c>
      <c r="K179" s="187">
        <v>0</v>
      </c>
      <c r="L179" s="187"/>
      <c r="M179" s="187">
        <v>0</v>
      </c>
      <c r="N179" s="187">
        <v>0</v>
      </c>
      <c r="O179" t="s">
        <v>638</v>
      </c>
    </row>
    <row r="180" spans="1:15" hidden="1" x14ac:dyDescent="0.45">
      <c r="A180" s="187">
        <v>2013</v>
      </c>
      <c r="B180" t="s">
        <v>34</v>
      </c>
      <c r="C180" t="s">
        <v>325</v>
      </c>
      <c r="D180" t="s">
        <v>35</v>
      </c>
      <c r="E180" t="s">
        <v>358</v>
      </c>
      <c r="F180" t="s">
        <v>415</v>
      </c>
      <c r="G180" t="s">
        <v>36</v>
      </c>
      <c r="H180" t="s">
        <v>43</v>
      </c>
      <c r="I180" s="187"/>
      <c r="J180" s="187">
        <v>0</v>
      </c>
      <c r="K180" s="187">
        <v>0</v>
      </c>
      <c r="L180" s="187">
        <v>0</v>
      </c>
      <c r="M180" s="187">
        <v>0</v>
      </c>
      <c r="N180" s="187">
        <v>0</v>
      </c>
      <c r="O180" t="s">
        <v>639</v>
      </c>
    </row>
    <row r="181" spans="1:15" hidden="1" x14ac:dyDescent="0.45">
      <c r="A181" s="187">
        <v>2013</v>
      </c>
      <c r="B181" t="s">
        <v>34</v>
      </c>
      <c r="C181" t="s">
        <v>325</v>
      </c>
      <c r="D181" t="s">
        <v>35</v>
      </c>
      <c r="E181" t="s">
        <v>358</v>
      </c>
      <c r="F181" t="s">
        <v>415</v>
      </c>
      <c r="G181" t="s">
        <v>37</v>
      </c>
      <c r="H181" t="s">
        <v>43</v>
      </c>
      <c r="I181" s="187"/>
      <c r="J181" s="187">
        <v>0</v>
      </c>
      <c r="K181" s="187">
        <v>0</v>
      </c>
      <c r="L181" s="187">
        <v>0</v>
      </c>
      <c r="M181" s="187">
        <v>0</v>
      </c>
      <c r="N181" s="187">
        <v>0</v>
      </c>
      <c r="O181" t="s">
        <v>640</v>
      </c>
    </row>
    <row r="182" spans="1:15" hidden="1" x14ac:dyDescent="0.45">
      <c r="A182" s="187">
        <v>2013</v>
      </c>
      <c r="B182" t="s">
        <v>34</v>
      </c>
      <c r="C182" t="s">
        <v>325</v>
      </c>
      <c r="D182" t="s">
        <v>35</v>
      </c>
      <c r="E182" t="s">
        <v>358</v>
      </c>
      <c r="F182" t="s">
        <v>416</v>
      </c>
      <c r="G182" t="s">
        <v>36</v>
      </c>
      <c r="H182" t="s">
        <v>43</v>
      </c>
      <c r="I182" s="187"/>
      <c r="J182" s="187">
        <v>0</v>
      </c>
      <c r="K182" s="187">
        <v>0</v>
      </c>
      <c r="L182" s="187"/>
      <c r="M182" s="187">
        <v>0</v>
      </c>
      <c r="N182" s="187">
        <v>0</v>
      </c>
      <c r="O182" t="s">
        <v>641</v>
      </c>
    </row>
    <row r="183" spans="1:15" hidden="1" x14ac:dyDescent="0.45">
      <c r="A183" s="187">
        <v>2013</v>
      </c>
      <c r="B183" t="s">
        <v>34</v>
      </c>
      <c r="C183" t="s">
        <v>325</v>
      </c>
      <c r="D183" t="s">
        <v>35</v>
      </c>
      <c r="E183" t="s">
        <v>358</v>
      </c>
      <c r="F183" t="s">
        <v>416</v>
      </c>
      <c r="G183" t="s">
        <v>37</v>
      </c>
      <c r="H183" t="s">
        <v>43</v>
      </c>
      <c r="I183" s="187"/>
      <c r="J183" s="187">
        <v>0</v>
      </c>
      <c r="K183" s="187">
        <v>0</v>
      </c>
      <c r="L183" s="187"/>
      <c r="M183" s="187">
        <v>0</v>
      </c>
      <c r="N183" s="187">
        <v>0</v>
      </c>
      <c r="O183" t="s">
        <v>642</v>
      </c>
    </row>
    <row r="184" spans="1:15" hidden="1" x14ac:dyDescent="0.45">
      <c r="A184" s="187">
        <v>2013</v>
      </c>
      <c r="B184" t="s">
        <v>34</v>
      </c>
      <c r="C184" t="s">
        <v>325</v>
      </c>
      <c r="D184" t="s">
        <v>35</v>
      </c>
      <c r="E184" t="s">
        <v>358</v>
      </c>
      <c r="F184" t="s">
        <v>417</v>
      </c>
      <c r="G184" t="s">
        <v>36</v>
      </c>
      <c r="H184" t="s">
        <v>43</v>
      </c>
      <c r="I184" s="187"/>
      <c r="J184" s="187">
        <v>0</v>
      </c>
      <c r="K184" s="187">
        <v>0</v>
      </c>
      <c r="L184" s="187"/>
      <c r="M184" s="187">
        <v>0</v>
      </c>
      <c r="N184" s="187">
        <v>0</v>
      </c>
      <c r="O184" t="s">
        <v>643</v>
      </c>
    </row>
    <row r="185" spans="1:15" hidden="1" x14ac:dyDescent="0.45">
      <c r="A185" s="187">
        <v>2013</v>
      </c>
      <c r="B185" t="s">
        <v>34</v>
      </c>
      <c r="C185" t="s">
        <v>325</v>
      </c>
      <c r="D185" t="s">
        <v>35</v>
      </c>
      <c r="E185" t="s">
        <v>358</v>
      </c>
      <c r="F185" t="s">
        <v>417</v>
      </c>
      <c r="G185" t="s">
        <v>37</v>
      </c>
      <c r="H185" t="s">
        <v>43</v>
      </c>
      <c r="I185" s="187"/>
      <c r="J185" s="187">
        <v>0</v>
      </c>
      <c r="K185" s="187">
        <v>0</v>
      </c>
      <c r="L185" s="187"/>
      <c r="M185" s="187">
        <v>0</v>
      </c>
      <c r="N185" s="187">
        <v>0</v>
      </c>
      <c r="O185" t="s">
        <v>644</v>
      </c>
    </row>
    <row r="186" spans="1:15" hidden="1" x14ac:dyDescent="0.45">
      <c r="A186" s="187">
        <v>2013</v>
      </c>
      <c r="B186" t="s">
        <v>34</v>
      </c>
      <c r="C186" t="s">
        <v>325</v>
      </c>
      <c r="D186" t="s">
        <v>35</v>
      </c>
      <c r="E186" t="s">
        <v>358</v>
      </c>
      <c r="F186" t="s">
        <v>418</v>
      </c>
      <c r="G186" t="s">
        <v>36</v>
      </c>
      <c r="H186" t="s">
        <v>43</v>
      </c>
      <c r="I186" s="187"/>
      <c r="J186" s="187">
        <v>2.6493701934814453</v>
      </c>
      <c r="K186" s="187">
        <v>0</v>
      </c>
      <c r="L186" s="187"/>
      <c r="M186" s="187">
        <v>2.6493701934814453</v>
      </c>
      <c r="N186" s="187">
        <v>0</v>
      </c>
      <c r="O186" t="s">
        <v>645</v>
      </c>
    </row>
    <row r="187" spans="1:15" hidden="1" x14ac:dyDescent="0.45">
      <c r="A187" s="187">
        <v>2013</v>
      </c>
      <c r="B187" t="s">
        <v>34</v>
      </c>
      <c r="C187" t="s">
        <v>325</v>
      </c>
      <c r="D187" t="s">
        <v>35</v>
      </c>
      <c r="E187" t="s">
        <v>358</v>
      </c>
      <c r="F187" t="s">
        <v>418</v>
      </c>
      <c r="G187" t="s">
        <v>37</v>
      </c>
      <c r="H187" t="s">
        <v>43</v>
      </c>
      <c r="I187" s="187"/>
      <c r="J187" s="187">
        <v>2</v>
      </c>
      <c r="K187" s="187">
        <v>0</v>
      </c>
      <c r="L187" s="187"/>
      <c r="M187" s="187">
        <v>2</v>
      </c>
      <c r="N187" s="187">
        <v>0</v>
      </c>
      <c r="O187" t="s">
        <v>646</v>
      </c>
    </row>
    <row r="188" spans="1:15" hidden="1" x14ac:dyDescent="0.45">
      <c r="A188" s="187">
        <v>2013</v>
      </c>
      <c r="B188" t="s">
        <v>34</v>
      </c>
      <c r="C188" t="s">
        <v>325</v>
      </c>
      <c r="D188" t="s">
        <v>35</v>
      </c>
      <c r="E188" t="s">
        <v>358</v>
      </c>
      <c r="F188" t="s">
        <v>419</v>
      </c>
      <c r="G188" t="s">
        <v>36</v>
      </c>
      <c r="H188" t="s">
        <v>43</v>
      </c>
      <c r="I188" s="187"/>
      <c r="J188" s="187">
        <v>0</v>
      </c>
      <c r="K188" s="187">
        <v>0</v>
      </c>
      <c r="L188" s="187"/>
      <c r="M188" s="187">
        <v>0</v>
      </c>
      <c r="N188" s="187">
        <v>0</v>
      </c>
      <c r="O188" t="s">
        <v>647</v>
      </c>
    </row>
    <row r="189" spans="1:15" hidden="1" x14ac:dyDescent="0.45">
      <c r="A189" s="187">
        <v>2013</v>
      </c>
      <c r="B189" t="s">
        <v>34</v>
      </c>
      <c r="C189" t="s">
        <v>325</v>
      </c>
      <c r="D189" t="s">
        <v>35</v>
      </c>
      <c r="E189" t="s">
        <v>358</v>
      </c>
      <c r="F189" t="s">
        <v>419</v>
      </c>
      <c r="G189" t="s">
        <v>37</v>
      </c>
      <c r="H189" t="s">
        <v>43</v>
      </c>
      <c r="I189" s="187"/>
      <c r="J189" s="187">
        <v>0</v>
      </c>
      <c r="K189" s="187">
        <v>0</v>
      </c>
      <c r="L189" s="187"/>
      <c r="M189" s="187">
        <v>0</v>
      </c>
      <c r="N189" s="187">
        <v>0</v>
      </c>
      <c r="O189" t="s">
        <v>648</v>
      </c>
    </row>
    <row r="190" spans="1:15" hidden="1" x14ac:dyDescent="0.45">
      <c r="A190" s="187">
        <v>2013</v>
      </c>
      <c r="B190" t="s">
        <v>34</v>
      </c>
      <c r="C190" t="s">
        <v>325</v>
      </c>
      <c r="D190" t="s">
        <v>35</v>
      </c>
      <c r="E190" t="s">
        <v>358</v>
      </c>
      <c r="F190" t="s">
        <v>420</v>
      </c>
      <c r="G190" t="s">
        <v>36</v>
      </c>
      <c r="H190" t="s">
        <v>43</v>
      </c>
      <c r="I190" s="187"/>
      <c r="J190" s="187">
        <v>2.6493701934814453</v>
      </c>
      <c r="K190" s="187">
        <v>0</v>
      </c>
      <c r="L190" s="187">
        <v>0</v>
      </c>
      <c r="M190" s="187">
        <v>2.6493701934814453</v>
      </c>
      <c r="N190" s="187">
        <v>0</v>
      </c>
      <c r="O190" t="s">
        <v>649</v>
      </c>
    </row>
    <row r="191" spans="1:15" hidden="1" x14ac:dyDescent="0.45">
      <c r="A191" s="187">
        <v>2013</v>
      </c>
      <c r="B191" t="s">
        <v>34</v>
      </c>
      <c r="C191" t="s">
        <v>325</v>
      </c>
      <c r="D191" t="s">
        <v>35</v>
      </c>
      <c r="E191" t="s">
        <v>358</v>
      </c>
      <c r="F191" t="s">
        <v>420</v>
      </c>
      <c r="G191" t="s">
        <v>37</v>
      </c>
      <c r="H191" t="s">
        <v>43</v>
      </c>
      <c r="I191" s="187"/>
      <c r="J191" s="187">
        <v>2</v>
      </c>
      <c r="K191" s="187">
        <v>0</v>
      </c>
      <c r="L191" s="187">
        <v>0</v>
      </c>
      <c r="M191" s="187">
        <v>2</v>
      </c>
      <c r="N191" s="187">
        <v>0</v>
      </c>
      <c r="O191" t="s">
        <v>650</v>
      </c>
    </row>
    <row r="192" spans="1:15" hidden="1" x14ac:dyDescent="0.45">
      <c r="A192" s="187">
        <v>2013</v>
      </c>
      <c r="B192" t="s">
        <v>34</v>
      </c>
      <c r="C192" t="s">
        <v>325</v>
      </c>
      <c r="D192" t="s">
        <v>35</v>
      </c>
      <c r="E192" t="s">
        <v>358</v>
      </c>
      <c r="F192" t="s">
        <v>402</v>
      </c>
      <c r="G192" t="s">
        <v>36</v>
      </c>
      <c r="H192" t="s">
        <v>43</v>
      </c>
      <c r="I192" s="187"/>
      <c r="J192" s="187">
        <v>0</v>
      </c>
      <c r="K192" s="187">
        <v>0</v>
      </c>
      <c r="L192" s="187"/>
      <c r="M192" s="187">
        <v>0</v>
      </c>
      <c r="N192" s="187">
        <v>0</v>
      </c>
      <c r="O192" t="s">
        <v>651</v>
      </c>
    </row>
    <row r="193" spans="1:15" hidden="1" x14ac:dyDescent="0.45">
      <c r="A193" s="187">
        <v>2013</v>
      </c>
      <c r="B193" t="s">
        <v>34</v>
      </c>
      <c r="C193" t="s">
        <v>325</v>
      </c>
      <c r="D193" t="s">
        <v>35</v>
      </c>
      <c r="E193" t="s">
        <v>358</v>
      </c>
      <c r="F193" t="s">
        <v>402</v>
      </c>
      <c r="G193" t="s">
        <v>37</v>
      </c>
      <c r="H193" t="s">
        <v>43</v>
      </c>
      <c r="I193" s="187"/>
      <c r="J193" s="187">
        <v>0</v>
      </c>
      <c r="K193" s="187">
        <v>0</v>
      </c>
      <c r="L193" s="187"/>
      <c r="M193" s="187">
        <v>0</v>
      </c>
      <c r="N193" s="187">
        <v>0</v>
      </c>
      <c r="O193" t="s">
        <v>652</v>
      </c>
    </row>
    <row r="194" spans="1:15" hidden="1" x14ac:dyDescent="0.45">
      <c r="A194" s="187">
        <v>2013</v>
      </c>
      <c r="B194" t="s">
        <v>34</v>
      </c>
      <c r="C194" t="s">
        <v>325</v>
      </c>
      <c r="D194" t="s">
        <v>35</v>
      </c>
      <c r="E194" t="s">
        <v>358</v>
      </c>
      <c r="F194" t="s">
        <v>403</v>
      </c>
      <c r="G194" t="s">
        <v>36</v>
      </c>
      <c r="H194" t="s">
        <v>43</v>
      </c>
      <c r="I194" s="187"/>
      <c r="J194" s="187">
        <v>42.389923095703125</v>
      </c>
      <c r="K194" s="187">
        <v>0</v>
      </c>
      <c r="L194" s="187"/>
      <c r="M194" s="187">
        <v>42.389923095703125</v>
      </c>
      <c r="N194" s="187">
        <v>0</v>
      </c>
      <c r="O194" t="s">
        <v>653</v>
      </c>
    </row>
    <row r="195" spans="1:15" hidden="1" x14ac:dyDescent="0.45">
      <c r="A195" s="187">
        <v>2013</v>
      </c>
      <c r="B195" t="s">
        <v>34</v>
      </c>
      <c r="C195" t="s">
        <v>325</v>
      </c>
      <c r="D195" t="s">
        <v>35</v>
      </c>
      <c r="E195" t="s">
        <v>358</v>
      </c>
      <c r="F195" t="s">
        <v>403</v>
      </c>
      <c r="G195" t="s">
        <v>37</v>
      </c>
      <c r="H195" t="s">
        <v>43</v>
      </c>
      <c r="I195" s="187"/>
      <c r="J195" s="187">
        <v>32</v>
      </c>
      <c r="K195" s="187">
        <v>0</v>
      </c>
      <c r="L195" s="187"/>
      <c r="M195" s="187">
        <v>32</v>
      </c>
      <c r="N195" s="187">
        <v>0</v>
      </c>
      <c r="O195" t="s">
        <v>654</v>
      </c>
    </row>
    <row r="196" spans="1:15" hidden="1" x14ac:dyDescent="0.45">
      <c r="A196" s="187">
        <v>2013</v>
      </c>
      <c r="B196" t="s">
        <v>34</v>
      </c>
      <c r="C196" t="s">
        <v>325</v>
      </c>
      <c r="D196" t="s">
        <v>35</v>
      </c>
      <c r="E196" t="s">
        <v>358</v>
      </c>
      <c r="F196" t="s">
        <v>405</v>
      </c>
      <c r="G196" t="s">
        <v>36</v>
      </c>
      <c r="H196" t="s">
        <v>43</v>
      </c>
      <c r="I196" s="187"/>
      <c r="J196" s="187">
        <v>0</v>
      </c>
      <c r="K196" s="187">
        <v>0</v>
      </c>
      <c r="L196" s="187"/>
      <c r="M196" s="187">
        <v>0</v>
      </c>
      <c r="N196" s="187">
        <v>0</v>
      </c>
      <c r="O196" t="s">
        <v>655</v>
      </c>
    </row>
    <row r="197" spans="1:15" hidden="1" x14ac:dyDescent="0.45">
      <c r="A197" s="187">
        <v>2013</v>
      </c>
      <c r="B197" t="s">
        <v>34</v>
      </c>
      <c r="C197" t="s">
        <v>325</v>
      </c>
      <c r="D197" t="s">
        <v>35</v>
      </c>
      <c r="E197" t="s">
        <v>358</v>
      </c>
      <c r="F197" t="s">
        <v>405</v>
      </c>
      <c r="G197" t="s">
        <v>37</v>
      </c>
      <c r="H197" t="s">
        <v>43</v>
      </c>
      <c r="I197" s="187"/>
      <c r="J197" s="187">
        <v>0</v>
      </c>
      <c r="K197" s="187">
        <v>0</v>
      </c>
      <c r="L197" s="187"/>
      <c r="M197" s="187">
        <v>0</v>
      </c>
      <c r="N197" s="187">
        <v>0</v>
      </c>
      <c r="O197" t="s">
        <v>656</v>
      </c>
    </row>
    <row r="198" spans="1:15" hidden="1" x14ac:dyDescent="0.45">
      <c r="A198" s="187">
        <v>2013</v>
      </c>
      <c r="B198" t="s">
        <v>34</v>
      </c>
      <c r="C198" t="s">
        <v>325</v>
      </c>
      <c r="D198" t="s">
        <v>35</v>
      </c>
      <c r="E198" t="s">
        <v>358</v>
      </c>
      <c r="F198" t="s">
        <v>406</v>
      </c>
      <c r="G198" t="s">
        <v>36</v>
      </c>
      <c r="H198" t="s">
        <v>43</v>
      </c>
      <c r="I198" s="187"/>
      <c r="J198" s="187">
        <v>0</v>
      </c>
      <c r="K198" s="187">
        <v>0</v>
      </c>
      <c r="L198" s="187"/>
      <c r="M198" s="187">
        <v>0</v>
      </c>
      <c r="N198" s="187">
        <v>0</v>
      </c>
      <c r="O198" t="s">
        <v>657</v>
      </c>
    </row>
    <row r="199" spans="1:15" hidden="1" x14ac:dyDescent="0.45">
      <c r="A199" s="187">
        <v>2013</v>
      </c>
      <c r="B199" t="s">
        <v>34</v>
      </c>
      <c r="C199" t="s">
        <v>325</v>
      </c>
      <c r="D199" t="s">
        <v>35</v>
      </c>
      <c r="E199" t="s">
        <v>358</v>
      </c>
      <c r="F199" t="s">
        <v>406</v>
      </c>
      <c r="G199" t="s">
        <v>37</v>
      </c>
      <c r="H199" t="s">
        <v>43</v>
      </c>
      <c r="I199" s="187"/>
      <c r="J199" s="187">
        <v>0</v>
      </c>
      <c r="K199" s="187">
        <v>0</v>
      </c>
      <c r="L199" s="187"/>
      <c r="M199" s="187">
        <v>0</v>
      </c>
      <c r="N199" s="187">
        <v>0</v>
      </c>
      <c r="O199" t="s">
        <v>658</v>
      </c>
    </row>
    <row r="200" spans="1:15" hidden="1" x14ac:dyDescent="0.45">
      <c r="A200" s="187">
        <v>2013</v>
      </c>
      <c r="B200" t="s">
        <v>34</v>
      </c>
      <c r="C200" t="s">
        <v>325</v>
      </c>
      <c r="D200" t="s">
        <v>35</v>
      </c>
      <c r="E200" t="s">
        <v>358</v>
      </c>
      <c r="F200" t="s">
        <v>421</v>
      </c>
      <c r="G200" t="s">
        <v>36</v>
      </c>
      <c r="H200" t="s">
        <v>43</v>
      </c>
      <c r="I200" s="187"/>
      <c r="J200" s="187">
        <v>0</v>
      </c>
      <c r="K200" s="187">
        <v>0</v>
      </c>
      <c r="L200" s="187"/>
      <c r="M200" s="187">
        <v>0</v>
      </c>
      <c r="N200" s="187">
        <v>0</v>
      </c>
      <c r="O200" t="s">
        <v>659</v>
      </c>
    </row>
    <row r="201" spans="1:15" hidden="1" x14ac:dyDescent="0.45">
      <c r="A201" s="187">
        <v>2013</v>
      </c>
      <c r="B201" t="s">
        <v>34</v>
      </c>
      <c r="C201" t="s">
        <v>325</v>
      </c>
      <c r="D201" t="s">
        <v>35</v>
      </c>
      <c r="E201" t="s">
        <v>358</v>
      </c>
      <c r="F201" t="s">
        <v>421</v>
      </c>
      <c r="G201" t="s">
        <v>37</v>
      </c>
      <c r="H201" t="s">
        <v>43</v>
      </c>
      <c r="I201" s="187"/>
      <c r="J201" s="187">
        <v>0</v>
      </c>
      <c r="K201" s="187">
        <v>0</v>
      </c>
      <c r="L201" s="187"/>
      <c r="M201" s="187">
        <v>0</v>
      </c>
      <c r="N201" s="187">
        <v>0</v>
      </c>
      <c r="O201" t="s">
        <v>660</v>
      </c>
    </row>
    <row r="202" spans="1:15" hidden="1" x14ac:dyDescent="0.45">
      <c r="A202" s="187">
        <v>2013</v>
      </c>
      <c r="B202" t="s">
        <v>34</v>
      </c>
      <c r="C202" t="s">
        <v>325</v>
      </c>
      <c r="D202" t="s">
        <v>35</v>
      </c>
      <c r="E202" t="s">
        <v>358</v>
      </c>
      <c r="F202" t="s">
        <v>422</v>
      </c>
      <c r="G202" t="s">
        <v>36</v>
      </c>
      <c r="H202" t="s">
        <v>43</v>
      </c>
      <c r="I202" s="187"/>
      <c r="J202" s="187">
        <v>42.389923095703125</v>
      </c>
      <c r="K202" s="187">
        <v>0</v>
      </c>
      <c r="L202" s="187">
        <v>0</v>
      </c>
      <c r="M202" s="187">
        <v>42.389923095703125</v>
      </c>
      <c r="N202" s="187">
        <v>0</v>
      </c>
      <c r="O202" t="s">
        <v>661</v>
      </c>
    </row>
    <row r="203" spans="1:15" hidden="1" x14ac:dyDescent="0.45">
      <c r="A203" s="187">
        <v>2013</v>
      </c>
      <c r="B203" t="s">
        <v>34</v>
      </c>
      <c r="C203" t="s">
        <v>325</v>
      </c>
      <c r="D203" t="s">
        <v>35</v>
      </c>
      <c r="E203" t="s">
        <v>358</v>
      </c>
      <c r="F203" t="s">
        <v>422</v>
      </c>
      <c r="G203" t="s">
        <v>37</v>
      </c>
      <c r="H203" t="s">
        <v>43</v>
      </c>
      <c r="I203" s="187"/>
      <c r="J203" s="187">
        <v>32</v>
      </c>
      <c r="K203" s="187">
        <v>0</v>
      </c>
      <c r="L203" s="187">
        <v>0</v>
      </c>
      <c r="M203" s="187">
        <v>32</v>
      </c>
      <c r="N203" s="187">
        <v>0</v>
      </c>
      <c r="O203" t="s">
        <v>662</v>
      </c>
    </row>
    <row r="204" spans="1:15" hidden="1" x14ac:dyDescent="0.45">
      <c r="A204" s="187">
        <v>2013</v>
      </c>
      <c r="B204" t="s">
        <v>34</v>
      </c>
      <c r="C204" t="s">
        <v>325</v>
      </c>
      <c r="D204" t="s">
        <v>35</v>
      </c>
      <c r="E204" t="s">
        <v>358</v>
      </c>
      <c r="F204" t="s">
        <v>423</v>
      </c>
      <c r="G204" t="s">
        <v>36</v>
      </c>
      <c r="H204" t="s">
        <v>43</v>
      </c>
      <c r="I204" s="187"/>
      <c r="J204" s="187">
        <v>0</v>
      </c>
      <c r="K204" s="187">
        <v>0</v>
      </c>
      <c r="L204" s="187"/>
      <c r="M204" s="187">
        <v>0</v>
      </c>
      <c r="N204" s="187">
        <v>0</v>
      </c>
      <c r="O204" t="s">
        <v>663</v>
      </c>
    </row>
    <row r="205" spans="1:15" hidden="1" x14ac:dyDescent="0.45">
      <c r="A205" s="187">
        <v>2013</v>
      </c>
      <c r="B205" t="s">
        <v>34</v>
      </c>
      <c r="C205" t="s">
        <v>325</v>
      </c>
      <c r="D205" t="s">
        <v>35</v>
      </c>
      <c r="E205" t="s">
        <v>358</v>
      </c>
      <c r="F205" t="s">
        <v>423</v>
      </c>
      <c r="G205" t="s">
        <v>37</v>
      </c>
      <c r="H205" t="s">
        <v>43</v>
      </c>
      <c r="I205" s="187"/>
      <c r="J205" s="187">
        <v>0</v>
      </c>
      <c r="K205" s="187">
        <v>0</v>
      </c>
      <c r="L205" s="187"/>
      <c r="M205" s="187">
        <v>0</v>
      </c>
      <c r="N205" s="187">
        <v>0</v>
      </c>
      <c r="O205" t="s">
        <v>664</v>
      </c>
    </row>
    <row r="206" spans="1:15" hidden="1" x14ac:dyDescent="0.45">
      <c r="A206" s="187">
        <v>2013</v>
      </c>
      <c r="B206" t="s">
        <v>34</v>
      </c>
      <c r="C206" t="s">
        <v>325</v>
      </c>
      <c r="D206" t="s">
        <v>35</v>
      </c>
      <c r="E206" t="s">
        <v>358</v>
      </c>
      <c r="F206" t="s">
        <v>424</v>
      </c>
      <c r="G206" t="s">
        <v>36</v>
      </c>
      <c r="H206" t="s">
        <v>43</v>
      </c>
      <c r="I206" s="187"/>
      <c r="J206" s="187">
        <v>0</v>
      </c>
      <c r="K206" s="187">
        <v>0</v>
      </c>
      <c r="L206" s="187"/>
      <c r="M206" s="187">
        <v>0</v>
      </c>
      <c r="N206" s="187">
        <v>0</v>
      </c>
      <c r="O206" t="s">
        <v>665</v>
      </c>
    </row>
    <row r="207" spans="1:15" hidden="1" x14ac:dyDescent="0.45">
      <c r="A207" s="187">
        <v>2013</v>
      </c>
      <c r="B207" t="s">
        <v>34</v>
      </c>
      <c r="C207" t="s">
        <v>325</v>
      </c>
      <c r="D207" t="s">
        <v>35</v>
      </c>
      <c r="E207" t="s">
        <v>358</v>
      </c>
      <c r="F207" t="s">
        <v>424</v>
      </c>
      <c r="G207" t="s">
        <v>37</v>
      </c>
      <c r="H207" t="s">
        <v>43</v>
      </c>
      <c r="I207" s="187"/>
      <c r="J207" s="187">
        <v>0</v>
      </c>
      <c r="K207" s="187">
        <v>0</v>
      </c>
      <c r="L207" s="187"/>
      <c r="M207" s="187">
        <v>0</v>
      </c>
      <c r="N207" s="187">
        <v>0</v>
      </c>
      <c r="O207" t="s">
        <v>666</v>
      </c>
    </row>
    <row r="208" spans="1:15" hidden="1" x14ac:dyDescent="0.45">
      <c r="A208" s="187">
        <v>2013</v>
      </c>
      <c r="B208" t="s">
        <v>34</v>
      </c>
      <c r="C208" t="s">
        <v>325</v>
      </c>
      <c r="D208" t="s">
        <v>35</v>
      </c>
      <c r="E208" t="s">
        <v>358</v>
      </c>
      <c r="F208" t="s">
        <v>425</v>
      </c>
      <c r="G208" t="s">
        <v>36</v>
      </c>
      <c r="H208" t="s">
        <v>43</v>
      </c>
      <c r="I208" s="187"/>
      <c r="J208" s="187">
        <v>0</v>
      </c>
      <c r="K208" s="187">
        <v>866.129150390625</v>
      </c>
      <c r="L208" s="187"/>
      <c r="M208" s="187">
        <v>866.129150390625</v>
      </c>
      <c r="N208" s="187">
        <v>0</v>
      </c>
      <c r="O208" t="s">
        <v>667</v>
      </c>
    </row>
    <row r="209" spans="1:15" hidden="1" x14ac:dyDescent="0.45">
      <c r="A209" s="187">
        <v>2013</v>
      </c>
      <c r="B209" t="s">
        <v>34</v>
      </c>
      <c r="C209" t="s">
        <v>325</v>
      </c>
      <c r="D209" t="s">
        <v>35</v>
      </c>
      <c r="E209" t="s">
        <v>358</v>
      </c>
      <c r="F209" t="s">
        <v>425</v>
      </c>
      <c r="G209" t="s">
        <v>37</v>
      </c>
      <c r="H209" t="s">
        <v>43</v>
      </c>
      <c r="I209" s="187"/>
      <c r="J209" s="187">
        <v>0</v>
      </c>
      <c r="K209" s="187">
        <v>653.83780000000002</v>
      </c>
      <c r="L209" s="187"/>
      <c r="M209" s="187">
        <v>653.83782958984375</v>
      </c>
      <c r="N209" s="187">
        <v>0</v>
      </c>
      <c r="O209" t="s">
        <v>668</v>
      </c>
    </row>
    <row r="210" spans="1:15" hidden="1" x14ac:dyDescent="0.45">
      <c r="A210" s="187">
        <v>2013</v>
      </c>
      <c r="B210" t="s">
        <v>34</v>
      </c>
      <c r="C210" t="s">
        <v>325</v>
      </c>
      <c r="D210" t="s">
        <v>35</v>
      </c>
      <c r="E210" t="s">
        <v>358</v>
      </c>
      <c r="F210" t="s">
        <v>426</v>
      </c>
      <c r="G210" t="s">
        <v>36</v>
      </c>
      <c r="H210" t="s">
        <v>43</v>
      </c>
      <c r="I210" s="187"/>
      <c r="J210" s="187">
        <v>0</v>
      </c>
      <c r="K210" s="187">
        <v>866.129150390625</v>
      </c>
      <c r="L210" s="187">
        <v>0</v>
      </c>
      <c r="M210" s="187">
        <v>866.129150390625</v>
      </c>
      <c r="N210" s="187">
        <v>0</v>
      </c>
      <c r="O210" t="s">
        <v>669</v>
      </c>
    </row>
    <row r="211" spans="1:15" hidden="1" x14ac:dyDescent="0.45">
      <c r="A211" s="187">
        <v>2013</v>
      </c>
      <c r="B211" t="s">
        <v>34</v>
      </c>
      <c r="C211" t="s">
        <v>325</v>
      </c>
      <c r="D211" t="s">
        <v>35</v>
      </c>
      <c r="E211" t="s">
        <v>358</v>
      </c>
      <c r="F211" t="s">
        <v>426</v>
      </c>
      <c r="G211" t="s">
        <v>37</v>
      </c>
      <c r="H211" t="s">
        <v>43</v>
      </c>
      <c r="I211" s="187"/>
      <c r="J211" s="187">
        <v>0</v>
      </c>
      <c r="K211" s="187">
        <v>653.83780000000002</v>
      </c>
      <c r="L211" s="187">
        <v>0</v>
      </c>
      <c r="M211" s="187">
        <v>653.83782958984375</v>
      </c>
      <c r="N211" s="187">
        <v>0</v>
      </c>
      <c r="O211" t="s">
        <v>670</v>
      </c>
    </row>
    <row r="212" spans="1:15" hidden="1" x14ac:dyDescent="0.45">
      <c r="A212" s="187">
        <v>2013</v>
      </c>
      <c r="B212" t="s">
        <v>34</v>
      </c>
      <c r="C212" t="s">
        <v>325</v>
      </c>
      <c r="D212" t="s">
        <v>35</v>
      </c>
      <c r="E212" t="s">
        <v>358</v>
      </c>
      <c r="F212" t="s">
        <v>428</v>
      </c>
      <c r="G212" t="s">
        <v>36</v>
      </c>
      <c r="H212" t="s">
        <v>43</v>
      </c>
      <c r="I212" s="187"/>
      <c r="J212" s="187">
        <v>45.039291381835938</v>
      </c>
      <c r="K212" s="187">
        <v>866.129150390625</v>
      </c>
      <c r="L212" s="187">
        <v>0</v>
      </c>
      <c r="M212" s="187">
        <v>911.16845703125</v>
      </c>
      <c r="N212" s="187">
        <v>0</v>
      </c>
      <c r="O212" t="s">
        <v>671</v>
      </c>
    </row>
    <row r="213" spans="1:15" hidden="1" x14ac:dyDescent="0.45">
      <c r="A213" s="187">
        <v>2013</v>
      </c>
      <c r="B213" t="s">
        <v>34</v>
      </c>
      <c r="C213" t="s">
        <v>325</v>
      </c>
      <c r="D213" t="s">
        <v>35</v>
      </c>
      <c r="E213" t="s">
        <v>358</v>
      </c>
      <c r="F213" t="s">
        <v>428</v>
      </c>
      <c r="G213" t="s">
        <v>37</v>
      </c>
      <c r="H213" t="s">
        <v>43</v>
      </c>
      <c r="I213" s="187"/>
      <c r="J213" s="187">
        <v>34</v>
      </c>
      <c r="K213" s="187">
        <v>653.83780000000002</v>
      </c>
      <c r="L213" s="187">
        <v>0</v>
      </c>
      <c r="M213" s="187">
        <v>687.83782958984375</v>
      </c>
      <c r="N213" s="187">
        <v>0</v>
      </c>
      <c r="O213" t="s">
        <v>672</v>
      </c>
    </row>
    <row r="214" spans="1:15" hidden="1" x14ac:dyDescent="0.45">
      <c r="A214" s="187">
        <v>2013</v>
      </c>
      <c r="B214" t="s">
        <v>34</v>
      </c>
      <c r="C214" t="s">
        <v>325</v>
      </c>
      <c r="D214" t="s">
        <v>35</v>
      </c>
      <c r="E214" t="s">
        <v>358</v>
      </c>
      <c r="F214" t="s">
        <v>429</v>
      </c>
      <c r="G214" t="s">
        <v>36</v>
      </c>
      <c r="H214" t="s">
        <v>43</v>
      </c>
      <c r="I214" s="187"/>
      <c r="J214" s="187">
        <v>45.039291381835938</v>
      </c>
      <c r="K214" s="187">
        <v>866.129150390625</v>
      </c>
      <c r="L214" s="187">
        <v>0</v>
      </c>
      <c r="M214" s="187">
        <v>911.16845703125</v>
      </c>
      <c r="N214" s="187">
        <v>0</v>
      </c>
      <c r="O214" t="s">
        <v>673</v>
      </c>
    </row>
    <row r="215" spans="1:15" hidden="1" x14ac:dyDescent="0.45">
      <c r="A215" s="187">
        <v>2013</v>
      </c>
      <c r="B215" t="s">
        <v>34</v>
      </c>
      <c r="C215" t="s">
        <v>325</v>
      </c>
      <c r="D215" t="s">
        <v>35</v>
      </c>
      <c r="E215" t="s">
        <v>358</v>
      </c>
      <c r="F215" t="s">
        <v>429</v>
      </c>
      <c r="G215" t="s">
        <v>37</v>
      </c>
      <c r="H215" t="s">
        <v>43</v>
      </c>
      <c r="I215" s="187"/>
      <c r="J215" s="187">
        <v>34</v>
      </c>
      <c r="K215" s="187">
        <v>653.83780000000002</v>
      </c>
      <c r="L215" s="187">
        <v>0</v>
      </c>
      <c r="M215" s="187">
        <v>687.83782958984375</v>
      </c>
      <c r="N215" s="187">
        <v>0</v>
      </c>
      <c r="O215" t="s">
        <v>674</v>
      </c>
    </row>
    <row r="216" spans="1:15" hidden="1" x14ac:dyDescent="0.45">
      <c r="A216" s="187">
        <v>2013</v>
      </c>
      <c r="B216" t="s">
        <v>34</v>
      </c>
      <c r="C216" t="s">
        <v>326</v>
      </c>
      <c r="D216" t="s">
        <v>337</v>
      </c>
      <c r="E216" t="s">
        <v>155</v>
      </c>
      <c r="F216" t="s">
        <v>155</v>
      </c>
      <c r="G216" t="s">
        <v>453</v>
      </c>
      <c r="H216" t="s">
        <v>455</v>
      </c>
      <c r="I216" s="187"/>
      <c r="J216" s="187">
        <v>645.00800000000004</v>
      </c>
      <c r="K216" s="187">
        <v>5738.1347430336782</v>
      </c>
      <c r="L216" s="187">
        <v>10478.647999999999</v>
      </c>
      <c r="M216" s="187">
        <v>16861.791015625</v>
      </c>
      <c r="N216" s="187">
        <v>10478.6484375</v>
      </c>
      <c r="O216" t="s">
        <v>675</v>
      </c>
    </row>
    <row r="217" spans="1:15" hidden="1" x14ac:dyDescent="0.45">
      <c r="A217" s="187">
        <v>2013</v>
      </c>
      <c r="B217" t="s">
        <v>34</v>
      </c>
      <c r="C217" t="s">
        <v>327</v>
      </c>
      <c r="D217" t="s">
        <v>337</v>
      </c>
      <c r="E217" t="s">
        <v>359</v>
      </c>
      <c r="F217" t="s">
        <v>430</v>
      </c>
      <c r="G217" t="s">
        <v>453</v>
      </c>
      <c r="H217" t="s">
        <v>456</v>
      </c>
      <c r="I217" s="187"/>
      <c r="J217" s="187">
        <v>10229</v>
      </c>
      <c r="K217" s="187">
        <v>102794</v>
      </c>
      <c r="L217" s="187">
        <v>156952</v>
      </c>
      <c r="M217" s="187">
        <v>269975</v>
      </c>
      <c r="N217" s="187">
        <v>156952</v>
      </c>
      <c r="O217" t="s">
        <v>676</v>
      </c>
    </row>
    <row r="218" spans="1:15" hidden="1" x14ac:dyDescent="0.45">
      <c r="A218" s="187">
        <v>2013</v>
      </c>
      <c r="B218" t="s">
        <v>34</v>
      </c>
      <c r="C218" t="s">
        <v>327</v>
      </c>
      <c r="D218" t="s">
        <v>337</v>
      </c>
      <c r="E218" t="s">
        <v>360</v>
      </c>
      <c r="F218" t="s">
        <v>151</v>
      </c>
      <c r="G218" t="s">
        <v>453</v>
      </c>
      <c r="H218" t="s">
        <v>457</v>
      </c>
      <c r="I218" s="187"/>
      <c r="J218" s="187">
        <v>3151.8164383561639</v>
      </c>
      <c r="K218" s="187">
        <v>24007.95350684931</v>
      </c>
      <c r="L218" s="187">
        <v>59148.274767123257</v>
      </c>
      <c r="M218" s="187">
        <v>86308.046875</v>
      </c>
      <c r="N218" s="187">
        <v>59148.2734375</v>
      </c>
      <c r="O218" t="s">
        <v>677</v>
      </c>
    </row>
    <row r="219" spans="1:15" hidden="1" x14ac:dyDescent="0.45">
      <c r="A219" s="187">
        <v>2013</v>
      </c>
      <c r="B219" t="s">
        <v>34</v>
      </c>
      <c r="C219" t="s">
        <v>327</v>
      </c>
      <c r="D219" t="s">
        <v>337</v>
      </c>
      <c r="E219" t="s">
        <v>360</v>
      </c>
      <c r="F219" t="s">
        <v>6</v>
      </c>
      <c r="G219" t="s">
        <v>453</v>
      </c>
      <c r="H219" t="s">
        <v>454</v>
      </c>
      <c r="I219" s="187"/>
      <c r="J219" s="187">
        <v>0.86478751905608131</v>
      </c>
      <c r="K219" s="187">
        <v>0.7638902024435591</v>
      </c>
      <c r="L219" s="187">
        <v>0.82809812492972368</v>
      </c>
      <c r="M219" s="187">
        <v>0.81892532110214233</v>
      </c>
      <c r="N219" s="187">
        <v>0.2760327160358429</v>
      </c>
      <c r="O219" t="s">
        <v>678</v>
      </c>
    </row>
    <row r="220" spans="1:15" hidden="1" x14ac:dyDescent="0.45">
      <c r="A220" s="187">
        <v>2013</v>
      </c>
      <c r="B220" t="s">
        <v>34</v>
      </c>
      <c r="C220" t="s">
        <v>327</v>
      </c>
      <c r="D220" t="s">
        <v>337</v>
      </c>
      <c r="E220" t="s">
        <v>360</v>
      </c>
      <c r="F220" t="s">
        <v>152</v>
      </c>
      <c r="G220" t="s">
        <v>453</v>
      </c>
      <c r="H220" t="s">
        <v>457</v>
      </c>
      <c r="I220" s="187"/>
      <c r="J220" s="187">
        <v>4829</v>
      </c>
      <c r="K220" s="187">
        <v>43029.84</v>
      </c>
      <c r="L220" s="187">
        <v>85670.663</v>
      </c>
      <c r="M220" s="187">
        <v>133529.5</v>
      </c>
      <c r="N220" s="187">
        <v>85670.6640625</v>
      </c>
      <c r="O220" t="s">
        <v>679</v>
      </c>
    </row>
    <row r="221" spans="1:15" hidden="1" x14ac:dyDescent="0.45">
      <c r="A221" s="187">
        <v>2013</v>
      </c>
      <c r="B221" t="s">
        <v>34</v>
      </c>
      <c r="C221" t="s">
        <v>327</v>
      </c>
      <c r="D221" t="s">
        <v>337</v>
      </c>
      <c r="E221" t="s">
        <v>360</v>
      </c>
      <c r="F221" t="s">
        <v>431</v>
      </c>
      <c r="G221" t="s">
        <v>453</v>
      </c>
      <c r="H221" t="s">
        <v>458</v>
      </c>
      <c r="I221" s="187"/>
      <c r="J221" s="187">
        <v>109769</v>
      </c>
      <c r="K221" s="187">
        <v>955951.41399999999</v>
      </c>
      <c r="L221" s="187">
        <v>2172560.5980000002</v>
      </c>
      <c r="M221" s="187">
        <v>3238281</v>
      </c>
      <c r="N221" s="187">
        <v>2172560.5</v>
      </c>
      <c r="O221" t="s">
        <v>680</v>
      </c>
    </row>
    <row r="222" spans="1:15" hidden="1" x14ac:dyDescent="0.45">
      <c r="A222" s="187">
        <v>2013</v>
      </c>
      <c r="B222" t="s">
        <v>34</v>
      </c>
      <c r="C222" t="s">
        <v>327</v>
      </c>
      <c r="D222" t="s">
        <v>337</v>
      </c>
      <c r="E222" t="s">
        <v>360</v>
      </c>
      <c r="F222" t="s">
        <v>153</v>
      </c>
      <c r="G222" t="s">
        <v>453</v>
      </c>
      <c r="H222" t="s">
        <v>458</v>
      </c>
      <c r="I222" s="187"/>
      <c r="J222" s="187">
        <v>110857</v>
      </c>
      <c r="K222" s="187">
        <v>955951.41399999999</v>
      </c>
      <c r="L222" s="187">
        <v>2172560.5980000002</v>
      </c>
      <c r="M222" s="187">
        <v>3239369</v>
      </c>
      <c r="N222" s="187">
        <v>2172560.5</v>
      </c>
      <c r="O222" t="s">
        <v>681</v>
      </c>
    </row>
    <row r="223" spans="1:15" hidden="1" x14ac:dyDescent="0.45">
      <c r="A223" s="187">
        <v>2013</v>
      </c>
      <c r="B223" t="s">
        <v>34</v>
      </c>
      <c r="C223" t="s">
        <v>327</v>
      </c>
      <c r="D223" t="s">
        <v>337</v>
      </c>
      <c r="E223" t="s">
        <v>360</v>
      </c>
      <c r="F223" t="s">
        <v>432</v>
      </c>
      <c r="G223" t="s">
        <v>453</v>
      </c>
      <c r="H223" t="s">
        <v>456</v>
      </c>
      <c r="I223" s="187"/>
      <c r="J223" s="187">
        <v>0</v>
      </c>
      <c r="K223" s="187">
        <v>0</v>
      </c>
      <c r="L223" s="187">
        <v>1</v>
      </c>
      <c r="M223" s="187">
        <v>1</v>
      </c>
      <c r="N223" s="187">
        <v>1</v>
      </c>
      <c r="O223" t="s">
        <v>682</v>
      </c>
    </row>
    <row r="224" spans="1:15" hidden="1" x14ac:dyDescent="0.45">
      <c r="A224" s="187">
        <v>2013</v>
      </c>
      <c r="B224" t="s">
        <v>34</v>
      </c>
      <c r="C224" t="s">
        <v>327</v>
      </c>
      <c r="D224" t="s">
        <v>337</v>
      </c>
      <c r="E224" t="s">
        <v>360</v>
      </c>
      <c r="F224" t="s">
        <v>154</v>
      </c>
      <c r="G224" t="s">
        <v>453</v>
      </c>
      <c r="H224" t="s">
        <v>459</v>
      </c>
      <c r="I224" s="187"/>
      <c r="J224" s="187">
        <v>1150413</v>
      </c>
      <c r="K224" s="187">
        <v>8762903.0299999993</v>
      </c>
      <c r="L224" s="187">
        <v>21589120.289999992</v>
      </c>
      <c r="M224" s="187">
        <v>31502436</v>
      </c>
      <c r="N224" s="187">
        <v>21589120</v>
      </c>
      <c r="O224" t="s">
        <v>683</v>
      </c>
    </row>
    <row r="225" spans="1:15" hidden="1" x14ac:dyDescent="0.45">
      <c r="A225" s="187">
        <v>2013</v>
      </c>
      <c r="B225" t="s">
        <v>309</v>
      </c>
      <c r="C225" t="s">
        <v>328</v>
      </c>
      <c r="D225" t="s">
        <v>39</v>
      </c>
      <c r="E225" t="s">
        <v>349</v>
      </c>
      <c r="F225" t="s">
        <v>349</v>
      </c>
      <c r="G225" t="s">
        <v>36</v>
      </c>
      <c r="H225" t="s">
        <v>43</v>
      </c>
      <c r="I225" s="187"/>
      <c r="J225" s="187">
        <v>0</v>
      </c>
      <c r="K225" s="187">
        <v>3275.5323596713174</v>
      </c>
      <c r="L225" s="187">
        <v>0</v>
      </c>
      <c r="M225" s="187">
        <v>3275.532470703125</v>
      </c>
      <c r="N225" s="187">
        <v>0</v>
      </c>
      <c r="O225" t="s">
        <v>684</v>
      </c>
    </row>
    <row r="226" spans="1:15" hidden="1" x14ac:dyDescent="0.45">
      <c r="A226" s="187">
        <v>2013</v>
      </c>
      <c r="B226" t="s">
        <v>309</v>
      </c>
      <c r="C226" t="s">
        <v>328</v>
      </c>
      <c r="D226" t="s">
        <v>39</v>
      </c>
      <c r="E226" t="s">
        <v>349</v>
      </c>
      <c r="F226" t="s">
        <v>349</v>
      </c>
      <c r="G226" t="s">
        <v>37</v>
      </c>
      <c r="H226" t="s">
        <v>43</v>
      </c>
      <c r="I226" s="187"/>
      <c r="J226" s="187">
        <v>0</v>
      </c>
      <c r="K226" s="187">
        <v>2750</v>
      </c>
      <c r="L226" s="187">
        <v>0</v>
      </c>
      <c r="M226" s="187">
        <v>2750</v>
      </c>
      <c r="N226" s="187">
        <v>0</v>
      </c>
      <c r="O226" t="s">
        <v>685</v>
      </c>
    </row>
    <row r="227" spans="1:15" hidden="1" x14ac:dyDescent="0.45">
      <c r="A227" s="187">
        <v>2013</v>
      </c>
      <c r="B227" t="s">
        <v>309</v>
      </c>
      <c r="C227" t="s">
        <v>328</v>
      </c>
      <c r="D227" t="s">
        <v>39</v>
      </c>
      <c r="E227" t="s">
        <v>21</v>
      </c>
      <c r="F227" t="s">
        <v>21</v>
      </c>
      <c r="G227" t="s">
        <v>36</v>
      </c>
      <c r="H227" t="s">
        <v>43</v>
      </c>
      <c r="I227" s="187"/>
      <c r="J227" s="187">
        <v>1033.8771229798922</v>
      </c>
      <c r="K227" s="187">
        <v>7548.9970577748754</v>
      </c>
      <c r="L227" s="187">
        <v>8350.8208631474936</v>
      </c>
      <c r="M227" s="187">
        <v>16933.6953125</v>
      </c>
      <c r="N227" s="187">
        <v>8350.8212890625</v>
      </c>
      <c r="O227" t="s">
        <v>686</v>
      </c>
    </row>
    <row r="228" spans="1:15" hidden="1" x14ac:dyDescent="0.45">
      <c r="A228" s="187">
        <v>2013</v>
      </c>
      <c r="B228" t="s">
        <v>309</v>
      </c>
      <c r="C228" t="s">
        <v>328</v>
      </c>
      <c r="D228" t="s">
        <v>39</v>
      </c>
      <c r="E228" t="s">
        <v>21</v>
      </c>
      <c r="F228" t="s">
        <v>21</v>
      </c>
      <c r="G228" t="s">
        <v>37</v>
      </c>
      <c r="H228" t="s">
        <v>43</v>
      </c>
      <c r="I228" s="187"/>
      <c r="J228" s="187">
        <v>868</v>
      </c>
      <c r="K228" s="187">
        <v>6337.8222619556227</v>
      </c>
      <c r="L228" s="187">
        <v>7011</v>
      </c>
      <c r="M228" s="187">
        <v>14216.822265625</v>
      </c>
      <c r="N228" s="187">
        <v>7011</v>
      </c>
      <c r="O228" t="s">
        <v>687</v>
      </c>
    </row>
    <row r="229" spans="1:15" hidden="1" x14ac:dyDescent="0.45">
      <c r="A229" s="187">
        <v>2013</v>
      </c>
      <c r="B229" t="s">
        <v>309</v>
      </c>
      <c r="C229" t="s">
        <v>328</v>
      </c>
      <c r="D229" t="s">
        <v>39</v>
      </c>
      <c r="E229" t="s">
        <v>352</v>
      </c>
      <c r="F229" t="s">
        <v>433</v>
      </c>
      <c r="G229" t="s">
        <v>36</v>
      </c>
      <c r="H229" t="s">
        <v>43</v>
      </c>
      <c r="I229" s="187"/>
      <c r="J229" s="187">
        <v>163.18106664544382</v>
      </c>
      <c r="K229" s="187">
        <v>305.55983733562891</v>
      </c>
      <c r="L229" s="187">
        <v>271.57141018365832</v>
      </c>
      <c r="M229" s="187">
        <v>740.31231689453125</v>
      </c>
      <c r="N229" s="187">
        <v>271.5714111328125</v>
      </c>
      <c r="O229" t="s">
        <v>688</v>
      </c>
    </row>
    <row r="230" spans="1:15" hidden="1" x14ac:dyDescent="0.45">
      <c r="A230" s="187">
        <v>2013</v>
      </c>
      <c r="B230" t="s">
        <v>309</v>
      </c>
      <c r="C230" t="s">
        <v>328</v>
      </c>
      <c r="D230" t="s">
        <v>39</v>
      </c>
      <c r="E230" t="s">
        <v>352</v>
      </c>
      <c r="F230" t="s">
        <v>361</v>
      </c>
      <c r="G230" t="s">
        <v>36</v>
      </c>
      <c r="H230" t="s">
        <v>43</v>
      </c>
      <c r="I230" s="187"/>
      <c r="J230" s="187"/>
      <c r="K230" s="187">
        <v>0</v>
      </c>
      <c r="L230" s="187"/>
      <c r="M230" s="187">
        <v>0</v>
      </c>
      <c r="N230" s="187">
        <v>0</v>
      </c>
      <c r="O230" t="s">
        <v>689</v>
      </c>
    </row>
    <row r="231" spans="1:15" hidden="1" x14ac:dyDescent="0.45">
      <c r="A231" s="187">
        <v>2013</v>
      </c>
      <c r="B231" t="s">
        <v>309</v>
      </c>
      <c r="C231" t="s">
        <v>328</v>
      </c>
      <c r="D231" t="s">
        <v>39</v>
      </c>
      <c r="E231" t="s">
        <v>40</v>
      </c>
      <c r="F231" t="s">
        <v>40</v>
      </c>
      <c r="G231" t="s">
        <v>36</v>
      </c>
      <c r="H231" t="s">
        <v>43</v>
      </c>
      <c r="I231" s="187"/>
      <c r="J231" s="187">
        <v>624.13780235191655</v>
      </c>
      <c r="K231" s="187">
        <v>6390.2658580496791</v>
      </c>
      <c r="L231" s="187">
        <v>9462.1196600832536</v>
      </c>
      <c r="M231" s="187">
        <v>16476.5234375</v>
      </c>
      <c r="N231" s="187">
        <v>9462.1201171875</v>
      </c>
      <c r="O231" t="s">
        <v>690</v>
      </c>
    </row>
    <row r="232" spans="1:15" hidden="1" x14ac:dyDescent="0.45">
      <c r="A232" s="187">
        <v>2013</v>
      </c>
      <c r="B232" t="s">
        <v>309</v>
      </c>
      <c r="C232" t="s">
        <v>328</v>
      </c>
      <c r="D232" t="s">
        <v>39</v>
      </c>
      <c r="E232" t="s">
        <v>40</v>
      </c>
      <c r="F232" t="s">
        <v>40</v>
      </c>
      <c r="G232" t="s">
        <v>37</v>
      </c>
      <c r="H232" t="s">
        <v>43</v>
      </c>
      <c r="I232" s="187"/>
      <c r="J232" s="187">
        <v>524</v>
      </c>
      <c r="K232" s="187">
        <v>5365</v>
      </c>
      <c r="L232" s="187">
        <v>7944</v>
      </c>
      <c r="M232" s="187">
        <v>13833</v>
      </c>
      <c r="N232" s="187">
        <v>7944</v>
      </c>
      <c r="O232" t="s">
        <v>691</v>
      </c>
    </row>
    <row r="233" spans="1:15" hidden="1" x14ac:dyDescent="0.45">
      <c r="A233" s="187">
        <v>2013</v>
      </c>
      <c r="B233" t="s">
        <v>309</v>
      </c>
      <c r="C233" t="s">
        <v>328</v>
      </c>
      <c r="D233" t="s">
        <v>39</v>
      </c>
      <c r="E233" t="s">
        <v>41</v>
      </c>
      <c r="F233" t="s">
        <v>41</v>
      </c>
      <c r="G233" t="s">
        <v>36</v>
      </c>
      <c r="H233" t="s">
        <v>43</v>
      </c>
      <c r="I233" s="187"/>
      <c r="J233" s="187">
        <v>1057.6991765047746</v>
      </c>
      <c r="K233" s="187">
        <v>12412.633330725555</v>
      </c>
      <c r="L233" s="187">
        <v>12426.774221254856</v>
      </c>
      <c r="M233" s="187">
        <v>25897.107421875</v>
      </c>
      <c r="N233" s="187">
        <v>12426.7744140625</v>
      </c>
      <c r="O233" t="s">
        <v>692</v>
      </c>
    </row>
    <row r="234" spans="1:15" hidden="1" x14ac:dyDescent="0.45">
      <c r="A234" s="187">
        <v>2013</v>
      </c>
      <c r="B234" t="s">
        <v>309</v>
      </c>
      <c r="C234" t="s">
        <v>328</v>
      </c>
      <c r="D234" t="s">
        <v>39</v>
      </c>
      <c r="E234" t="s">
        <v>41</v>
      </c>
      <c r="F234" t="s">
        <v>41</v>
      </c>
      <c r="G234" t="s">
        <v>37</v>
      </c>
      <c r="H234" t="s">
        <v>43</v>
      </c>
      <c r="I234" s="187"/>
      <c r="J234" s="187">
        <v>888</v>
      </c>
      <c r="K234" s="187">
        <v>10421.127899625</v>
      </c>
      <c r="L234" s="187">
        <v>10433</v>
      </c>
      <c r="M234" s="187">
        <v>21742.12890625</v>
      </c>
      <c r="N234" s="187">
        <v>10433</v>
      </c>
      <c r="O234" t="s">
        <v>693</v>
      </c>
    </row>
    <row r="235" spans="1:15" hidden="1" x14ac:dyDescent="0.45">
      <c r="A235" s="187">
        <v>2013</v>
      </c>
      <c r="B235" t="s">
        <v>309</v>
      </c>
      <c r="C235" t="s">
        <v>328</v>
      </c>
      <c r="D235" t="s">
        <v>39</v>
      </c>
      <c r="E235" t="s">
        <v>361</v>
      </c>
      <c r="F235" t="s">
        <v>361</v>
      </c>
      <c r="G235" t="s">
        <v>36</v>
      </c>
      <c r="H235" t="s">
        <v>43</v>
      </c>
      <c r="I235" s="187"/>
      <c r="J235" s="187">
        <v>0</v>
      </c>
      <c r="K235" s="187"/>
      <c r="L235" s="187">
        <v>0</v>
      </c>
      <c r="M235" s="187">
        <v>0</v>
      </c>
      <c r="N235" s="187">
        <v>0</v>
      </c>
      <c r="O235" t="s">
        <v>694</v>
      </c>
    </row>
    <row r="236" spans="1:15" hidden="1" x14ac:dyDescent="0.45">
      <c r="A236" s="187">
        <v>2013</v>
      </c>
      <c r="B236" t="s">
        <v>309</v>
      </c>
      <c r="C236" t="s">
        <v>328</v>
      </c>
      <c r="D236" t="s">
        <v>39</v>
      </c>
      <c r="E236" t="s">
        <v>362</v>
      </c>
      <c r="F236" t="s">
        <v>362</v>
      </c>
      <c r="G236" t="s">
        <v>36</v>
      </c>
      <c r="H236" t="s">
        <v>43</v>
      </c>
      <c r="I236" s="187"/>
      <c r="J236" s="187">
        <v>612.22677558947532</v>
      </c>
      <c r="K236" s="187">
        <v>2709.7585884553628</v>
      </c>
      <c r="L236" s="187">
        <v>4439.2396743618183</v>
      </c>
      <c r="M236" s="187">
        <v>7761.22509765625</v>
      </c>
      <c r="N236" s="187">
        <v>4439.23974609375</v>
      </c>
      <c r="O236" t="s">
        <v>695</v>
      </c>
    </row>
    <row r="237" spans="1:15" hidden="1" x14ac:dyDescent="0.45">
      <c r="A237" s="187">
        <v>2013</v>
      </c>
      <c r="B237" t="s">
        <v>309</v>
      </c>
      <c r="C237" t="s">
        <v>328</v>
      </c>
      <c r="D237" t="s">
        <v>39</v>
      </c>
      <c r="E237" t="s">
        <v>362</v>
      </c>
      <c r="F237" t="s">
        <v>362</v>
      </c>
      <c r="G237" t="s">
        <v>37</v>
      </c>
      <c r="H237" t="s">
        <v>43</v>
      </c>
      <c r="I237" s="187"/>
      <c r="J237" s="187">
        <v>514</v>
      </c>
      <c r="K237" s="187">
        <v>2275</v>
      </c>
      <c r="L237" s="187">
        <v>3727</v>
      </c>
      <c r="M237" s="187">
        <v>6516</v>
      </c>
      <c r="N237" s="187">
        <v>3727</v>
      </c>
      <c r="O237" t="s">
        <v>696</v>
      </c>
    </row>
    <row r="238" spans="1:15" hidden="1" x14ac:dyDescent="0.45">
      <c r="A238" s="187">
        <v>2013</v>
      </c>
      <c r="B238" t="s">
        <v>309</v>
      </c>
      <c r="C238" t="s">
        <v>328</v>
      </c>
      <c r="D238" t="s">
        <v>39</v>
      </c>
      <c r="E238" t="s">
        <v>363</v>
      </c>
      <c r="F238" t="s">
        <v>363</v>
      </c>
      <c r="G238" t="s">
        <v>36</v>
      </c>
      <c r="H238" t="s">
        <v>43</v>
      </c>
      <c r="I238" s="187"/>
      <c r="J238" s="187">
        <v>11.911026762441155</v>
      </c>
      <c r="K238" s="187">
        <v>404.97490992299925</v>
      </c>
      <c r="L238" s="187">
        <v>5022.8799857214353</v>
      </c>
      <c r="M238" s="187">
        <v>5439.76611328125</v>
      </c>
      <c r="N238" s="187">
        <v>5022.8798828125</v>
      </c>
      <c r="O238" t="s">
        <v>697</v>
      </c>
    </row>
    <row r="239" spans="1:15" hidden="1" x14ac:dyDescent="0.45">
      <c r="A239" s="187">
        <v>2013</v>
      </c>
      <c r="B239" t="s">
        <v>309</v>
      </c>
      <c r="C239" t="s">
        <v>328</v>
      </c>
      <c r="D239" t="s">
        <v>39</v>
      </c>
      <c r="E239" t="s">
        <v>363</v>
      </c>
      <c r="F239" t="s">
        <v>363</v>
      </c>
      <c r="G239" t="s">
        <v>37</v>
      </c>
      <c r="H239" t="s">
        <v>43</v>
      </c>
      <c r="I239" s="187"/>
      <c r="J239" s="187">
        <v>10</v>
      </c>
      <c r="K239" s="187">
        <v>340</v>
      </c>
      <c r="L239" s="187">
        <v>4217</v>
      </c>
      <c r="M239" s="187">
        <v>4567</v>
      </c>
      <c r="N239" s="187">
        <v>4217</v>
      </c>
      <c r="O239" t="s">
        <v>698</v>
      </c>
    </row>
    <row r="240" spans="1:15" hidden="1" x14ac:dyDescent="0.45">
      <c r="A240" s="187">
        <v>2013</v>
      </c>
      <c r="B240" t="s">
        <v>309</v>
      </c>
      <c r="C240" t="s">
        <v>328</v>
      </c>
      <c r="D240" t="s">
        <v>39</v>
      </c>
      <c r="E240" t="s">
        <v>364</v>
      </c>
      <c r="F240" t="s">
        <v>364</v>
      </c>
      <c r="G240" t="s">
        <v>36</v>
      </c>
      <c r="H240" t="s">
        <v>43</v>
      </c>
      <c r="I240" s="187"/>
      <c r="J240" s="187">
        <v>23.82205352488231</v>
      </c>
      <c r="K240" s="187">
        <v>4863.63627295068</v>
      </c>
      <c r="L240" s="187">
        <v>4075.9533581073633</v>
      </c>
      <c r="M240" s="187">
        <v>8963.412109375</v>
      </c>
      <c r="N240" s="187">
        <v>4075.953369140625</v>
      </c>
      <c r="O240" t="s">
        <v>699</v>
      </c>
    </row>
    <row r="241" spans="1:15" hidden="1" x14ac:dyDescent="0.45">
      <c r="A241" s="187">
        <v>2013</v>
      </c>
      <c r="B241" t="s">
        <v>309</v>
      </c>
      <c r="C241" t="s">
        <v>328</v>
      </c>
      <c r="D241" t="s">
        <v>39</v>
      </c>
      <c r="E241" t="s">
        <v>364</v>
      </c>
      <c r="F241" t="s">
        <v>364</v>
      </c>
      <c r="G241" t="s">
        <v>37</v>
      </c>
      <c r="H241" t="s">
        <v>43</v>
      </c>
      <c r="I241" s="187"/>
      <c r="J241" s="187">
        <v>20</v>
      </c>
      <c r="K241" s="187">
        <v>4083.3056376693771</v>
      </c>
      <c r="L241" s="187">
        <v>3422</v>
      </c>
      <c r="M241" s="187">
        <v>7525.3056640625</v>
      </c>
      <c r="N241" s="187">
        <v>3422</v>
      </c>
      <c r="O241" t="s">
        <v>700</v>
      </c>
    </row>
    <row r="242" spans="1:15" hidden="1" x14ac:dyDescent="0.45">
      <c r="A242" s="187">
        <v>2013</v>
      </c>
      <c r="B242" t="s">
        <v>309</v>
      </c>
      <c r="C242" t="s">
        <v>328</v>
      </c>
      <c r="D242" t="s">
        <v>39</v>
      </c>
      <c r="E242" t="s">
        <v>365</v>
      </c>
      <c r="F242" t="s">
        <v>375</v>
      </c>
      <c r="G242" t="s">
        <v>36</v>
      </c>
      <c r="H242" t="s">
        <v>43</v>
      </c>
      <c r="I242" s="187"/>
      <c r="J242" s="187">
        <v>1681.8369788566911</v>
      </c>
      <c r="K242" s="187">
        <v>18802.899188775235</v>
      </c>
      <c r="L242" s="187">
        <v>21888.89388133811</v>
      </c>
      <c r="M242" s="187">
        <v>42373.62890625</v>
      </c>
      <c r="N242" s="187">
        <v>21888.89453125</v>
      </c>
      <c r="O242" t="s">
        <v>701</v>
      </c>
    </row>
    <row r="243" spans="1:15" hidden="1" x14ac:dyDescent="0.45">
      <c r="A243" s="187">
        <v>2013</v>
      </c>
      <c r="B243" t="s">
        <v>309</v>
      </c>
      <c r="C243" t="s">
        <v>328</v>
      </c>
      <c r="D243" t="s">
        <v>39</v>
      </c>
      <c r="E243" t="s">
        <v>365</v>
      </c>
      <c r="F243" t="s">
        <v>375</v>
      </c>
      <c r="G243" t="s">
        <v>37</v>
      </c>
      <c r="H243" t="s">
        <v>43</v>
      </c>
      <c r="I243" s="187"/>
      <c r="J243" s="187">
        <v>1412</v>
      </c>
      <c r="K243" s="187">
        <v>15786.127899625</v>
      </c>
      <c r="L243" s="187">
        <v>18377</v>
      </c>
      <c r="M243" s="187">
        <v>35575.125</v>
      </c>
      <c r="N243" s="187">
        <v>18377</v>
      </c>
      <c r="O243" t="s">
        <v>702</v>
      </c>
    </row>
    <row r="244" spans="1:15" hidden="1" x14ac:dyDescent="0.45">
      <c r="A244" s="187">
        <v>2013</v>
      </c>
      <c r="B244" t="s">
        <v>34</v>
      </c>
      <c r="C244" t="s">
        <v>329</v>
      </c>
      <c r="D244" t="s">
        <v>39</v>
      </c>
      <c r="E244" t="s">
        <v>349</v>
      </c>
      <c r="F244" t="s">
        <v>349</v>
      </c>
      <c r="G244" t="s">
        <v>36</v>
      </c>
      <c r="H244" t="s">
        <v>43</v>
      </c>
      <c r="I244" s="187"/>
      <c r="J244" s="187">
        <v>0</v>
      </c>
      <c r="K244" s="187">
        <v>1844.5478515625</v>
      </c>
      <c r="L244" s="187">
        <v>0</v>
      </c>
      <c r="M244" s="187">
        <v>1844.5478515625</v>
      </c>
      <c r="N244" s="187">
        <v>0</v>
      </c>
      <c r="O244" t="s">
        <v>703</v>
      </c>
    </row>
    <row r="245" spans="1:15" hidden="1" x14ac:dyDescent="0.45">
      <c r="A245" s="187">
        <v>2013</v>
      </c>
      <c r="B245" t="s">
        <v>34</v>
      </c>
      <c r="C245" t="s">
        <v>329</v>
      </c>
      <c r="D245" t="s">
        <v>39</v>
      </c>
      <c r="E245" t="s">
        <v>349</v>
      </c>
      <c r="F245" t="s">
        <v>349</v>
      </c>
      <c r="G245" t="s">
        <v>37</v>
      </c>
      <c r="H245" t="s">
        <v>43</v>
      </c>
      <c r="I245" s="187"/>
      <c r="J245" s="187">
        <v>0</v>
      </c>
      <c r="K245" s="187">
        <v>1548.6052725</v>
      </c>
      <c r="L245" s="187">
        <v>0</v>
      </c>
      <c r="M245" s="187">
        <v>1548.605224609375</v>
      </c>
      <c r="N245" s="187">
        <v>0</v>
      </c>
      <c r="O245" t="s">
        <v>704</v>
      </c>
    </row>
    <row r="246" spans="1:15" hidden="1" x14ac:dyDescent="0.45">
      <c r="A246" s="187">
        <v>2013</v>
      </c>
      <c r="B246" t="s">
        <v>34</v>
      </c>
      <c r="C246" t="s">
        <v>329</v>
      </c>
      <c r="D246" t="s">
        <v>39</v>
      </c>
      <c r="E246" t="s">
        <v>21</v>
      </c>
      <c r="F246" t="s">
        <v>21</v>
      </c>
      <c r="G246" t="s">
        <v>36</v>
      </c>
      <c r="H246" t="s">
        <v>43</v>
      </c>
      <c r="I246" s="187"/>
      <c r="J246" s="187">
        <v>996.95294189453125</v>
      </c>
      <c r="K246" s="187">
        <v>6984.904296875</v>
      </c>
      <c r="L246" s="187">
        <v>7171.62939453125</v>
      </c>
      <c r="M246" s="187">
        <v>15153.486328125</v>
      </c>
      <c r="N246" s="187">
        <v>7171.62939453125</v>
      </c>
      <c r="O246" t="s">
        <v>705</v>
      </c>
    </row>
    <row r="247" spans="1:15" hidden="1" x14ac:dyDescent="0.45">
      <c r="A247" s="187">
        <v>2013</v>
      </c>
      <c r="B247" t="s">
        <v>34</v>
      </c>
      <c r="C247" t="s">
        <v>329</v>
      </c>
      <c r="D247" t="s">
        <v>39</v>
      </c>
      <c r="E247" t="s">
        <v>21</v>
      </c>
      <c r="F247" t="s">
        <v>21</v>
      </c>
      <c r="G247" t="s">
        <v>37</v>
      </c>
      <c r="H247" t="s">
        <v>43</v>
      </c>
      <c r="I247" s="187"/>
      <c r="J247" s="187">
        <v>837</v>
      </c>
      <c r="K247" s="187">
        <v>5864.2335022021462</v>
      </c>
      <c r="L247" s="187">
        <v>6021</v>
      </c>
      <c r="M247" s="187">
        <v>12722.2333984375</v>
      </c>
      <c r="N247" s="187">
        <v>6021</v>
      </c>
      <c r="O247" t="s">
        <v>706</v>
      </c>
    </row>
    <row r="248" spans="1:15" hidden="1" x14ac:dyDescent="0.45">
      <c r="A248" s="187">
        <v>2013</v>
      </c>
      <c r="B248" t="s">
        <v>34</v>
      </c>
      <c r="C248" t="s">
        <v>329</v>
      </c>
      <c r="D248" t="s">
        <v>39</v>
      </c>
      <c r="E248" t="s">
        <v>40</v>
      </c>
      <c r="F248" t="s">
        <v>40</v>
      </c>
      <c r="G248" t="s">
        <v>36</v>
      </c>
      <c r="H248" t="s">
        <v>43</v>
      </c>
      <c r="I248" s="187"/>
      <c r="J248" s="187">
        <v>145.31452941894531</v>
      </c>
      <c r="K248" s="187">
        <v>5116.59716796875</v>
      </c>
      <c r="L248" s="187">
        <v>9462.1201171875</v>
      </c>
      <c r="M248" s="187">
        <v>14724.03125</v>
      </c>
      <c r="N248" s="187">
        <v>9462.1201171875</v>
      </c>
      <c r="O248" t="s">
        <v>707</v>
      </c>
    </row>
    <row r="249" spans="1:15" hidden="1" x14ac:dyDescent="0.45">
      <c r="A249" s="187">
        <v>2013</v>
      </c>
      <c r="B249" t="s">
        <v>34</v>
      </c>
      <c r="C249" t="s">
        <v>329</v>
      </c>
      <c r="D249" t="s">
        <v>39</v>
      </c>
      <c r="E249" t="s">
        <v>40</v>
      </c>
      <c r="F249" t="s">
        <v>40</v>
      </c>
      <c r="G249" t="s">
        <v>37</v>
      </c>
      <c r="H249" t="s">
        <v>43</v>
      </c>
      <c r="I249" s="187"/>
      <c r="J249" s="187">
        <v>122</v>
      </c>
      <c r="K249" s="187">
        <v>4295.6808899999996</v>
      </c>
      <c r="L249" s="187">
        <v>7944</v>
      </c>
      <c r="M249" s="187">
        <v>12361.6806640625</v>
      </c>
      <c r="N249" s="187">
        <v>7944</v>
      </c>
      <c r="O249" t="s">
        <v>708</v>
      </c>
    </row>
    <row r="250" spans="1:15" hidden="1" x14ac:dyDescent="0.45">
      <c r="A250" s="187">
        <v>2013</v>
      </c>
      <c r="B250" t="s">
        <v>34</v>
      </c>
      <c r="C250" t="s">
        <v>329</v>
      </c>
      <c r="D250" t="s">
        <v>39</v>
      </c>
      <c r="E250" t="s">
        <v>41</v>
      </c>
      <c r="F250" t="s">
        <v>41</v>
      </c>
      <c r="G250" t="s">
        <v>36</v>
      </c>
      <c r="H250" t="s">
        <v>43</v>
      </c>
      <c r="I250" s="187"/>
      <c r="J250" s="187">
        <v>1786.654052734375</v>
      </c>
      <c r="K250" s="187">
        <v>11920.6025390625</v>
      </c>
      <c r="L250" s="187">
        <v>11569.2578125</v>
      </c>
      <c r="M250" s="187">
        <v>25276.515625</v>
      </c>
      <c r="N250" s="187">
        <v>11569.2578125</v>
      </c>
      <c r="O250" t="s">
        <v>709</v>
      </c>
    </row>
    <row r="251" spans="1:15" hidden="1" x14ac:dyDescent="0.45">
      <c r="A251" s="187">
        <v>2013</v>
      </c>
      <c r="B251" t="s">
        <v>34</v>
      </c>
      <c r="C251" t="s">
        <v>329</v>
      </c>
      <c r="D251" t="s">
        <v>39</v>
      </c>
      <c r="E251" t="s">
        <v>41</v>
      </c>
      <c r="F251" t="s">
        <v>41</v>
      </c>
      <c r="G251" t="s">
        <v>37</v>
      </c>
      <c r="H251" t="s">
        <v>43</v>
      </c>
      <c r="I251" s="187"/>
      <c r="J251" s="187">
        <v>1500</v>
      </c>
      <c r="K251" s="187">
        <v>10008.039812202151</v>
      </c>
      <c r="L251" s="187">
        <v>9713.0650889999997</v>
      </c>
      <c r="M251" s="187">
        <v>21221.10546875</v>
      </c>
      <c r="N251" s="187">
        <v>9713.0654296875</v>
      </c>
      <c r="O251" t="s">
        <v>710</v>
      </c>
    </row>
    <row r="252" spans="1:15" hidden="1" x14ac:dyDescent="0.45">
      <c r="A252" s="187">
        <v>2013</v>
      </c>
      <c r="B252" t="s">
        <v>34</v>
      </c>
      <c r="C252" t="s">
        <v>329</v>
      </c>
      <c r="D252" t="s">
        <v>39</v>
      </c>
      <c r="E252" t="s">
        <v>362</v>
      </c>
      <c r="F252" t="s">
        <v>362</v>
      </c>
      <c r="G252" t="s">
        <v>36</v>
      </c>
      <c r="H252" t="s">
        <v>43</v>
      </c>
      <c r="I252" s="187"/>
      <c r="J252" s="187">
        <v>94.097114562988281</v>
      </c>
      <c r="K252" s="187">
        <v>2799.111572265625</v>
      </c>
      <c r="L252" s="187">
        <v>4738.20654296875</v>
      </c>
      <c r="M252" s="187">
        <v>7631.4150390625</v>
      </c>
      <c r="N252" s="187">
        <v>4738.20654296875</v>
      </c>
      <c r="O252" t="s">
        <v>711</v>
      </c>
    </row>
    <row r="253" spans="1:15" hidden="1" x14ac:dyDescent="0.45">
      <c r="A253" s="187">
        <v>2013</v>
      </c>
      <c r="B253" t="s">
        <v>34</v>
      </c>
      <c r="C253" t="s">
        <v>329</v>
      </c>
      <c r="D253" t="s">
        <v>39</v>
      </c>
      <c r="E253" t="s">
        <v>362</v>
      </c>
      <c r="F253" t="s">
        <v>362</v>
      </c>
      <c r="G253" t="s">
        <v>37</v>
      </c>
      <c r="H253" t="s">
        <v>43</v>
      </c>
      <c r="I253" s="187"/>
      <c r="J253" s="187">
        <v>79</v>
      </c>
      <c r="K253" s="187">
        <v>2350.0170174999998</v>
      </c>
      <c r="L253" s="187">
        <v>3978</v>
      </c>
      <c r="M253" s="187">
        <v>6407.01708984375</v>
      </c>
      <c r="N253" s="187">
        <v>3978</v>
      </c>
      <c r="O253" t="s">
        <v>712</v>
      </c>
    </row>
    <row r="254" spans="1:15" hidden="1" x14ac:dyDescent="0.45">
      <c r="A254" s="187">
        <v>2013</v>
      </c>
      <c r="B254" t="s">
        <v>34</v>
      </c>
      <c r="C254" t="s">
        <v>329</v>
      </c>
      <c r="D254" t="s">
        <v>39</v>
      </c>
      <c r="E254" t="s">
        <v>363</v>
      </c>
      <c r="F254" t="s">
        <v>363</v>
      </c>
      <c r="G254" t="s">
        <v>36</v>
      </c>
      <c r="H254" t="s">
        <v>43</v>
      </c>
      <c r="I254" s="187"/>
      <c r="J254" s="187">
        <v>51.217414855957031</v>
      </c>
      <c r="K254" s="187">
        <v>472.93756103515625</v>
      </c>
      <c r="L254" s="187">
        <v>4723.9130859375</v>
      </c>
      <c r="M254" s="187">
        <v>5248.06787109375</v>
      </c>
      <c r="N254" s="187">
        <v>4723.9130859375</v>
      </c>
      <c r="O254" t="s">
        <v>713</v>
      </c>
    </row>
    <row r="255" spans="1:15" hidden="1" x14ac:dyDescent="0.45">
      <c r="A255" s="187">
        <v>2013</v>
      </c>
      <c r="B255" t="s">
        <v>34</v>
      </c>
      <c r="C255" t="s">
        <v>329</v>
      </c>
      <c r="D255" t="s">
        <v>39</v>
      </c>
      <c r="E255" t="s">
        <v>363</v>
      </c>
      <c r="F255" t="s">
        <v>363</v>
      </c>
      <c r="G255" t="s">
        <v>37</v>
      </c>
      <c r="H255" t="s">
        <v>43</v>
      </c>
      <c r="I255" s="187"/>
      <c r="J255" s="187">
        <v>43</v>
      </c>
      <c r="K255" s="187">
        <v>397.05860000000001</v>
      </c>
      <c r="L255" s="187">
        <v>3966</v>
      </c>
      <c r="M255" s="187">
        <v>4406.05859375</v>
      </c>
      <c r="N255" s="187">
        <v>3966</v>
      </c>
      <c r="O255" t="s">
        <v>714</v>
      </c>
    </row>
    <row r="256" spans="1:15" hidden="1" x14ac:dyDescent="0.45">
      <c r="A256" s="187">
        <v>2013</v>
      </c>
      <c r="B256" t="s">
        <v>34</v>
      </c>
      <c r="C256" t="s">
        <v>329</v>
      </c>
      <c r="D256" t="s">
        <v>39</v>
      </c>
      <c r="E256" t="s">
        <v>364</v>
      </c>
      <c r="F256" t="s">
        <v>364</v>
      </c>
      <c r="G256" t="s">
        <v>36</v>
      </c>
      <c r="H256" t="s">
        <v>43</v>
      </c>
      <c r="I256" s="187"/>
      <c r="J256" s="187">
        <v>789.7010498046875</v>
      </c>
      <c r="K256" s="187">
        <v>4935.69873046875</v>
      </c>
      <c r="L256" s="187">
        <v>4397.62841796875</v>
      </c>
      <c r="M256" s="187">
        <v>10123.0283203125</v>
      </c>
      <c r="N256" s="187">
        <v>4397.62841796875</v>
      </c>
      <c r="O256" t="s">
        <v>715</v>
      </c>
    </row>
    <row r="257" spans="1:15" hidden="1" x14ac:dyDescent="0.45">
      <c r="A257" s="187">
        <v>2013</v>
      </c>
      <c r="B257" t="s">
        <v>34</v>
      </c>
      <c r="C257" t="s">
        <v>329</v>
      </c>
      <c r="D257" t="s">
        <v>39</v>
      </c>
      <c r="E257" t="s">
        <v>364</v>
      </c>
      <c r="F257" t="s">
        <v>364</v>
      </c>
      <c r="G257" t="s">
        <v>37</v>
      </c>
      <c r="H257" t="s">
        <v>43</v>
      </c>
      <c r="I257" s="187"/>
      <c r="J257" s="187">
        <v>663</v>
      </c>
      <c r="K257" s="187">
        <v>4143.8063099999999</v>
      </c>
      <c r="L257" s="187">
        <v>3692.0650890000002</v>
      </c>
      <c r="M257" s="187">
        <v>8498.87109375</v>
      </c>
      <c r="N257" s="187">
        <v>3692.065185546875</v>
      </c>
      <c r="O257" t="s">
        <v>716</v>
      </c>
    </row>
    <row r="258" spans="1:15" hidden="1" x14ac:dyDescent="0.45">
      <c r="A258" s="187">
        <v>2013</v>
      </c>
      <c r="B258" t="s">
        <v>34</v>
      </c>
      <c r="C258" t="s">
        <v>329</v>
      </c>
      <c r="D258" t="s">
        <v>39</v>
      </c>
      <c r="E258" t="s">
        <v>365</v>
      </c>
      <c r="F258" t="s">
        <v>375</v>
      </c>
      <c r="G258" t="s">
        <v>36</v>
      </c>
      <c r="H258" t="s">
        <v>43</v>
      </c>
      <c r="I258" s="187"/>
      <c r="J258" s="187">
        <v>1931.968505859375</v>
      </c>
      <c r="K258" s="187">
        <v>17037.19921875</v>
      </c>
      <c r="L258" s="187">
        <v>21031.376953125</v>
      </c>
      <c r="M258" s="187">
        <v>40000.546875</v>
      </c>
      <c r="N258" s="187">
        <v>21031.376953125</v>
      </c>
      <c r="O258" t="s">
        <v>717</v>
      </c>
    </row>
    <row r="259" spans="1:15" hidden="1" x14ac:dyDescent="0.45">
      <c r="A259" s="187">
        <v>2013</v>
      </c>
      <c r="B259" t="s">
        <v>34</v>
      </c>
      <c r="C259" t="s">
        <v>329</v>
      </c>
      <c r="D259" t="s">
        <v>39</v>
      </c>
      <c r="E259" t="s">
        <v>365</v>
      </c>
      <c r="F259" t="s">
        <v>375</v>
      </c>
      <c r="G259" t="s">
        <v>37</v>
      </c>
      <c r="H259" t="s">
        <v>43</v>
      </c>
      <c r="I259" s="187"/>
      <c r="J259" s="187">
        <v>1622</v>
      </c>
      <c r="K259" s="187">
        <v>14303.72070220215</v>
      </c>
      <c r="L259" s="187">
        <v>17657.065089</v>
      </c>
      <c r="M259" s="187">
        <v>33582.78515625</v>
      </c>
      <c r="N259" s="187">
        <v>17657.064453125</v>
      </c>
      <c r="O259" t="s">
        <v>718</v>
      </c>
    </row>
    <row r="260" spans="1:15" hidden="1" x14ac:dyDescent="0.45">
      <c r="A260" s="187">
        <v>2013</v>
      </c>
      <c r="B260" t="s">
        <v>34</v>
      </c>
      <c r="C260" t="s">
        <v>320</v>
      </c>
      <c r="D260" t="s">
        <v>336</v>
      </c>
      <c r="E260" t="s">
        <v>102</v>
      </c>
      <c r="F260" t="s">
        <v>14</v>
      </c>
      <c r="G260" t="s">
        <v>36</v>
      </c>
      <c r="H260" t="s">
        <v>43</v>
      </c>
      <c r="I260" s="187"/>
      <c r="J260" s="187">
        <v>0</v>
      </c>
      <c r="K260" s="187">
        <v>0</v>
      </c>
      <c r="L260" s="187">
        <v>0</v>
      </c>
      <c r="M260" s="187">
        <v>0</v>
      </c>
      <c r="N260" s="187">
        <v>0</v>
      </c>
      <c r="O260" t="s">
        <v>719</v>
      </c>
    </row>
    <row r="261" spans="1:15" hidden="1" x14ac:dyDescent="0.45">
      <c r="A261" s="187">
        <v>2013</v>
      </c>
      <c r="B261" t="s">
        <v>34</v>
      </c>
      <c r="C261" t="s">
        <v>320</v>
      </c>
      <c r="D261" t="s">
        <v>336</v>
      </c>
      <c r="E261" t="s">
        <v>102</v>
      </c>
      <c r="F261" t="s">
        <v>14</v>
      </c>
      <c r="G261" t="s">
        <v>37</v>
      </c>
      <c r="H261" t="s">
        <v>43</v>
      </c>
      <c r="I261" s="187"/>
      <c r="J261" s="187">
        <v>0</v>
      </c>
      <c r="K261" s="187">
        <v>0</v>
      </c>
      <c r="L261" s="187">
        <v>0</v>
      </c>
      <c r="M261" s="187">
        <v>0</v>
      </c>
      <c r="N261" s="187">
        <v>0</v>
      </c>
      <c r="O261" t="s">
        <v>720</v>
      </c>
    </row>
    <row r="262" spans="1:15" hidden="1" x14ac:dyDescent="0.45">
      <c r="A262" s="187">
        <v>2013</v>
      </c>
      <c r="B262" t="s">
        <v>34</v>
      </c>
      <c r="C262" t="s">
        <v>320</v>
      </c>
      <c r="D262" t="s">
        <v>336</v>
      </c>
      <c r="E262" t="s">
        <v>102</v>
      </c>
      <c r="F262" t="s">
        <v>374</v>
      </c>
      <c r="G262" t="s">
        <v>36</v>
      </c>
      <c r="H262" t="s">
        <v>43</v>
      </c>
      <c r="I262" s="187"/>
      <c r="J262" s="187">
        <v>0</v>
      </c>
      <c r="K262" s="187">
        <v>0</v>
      </c>
      <c r="L262" s="187">
        <v>0</v>
      </c>
      <c r="M262" s="187">
        <v>0</v>
      </c>
      <c r="N262" s="187">
        <v>0</v>
      </c>
      <c r="O262" t="s">
        <v>721</v>
      </c>
    </row>
    <row r="263" spans="1:15" hidden="1" x14ac:dyDescent="0.45">
      <c r="A263" s="187">
        <v>2013</v>
      </c>
      <c r="B263" t="s">
        <v>34</v>
      </c>
      <c r="C263" t="s">
        <v>320</v>
      </c>
      <c r="D263" t="s">
        <v>336</v>
      </c>
      <c r="E263" t="s">
        <v>102</v>
      </c>
      <c r="F263" t="s">
        <v>374</v>
      </c>
      <c r="G263" t="s">
        <v>37</v>
      </c>
      <c r="H263" t="s">
        <v>43</v>
      </c>
      <c r="I263" s="187"/>
      <c r="J263" s="187">
        <v>0</v>
      </c>
      <c r="K263" s="187">
        <v>0</v>
      </c>
      <c r="L263" s="187">
        <v>0</v>
      </c>
      <c r="M263" s="187">
        <v>0</v>
      </c>
      <c r="N263" s="187">
        <v>0</v>
      </c>
      <c r="O263" t="s">
        <v>722</v>
      </c>
    </row>
    <row r="264" spans="1:15" hidden="1" x14ac:dyDescent="0.45">
      <c r="A264" s="187">
        <v>2013</v>
      </c>
      <c r="B264" t="s">
        <v>34</v>
      </c>
      <c r="C264" t="s">
        <v>320</v>
      </c>
      <c r="D264" t="s">
        <v>336</v>
      </c>
      <c r="E264" t="s">
        <v>102</v>
      </c>
      <c r="F264" t="s">
        <v>375</v>
      </c>
      <c r="G264" t="s">
        <v>36</v>
      </c>
      <c r="H264" t="s">
        <v>43</v>
      </c>
      <c r="I264" s="187"/>
      <c r="J264" s="187">
        <v>391.87277221679688</v>
      </c>
      <c r="K264" s="187">
        <v>0</v>
      </c>
      <c r="L264" s="187">
        <v>0</v>
      </c>
      <c r="M264" s="187">
        <v>391.87277221679688</v>
      </c>
      <c r="N264" s="187">
        <v>0</v>
      </c>
      <c r="O264" t="s">
        <v>723</v>
      </c>
    </row>
    <row r="265" spans="1:15" hidden="1" x14ac:dyDescent="0.45">
      <c r="A265" s="187">
        <v>2013</v>
      </c>
      <c r="B265" t="s">
        <v>34</v>
      </c>
      <c r="C265" t="s">
        <v>320</v>
      </c>
      <c r="D265" t="s">
        <v>336</v>
      </c>
      <c r="E265" t="s">
        <v>102</v>
      </c>
      <c r="F265" t="s">
        <v>375</v>
      </c>
      <c r="G265" t="s">
        <v>37</v>
      </c>
      <c r="H265" t="s">
        <v>43</v>
      </c>
      <c r="I265" s="187"/>
      <c r="J265" s="187">
        <v>329</v>
      </c>
      <c r="K265" s="187">
        <v>0</v>
      </c>
      <c r="L265" s="187">
        <v>0</v>
      </c>
      <c r="M265" s="187">
        <v>329</v>
      </c>
      <c r="N265" s="187">
        <v>0</v>
      </c>
      <c r="O265" t="s">
        <v>724</v>
      </c>
    </row>
    <row r="266" spans="1:15" hidden="1" x14ac:dyDescent="0.45">
      <c r="A266" s="187">
        <v>2013</v>
      </c>
      <c r="B266" t="s">
        <v>34</v>
      </c>
      <c r="C266" t="s">
        <v>320</v>
      </c>
      <c r="D266" t="s">
        <v>336</v>
      </c>
      <c r="E266" t="s">
        <v>102</v>
      </c>
      <c r="F266" t="s">
        <v>376</v>
      </c>
      <c r="G266" t="s">
        <v>36</v>
      </c>
      <c r="H266" t="s">
        <v>43</v>
      </c>
      <c r="I266" s="187"/>
      <c r="J266" s="187">
        <v>0</v>
      </c>
      <c r="K266" s="187">
        <v>0</v>
      </c>
      <c r="L266" s="187">
        <v>0</v>
      </c>
      <c r="M266" s="187">
        <v>0</v>
      </c>
      <c r="N266" s="187">
        <v>0</v>
      </c>
      <c r="O266" t="s">
        <v>725</v>
      </c>
    </row>
    <row r="267" spans="1:15" hidden="1" x14ac:dyDescent="0.45">
      <c r="A267" s="187">
        <v>2013</v>
      </c>
      <c r="B267" t="s">
        <v>34</v>
      </c>
      <c r="C267" t="s">
        <v>320</v>
      </c>
      <c r="D267" t="s">
        <v>336</v>
      </c>
      <c r="E267" t="s">
        <v>102</v>
      </c>
      <c r="F267" t="s">
        <v>376</v>
      </c>
      <c r="G267" t="s">
        <v>37</v>
      </c>
      <c r="H267" t="s">
        <v>43</v>
      </c>
      <c r="I267" s="187"/>
      <c r="J267" s="187">
        <v>0</v>
      </c>
      <c r="K267" s="187">
        <v>0</v>
      </c>
      <c r="L267" s="187">
        <v>0</v>
      </c>
      <c r="M267" s="187">
        <v>0</v>
      </c>
      <c r="N267" s="187">
        <v>0</v>
      </c>
      <c r="O267" t="s">
        <v>726</v>
      </c>
    </row>
    <row r="268" spans="1:15" hidden="1" x14ac:dyDescent="0.45">
      <c r="A268" s="187">
        <v>2013</v>
      </c>
      <c r="B268" t="s">
        <v>34</v>
      </c>
      <c r="C268" t="s">
        <v>320</v>
      </c>
      <c r="D268" t="s">
        <v>336</v>
      </c>
      <c r="E268" t="s">
        <v>102</v>
      </c>
      <c r="F268" t="s">
        <v>347</v>
      </c>
      <c r="G268" t="s">
        <v>36</v>
      </c>
      <c r="H268" t="s">
        <v>43</v>
      </c>
      <c r="I268" s="187"/>
      <c r="J268" s="187">
        <v>2225.4619140625</v>
      </c>
      <c r="K268" s="187">
        <v>0</v>
      </c>
      <c r="L268" s="187">
        <v>8894.572265625</v>
      </c>
      <c r="M268" s="187">
        <v>11120.0341796875</v>
      </c>
      <c r="N268" s="187">
        <v>8894.572265625</v>
      </c>
      <c r="O268" t="s">
        <v>727</v>
      </c>
    </row>
    <row r="269" spans="1:15" hidden="1" x14ac:dyDescent="0.45">
      <c r="A269" s="187">
        <v>2013</v>
      </c>
      <c r="B269" t="s">
        <v>34</v>
      </c>
      <c r="C269" t="s">
        <v>320</v>
      </c>
      <c r="D269" t="s">
        <v>336</v>
      </c>
      <c r="E269" t="s">
        <v>102</v>
      </c>
      <c r="F269" t="s">
        <v>347</v>
      </c>
      <c r="G269" t="s">
        <v>37</v>
      </c>
      <c r="H269" t="s">
        <v>43</v>
      </c>
      <c r="I269" s="187"/>
      <c r="J269" s="187">
        <v>1909</v>
      </c>
      <c r="K269" s="187">
        <v>0</v>
      </c>
      <c r="L269" s="187">
        <v>7629.75927734375</v>
      </c>
      <c r="M269" s="187">
        <v>9538.759765625</v>
      </c>
      <c r="N269" s="187">
        <v>7629.75927734375</v>
      </c>
      <c r="O269" t="s">
        <v>728</v>
      </c>
    </row>
    <row r="270" spans="1:15" hidden="1" x14ac:dyDescent="0.45">
      <c r="A270" s="187">
        <v>2013</v>
      </c>
      <c r="B270" t="s">
        <v>34</v>
      </c>
      <c r="C270" t="s">
        <v>330</v>
      </c>
      <c r="D270" t="s">
        <v>338</v>
      </c>
      <c r="E270" t="s">
        <v>366</v>
      </c>
      <c r="F270" t="s">
        <v>434</v>
      </c>
      <c r="G270" t="s">
        <v>36</v>
      </c>
      <c r="H270" t="s">
        <v>43</v>
      </c>
      <c r="I270" s="187"/>
      <c r="J270" s="187">
        <v>2678</v>
      </c>
      <c r="K270" s="187">
        <v>47494.916331816778</v>
      </c>
      <c r="L270" s="187">
        <v>59841</v>
      </c>
      <c r="M270" s="187">
        <v>110013.921875</v>
      </c>
      <c r="N270" s="187">
        <v>59841</v>
      </c>
      <c r="O270" t="s">
        <v>729</v>
      </c>
    </row>
    <row r="271" spans="1:15" hidden="1" x14ac:dyDescent="0.45">
      <c r="A271" s="187">
        <v>2013</v>
      </c>
      <c r="B271" t="s">
        <v>34</v>
      </c>
      <c r="C271" t="s">
        <v>330</v>
      </c>
      <c r="D271" t="s">
        <v>338</v>
      </c>
      <c r="E271" t="s">
        <v>366</v>
      </c>
      <c r="F271" t="s">
        <v>435</v>
      </c>
      <c r="G271" t="s">
        <v>36</v>
      </c>
      <c r="H271" t="s">
        <v>43</v>
      </c>
      <c r="I271" s="187"/>
      <c r="J271" s="187">
        <v>129</v>
      </c>
      <c r="K271" s="187">
        <v>2204.7363584907048</v>
      </c>
      <c r="L271" s="187">
        <v>3488</v>
      </c>
      <c r="M271" s="187">
        <v>5821.736328125</v>
      </c>
      <c r="N271" s="187">
        <v>3488</v>
      </c>
      <c r="O271" t="s">
        <v>730</v>
      </c>
    </row>
    <row r="272" spans="1:15" hidden="1" x14ac:dyDescent="0.45">
      <c r="A272" s="187">
        <v>2013</v>
      </c>
      <c r="B272" t="s">
        <v>34</v>
      </c>
      <c r="C272" t="s">
        <v>330</v>
      </c>
      <c r="D272" t="s">
        <v>338</v>
      </c>
      <c r="E272" t="s">
        <v>366</v>
      </c>
      <c r="F272" t="s">
        <v>436</v>
      </c>
      <c r="G272" t="s">
        <v>36</v>
      </c>
      <c r="H272" t="s">
        <v>43</v>
      </c>
      <c r="I272" s="187"/>
      <c r="J272" s="187">
        <v>6867</v>
      </c>
      <c r="K272" s="187">
        <v>5153.2973984833097</v>
      </c>
      <c r="L272" s="187">
        <v>11894</v>
      </c>
      <c r="M272" s="187">
        <v>23914.296875</v>
      </c>
      <c r="N272" s="187">
        <v>11894</v>
      </c>
      <c r="O272" t="s">
        <v>731</v>
      </c>
    </row>
    <row r="273" spans="1:15" hidden="1" x14ac:dyDescent="0.45">
      <c r="A273" s="187">
        <v>2013</v>
      </c>
      <c r="B273" t="s">
        <v>34</v>
      </c>
      <c r="C273" t="s">
        <v>330</v>
      </c>
      <c r="D273" t="s">
        <v>338</v>
      </c>
      <c r="E273" t="s">
        <v>366</v>
      </c>
      <c r="F273" t="s">
        <v>437</v>
      </c>
      <c r="G273" t="s">
        <v>36</v>
      </c>
      <c r="H273" t="s">
        <v>43</v>
      </c>
      <c r="I273" s="187"/>
      <c r="J273" s="187">
        <v>5757</v>
      </c>
      <c r="K273" s="187">
        <v>172844.11429274321</v>
      </c>
      <c r="L273" s="187">
        <v>307438</v>
      </c>
      <c r="M273" s="187">
        <v>486039.125</v>
      </c>
      <c r="N273" s="187">
        <v>307438</v>
      </c>
      <c r="O273" t="s">
        <v>732</v>
      </c>
    </row>
    <row r="274" spans="1:15" hidden="1" x14ac:dyDescent="0.45">
      <c r="A274" s="187">
        <v>2013</v>
      </c>
      <c r="B274" t="s">
        <v>34</v>
      </c>
      <c r="C274" t="s">
        <v>330</v>
      </c>
      <c r="D274" t="s">
        <v>338</v>
      </c>
      <c r="E274" t="s">
        <v>366</v>
      </c>
      <c r="F274" t="s">
        <v>44</v>
      </c>
      <c r="G274" t="s">
        <v>36</v>
      </c>
      <c r="H274" t="s">
        <v>43</v>
      </c>
      <c r="I274" s="187"/>
      <c r="J274" s="187">
        <v>260</v>
      </c>
      <c r="K274" s="187">
        <v>3112.48788098665</v>
      </c>
      <c r="L274" s="187">
        <v>10676</v>
      </c>
      <c r="M274" s="187">
        <v>14048.48828125</v>
      </c>
      <c r="N274" s="187">
        <v>10676</v>
      </c>
      <c r="O274" t="s">
        <v>733</v>
      </c>
    </row>
    <row r="275" spans="1:15" hidden="1" x14ac:dyDescent="0.45">
      <c r="A275" s="187">
        <v>2013</v>
      </c>
      <c r="B275" t="s">
        <v>34</v>
      </c>
      <c r="C275" t="s">
        <v>330</v>
      </c>
      <c r="D275" t="s">
        <v>338</v>
      </c>
      <c r="E275" t="s">
        <v>366</v>
      </c>
      <c r="F275" t="s">
        <v>438</v>
      </c>
      <c r="G275" t="s">
        <v>36</v>
      </c>
      <c r="H275" t="s">
        <v>43</v>
      </c>
      <c r="I275" s="187"/>
      <c r="J275" s="187">
        <v>6348</v>
      </c>
      <c r="K275" s="187">
        <v>94983.38112216875</v>
      </c>
      <c r="L275" s="187">
        <v>63959</v>
      </c>
      <c r="M275" s="187">
        <v>165290.375</v>
      </c>
      <c r="N275" s="187">
        <v>63959</v>
      </c>
      <c r="O275" t="s">
        <v>734</v>
      </c>
    </row>
    <row r="276" spans="1:15" hidden="1" x14ac:dyDescent="0.45">
      <c r="A276" s="187">
        <v>2013</v>
      </c>
      <c r="B276" t="s">
        <v>34</v>
      </c>
      <c r="C276" t="s">
        <v>330</v>
      </c>
      <c r="D276" t="s">
        <v>338</v>
      </c>
      <c r="E276" t="s">
        <v>366</v>
      </c>
      <c r="F276" t="s">
        <v>439</v>
      </c>
      <c r="G276" t="s">
        <v>36</v>
      </c>
      <c r="H276" t="s">
        <v>43</v>
      </c>
      <c r="I276" s="187"/>
      <c r="J276" s="187">
        <v>358</v>
      </c>
      <c r="K276" s="187">
        <v>179.92450815146549</v>
      </c>
      <c r="L276" s="187">
        <v>0</v>
      </c>
      <c r="M276" s="187">
        <v>537.92449951171875</v>
      </c>
      <c r="N276" s="187">
        <v>0</v>
      </c>
      <c r="O276" t="s">
        <v>735</v>
      </c>
    </row>
    <row r="277" spans="1:15" hidden="1" x14ac:dyDescent="0.45">
      <c r="A277" s="187">
        <v>2013</v>
      </c>
      <c r="B277" t="s">
        <v>34</v>
      </c>
      <c r="C277" t="s">
        <v>330</v>
      </c>
      <c r="D277" t="s">
        <v>338</v>
      </c>
      <c r="E277" t="s">
        <v>366</v>
      </c>
      <c r="F277" t="s">
        <v>440</v>
      </c>
      <c r="G277" t="s">
        <v>36</v>
      </c>
      <c r="H277" t="s">
        <v>43</v>
      </c>
      <c r="I277" s="187"/>
      <c r="J277" s="187">
        <v>201</v>
      </c>
      <c r="K277" s="187">
        <v>6220.1054844913433</v>
      </c>
      <c r="L277" s="187">
        <v>5529</v>
      </c>
      <c r="M277" s="187">
        <v>11950.10546875</v>
      </c>
      <c r="N277" s="187">
        <v>5529</v>
      </c>
      <c r="O277" t="s">
        <v>736</v>
      </c>
    </row>
    <row r="278" spans="1:15" hidden="1" x14ac:dyDescent="0.45">
      <c r="A278" s="187">
        <v>2013</v>
      </c>
      <c r="B278" t="s">
        <v>34</v>
      </c>
      <c r="C278" t="s">
        <v>330</v>
      </c>
      <c r="D278" t="s">
        <v>338</v>
      </c>
      <c r="E278" t="s">
        <v>366</v>
      </c>
      <c r="F278" t="s">
        <v>441</v>
      </c>
      <c r="G278" t="s">
        <v>36</v>
      </c>
      <c r="H278" t="s">
        <v>43</v>
      </c>
      <c r="I278" s="187"/>
      <c r="J278" s="187">
        <v>22955</v>
      </c>
      <c r="K278" s="187">
        <v>339834.51871134172</v>
      </c>
      <c r="L278" s="187">
        <v>467458</v>
      </c>
      <c r="M278" s="187">
        <v>830247.5</v>
      </c>
      <c r="N278" s="187">
        <v>467458</v>
      </c>
      <c r="O278" t="s">
        <v>737</v>
      </c>
    </row>
    <row r="279" spans="1:15" hidden="1" x14ac:dyDescent="0.45">
      <c r="A279" s="187">
        <v>2013</v>
      </c>
      <c r="B279" t="s">
        <v>34</v>
      </c>
      <c r="C279" t="s">
        <v>331</v>
      </c>
      <c r="D279" t="s">
        <v>339</v>
      </c>
      <c r="E279" t="s">
        <v>7</v>
      </c>
      <c r="F279" t="s">
        <v>442</v>
      </c>
      <c r="G279" t="s">
        <v>453</v>
      </c>
      <c r="H279" t="s">
        <v>456</v>
      </c>
      <c r="I279" s="187"/>
      <c r="J279" s="187">
        <v>43.100240617170627</v>
      </c>
      <c r="K279" s="187">
        <v>20.285337520404902</v>
      </c>
      <c r="L279" s="187">
        <v>31.397180246917351</v>
      </c>
      <c r="M279" s="187">
        <v>94.782760620117188</v>
      </c>
      <c r="N279" s="187">
        <v>31.397180557250977</v>
      </c>
      <c r="O279" t="s">
        <v>738</v>
      </c>
    </row>
    <row r="280" spans="1:15" hidden="1" x14ac:dyDescent="0.45">
      <c r="A280" s="187">
        <v>2013</v>
      </c>
      <c r="B280" t="s">
        <v>34</v>
      </c>
      <c r="C280" t="s">
        <v>332</v>
      </c>
      <c r="D280" t="s">
        <v>339</v>
      </c>
      <c r="E280" t="s">
        <v>110</v>
      </c>
      <c r="F280" t="s">
        <v>443</v>
      </c>
      <c r="G280" t="s">
        <v>453</v>
      </c>
      <c r="H280" t="s">
        <v>456</v>
      </c>
      <c r="I280" s="187"/>
      <c r="J280" s="187">
        <v>171</v>
      </c>
      <c r="K280" s="187">
        <v>139</v>
      </c>
      <c r="L280" s="187">
        <v>2622</v>
      </c>
      <c r="M280" s="187">
        <v>2932</v>
      </c>
      <c r="N280" s="187">
        <v>2622</v>
      </c>
      <c r="O280" t="s">
        <v>739</v>
      </c>
    </row>
    <row r="281" spans="1:15" hidden="1" x14ac:dyDescent="0.45">
      <c r="A281" s="187">
        <v>2013</v>
      </c>
      <c r="B281" t="s">
        <v>34</v>
      </c>
      <c r="C281" t="s">
        <v>332</v>
      </c>
      <c r="D281" t="s">
        <v>339</v>
      </c>
      <c r="E281" t="s">
        <v>110</v>
      </c>
      <c r="F281" t="s">
        <v>444</v>
      </c>
      <c r="G281" t="s">
        <v>453</v>
      </c>
      <c r="H281" t="s">
        <v>456</v>
      </c>
      <c r="I281" s="187"/>
      <c r="J281" s="187">
        <v>38</v>
      </c>
      <c r="K281" s="187">
        <v>724</v>
      </c>
      <c r="L281" s="187">
        <v>245</v>
      </c>
      <c r="M281" s="187">
        <v>1007</v>
      </c>
      <c r="N281" s="187">
        <v>245</v>
      </c>
      <c r="O281" t="s">
        <v>740</v>
      </c>
    </row>
    <row r="282" spans="1:15" hidden="1" x14ac:dyDescent="0.45">
      <c r="A282" s="187">
        <v>2013</v>
      </c>
      <c r="B282" t="s">
        <v>34</v>
      </c>
      <c r="C282" t="s">
        <v>333</v>
      </c>
      <c r="D282" t="s">
        <v>339</v>
      </c>
      <c r="E282" t="s">
        <v>111</v>
      </c>
      <c r="F282" t="s">
        <v>188</v>
      </c>
      <c r="G282" t="s">
        <v>453</v>
      </c>
      <c r="H282" t="s">
        <v>460</v>
      </c>
      <c r="I282" s="187"/>
      <c r="J282" s="187">
        <v>170</v>
      </c>
      <c r="K282" s="187">
        <v>87.513989637305713</v>
      </c>
      <c r="L282" s="187">
        <v>223.2456140350877</v>
      </c>
      <c r="M282" s="187">
        <v>160.25318908691406</v>
      </c>
      <c r="N282" s="187">
        <v>74.415206909179688</v>
      </c>
      <c r="O282" t="s">
        <v>741</v>
      </c>
    </row>
    <row r="283" spans="1:15" hidden="1" x14ac:dyDescent="0.45">
      <c r="A283" s="187">
        <v>2013</v>
      </c>
      <c r="B283" t="s">
        <v>34</v>
      </c>
      <c r="C283" t="s">
        <v>333</v>
      </c>
      <c r="D283" t="s">
        <v>339</v>
      </c>
      <c r="E283" t="s">
        <v>111</v>
      </c>
      <c r="F283" t="s">
        <v>445</v>
      </c>
      <c r="G283" t="s">
        <v>453</v>
      </c>
      <c r="H283" t="s">
        <v>460</v>
      </c>
      <c r="I283" s="187"/>
      <c r="J283" s="187">
        <v>212</v>
      </c>
      <c r="K283" s="187">
        <v>84.122641509433976</v>
      </c>
      <c r="L283" s="187">
        <v>102.5641025641026</v>
      </c>
      <c r="M283" s="187">
        <v>132.89558410644531</v>
      </c>
      <c r="N283" s="187">
        <v>34.188034057617188</v>
      </c>
      <c r="O283" t="s">
        <v>742</v>
      </c>
    </row>
    <row r="284" spans="1:15" hidden="1" x14ac:dyDescent="0.45">
      <c r="A284" s="187">
        <v>2013</v>
      </c>
      <c r="B284" t="s">
        <v>34</v>
      </c>
      <c r="C284" t="s">
        <v>333</v>
      </c>
      <c r="D284" t="s">
        <v>339</v>
      </c>
      <c r="E284" t="s">
        <v>0</v>
      </c>
      <c r="F284" t="s">
        <v>188</v>
      </c>
      <c r="G284" t="s">
        <v>453</v>
      </c>
      <c r="H284" t="s">
        <v>460</v>
      </c>
      <c r="I284" s="187"/>
      <c r="J284" s="187">
        <v>3.74</v>
      </c>
      <c r="K284" s="187">
        <v>819.75344593282864</v>
      </c>
      <c r="L284" s="187">
        <v>5090</v>
      </c>
      <c r="M284" s="187">
        <v>1971.16455078125</v>
      </c>
      <c r="N284" s="187">
        <v>1696.6666259765625</v>
      </c>
      <c r="O284" t="s">
        <v>743</v>
      </c>
    </row>
    <row r="285" spans="1:15" hidden="1" x14ac:dyDescent="0.45">
      <c r="A285" s="187">
        <v>2013</v>
      </c>
      <c r="B285" t="s">
        <v>34</v>
      </c>
      <c r="C285" t="s">
        <v>333</v>
      </c>
      <c r="D285" t="s">
        <v>339</v>
      </c>
      <c r="E285" t="s">
        <v>0</v>
      </c>
      <c r="F285" t="s">
        <v>445</v>
      </c>
      <c r="G285" t="s">
        <v>453</v>
      </c>
      <c r="H285" t="s">
        <v>460</v>
      </c>
      <c r="I285" s="187"/>
      <c r="J285" s="187">
        <v>1.06</v>
      </c>
      <c r="K285" s="187">
        <v>259.66802562609212</v>
      </c>
      <c r="L285" s="187">
        <v>440</v>
      </c>
      <c r="M285" s="187">
        <v>233.57600402832031</v>
      </c>
      <c r="N285" s="187">
        <v>146.66667175292969</v>
      </c>
      <c r="O285" t="s">
        <v>744</v>
      </c>
    </row>
    <row r="286" spans="1:15" hidden="1" x14ac:dyDescent="0.45">
      <c r="A286" s="187">
        <v>2013</v>
      </c>
      <c r="B286" t="s">
        <v>34</v>
      </c>
      <c r="C286" t="s">
        <v>333</v>
      </c>
      <c r="D286" t="s">
        <v>339</v>
      </c>
      <c r="E286" t="s">
        <v>42</v>
      </c>
      <c r="F286" t="s">
        <v>188</v>
      </c>
      <c r="G286" t="s">
        <v>453</v>
      </c>
      <c r="H286" t="s">
        <v>460</v>
      </c>
      <c r="I286" s="187"/>
      <c r="J286" s="187">
        <v>2.1999999999999999E-2</v>
      </c>
      <c r="K286" s="187">
        <v>9.3671131819064257</v>
      </c>
      <c r="L286" s="187">
        <v>22.8</v>
      </c>
      <c r="M286" s="187">
        <v>10.729704856872559</v>
      </c>
      <c r="N286" s="187">
        <v>7.5999999046325684</v>
      </c>
      <c r="O286" t="s">
        <v>745</v>
      </c>
    </row>
    <row r="287" spans="1:15" hidden="1" x14ac:dyDescent="0.45">
      <c r="A287" s="187">
        <v>2013</v>
      </c>
      <c r="B287" t="s">
        <v>34</v>
      </c>
      <c r="C287" t="s">
        <v>333</v>
      </c>
      <c r="D287" t="s">
        <v>339</v>
      </c>
      <c r="E287" t="s">
        <v>42</v>
      </c>
      <c r="F287" t="s">
        <v>445</v>
      </c>
      <c r="G287" t="s">
        <v>453</v>
      </c>
      <c r="H287" t="s">
        <v>460</v>
      </c>
      <c r="I287" s="187"/>
      <c r="J287" s="187">
        <v>5.0000000000000001E-3</v>
      </c>
      <c r="K287" s="187">
        <v>3.0867792661619098</v>
      </c>
      <c r="L287" s="187">
        <v>4.29</v>
      </c>
      <c r="M287" s="187">
        <v>2.4605929851531982</v>
      </c>
      <c r="N287" s="187">
        <v>1.4299999475479126</v>
      </c>
      <c r="O287" t="s">
        <v>746</v>
      </c>
    </row>
    <row r="288" spans="1:15" hidden="1" x14ac:dyDescent="0.45">
      <c r="A288" s="187">
        <v>2013</v>
      </c>
      <c r="B288" t="s">
        <v>34</v>
      </c>
      <c r="C288" t="s">
        <v>319</v>
      </c>
      <c r="D288" t="s">
        <v>335</v>
      </c>
      <c r="E288" t="s">
        <v>10</v>
      </c>
      <c r="F288" t="s">
        <v>372</v>
      </c>
      <c r="G288" t="s">
        <v>453</v>
      </c>
      <c r="H288" t="s">
        <v>454</v>
      </c>
      <c r="I288" s="187"/>
      <c r="J288" s="187">
        <v>5.7147092755174198E-2</v>
      </c>
      <c r="K288" s="187">
        <v>5.29939055710189E-2</v>
      </c>
      <c r="L288" s="187">
        <v>8.2367493510283302E-2</v>
      </c>
      <c r="M288" s="187">
        <v>6.4169496297836304E-2</v>
      </c>
      <c r="N288" s="187">
        <v>2.7455830946564674E-2</v>
      </c>
      <c r="O288" t="s">
        <v>747</v>
      </c>
    </row>
    <row r="289" spans="1:15" hidden="1" x14ac:dyDescent="0.45">
      <c r="A289" s="187">
        <v>2013</v>
      </c>
      <c r="B289" t="s">
        <v>34</v>
      </c>
      <c r="C289" t="s">
        <v>319</v>
      </c>
      <c r="D289" t="s">
        <v>335</v>
      </c>
      <c r="E289" t="s">
        <v>10</v>
      </c>
      <c r="F289" t="s">
        <v>373</v>
      </c>
      <c r="G289" t="s">
        <v>453</v>
      </c>
      <c r="H289" t="s">
        <v>454</v>
      </c>
      <c r="I289" s="187"/>
      <c r="J289" s="187">
        <v>6.4144852755174203E-2</v>
      </c>
      <c r="K289" s="187">
        <v>6.0102545571018899E-2</v>
      </c>
      <c r="L289" s="187">
        <v>8.9365253510283293E-2</v>
      </c>
      <c r="M289" s="187">
        <v>7.1204215288162231E-2</v>
      </c>
      <c r="N289" s="187">
        <v>2.9788417741656303E-2</v>
      </c>
      <c r="O289" t="s">
        <v>748</v>
      </c>
    </row>
    <row r="290" spans="1:15" hidden="1" x14ac:dyDescent="0.45">
      <c r="A290" s="187">
        <v>2013</v>
      </c>
      <c r="B290" t="s">
        <v>34</v>
      </c>
      <c r="C290" t="s">
        <v>321</v>
      </c>
      <c r="D290" t="s">
        <v>335</v>
      </c>
      <c r="E290" t="s">
        <v>341</v>
      </c>
      <c r="F290" t="s">
        <v>375</v>
      </c>
      <c r="G290" t="s">
        <v>36</v>
      </c>
      <c r="H290" t="s">
        <v>43</v>
      </c>
      <c r="I290" s="187"/>
      <c r="J290" s="187">
        <v>1890.884765625</v>
      </c>
      <c r="K290" s="187">
        <v>16674.900390625</v>
      </c>
      <c r="L290" s="187">
        <v>20584.140625</v>
      </c>
      <c r="M290" s="187">
        <v>39149.92578125</v>
      </c>
      <c r="N290" s="187">
        <v>20584.140625</v>
      </c>
      <c r="O290" t="s">
        <v>749</v>
      </c>
    </row>
    <row r="291" spans="1:15" hidden="1" x14ac:dyDescent="0.45">
      <c r="A291" s="187">
        <v>2013</v>
      </c>
      <c r="B291" t="s">
        <v>34</v>
      </c>
      <c r="C291" t="s">
        <v>321</v>
      </c>
      <c r="D291" t="s">
        <v>335</v>
      </c>
      <c r="E291" t="s">
        <v>341</v>
      </c>
      <c r="F291" t="s">
        <v>375</v>
      </c>
      <c r="G291" t="s">
        <v>37</v>
      </c>
      <c r="H291" t="s">
        <v>43</v>
      </c>
      <c r="I291" s="187"/>
      <c r="J291" s="187">
        <v>1622</v>
      </c>
      <c r="K291" s="187">
        <v>14303.720703125</v>
      </c>
      <c r="L291" s="187">
        <v>17657.064453125</v>
      </c>
      <c r="M291" s="187">
        <v>33582.78515625</v>
      </c>
      <c r="N291" s="187">
        <v>17657.064453125</v>
      </c>
      <c r="O291" t="s">
        <v>750</v>
      </c>
    </row>
    <row r="292" spans="1:15" hidden="1" x14ac:dyDescent="0.45">
      <c r="A292" s="187">
        <v>2013</v>
      </c>
      <c r="B292" t="s">
        <v>34</v>
      </c>
      <c r="C292" t="s">
        <v>321</v>
      </c>
      <c r="D292" t="s">
        <v>335</v>
      </c>
      <c r="E292" t="s">
        <v>341</v>
      </c>
      <c r="F292" t="s">
        <v>377</v>
      </c>
      <c r="G292" t="s">
        <v>36</v>
      </c>
      <c r="H292" t="s">
        <v>43</v>
      </c>
      <c r="I292" s="187"/>
      <c r="J292" s="187">
        <v>92.096115112304688</v>
      </c>
      <c r="K292" s="187">
        <v>2003.132568359375</v>
      </c>
      <c r="L292" s="187">
        <v>2237.11962890625</v>
      </c>
      <c r="M292" s="187">
        <v>4332.3486328125</v>
      </c>
      <c r="N292" s="187">
        <v>2237.11962890625</v>
      </c>
      <c r="O292" t="s">
        <v>751</v>
      </c>
    </row>
    <row r="293" spans="1:15" hidden="1" x14ac:dyDescent="0.45">
      <c r="A293" s="187">
        <v>2013</v>
      </c>
      <c r="B293" t="s">
        <v>34</v>
      </c>
      <c r="C293" t="s">
        <v>321</v>
      </c>
      <c r="D293" t="s">
        <v>335</v>
      </c>
      <c r="E293" t="s">
        <v>341</v>
      </c>
      <c r="F293" t="s">
        <v>377</v>
      </c>
      <c r="G293" t="s">
        <v>37</v>
      </c>
      <c r="H293" t="s">
        <v>43</v>
      </c>
      <c r="I293" s="187"/>
      <c r="J293" s="187">
        <v>79</v>
      </c>
      <c r="K293" s="187">
        <v>1718.2860107421875</v>
      </c>
      <c r="L293" s="187">
        <v>1919</v>
      </c>
      <c r="M293" s="187">
        <v>3716.2861328125</v>
      </c>
      <c r="N293" s="187">
        <v>1919</v>
      </c>
      <c r="O293" t="s">
        <v>752</v>
      </c>
    </row>
    <row r="294" spans="1:15" hidden="1" x14ac:dyDescent="0.45">
      <c r="A294" s="187">
        <v>2013</v>
      </c>
      <c r="B294" t="s">
        <v>34</v>
      </c>
      <c r="C294" t="s">
        <v>321</v>
      </c>
      <c r="D294" t="s">
        <v>335</v>
      </c>
      <c r="E294" t="s">
        <v>342</v>
      </c>
      <c r="F294" t="s">
        <v>342</v>
      </c>
      <c r="G294" t="s">
        <v>36</v>
      </c>
      <c r="H294" t="s">
        <v>43</v>
      </c>
      <c r="I294" s="187"/>
      <c r="J294" s="187">
        <v>3258.33740234375</v>
      </c>
      <c r="K294" s="187">
        <v>33887.88671875</v>
      </c>
      <c r="L294" s="187">
        <v>77833.96875</v>
      </c>
      <c r="M294" s="187">
        <v>114980.1875</v>
      </c>
      <c r="N294" s="187">
        <v>77833.96875</v>
      </c>
      <c r="O294" t="s">
        <v>753</v>
      </c>
    </row>
    <row r="295" spans="1:15" hidden="1" x14ac:dyDescent="0.45">
      <c r="A295" s="187">
        <v>2013</v>
      </c>
      <c r="B295" t="s">
        <v>34</v>
      </c>
      <c r="C295" t="s">
        <v>321</v>
      </c>
      <c r="D295" t="s">
        <v>335</v>
      </c>
      <c r="E295" t="s">
        <v>342</v>
      </c>
      <c r="F295" t="s">
        <v>342</v>
      </c>
      <c r="G295" t="s">
        <v>37</v>
      </c>
      <c r="H295" t="s">
        <v>43</v>
      </c>
      <c r="I295" s="187"/>
      <c r="J295" s="187">
        <v>2795</v>
      </c>
      <c r="K295" s="187">
        <v>29069.01171875</v>
      </c>
      <c r="L295" s="187">
        <v>66765.9375</v>
      </c>
      <c r="M295" s="187">
        <v>98629.953125</v>
      </c>
      <c r="N295" s="187">
        <v>66765.9375</v>
      </c>
      <c r="O295" t="s">
        <v>754</v>
      </c>
    </row>
    <row r="296" spans="1:15" hidden="1" x14ac:dyDescent="0.45">
      <c r="A296" s="187">
        <v>2013</v>
      </c>
      <c r="B296" t="s">
        <v>34</v>
      </c>
      <c r="C296" t="s">
        <v>321</v>
      </c>
      <c r="D296" t="s">
        <v>335</v>
      </c>
      <c r="E296" t="s">
        <v>343</v>
      </c>
      <c r="F296" t="s">
        <v>343</v>
      </c>
      <c r="G296" t="s">
        <v>36</v>
      </c>
      <c r="H296" t="s">
        <v>43</v>
      </c>
      <c r="I296" s="187"/>
      <c r="J296" s="187">
        <v>1750.33251953125</v>
      </c>
      <c r="K296" s="187">
        <v>23959.419921875</v>
      </c>
      <c r="L296" s="187">
        <v>49547.43359375</v>
      </c>
      <c r="M296" s="187">
        <v>75257.1875</v>
      </c>
      <c r="N296" s="187">
        <v>49547.43359375</v>
      </c>
      <c r="O296" t="s">
        <v>755</v>
      </c>
    </row>
    <row r="297" spans="1:15" hidden="1" x14ac:dyDescent="0.45">
      <c r="A297" s="187">
        <v>2013</v>
      </c>
      <c r="B297" t="s">
        <v>34</v>
      </c>
      <c r="C297" t="s">
        <v>321</v>
      </c>
      <c r="D297" t="s">
        <v>335</v>
      </c>
      <c r="E297" t="s">
        <v>343</v>
      </c>
      <c r="F297" t="s">
        <v>343</v>
      </c>
      <c r="G297" t="s">
        <v>37</v>
      </c>
      <c r="H297" t="s">
        <v>43</v>
      </c>
      <c r="I297" s="187"/>
      <c r="J297" s="187">
        <v>1501.434326171875</v>
      </c>
      <c r="K297" s="187">
        <v>20552.376953125</v>
      </c>
      <c r="L297" s="187">
        <v>42501.76171875</v>
      </c>
      <c r="M297" s="187">
        <v>64555.5703125</v>
      </c>
      <c r="N297" s="187">
        <v>42501.76171875</v>
      </c>
      <c r="O297" t="s">
        <v>756</v>
      </c>
    </row>
    <row r="298" spans="1:15" hidden="1" x14ac:dyDescent="0.45">
      <c r="A298" s="187">
        <v>2013</v>
      </c>
      <c r="B298" t="s">
        <v>34</v>
      </c>
      <c r="C298" t="s">
        <v>321</v>
      </c>
      <c r="D298" t="s">
        <v>335</v>
      </c>
      <c r="E298" t="s">
        <v>344</v>
      </c>
      <c r="F298" t="s">
        <v>344</v>
      </c>
      <c r="G298" t="s">
        <v>36</v>
      </c>
      <c r="H298" t="s">
        <v>43</v>
      </c>
      <c r="I298" s="187"/>
      <c r="J298" s="187">
        <v>2401.964599609375</v>
      </c>
      <c r="K298" s="187">
        <v>28685.650390625</v>
      </c>
      <c r="L298" s="187">
        <v>64595.625</v>
      </c>
      <c r="M298" s="187">
        <v>95683.2421875</v>
      </c>
      <c r="N298" s="187">
        <v>64595.625</v>
      </c>
      <c r="O298" t="s">
        <v>757</v>
      </c>
    </row>
    <row r="299" spans="1:15" hidden="1" x14ac:dyDescent="0.45">
      <c r="A299" s="187">
        <v>2013</v>
      </c>
      <c r="B299" t="s">
        <v>34</v>
      </c>
      <c r="C299" t="s">
        <v>321</v>
      </c>
      <c r="D299" t="s">
        <v>335</v>
      </c>
      <c r="E299" t="s">
        <v>344</v>
      </c>
      <c r="F299" t="s">
        <v>344</v>
      </c>
      <c r="G299" t="s">
        <v>37</v>
      </c>
      <c r="H299" t="s">
        <v>43</v>
      </c>
      <c r="I299" s="187"/>
      <c r="J299" s="187">
        <v>2060.404052734375</v>
      </c>
      <c r="K299" s="187">
        <v>24606.53515625</v>
      </c>
      <c r="L299" s="187">
        <v>55410.09375</v>
      </c>
      <c r="M299" s="187">
        <v>82077.03125</v>
      </c>
      <c r="N299" s="187">
        <v>55410.09375</v>
      </c>
      <c r="O299" t="s">
        <v>758</v>
      </c>
    </row>
    <row r="300" spans="1:15" hidden="1" x14ac:dyDescent="0.45">
      <c r="A300" s="187">
        <v>2013</v>
      </c>
      <c r="B300" t="s">
        <v>34</v>
      </c>
      <c r="C300" t="s">
        <v>321</v>
      </c>
      <c r="D300" t="s">
        <v>335</v>
      </c>
      <c r="E300" t="s">
        <v>345</v>
      </c>
      <c r="F300" t="s">
        <v>378</v>
      </c>
      <c r="G300" t="s">
        <v>36</v>
      </c>
      <c r="H300" t="s">
        <v>43</v>
      </c>
      <c r="I300" s="187"/>
      <c r="J300" s="187">
        <v>651.63232421875</v>
      </c>
      <c r="K300" s="187">
        <v>4726.23095703125</v>
      </c>
      <c r="L300" s="187">
        <v>15048.1923828125</v>
      </c>
      <c r="M300" s="187">
        <v>20426.0546875</v>
      </c>
      <c r="N300" s="187">
        <v>15048.1923828125</v>
      </c>
      <c r="O300" t="s">
        <v>759</v>
      </c>
    </row>
    <row r="301" spans="1:15" hidden="1" x14ac:dyDescent="0.45">
      <c r="A301" s="187">
        <v>2013</v>
      </c>
      <c r="B301" t="s">
        <v>34</v>
      </c>
      <c r="C301" t="s">
        <v>321</v>
      </c>
      <c r="D301" t="s">
        <v>335</v>
      </c>
      <c r="E301" t="s">
        <v>345</v>
      </c>
      <c r="F301" t="s">
        <v>378</v>
      </c>
      <c r="G301" t="s">
        <v>37</v>
      </c>
      <c r="H301" t="s">
        <v>43</v>
      </c>
      <c r="I301" s="187"/>
      <c r="J301" s="187">
        <v>558.9698486328125</v>
      </c>
      <c r="K301" s="187">
        <v>4054.158447265625</v>
      </c>
      <c r="L301" s="187">
        <v>12908.3310546875</v>
      </c>
      <c r="M301" s="187">
        <v>17521.458984375</v>
      </c>
      <c r="N301" s="187">
        <v>12908.3310546875</v>
      </c>
      <c r="O301" t="s">
        <v>760</v>
      </c>
    </row>
    <row r="302" spans="1:15" hidden="1" x14ac:dyDescent="0.45">
      <c r="A302" s="187">
        <v>2013</v>
      </c>
      <c r="B302" t="s">
        <v>34</v>
      </c>
      <c r="C302" t="s">
        <v>321</v>
      </c>
      <c r="D302" t="s">
        <v>335</v>
      </c>
      <c r="E302" t="s">
        <v>346</v>
      </c>
      <c r="F302" t="s">
        <v>379</v>
      </c>
      <c r="G302" t="s">
        <v>36</v>
      </c>
      <c r="H302" t="s">
        <v>43</v>
      </c>
      <c r="I302" s="187"/>
      <c r="J302" s="187">
        <v>0</v>
      </c>
      <c r="K302" s="187">
        <v>0</v>
      </c>
      <c r="L302" s="187">
        <v>106.98839569091797</v>
      </c>
      <c r="M302" s="187">
        <v>106.98839569091797</v>
      </c>
      <c r="N302" s="187">
        <v>106.98839569091797</v>
      </c>
      <c r="O302" t="s">
        <v>761</v>
      </c>
    </row>
    <row r="303" spans="1:15" hidden="1" x14ac:dyDescent="0.45">
      <c r="A303" s="187">
        <v>2013</v>
      </c>
      <c r="B303" t="s">
        <v>34</v>
      </c>
      <c r="C303" t="s">
        <v>321</v>
      </c>
      <c r="D303" t="s">
        <v>335</v>
      </c>
      <c r="E303" t="s">
        <v>346</v>
      </c>
      <c r="F303" t="s">
        <v>379</v>
      </c>
      <c r="G303" t="s">
        <v>37</v>
      </c>
      <c r="H303" t="s">
        <v>43</v>
      </c>
      <c r="I303" s="187"/>
      <c r="J303" s="187">
        <v>0</v>
      </c>
      <c r="K303" s="187">
        <v>0</v>
      </c>
      <c r="L303" s="187">
        <v>91.774589538574219</v>
      </c>
      <c r="M303" s="187">
        <v>91.774589538574219</v>
      </c>
      <c r="N303" s="187">
        <v>91.774589538574219</v>
      </c>
      <c r="O303" t="s">
        <v>762</v>
      </c>
    </row>
    <row r="304" spans="1:15" hidden="1" x14ac:dyDescent="0.45">
      <c r="A304" s="187">
        <v>2013</v>
      </c>
      <c r="B304" t="s">
        <v>34</v>
      </c>
      <c r="C304" t="s">
        <v>321</v>
      </c>
      <c r="D304" t="s">
        <v>335</v>
      </c>
      <c r="E304" t="s">
        <v>347</v>
      </c>
      <c r="F304" t="s">
        <v>380</v>
      </c>
      <c r="G304" t="s">
        <v>36</v>
      </c>
      <c r="H304" t="s">
        <v>43</v>
      </c>
      <c r="I304" s="187"/>
      <c r="J304" s="187">
        <v>0</v>
      </c>
      <c r="K304" s="187">
        <v>-157.35751342773438</v>
      </c>
      <c r="L304" s="187">
        <v>-193.51841735839844</v>
      </c>
      <c r="M304" s="187">
        <v>-350.87591552734375</v>
      </c>
      <c r="N304" s="187">
        <v>-193.51841735839844</v>
      </c>
      <c r="O304" t="s">
        <v>763</v>
      </c>
    </row>
    <row r="305" spans="1:15" hidden="1" x14ac:dyDescent="0.45">
      <c r="A305" s="187">
        <v>2013</v>
      </c>
      <c r="B305" t="s">
        <v>34</v>
      </c>
      <c r="C305" t="s">
        <v>321</v>
      </c>
      <c r="D305" t="s">
        <v>335</v>
      </c>
      <c r="E305" t="s">
        <v>347</v>
      </c>
      <c r="F305" t="s">
        <v>380</v>
      </c>
      <c r="G305" t="s">
        <v>37</v>
      </c>
      <c r="H305" t="s">
        <v>43</v>
      </c>
      <c r="I305" s="187"/>
      <c r="J305" s="187">
        <v>0</v>
      </c>
      <c r="K305" s="187">
        <v>-134.98118591308594</v>
      </c>
      <c r="L305" s="187">
        <v>-166</v>
      </c>
      <c r="M305" s="187">
        <v>-300.981201171875</v>
      </c>
      <c r="N305" s="187">
        <v>-166</v>
      </c>
      <c r="O305" t="s">
        <v>764</v>
      </c>
    </row>
    <row r="306" spans="1:15" hidden="1" x14ac:dyDescent="0.45">
      <c r="A306" s="187">
        <v>2013</v>
      </c>
      <c r="B306" t="s">
        <v>34</v>
      </c>
      <c r="C306" t="s">
        <v>321</v>
      </c>
      <c r="D306" t="s">
        <v>335</v>
      </c>
      <c r="E306" t="s">
        <v>347</v>
      </c>
      <c r="F306" t="s">
        <v>11</v>
      </c>
      <c r="G306" t="s">
        <v>36</v>
      </c>
      <c r="H306" t="s">
        <v>43</v>
      </c>
      <c r="I306" s="187"/>
      <c r="J306" s="187">
        <v>5218.0029296875</v>
      </c>
      <c r="K306" s="187">
        <v>52356.1875</v>
      </c>
      <c r="L306" s="187">
        <v>100848.7421875</v>
      </c>
      <c r="M306" s="187">
        <v>158422.9375</v>
      </c>
      <c r="N306" s="187">
        <v>100848.7421875</v>
      </c>
      <c r="O306" t="s">
        <v>765</v>
      </c>
    </row>
    <row r="307" spans="1:15" hidden="1" x14ac:dyDescent="0.45">
      <c r="A307" s="187">
        <v>2013</v>
      </c>
      <c r="B307" t="s">
        <v>34</v>
      </c>
      <c r="C307" t="s">
        <v>321</v>
      </c>
      <c r="D307" t="s">
        <v>335</v>
      </c>
      <c r="E307" t="s">
        <v>347</v>
      </c>
      <c r="F307" t="s">
        <v>11</v>
      </c>
      <c r="G307" t="s">
        <v>37</v>
      </c>
      <c r="H307" t="s">
        <v>43</v>
      </c>
      <c r="I307" s="187"/>
      <c r="J307" s="187">
        <v>4476</v>
      </c>
      <c r="K307" s="187">
        <v>44911.109375</v>
      </c>
      <c r="L307" s="187">
        <v>86508</v>
      </c>
      <c r="M307" s="187">
        <v>135895.109375</v>
      </c>
      <c r="N307" s="187">
        <v>86508</v>
      </c>
      <c r="O307" t="s">
        <v>766</v>
      </c>
    </row>
    <row r="308" spans="1:15" hidden="1" x14ac:dyDescent="0.45">
      <c r="A308" s="187">
        <v>2013</v>
      </c>
      <c r="B308" t="s">
        <v>34</v>
      </c>
      <c r="C308" t="s">
        <v>321</v>
      </c>
      <c r="D308" t="s">
        <v>335</v>
      </c>
      <c r="E308" t="s">
        <v>347</v>
      </c>
      <c r="F308" t="s">
        <v>381</v>
      </c>
      <c r="G308" t="s">
        <v>36</v>
      </c>
      <c r="H308" t="s">
        <v>43</v>
      </c>
      <c r="I308" s="187"/>
      <c r="J308" s="187">
        <v>23.315471649169922</v>
      </c>
      <c r="K308" s="187">
        <v>367.08938598632813</v>
      </c>
      <c r="L308" s="187">
        <v>0</v>
      </c>
      <c r="M308" s="187">
        <v>390.40484619140625</v>
      </c>
      <c r="N308" s="187">
        <v>0</v>
      </c>
      <c r="O308" t="s">
        <v>767</v>
      </c>
    </row>
    <row r="309" spans="1:15" hidden="1" x14ac:dyDescent="0.45">
      <c r="A309" s="187">
        <v>2013</v>
      </c>
      <c r="B309" t="s">
        <v>34</v>
      </c>
      <c r="C309" t="s">
        <v>321</v>
      </c>
      <c r="D309" t="s">
        <v>335</v>
      </c>
      <c r="E309" t="s">
        <v>347</v>
      </c>
      <c r="F309" t="s">
        <v>381</v>
      </c>
      <c r="G309" t="s">
        <v>37</v>
      </c>
      <c r="H309" t="s">
        <v>43</v>
      </c>
      <c r="I309" s="187"/>
      <c r="J309" s="187">
        <v>20</v>
      </c>
      <c r="K309" s="187">
        <v>314.88906860351563</v>
      </c>
      <c r="L309" s="187">
        <v>0</v>
      </c>
      <c r="M309" s="187">
        <v>334.88906860351563</v>
      </c>
      <c r="N309" s="187">
        <v>0</v>
      </c>
      <c r="O309" t="s">
        <v>768</v>
      </c>
    </row>
    <row r="310" spans="1:15" hidden="1" x14ac:dyDescent="0.45">
      <c r="A310" s="187">
        <v>2013</v>
      </c>
      <c r="B310" t="s">
        <v>34</v>
      </c>
      <c r="C310" t="s">
        <v>321</v>
      </c>
      <c r="D310" t="s">
        <v>335</v>
      </c>
      <c r="E310" t="s">
        <v>347</v>
      </c>
      <c r="F310" t="s">
        <v>347</v>
      </c>
      <c r="G310" t="s">
        <v>36</v>
      </c>
      <c r="H310" t="s">
        <v>43</v>
      </c>
      <c r="I310" s="187"/>
      <c r="J310" s="187">
        <v>5241.318359375</v>
      </c>
      <c r="K310" s="187">
        <v>52565.921875</v>
      </c>
      <c r="L310" s="187">
        <v>100655.2265625</v>
      </c>
      <c r="M310" s="187">
        <v>158462.46875</v>
      </c>
      <c r="N310" s="187">
        <v>100655.2265625</v>
      </c>
      <c r="O310" t="s">
        <v>769</v>
      </c>
    </row>
    <row r="311" spans="1:15" hidden="1" x14ac:dyDescent="0.45">
      <c r="A311" s="187">
        <v>2013</v>
      </c>
      <c r="B311" t="s">
        <v>34</v>
      </c>
      <c r="C311" t="s">
        <v>321</v>
      </c>
      <c r="D311" t="s">
        <v>335</v>
      </c>
      <c r="E311" t="s">
        <v>347</v>
      </c>
      <c r="F311" t="s">
        <v>347</v>
      </c>
      <c r="G311" t="s">
        <v>37</v>
      </c>
      <c r="H311" t="s">
        <v>43</v>
      </c>
      <c r="I311" s="187"/>
      <c r="J311" s="187">
        <v>4496</v>
      </c>
      <c r="K311" s="187">
        <v>45091.01953125</v>
      </c>
      <c r="L311" s="187">
        <v>86342</v>
      </c>
      <c r="M311" s="187">
        <v>135929.015625</v>
      </c>
      <c r="N311" s="187">
        <v>86342</v>
      </c>
      <c r="O311" t="s">
        <v>770</v>
      </c>
    </row>
    <row r="312" spans="1:15" hidden="1" x14ac:dyDescent="0.45">
      <c r="A312" s="187">
        <v>2014</v>
      </c>
      <c r="B312" t="s">
        <v>309</v>
      </c>
      <c r="C312" t="s">
        <v>322</v>
      </c>
      <c r="D312" t="s">
        <v>35</v>
      </c>
      <c r="E312" t="s">
        <v>348</v>
      </c>
      <c r="F312" t="s">
        <v>382</v>
      </c>
      <c r="G312" t="s">
        <v>36</v>
      </c>
      <c r="H312" t="s">
        <v>43</v>
      </c>
      <c r="I312" s="187"/>
      <c r="J312" s="187">
        <v>903.43522352045704</v>
      </c>
      <c r="K312" s="187">
        <v>17778.139087068008</v>
      </c>
      <c r="L312" s="187">
        <v>42698.574134508643</v>
      </c>
      <c r="M312" s="187">
        <v>61380.1484375</v>
      </c>
      <c r="N312" s="187">
        <v>42698.57421875</v>
      </c>
      <c r="O312" t="s">
        <v>772</v>
      </c>
    </row>
    <row r="313" spans="1:15" hidden="1" x14ac:dyDescent="0.45">
      <c r="A313" s="187">
        <v>2014</v>
      </c>
      <c r="B313" t="s">
        <v>310</v>
      </c>
      <c r="C313" t="s">
        <v>322</v>
      </c>
      <c r="D313" t="s">
        <v>35</v>
      </c>
      <c r="E313" t="s">
        <v>348</v>
      </c>
      <c r="F313" t="s">
        <v>382</v>
      </c>
      <c r="G313" t="s">
        <v>36</v>
      </c>
      <c r="H313" t="s">
        <v>43</v>
      </c>
      <c r="I313" s="187"/>
      <c r="J313" s="187">
        <v>891.86560198345103</v>
      </c>
      <c r="K313" s="187">
        <v>16716.502403969262</v>
      </c>
      <c r="L313" s="187">
        <v>42129.534066713873</v>
      </c>
      <c r="M313" s="187">
        <v>59737.90234375</v>
      </c>
      <c r="N313" s="187">
        <v>42129.53515625</v>
      </c>
      <c r="O313" t="s">
        <v>771</v>
      </c>
    </row>
    <row r="314" spans="1:15" hidden="1" x14ac:dyDescent="0.45">
      <c r="A314" s="187">
        <v>2014</v>
      </c>
      <c r="B314" t="s">
        <v>310</v>
      </c>
      <c r="C314" t="s">
        <v>322</v>
      </c>
      <c r="D314" t="s">
        <v>35</v>
      </c>
      <c r="E314" t="s">
        <v>348</v>
      </c>
      <c r="F314" t="s">
        <v>382</v>
      </c>
      <c r="G314" t="s">
        <v>37</v>
      </c>
      <c r="H314" t="s">
        <v>43</v>
      </c>
      <c r="I314" s="187"/>
      <c r="J314" s="187">
        <v>682</v>
      </c>
      <c r="K314" s="187">
        <v>12782.92896839246</v>
      </c>
      <c r="L314" s="187">
        <v>32216</v>
      </c>
      <c r="M314" s="187">
        <v>45680.9296875</v>
      </c>
      <c r="N314" s="187">
        <v>32216</v>
      </c>
      <c r="O314" t="s">
        <v>774</v>
      </c>
    </row>
    <row r="315" spans="1:15" hidden="1" x14ac:dyDescent="0.45">
      <c r="A315" s="187">
        <v>2014</v>
      </c>
      <c r="B315" t="s">
        <v>309</v>
      </c>
      <c r="C315" t="s">
        <v>322</v>
      </c>
      <c r="D315" t="s">
        <v>35</v>
      </c>
      <c r="E315" t="s">
        <v>348</v>
      </c>
      <c r="F315" t="s">
        <v>382</v>
      </c>
      <c r="G315" t="s">
        <v>37</v>
      </c>
      <c r="H315" t="s">
        <v>43</v>
      </c>
      <c r="I315" s="187"/>
      <c r="J315" s="187">
        <v>696.32199999999989</v>
      </c>
      <c r="K315" s="187">
        <v>13748.54257723808</v>
      </c>
      <c r="L315" s="187">
        <v>33320</v>
      </c>
      <c r="M315" s="187">
        <v>47764.86328125</v>
      </c>
      <c r="N315" s="187">
        <v>33320</v>
      </c>
      <c r="O315" t="s">
        <v>773</v>
      </c>
    </row>
    <row r="316" spans="1:15" hidden="1" x14ac:dyDescent="0.45">
      <c r="A316" s="187">
        <v>2014</v>
      </c>
      <c r="B316" t="s">
        <v>310</v>
      </c>
      <c r="C316" t="s">
        <v>322</v>
      </c>
      <c r="D316" t="s">
        <v>35</v>
      </c>
      <c r="E316" t="s">
        <v>19</v>
      </c>
      <c r="F316" t="s">
        <v>19</v>
      </c>
      <c r="G316" t="s">
        <v>36</v>
      </c>
      <c r="H316" t="s">
        <v>43</v>
      </c>
      <c r="I316" s="187"/>
      <c r="J316" s="187">
        <v>0</v>
      </c>
      <c r="K316" s="187">
        <v>99.31931730841049</v>
      </c>
      <c r="L316" s="187">
        <v>2841.6773506012305</v>
      </c>
      <c r="M316" s="187">
        <v>2940.99658203125</v>
      </c>
      <c r="N316" s="187">
        <v>2841.67724609375</v>
      </c>
      <c r="O316" t="s">
        <v>775</v>
      </c>
    </row>
    <row r="317" spans="1:15" hidden="1" x14ac:dyDescent="0.45">
      <c r="A317" s="187">
        <v>2014</v>
      </c>
      <c r="B317" t="s">
        <v>309</v>
      </c>
      <c r="C317" t="s">
        <v>322</v>
      </c>
      <c r="D317" t="s">
        <v>35</v>
      </c>
      <c r="E317" t="s">
        <v>19</v>
      </c>
      <c r="F317" t="s">
        <v>19</v>
      </c>
      <c r="G317" t="s">
        <v>36</v>
      </c>
      <c r="H317" t="s">
        <v>43</v>
      </c>
      <c r="I317" s="187"/>
      <c r="J317" s="187">
        <v>0</v>
      </c>
      <c r="K317" s="187">
        <v>149.62317961383522</v>
      </c>
      <c r="L317" s="187">
        <v>5134.4793641719816</v>
      </c>
      <c r="M317" s="187">
        <v>5284.1025390625</v>
      </c>
      <c r="N317" s="187">
        <v>5134.4794921875</v>
      </c>
      <c r="O317" t="s">
        <v>776</v>
      </c>
    </row>
    <row r="318" spans="1:15" hidden="1" x14ac:dyDescent="0.45">
      <c r="A318" s="187">
        <v>2014</v>
      </c>
      <c r="B318" t="s">
        <v>309</v>
      </c>
      <c r="C318" t="s">
        <v>322</v>
      </c>
      <c r="D318" t="s">
        <v>35</v>
      </c>
      <c r="E318" t="s">
        <v>19</v>
      </c>
      <c r="F318" t="s">
        <v>19</v>
      </c>
      <c r="G318" t="s">
        <v>37</v>
      </c>
      <c r="H318" t="s">
        <v>43</v>
      </c>
      <c r="I318" s="187"/>
      <c r="J318" s="187">
        <v>0</v>
      </c>
      <c r="K318" s="187">
        <v>115.7095602294455</v>
      </c>
      <c r="L318" s="187">
        <v>4006</v>
      </c>
      <c r="M318" s="187">
        <v>4121.70947265625</v>
      </c>
      <c r="N318" s="187">
        <v>4006</v>
      </c>
      <c r="O318" t="s">
        <v>777</v>
      </c>
    </row>
    <row r="319" spans="1:15" hidden="1" x14ac:dyDescent="0.45">
      <c r="A319" s="187">
        <v>2014</v>
      </c>
      <c r="B319" t="s">
        <v>310</v>
      </c>
      <c r="C319" t="s">
        <v>322</v>
      </c>
      <c r="D319" t="s">
        <v>35</v>
      </c>
      <c r="E319" t="s">
        <v>19</v>
      </c>
      <c r="F319" t="s">
        <v>19</v>
      </c>
      <c r="G319" t="s">
        <v>37</v>
      </c>
      <c r="H319" t="s">
        <v>43</v>
      </c>
      <c r="I319" s="187"/>
      <c r="J319" s="187">
        <v>0</v>
      </c>
      <c r="K319" s="187">
        <v>75.948409999999996</v>
      </c>
      <c r="L319" s="187">
        <v>2173</v>
      </c>
      <c r="M319" s="187">
        <v>2248.948486328125</v>
      </c>
      <c r="N319" s="187">
        <v>2173</v>
      </c>
      <c r="O319" t="s">
        <v>778</v>
      </c>
    </row>
    <row r="320" spans="1:15" hidden="1" x14ac:dyDescent="0.45">
      <c r="A320" s="187">
        <v>2014</v>
      </c>
      <c r="B320" t="s">
        <v>309</v>
      </c>
      <c r="C320" t="s">
        <v>322</v>
      </c>
      <c r="D320" t="s">
        <v>35</v>
      </c>
      <c r="E320" t="s">
        <v>349</v>
      </c>
      <c r="F320" t="s">
        <v>349</v>
      </c>
      <c r="G320" t="s">
        <v>36</v>
      </c>
      <c r="H320" t="s">
        <v>43</v>
      </c>
      <c r="I320" s="187"/>
      <c r="J320" s="187">
        <v>521.92592091944289</v>
      </c>
      <c r="K320" s="187">
        <v>2244.3476942075285</v>
      </c>
      <c r="L320" s="187">
        <v>16476.433006081297</v>
      </c>
      <c r="M320" s="187">
        <v>19242.70703125</v>
      </c>
      <c r="N320" s="187">
        <v>16476.43359375</v>
      </c>
      <c r="O320" t="s">
        <v>779</v>
      </c>
    </row>
    <row r="321" spans="1:15" hidden="1" x14ac:dyDescent="0.45">
      <c r="A321" s="187">
        <v>2014</v>
      </c>
      <c r="B321" t="s">
        <v>310</v>
      </c>
      <c r="C321" t="s">
        <v>322</v>
      </c>
      <c r="D321" t="s">
        <v>35</v>
      </c>
      <c r="E321" t="s">
        <v>349</v>
      </c>
      <c r="F321" t="s">
        <v>349</v>
      </c>
      <c r="G321" t="s">
        <v>36</v>
      </c>
      <c r="H321" t="s">
        <v>43</v>
      </c>
      <c r="I321" s="187"/>
      <c r="J321" s="187">
        <v>515.2420046649263</v>
      </c>
      <c r="K321" s="187">
        <v>2026.4862190527911</v>
      </c>
      <c r="L321" s="187">
        <v>14976.018876707451</v>
      </c>
      <c r="M321" s="187">
        <v>17517.748046875</v>
      </c>
      <c r="N321" s="187">
        <v>14976.0185546875</v>
      </c>
      <c r="O321" t="s">
        <v>780</v>
      </c>
    </row>
    <row r="322" spans="1:15" hidden="1" x14ac:dyDescent="0.45">
      <c r="A322" s="187">
        <v>2014</v>
      </c>
      <c r="B322" t="s">
        <v>309</v>
      </c>
      <c r="C322" t="s">
        <v>322</v>
      </c>
      <c r="D322" t="s">
        <v>35</v>
      </c>
      <c r="E322" t="s">
        <v>349</v>
      </c>
      <c r="F322" t="s">
        <v>349</v>
      </c>
      <c r="G322" t="s">
        <v>37</v>
      </c>
      <c r="H322" t="s">
        <v>43</v>
      </c>
      <c r="I322" s="187"/>
      <c r="J322" s="187">
        <v>402.27399999999989</v>
      </c>
      <c r="K322" s="187">
        <v>1735.643403441682</v>
      </c>
      <c r="L322" s="187">
        <v>12858</v>
      </c>
      <c r="M322" s="187">
        <v>14995.91796875</v>
      </c>
      <c r="N322" s="187">
        <v>12858</v>
      </c>
      <c r="O322" t="s">
        <v>782</v>
      </c>
    </row>
    <row r="323" spans="1:15" hidden="1" x14ac:dyDescent="0.45">
      <c r="A323" s="187">
        <v>2014</v>
      </c>
      <c r="B323" t="s">
        <v>310</v>
      </c>
      <c r="C323" t="s">
        <v>322</v>
      </c>
      <c r="D323" t="s">
        <v>35</v>
      </c>
      <c r="E323" t="s">
        <v>349</v>
      </c>
      <c r="F323" t="s">
        <v>349</v>
      </c>
      <c r="G323" t="s">
        <v>37</v>
      </c>
      <c r="H323" t="s">
        <v>43</v>
      </c>
      <c r="I323" s="187"/>
      <c r="J323" s="187">
        <v>394</v>
      </c>
      <c r="K323" s="187">
        <v>1549.6321399999999</v>
      </c>
      <c r="L323" s="187">
        <v>11452</v>
      </c>
      <c r="M323" s="187">
        <v>13395.6318359375</v>
      </c>
      <c r="N323" s="187">
        <v>11452</v>
      </c>
      <c r="O323" t="s">
        <v>781</v>
      </c>
    </row>
    <row r="324" spans="1:15" hidden="1" x14ac:dyDescent="0.45">
      <c r="A324" s="187">
        <v>2014</v>
      </c>
      <c r="B324" t="s">
        <v>310</v>
      </c>
      <c r="C324" t="s">
        <v>322</v>
      </c>
      <c r="D324" t="s">
        <v>35</v>
      </c>
      <c r="E324" t="s">
        <v>350</v>
      </c>
      <c r="F324" t="s">
        <v>350</v>
      </c>
      <c r="G324" t="s">
        <v>37</v>
      </c>
      <c r="H324" t="s">
        <v>43</v>
      </c>
      <c r="I324" s="187"/>
      <c r="J324" s="187">
        <v>682</v>
      </c>
      <c r="K324" s="187">
        <v>12241.20727839246</v>
      </c>
      <c r="L324" s="187">
        <v>28656</v>
      </c>
      <c r="M324" s="187">
        <v>41579.20703125</v>
      </c>
      <c r="N324" s="187">
        <v>28656</v>
      </c>
      <c r="O324" t="s">
        <v>784</v>
      </c>
    </row>
    <row r="325" spans="1:15" hidden="1" x14ac:dyDescent="0.45">
      <c r="A325" s="187">
        <v>2014</v>
      </c>
      <c r="B325" t="s">
        <v>309</v>
      </c>
      <c r="C325" t="s">
        <v>322</v>
      </c>
      <c r="D325" t="s">
        <v>35</v>
      </c>
      <c r="E325" t="s">
        <v>350</v>
      </c>
      <c r="F325" t="s">
        <v>350</v>
      </c>
      <c r="G325" t="s">
        <v>37</v>
      </c>
      <c r="H325" t="s">
        <v>43</v>
      </c>
      <c r="I325" s="187"/>
      <c r="J325" s="187">
        <v>696.32199999999989</v>
      </c>
      <c r="K325" s="187">
        <v>13284.29957434714</v>
      </c>
      <c r="L325" s="187">
        <v>29011</v>
      </c>
      <c r="M325" s="187">
        <v>42991.62109375</v>
      </c>
      <c r="N325" s="187">
        <v>29011</v>
      </c>
      <c r="O325" t="s">
        <v>783</v>
      </c>
    </row>
    <row r="326" spans="1:15" hidden="1" x14ac:dyDescent="0.45">
      <c r="A326" s="187">
        <v>2014</v>
      </c>
      <c r="B326" t="s">
        <v>310</v>
      </c>
      <c r="C326" t="s">
        <v>322</v>
      </c>
      <c r="D326" t="s">
        <v>35</v>
      </c>
      <c r="E326" t="s">
        <v>16</v>
      </c>
      <c r="F326" t="s">
        <v>16</v>
      </c>
      <c r="G326" t="s">
        <v>36</v>
      </c>
      <c r="H326" t="s">
        <v>43</v>
      </c>
      <c r="I326" s="187"/>
      <c r="J326" s="187">
        <v>98.079061801699169</v>
      </c>
      <c r="K326" s="187">
        <v>5218.1443464077365</v>
      </c>
      <c r="L326" s="187">
        <v>19774.046580046575</v>
      </c>
      <c r="M326" s="187">
        <v>25090.26953125</v>
      </c>
      <c r="N326" s="187">
        <v>19774.046875</v>
      </c>
      <c r="O326" t="s">
        <v>785</v>
      </c>
    </row>
    <row r="327" spans="1:15" hidden="1" x14ac:dyDescent="0.45">
      <c r="A327" s="187">
        <v>2014</v>
      </c>
      <c r="B327" t="s">
        <v>309</v>
      </c>
      <c r="C327" t="s">
        <v>322</v>
      </c>
      <c r="D327" t="s">
        <v>35</v>
      </c>
      <c r="E327" t="s">
        <v>16</v>
      </c>
      <c r="F327" t="s">
        <v>16</v>
      </c>
      <c r="G327" t="s">
        <v>36</v>
      </c>
      <c r="H327" t="s">
        <v>43</v>
      </c>
      <c r="I327" s="187"/>
      <c r="J327" s="187">
        <v>99.351380885680769</v>
      </c>
      <c r="K327" s="187">
        <v>4793.9266748272812</v>
      </c>
      <c r="L327" s="187">
        <v>13385.942717997388</v>
      </c>
      <c r="M327" s="187">
        <v>18279.220703125</v>
      </c>
      <c r="N327" s="187">
        <v>13385.9423828125</v>
      </c>
      <c r="O327" t="s">
        <v>786</v>
      </c>
    </row>
    <row r="328" spans="1:15" hidden="1" x14ac:dyDescent="0.45">
      <c r="A328" s="187">
        <v>2014</v>
      </c>
      <c r="B328" t="s">
        <v>310</v>
      </c>
      <c r="C328" t="s">
        <v>322</v>
      </c>
      <c r="D328" t="s">
        <v>35</v>
      </c>
      <c r="E328" t="s">
        <v>16</v>
      </c>
      <c r="F328" t="s">
        <v>16</v>
      </c>
      <c r="G328" t="s">
        <v>37</v>
      </c>
      <c r="H328" t="s">
        <v>43</v>
      </c>
      <c r="I328" s="187"/>
      <c r="J328" s="187">
        <v>75</v>
      </c>
      <c r="K328" s="187">
        <v>3990.2586626679999</v>
      </c>
      <c r="L328" s="187">
        <v>15121</v>
      </c>
      <c r="M328" s="187">
        <v>19186.2578125</v>
      </c>
      <c r="N328" s="187">
        <v>15121</v>
      </c>
      <c r="O328" t="s">
        <v>787</v>
      </c>
    </row>
    <row r="329" spans="1:15" hidden="1" x14ac:dyDescent="0.45">
      <c r="A329" s="187">
        <v>2014</v>
      </c>
      <c r="B329" t="s">
        <v>309</v>
      </c>
      <c r="C329" t="s">
        <v>322</v>
      </c>
      <c r="D329" t="s">
        <v>35</v>
      </c>
      <c r="E329" t="s">
        <v>16</v>
      </c>
      <c r="F329" t="s">
        <v>16</v>
      </c>
      <c r="G329" t="s">
        <v>37</v>
      </c>
      <c r="H329" t="s">
        <v>43</v>
      </c>
      <c r="I329" s="187"/>
      <c r="J329" s="187">
        <v>76.574999999999989</v>
      </c>
      <c r="K329" s="187">
        <v>3707.334309751433</v>
      </c>
      <c r="L329" s="187">
        <v>10446</v>
      </c>
      <c r="M329" s="187">
        <v>14229.9091796875</v>
      </c>
      <c r="N329" s="187">
        <v>10446</v>
      </c>
      <c r="O329" t="s">
        <v>788</v>
      </c>
    </row>
    <row r="330" spans="1:15" hidden="1" x14ac:dyDescent="0.45">
      <c r="A330" s="187">
        <v>2014</v>
      </c>
      <c r="B330" t="s">
        <v>309</v>
      </c>
      <c r="C330" t="s">
        <v>322</v>
      </c>
      <c r="D330" t="s">
        <v>35</v>
      </c>
      <c r="E330" t="s">
        <v>351</v>
      </c>
      <c r="F330" t="s">
        <v>351</v>
      </c>
      <c r="G330" t="s">
        <v>37</v>
      </c>
      <c r="H330" t="s">
        <v>43</v>
      </c>
      <c r="I330" s="187"/>
      <c r="J330" s="187">
        <v>0</v>
      </c>
      <c r="K330" s="187">
        <v>153.22197195976329</v>
      </c>
      <c r="L330" s="187">
        <v>192</v>
      </c>
      <c r="M330" s="187">
        <v>345.22198486328125</v>
      </c>
      <c r="N330" s="187">
        <v>192</v>
      </c>
      <c r="O330" t="s">
        <v>790</v>
      </c>
    </row>
    <row r="331" spans="1:15" hidden="1" x14ac:dyDescent="0.45">
      <c r="A331" s="187">
        <v>2014</v>
      </c>
      <c r="B331" t="s">
        <v>310</v>
      </c>
      <c r="C331" t="s">
        <v>322</v>
      </c>
      <c r="D331" t="s">
        <v>35</v>
      </c>
      <c r="E331" t="s">
        <v>351</v>
      </c>
      <c r="F331" t="s">
        <v>351</v>
      </c>
      <c r="G331" t="s">
        <v>37</v>
      </c>
      <c r="H331" t="s">
        <v>43</v>
      </c>
      <c r="I331" s="187"/>
      <c r="J331" s="187">
        <v>0</v>
      </c>
      <c r="K331" s="187">
        <v>0</v>
      </c>
      <c r="L331" s="187">
        <v>140</v>
      </c>
      <c r="M331" s="187">
        <v>140</v>
      </c>
      <c r="N331" s="187">
        <v>140</v>
      </c>
      <c r="O331" t="s">
        <v>789</v>
      </c>
    </row>
    <row r="332" spans="1:15" hidden="1" x14ac:dyDescent="0.45">
      <c r="A332" s="187">
        <v>2014</v>
      </c>
      <c r="B332" t="s">
        <v>309</v>
      </c>
      <c r="C332" t="s">
        <v>322</v>
      </c>
      <c r="D332" t="s">
        <v>35</v>
      </c>
      <c r="E332" t="s">
        <v>352</v>
      </c>
      <c r="F332" t="s">
        <v>361</v>
      </c>
      <c r="G332" t="s">
        <v>36</v>
      </c>
      <c r="H332" t="s">
        <v>43</v>
      </c>
      <c r="I332" s="187"/>
      <c r="J332" s="187">
        <v>0</v>
      </c>
      <c r="K332" s="187">
        <v>0</v>
      </c>
      <c r="L332" s="187">
        <v>0</v>
      </c>
      <c r="M332" s="187">
        <v>0</v>
      </c>
      <c r="N332" s="187">
        <v>0</v>
      </c>
      <c r="O332" t="s">
        <v>791</v>
      </c>
    </row>
    <row r="333" spans="1:15" hidden="1" x14ac:dyDescent="0.45">
      <c r="A333" s="187">
        <v>2014</v>
      </c>
      <c r="B333" t="s">
        <v>310</v>
      </c>
      <c r="C333" t="s">
        <v>322</v>
      </c>
      <c r="D333" t="s">
        <v>35</v>
      </c>
      <c r="E333" t="s">
        <v>352</v>
      </c>
      <c r="F333" t="s">
        <v>361</v>
      </c>
      <c r="G333" t="s">
        <v>36</v>
      </c>
      <c r="H333" t="s">
        <v>43</v>
      </c>
      <c r="I333" s="187"/>
      <c r="J333" s="187">
        <v>0</v>
      </c>
      <c r="K333" s="187">
        <v>0</v>
      </c>
      <c r="L333" s="187"/>
      <c r="M333" s="187">
        <v>0</v>
      </c>
      <c r="N333" s="187">
        <v>0</v>
      </c>
      <c r="O333" t="s">
        <v>792</v>
      </c>
    </row>
    <row r="334" spans="1:15" hidden="1" x14ac:dyDescent="0.45">
      <c r="A334" s="187">
        <v>2014</v>
      </c>
      <c r="B334" t="s">
        <v>309</v>
      </c>
      <c r="C334" t="s">
        <v>322</v>
      </c>
      <c r="D334" t="s">
        <v>35</v>
      </c>
      <c r="E334" t="s">
        <v>353</v>
      </c>
      <c r="F334" t="s">
        <v>383</v>
      </c>
      <c r="G334" t="s">
        <v>36</v>
      </c>
      <c r="H334" t="s">
        <v>43</v>
      </c>
      <c r="I334" s="187"/>
      <c r="J334" s="187">
        <v>747.12238426031934</v>
      </c>
      <c r="K334" s="187">
        <v>16667.124469903563</v>
      </c>
      <c r="L334" s="187">
        <v>40510.194384866714</v>
      </c>
      <c r="M334" s="187">
        <v>57924.44140625</v>
      </c>
      <c r="N334" s="187">
        <v>40510.1953125</v>
      </c>
      <c r="O334" t="s">
        <v>794</v>
      </c>
    </row>
    <row r="335" spans="1:15" hidden="1" x14ac:dyDescent="0.45">
      <c r="A335" s="187">
        <v>2014</v>
      </c>
      <c r="B335" t="s">
        <v>310</v>
      </c>
      <c r="C335" t="s">
        <v>322</v>
      </c>
      <c r="D335" t="s">
        <v>35</v>
      </c>
      <c r="E335" t="s">
        <v>353</v>
      </c>
      <c r="F335" t="s">
        <v>383</v>
      </c>
      <c r="G335" t="s">
        <v>36</v>
      </c>
      <c r="H335" t="s">
        <v>43</v>
      </c>
      <c r="I335" s="187"/>
      <c r="J335" s="187">
        <v>737.55454474877774</v>
      </c>
      <c r="K335" s="187">
        <v>14597.913365011147</v>
      </c>
      <c r="L335" s="187">
        <v>40561.57679871071</v>
      </c>
      <c r="M335" s="187">
        <v>55897.04296875</v>
      </c>
      <c r="N335" s="187">
        <v>40561.578125</v>
      </c>
      <c r="O335" t="s">
        <v>793</v>
      </c>
    </row>
    <row r="336" spans="1:15" hidden="1" x14ac:dyDescent="0.45">
      <c r="A336" s="187">
        <v>2014</v>
      </c>
      <c r="B336" t="s">
        <v>310</v>
      </c>
      <c r="C336" t="s">
        <v>322</v>
      </c>
      <c r="D336" t="s">
        <v>35</v>
      </c>
      <c r="E336" t="s">
        <v>353</v>
      </c>
      <c r="F336" t="s">
        <v>383</v>
      </c>
      <c r="G336" t="s">
        <v>37</v>
      </c>
      <c r="H336" t="s">
        <v>43</v>
      </c>
      <c r="I336" s="187"/>
      <c r="J336" s="187">
        <v>564</v>
      </c>
      <c r="K336" s="187">
        <v>11162.8667960695</v>
      </c>
      <c r="L336" s="187">
        <v>31017</v>
      </c>
      <c r="M336" s="187">
        <v>42743.8671875</v>
      </c>
      <c r="N336" s="187">
        <v>31017</v>
      </c>
      <c r="O336" t="s">
        <v>795</v>
      </c>
    </row>
    <row r="337" spans="1:15" hidden="1" x14ac:dyDescent="0.45">
      <c r="A337" s="187">
        <v>2014</v>
      </c>
      <c r="B337" t="s">
        <v>309</v>
      </c>
      <c r="C337" t="s">
        <v>322</v>
      </c>
      <c r="D337" t="s">
        <v>35</v>
      </c>
      <c r="E337" t="s">
        <v>353</v>
      </c>
      <c r="F337" t="s">
        <v>383</v>
      </c>
      <c r="G337" t="s">
        <v>37</v>
      </c>
      <c r="H337" t="s">
        <v>43</v>
      </c>
      <c r="I337" s="187"/>
      <c r="J337" s="187">
        <v>575.84399999999994</v>
      </c>
      <c r="K337" s="187">
        <v>12889.35075219885</v>
      </c>
      <c r="L337" s="187">
        <v>31612</v>
      </c>
      <c r="M337" s="187">
        <v>45077.1953125</v>
      </c>
      <c r="N337" s="187">
        <v>31612</v>
      </c>
      <c r="O337" t="s">
        <v>796</v>
      </c>
    </row>
    <row r="338" spans="1:15" hidden="1" x14ac:dyDescent="0.45">
      <c r="A338" s="187">
        <v>2014</v>
      </c>
      <c r="B338" t="s">
        <v>310</v>
      </c>
      <c r="C338" t="s">
        <v>322</v>
      </c>
      <c r="D338" t="s">
        <v>35</v>
      </c>
      <c r="E338" t="s">
        <v>38</v>
      </c>
      <c r="F338" t="s">
        <v>38</v>
      </c>
      <c r="G338" t="s">
        <v>36</v>
      </c>
      <c r="H338" t="s">
        <v>43</v>
      </c>
      <c r="I338" s="187"/>
      <c r="J338" s="187">
        <v>154.31105723467334</v>
      </c>
      <c r="K338" s="187">
        <v>2118.58903895812</v>
      </c>
      <c r="L338" s="187">
        <v>1567.957268003164</v>
      </c>
      <c r="M338" s="187">
        <v>3840.857421875</v>
      </c>
      <c r="N338" s="187">
        <v>1567.957275390625</v>
      </c>
      <c r="O338" t="s">
        <v>798</v>
      </c>
    </row>
    <row r="339" spans="1:15" hidden="1" x14ac:dyDescent="0.45">
      <c r="A339" s="187">
        <v>2014</v>
      </c>
      <c r="B339" t="s">
        <v>309</v>
      </c>
      <c r="C339" t="s">
        <v>322</v>
      </c>
      <c r="D339" t="s">
        <v>35</v>
      </c>
      <c r="E339" t="s">
        <v>38</v>
      </c>
      <c r="F339" t="s">
        <v>38</v>
      </c>
      <c r="G339" t="s">
        <v>36</v>
      </c>
      <c r="H339" t="s">
        <v>43</v>
      </c>
      <c r="I339" s="187"/>
      <c r="J339" s="187">
        <v>156.31283926013774</v>
      </c>
      <c r="K339" s="187">
        <v>1111.0146171644419</v>
      </c>
      <c r="L339" s="187">
        <v>2188.3797496419284</v>
      </c>
      <c r="M339" s="187">
        <v>3455.70703125</v>
      </c>
      <c r="N339" s="187">
        <v>2188.379638671875</v>
      </c>
      <c r="O339" t="s">
        <v>797</v>
      </c>
    </row>
    <row r="340" spans="1:15" hidden="1" x14ac:dyDescent="0.45">
      <c r="A340" s="187">
        <v>2014</v>
      </c>
      <c r="B340" t="s">
        <v>310</v>
      </c>
      <c r="C340" t="s">
        <v>322</v>
      </c>
      <c r="D340" t="s">
        <v>35</v>
      </c>
      <c r="E340" t="s">
        <v>38</v>
      </c>
      <c r="F340" t="s">
        <v>38</v>
      </c>
      <c r="G340" t="s">
        <v>37</v>
      </c>
      <c r="H340" t="s">
        <v>43</v>
      </c>
      <c r="I340" s="187"/>
      <c r="J340" s="187">
        <v>118</v>
      </c>
      <c r="K340" s="187">
        <v>1620.062172322964</v>
      </c>
      <c r="L340" s="187">
        <v>1199</v>
      </c>
      <c r="M340" s="187">
        <v>2937.06201171875</v>
      </c>
      <c r="N340" s="187">
        <v>1199</v>
      </c>
      <c r="O340" t="s">
        <v>799</v>
      </c>
    </row>
    <row r="341" spans="1:15" hidden="1" x14ac:dyDescent="0.45">
      <c r="A341" s="187">
        <v>2014</v>
      </c>
      <c r="B341" t="s">
        <v>309</v>
      </c>
      <c r="C341" t="s">
        <v>322</v>
      </c>
      <c r="D341" t="s">
        <v>35</v>
      </c>
      <c r="E341" t="s">
        <v>38</v>
      </c>
      <c r="F341" t="s">
        <v>38</v>
      </c>
      <c r="G341" t="s">
        <v>37</v>
      </c>
      <c r="H341" t="s">
        <v>43</v>
      </c>
      <c r="I341" s="187"/>
      <c r="J341" s="187">
        <v>120.47799999999999</v>
      </c>
      <c r="K341" s="187">
        <v>859.19182503922809</v>
      </c>
      <c r="L341" s="187">
        <v>1708</v>
      </c>
      <c r="M341" s="187">
        <v>2687.669921875</v>
      </c>
      <c r="N341" s="187">
        <v>1708</v>
      </c>
      <c r="O341" t="s">
        <v>800</v>
      </c>
    </row>
    <row r="342" spans="1:15" hidden="1" x14ac:dyDescent="0.45">
      <c r="A342" s="187">
        <v>2014</v>
      </c>
      <c r="B342" t="s">
        <v>309</v>
      </c>
      <c r="C342" t="s">
        <v>322</v>
      </c>
      <c r="D342" t="s">
        <v>35</v>
      </c>
      <c r="E342" t="s">
        <v>354</v>
      </c>
      <c r="F342" t="s">
        <v>384</v>
      </c>
      <c r="G342" t="s">
        <v>36</v>
      </c>
      <c r="H342" t="s">
        <v>43</v>
      </c>
      <c r="I342" s="187"/>
      <c r="J342" s="187">
        <v>0</v>
      </c>
      <c r="K342" s="187">
        <v>0</v>
      </c>
      <c r="L342" s="187">
        <v>0</v>
      </c>
      <c r="M342" s="187">
        <v>0</v>
      </c>
      <c r="N342" s="187">
        <v>0</v>
      </c>
      <c r="O342" t="s">
        <v>801</v>
      </c>
    </row>
    <row r="343" spans="1:15" hidden="1" x14ac:dyDescent="0.45">
      <c r="A343" s="187">
        <v>2014</v>
      </c>
      <c r="B343" t="s">
        <v>310</v>
      </c>
      <c r="C343" t="s">
        <v>322</v>
      </c>
      <c r="D343" t="s">
        <v>35</v>
      </c>
      <c r="E343" t="s">
        <v>354</v>
      </c>
      <c r="F343" t="s">
        <v>384</v>
      </c>
      <c r="G343" t="s">
        <v>36</v>
      </c>
      <c r="H343" t="s">
        <v>43</v>
      </c>
      <c r="I343" s="187"/>
      <c r="J343" s="187">
        <v>0</v>
      </c>
      <c r="K343" s="187">
        <v>0</v>
      </c>
      <c r="L343" s="187">
        <v>0</v>
      </c>
      <c r="M343" s="187">
        <v>0</v>
      </c>
      <c r="N343" s="187">
        <v>0</v>
      </c>
      <c r="O343" t="s">
        <v>802</v>
      </c>
    </row>
    <row r="344" spans="1:15" hidden="1" x14ac:dyDescent="0.45">
      <c r="A344" s="187">
        <v>2014</v>
      </c>
      <c r="B344" t="s">
        <v>309</v>
      </c>
      <c r="C344" t="s">
        <v>322</v>
      </c>
      <c r="D344" t="s">
        <v>35</v>
      </c>
      <c r="E344" t="s">
        <v>354</v>
      </c>
      <c r="F344" t="s">
        <v>384</v>
      </c>
      <c r="G344" t="s">
        <v>37</v>
      </c>
      <c r="H344" t="s">
        <v>43</v>
      </c>
      <c r="I344" s="187"/>
      <c r="J344" s="187">
        <v>0</v>
      </c>
      <c r="K344" s="187">
        <v>0</v>
      </c>
      <c r="L344" s="187">
        <v>0</v>
      </c>
      <c r="M344" s="187">
        <v>0</v>
      </c>
      <c r="N344" s="187">
        <v>0</v>
      </c>
      <c r="O344" t="s">
        <v>803</v>
      </c>
    </row>
    <row r="345" spans="1:15" hidden="1" x14ac:dyDescent="0.45">
      <c r="A345" s="187">
        <v>2014</v>
      </c>
      <c r="B345" t="s">
        <v>310</v>
      </c>
      <c r="C345" t="s">
        <v>322</v>
      </c>
      <c r="D345" t="s">
        <v>35</v>
      </c>
      <c r="E345" t="s">
        <v>354</v>
      </c>
      <c r="F345" t="s">
        <v>384</v>
      </c>
      <c r="G345" t="s">
        <v>37</v>
      </c>
      <c r="H345" t="s">
        <v>43</v>
      </c>
      <c r="I345" s="187"/>
      <c r="J345" s="187">
        <v>0</v>
      </c>
      <c r="K345" s="187">
        <v>0</v>
      </c>
      <c r="L345" s="187">
        <v>0</v>
      </c>
      <c r="M345" s="187">
        <v>0</v>
      </c>
      <c r="N345" s="187">
        <v>0</v>
      </c>
      <c r="O345" t="s">
        <v>804</v>
      </c>
    </row>
    <row r="346" spans="1:15" hidden="1" x14ac:dyDescent="0.45">
      <c r="A346" s="187">
        <v>2014</v>
      </c>
      <c r="B346" t="s">
        <v>309</v>
      </c>
      <c r="C346" t="s">
        <v>322</v>
      </c>
      <c r="D346" t="s">
        <v>35</v>
      </c>
      <c r="E346" t="s">
        <v>354</v>
      </c>
      <c r="F346" t="s">
        <v>385</v>
      </c>
      <c r="G346" t="s">
        <v>36</v>
      </c>
      <c r="H346" t="s">
        <v>43</v>
      </c>
      <c r="I346" s="187"/>
      <c r="J346" s="187">
        <v>50.338032982078253</v>
      </c>
      <c r="K346" s="187">
        <v>2094.7245145936931</v>
      </c>
      <c r="L346" s="187">
        <v>0</v>
      </c>
      <c r="M346" s="187">
        <v>2145.0625</v>
      </c>
      <c r="N346" s="187">
        <v>0</v>
      </c>
      <c r="O346" t="s">
        <v>806</v>
      </c>
    </row>
    <row r="347" spans="1:15" hidden="1" x14ac:dyDescent="0.45">
      <c r="A347" s="187">
        <v>2014</v>
      </c>
      <c r="B347" t="s">
        <v>310</v>
      </c>
      <c r="C347" t="s">
        <v>322</v>
      </c>
      <c r="D347" t="s">
        <v>35</v>
      </c>
      <c r="E347" t="s">
        <v>354</v>
      </c>
      <c r="F347" t="s">
        <v>385</v>
      </c>
      <c r="G347" t="s">
        <v>36</v>
      </c>
      <c r="H347" t="s">
        <v>43</v>
      </c>
      <c r="I347" s="187"/>
      <c r="J347" s="187">
        <v>49.693391312860911</v>
      </c>
      <c r="K347" s="187">
        <v>2449.9305111956296</v>
      </c>
      <c r="L347" s="187">
        <v>278.54453551682565</v>
      </c>
      <c r="M347" s="187">
        <v>2778.168212890625</v>
      </c>
      <c r="N347" s="187">
        <v>278.54452514648438</v>
      </c>
      <c r="O347" t="s">
        <v>805</v>
      </c>
    </row>
    <row r="348" spans="1:15" hidden="1" x14ac:dyDescent="0.45">
      <c r="A348" s="187">
        <v>2014</v>
      </c>
      <c r="B348" t="s">
        <v>310</v>
      </c>
      <c r="C348" t="s">
        <v>322</v>
      </c>
      <c r="D348" t="s">
        <v>35</v>
      </c>
      <c r="E348" t="s">
        <v>354</v>
      </c>
      <c r="F348" t="s">
        <v>385</v>
      </c>
      <c r="G348" t="s">
        <v>37</v>
      </c>
      <c r="H348" t="s">
        <v>43</v>
      </c>
      <c r="I348" s="187"/>
      <c r="J348" s="187">
        <v>38</v>
      </c>
      <c r="K348" s="187">
        <v>1873.43542</v>
      </c>
      <c r="L348" s="187">
        <v>213</v>
      </c>
      <c r="M348" s="187">
        <v>2124.435546875</v>
      </c>
      <c r="N348" s="187">
        <v>213</v>
      </c>
      <c r="O348" t="s">
        <v>807</v>
      </c>
    </row>
    <row r="349" spans="1:15" hidden="1" x14ac:dyDescent="0.45">
      <c r="A349" s="187">
        <v>2014</v>
      </c>
      <c r="B349" t="s">
        <v>309</v>
      </c>
      <c r="C349" t="s">
        <v>322</v>
      </c>
      <c r="D349" t="s">
        <v>35</v>
      </c>
      <c r="E349" t="s">
        <v>354</v>
      </c>
      <c r="F349" t="s">
        <v>385</v>
      </c>
      <c r="G349" t="s">
        <v>37</v>
      </c>
      <c r="H349" t="s">
        <v>43</v>
      </c>
      <c r="I349" s="187"/>
      <c r="J349" s="187">
        <v>38.797999999999988</v>
      </c>
      <c r="K349" s="187">
        <v>1619.933843212237</v>
      </c>
      <c r="L349" s="187">
        <v>0</v>
      </c>
      <c r="M349" s="187">
        <v>1658.7318115234375</v>
      </c>
      <c r="N349" s="187">
        <v>0</v>
      </c>
      <c r="O349" t="s">
        <v>808</v>
      </c>
    </row>
    <row r="350" spans="1:15" hidden="1" x14ac:dyDescent="0.45">
      <c r="A350" s="187">
        <v>2014</v>
      </c>
      <c r="B350" t="s">
        <v>310</v>
      </c>
      <c r="C350" t="s">
        <v>322</v>
      </c>
      <c r="D350" t="s">
        <v>35</v>
      </c>
      <c r="E350" t="s">
        <v>354</v>
      </c>
      <c r="F350" t="s">
        <v>386</v>
      </c>
      <c r="G350" t="s">
        <v>36</v>
      </c>
      <c r="H350" t="s">
        <v>43</v>
      </c>
      <c r="I350" s="187"/>
      <c r="J350" s="187">
        <v>40.539345544702321</v>
      </c>
      <c r="K350" s="187">
        <v>3234.60276610763</v>
      </c>
      <c r="L350" s="187">
        <v>529.62693372917545</v>
      </c>
      <c r="M350" s="187">
        <v>3804.76904296875</v>
      </c>
      <c r="N350" s="187">
        <v>529.626953125</v>
      </c>
      <c r="O350" t="s">
        <v>810</v>
      </c>
    </row>
    <row r="351" spans="1:15" hidden="1" x14ac:dyDescent="0.45">
      <c r="A351" s="187">
        <v>2014</v>
      </c>
      <c r="B351" t="s">
        <v>309</v>
      </c>
      <c r="C351" t="s">
        <v>322</v>
      </c>
      <c r="D351" t="s">
        <v>35</v>
      </c>
      <c r="E351" t="s">
        <v>354</v>
      </c>
      <c r="F351" t="s">
        <v>386</v>
      </c>
      <c r="G351" t="s">
        <v>36</v>
      </c>
      <c r="H351" t="s">
        <v>43</v>
      </c>
      <c r="I351" s="187"/>
      <c r="J351" s="187">
        <v>41.065237432748049</v>
      </c>
      <c r="K351" s="187">
        <v>3276.7476335429915</v>
      </c>
      <c r="L351" s="187">
        <v>785.53825153611592</v>
      </c>
      <c r="M351" s="187">
        <v>4103.35107421875</v>
      </c>
      <c r="N351" s="187">
        <v>785.53826904296875</v>
      </c>
      <c r="O351" t="s">
        <v>809</v>
      </c>
    </row>
    <row r="352" spans="1:15" hidden="1" x14ac:dyDescent="0.45">
      <c r="A352" s="187">
        <v>2014</v>
      </c>
      <c r="B352" t="s">
        <v>310</v>
      </c>
      <c r="C352" t="s">
        <v>322</v>
      </c>
      <c r="D352" t="s">
        <v>35</v>
      </c>
      <c r="E352" t="s">
        <v>354</v>
      </c>
      <c r="F352" t="s">
        <v>386</v>
      </c>
      <c r="G352" t="s">
        <v>37</v>
      </c>
      <c r="H352" t="s">
        <v>43</v>
      </c>
      <c r="I352" s="187"/>
      <c r="J352" s="187">
        <v>31</v>
      </c>
      <c r="K352" s="187">
        <v>2473.4658244239999</v>
      </c>
      <c r="L352" s="187">
        <v>405</v>
      </c>
      <c r="M352" s="187">
        <v>2909.4658203125</v>
      </c>
      <c r="N352" s="187">
        <v>405</v>
      </c>
      <c r="O352" t="s">
        <v>811</v>
      </c>
    </row>
    <row r="353" spans="1:15" hidden="1" x14ac:dyDescent="0.45">
      <c r="A353" s="187">
        <v>2014</v>
      </c>
      <c r="B353" t="s">
        <v>309</v>
      </c>
      <c r="C353" t="s">
        <v>322</v>
      </c>
      <c r="D353" t="s">
        <v>35</v>
      </c>
      <c r="E353" t="s">
        <v>354</v>
      </c>
      <c r="F353" t="s">
        <v>386</v>
      </c>
      <c r="G353" t="s">
        <v>37</v>
      </c>
      <c r="H353" t="s">
        <v>43</v>
      </c>
      <c r="I353" s="187"/>
      <c r="J353" s="187">
        <v>31.651</v>
      </c>
      <c r="K353" s="187">
        <v>2534.039369024857</v>
      </c>
      <c r="L353" s="187">
        <v>613</v>
      </c>
      <c r="M353" s="187">
        <v>3178.6904296875</v>
      </c>
      <c r="N353" s="187">
        <v>613</v>
      </c>
      <c r="O353" t="s">
        <v>812</v>
      </c>
    </row>
    <row r="354" spans="1:15" hidden="1" x14ac:dyDescent="0.45">
      <c r="A354" s="187">
        <v>2014</v>
      </c>
      <c r="B354" t="s">
        <v>310</v>
      </c>
      <c r="C354" t="s">
        <v>322</v>
      </c>
      <c r="D354" t="s">
        <v>35</v>
      </c>
      <c r="E354" t="s">
        <v>354</v>
      </c>
      <c r="F354" t="s">
        <v>387</v>
      </c>
      <c r="G354" t="s">
        <v>36</v>
      </c>
      <c r="H354" t="s">
        <v>43</v>
      </c>
      <c r="I354" s="187"/>
      <c r="J354" s="187">
        <v>90.232736857563239</v>
      </c>
      <c r="K354" s="187">
        <v>5684.5332773032596</v>
      </c>
      <c r="L354" s="187">
        <v>808.17146924600115</v>
      </c>
      <c r="M354" s="187">
        <v>6582.9375</v>
      </c>
      <c r="N354" s="187">
        <v>808.17144775390625</v>
      </c>
      <c r="O354" t="s">
        <v>814</v>
      </c>
    </row>
    <row r="355" spans="1:15" hidden="1" x14ac:dyDescent="0.45">
      <c r="A355" s="187">
        <v>2014</v>
      </c>
      <c r="B355" t="s">
        <v>309</v>
      </c>
      <c r="C355" t="s">
        <v>322</v>
      </c>
      <c r="D355" t="s">
        <v>35</v>
      </c>
      <c r="E355" t="s">
        <v>354</v>
      </c>
      <c r="F355" t="s">
        <v>387</v>
      </c>
      <c r="G355" t="s">
        <v>36</v>
      </c>
      <c r="H355" t="s">
        <v>43</v>
      </c>
      <c r="I355" s="187"/>
      <c r="J355" s="187">
        <v>91.403270414826295</v>
      </c>
      <c r="K355" s="187">
        <v>5371.4721481366851</v>
      </c>
      <c r="L355" s="187">
        <v>785.53825153611592</v>
      </c>
      <c r="M355" s="187">
        <v>6248.41357421875</v>
      </c>
      <c r="N355" s="187">
        <v>785.53826904296875</v>
      </c>
      <c r="O355" t="s">
        <v>813</v>
      </c>
    </row>
    <row r="356" spans="1:15" hidden="1" x14ac:dyDescent="0.45">
      <c r="A356" s="187">
        <v>2014</v>
      </c>
      <c r="B356" t="s">
        <v>309</v>
      </c>
      <c r="C356" t="s">
        <v>322</v>
      </c>
      <c r="D356" t="s">
        <v>35</v>
      </c>
      <c r="E356" t="s">
        <v>354</v>
      </c>
      <c r="F356" t="s">
        <v>387</v>
      </c>
      <c r="G356" t="s">
        <v>37</v>
      </c>
      <c r="H356" t="s">
        <v>43</v>
      </c>
      <c r="I356" s="187"/>
      <c r="J356" s="187">
        <v>70.448999999999984</v>
      </c>
      <c r="K356" s="187">
        <v>4153.9732122370933</v>
      </c>
      <c r="L356" s="187">
        <v>613</v>
      </c>
      <c r="M356" s="187">
        <v>4837.42236328125</v>
      </c>
      <c r="N356" s="187">
        <v>613</v>
      </c>
      <c r="O356" t="s">
        <v>815</v>
      </c>
    </row>
    <row r="357" spans="1:15" hidden="1" x14ac:dyDescent="0.45">
      <c r="A357" s="187">
        <v>2014</v>
      </c>
      <c r="B357" t="s">
        <v>310</v>
      </c>
      <c r="C357" t="s">
        <v>322</v>
      </c>
      <c r="D357" t="s">
        <v>35</v>
      </c>
      <c r="E357" t="s">
        <v>354</v>
      </c>
      <c r="F357" t="s">
        <v>387</v>
      </c>
      <c r="G357" t="s">
        <v>37</v>
      </c>
      <c r="H357" t="s">
        <v>43</v>
      </c>
      <c r="I357" s="187"/>
      <c r="J357" s="187">
        <v>69</v>
      </c>
      <c r="K357" s="187">
        <v>4346.9012444239997</v>
      </c>
      <c r="L357" s="187">
        <v>618</v>
      </c>
      <c r="M357" s="187">
        <v>5033.9013671875</v>
      </c>
      <c r="N357" s="187">
        <v>618</v>
      </c>
      <c r="O357" t="s">
        <v>816</v>
      </c>
    </row>
    <row r="358" spans="1:15" hidden="1" x14ac:dyDescent="0.45">
      <c r="A358" s="187">
        <v>2014</v>
      </c>
      <c r="B358" t="s">
        <v>310</v>
      </c>
      <c r="C358" t="s">
        <v>322</v>
      </c>
      <c r="D358" t="s">
        <v>35</v>
      </c>
      <c r="E358" t="s">
        <v>17</v>
      </c>
      <c r="F358" t="s">
        <v>17</v>
      </c>
      <c r="G358" t="s">
        <v>36</v>
      </c>
      <c r="H358" t="s">
        <v>43</v>
      </c>
      <c r="I358" s="187"/>
      <c r="J358" s="187">
        <v>34.000741424589044</v>
      </c>
      <c r="K358" s="187">
        <v>1569.4302049389491</v>
      </c>
      <c r="L358" s="187">
        <v>2161.6625221094496</v>
      </c>
      <c r="M358" s="187">
        <v>3765.093505859375</v>
      </c>
      <c r="N358" s="187">
        <v>2161.66259765625</v>
      </c>
      <c r="O358" t="s">
        <v>818</v>
      </c>
    </row>
    <row r="359" spans="1:15" hidden="1" x14ac:dyDescent="0.45">
      <c r="A359" s="187">
        <v>2014</v>
      </c>
      <c r="B359" t="s">
        <v>309</v>
      </c>
      <c r="C359" t="s">
        <v>322</v>
      </c>
      <c r="D359" t="s">
        <v>35</v>
      </c>
      <c r="E359" t="s">
        <v>17</v>
      </c>
      <c r="F359" t="s">
        <v>17</v>
      </c>
      <c r="G359" t="s">
        <v>36</v>
      </c>
      <c r="H359" t="s">
        <v>43</v>
      </c>
      <c r="I359" s="187"/>
      <c r="J359" s="187">
        <v>34.441812040369328</v>
      </c>
      <c r="K359" s="187">
        <v>4107.7547731182322</v>
      </c>
      <c r="L359" s="187">
        <v>4727.8010450799284</v>
      </c>
      <c r="M359" s="187">
        <v>8869.998046875</v>
      </c>
      <c r="N359" s="187">
        <v>4727.80126953125</v>
      </c>
      <c r="O359" t="s">
        <v>817</v>
      </c>
    </row>
    <row r="360" spans="1:15" hidden="1" x14ac:dyDescent="0.45">
      <c r="A360" s="187">
        <v>2014</v>
      </c>
      <c r="B360" t="s">
        <v>310</v>
      </c>
      <c r="C360" t="s">
        <v>322</v>
      </c>
      <c r="D360" t="s">
        <v>35</v>
      </c>
      <c r="E360" t="s">
        <v>17</v>
      </c>
      <c r="F360" t="s">
        <v>17</v>
      </c>
      <c r="G360" t="s">
        <v>37</v>
      </c>
      <c r="H360" t="s">
        <v>43</v>
      </c>
      <c r="I360" s="187"/>
      <c r="J360" s="187">
        <v>26</v>
      </c>
      <c r="K360" s="187">
        <v>1200.1263389774999</v>
      </c>
      <c r="L360" s="187">
        <v>1653</v>
      </c>
      <c r="M360" s="187">
        <v>2879.12646484375</v>
      </c>
      <c r="N360" s="187">
        <v>1653</v>
      </c>
      <c r="O360" t="s">
        <v>820</v>
      </c>
    </row>
    <row r="361" spans="1:15" hidden="1" x14ac:dyDescent="0.45">
      <c r="A361" s="187">
        <v>2014</v>
      </c>
      <c r="B361" t="s">
        <v>309</v>
      </c>
      <c r="C361" t="s">
        <v>322</v>
      </c>
      <c r="D361" t="s">
        <v>35</v>
      </c>
      <c r="E361" t="s">
        <v>17</v>
      </c>
      <c r="F361" t="s">
        <v>17</v>
      </c>
      <c r="G361" t="s">
        <v>37</v>
      </c>
      <c r="H361" t="s">
        <v>43</v>
      </c>
      <c r="I361" s="187"/>
      <c r="J361" s="187">
        <v>26.545999999999999</v>
      </c>
      <c r="K361" s="187">
        <v>3176.6902665391972</v>
      </c>
      <c r="L361" s="187">
        <v>3689</v>
      </c>
      <c r="M361" s="187">
        <v>6892.236328125</v>
      </c>
      <c r="N361" s="187">
        <v>3689</v>
      </c>
      <c r="O361" t="s">
        <v>819</v>
      </c>
    </row>
    <row r="362" spans="1:15" hidden="1" x14ac:dyDescent="0.45">
      <c r="A362" s="187">
        <v>2014</v>
      </c>
      <c r="B362" t="s">
        <v>310</v>
      </c>
      <c r="C362" t="s">
        <v>322</v>
      </c>
      <c r="D362" t="s">
        <v>35</v>
      </c>
      <c r="E362" t="s">
        <v>45</v>
      </c>
      <c r="F362" t="s">
        <v>45</v>
      </c>
      <c r="G362" t="s">
        <v>37</v>
      </c>
      <c r="H362" t="s">
        <v>43</v>
      </c>
      <c r="I362" s="187"/>
      <c r="J362" s="187">
        <v>0</v>
      </c>
      <c r="K362" s="187">
        <v>541.72168999999997</v>
      </c>
      <c r="L362" s="187">
        <v>3700</v>
      </c>
      <c r="M362" s="187">
        <v>4241.7216796875</v>
      </c>
      <c r="N362" s="187">
        <v>3700</v>
      </c>
      <c r="O362" t="s">
        <v>822</v>
      </c>
    </row>
    <row r="363" spans="1:15" hidden="1" x14ac:dyDescent="0.45">
      <c r="A363" s="187">
        <v>2014</v>
      </c>
      <c r="B363" t="s">
        <v>309</v>
      </c>
      <c r="C363" t="s">
        <v>322</v>
      </c>
      <c r="D363" t="s">
        <v>35</v>
      </c>
      <c r="E363" t="s">
        <v>45</v>
      </c>
      <c r="F363" t="s">
        <v>45</v>
      </c>
      <c r="G363" t="s">
        <v>37</v>
      </c>
      <c r="H363" t="s">
        <v>43</v>
      </c>
      <c r="I363" s="187"/>
      <c r="J363" s="187">
        <v>0</v>
      </c>
      <c r="K363" s="187">
        <v>617.46497485069949</v>
      </c>
      <c r="L363" s="187">
        <v>4501</v>
      </c>
      <c r="M363" s="187">
        <v>5118.46484375</v>
      </c>
      <c r="N363" s="187">
        <v>4501</v>
      </c>
      <c r="O363" t="s">
        <v>821</v>
      </c>
    </row>
    <row r="364" spans="1:15" hidden="1" x14ac:dyDescent="0.45">
      <c r="A364" s="187">
        <v>2014</v>
      </c>
      <c r="B364" t="s">
        <v>310</v>
      </c>
      <c r="C364" t="s">
        <v>322</v>
      </c>
      <c r="D364" t="s">
        <v>35</v>
      </c>
      <c r="E364" t="s">
        <v>355</v>
      </c>
      <c r="F364" t="s">
        <v>355</v>
      </c>
      <c r="G364" t="s">
        <v>37</v>
      </c>
      <c r="H364" t="s">
        <v>43</v>
      </c>
      <c r="I364" s="187"/>
      <c r="J364" s="187">
        <v>682</v>
      </c>
      <c r="K364" s="187">
        <v>11629.14691447284</v>
      </c>
      <c r="L364" s="187">
        <v>26766.550310554281</v>
      </c>
      <c r="M364" s="187">
        <v>39077.6953125</v>
      </c>
      <c r="N364" s="187">
        <v>26766.55078125</v>
      </c>
      <c r="O364" t="s">
        <v>823</v>
      </c>
    </row>
    <row r="365" spans="1:15" hidden="1" x14ac:dyDescent="0.45">
      <c r="A365" s="187">
        <v>2014</v>
      </c>
      <c r="B365" t="s">
        <v>309</v>
      </c>
      <c r="C365" t="s">
        <v>322</v>
      </c>
      <c r="D365" t="s">
        <v>35</v>
      </c>
      <c r="E365" t="s">
        <v>355</v>
      </c>
      <c r="F365" t="s">
        <v>355</v>
      </c>
      <c r="G365" t="s">
        <v>37</v>
      </c>
      <c r="H365" t="s">
        <v>43</v>
      </c>
      <c r="I365" s="187"/>
      <c r="J365" s="187">
        <v>696.32199999999989</v>
      </c>
      <c r="K365" s="187">
        <v>12620.08459562978</v>
      </c>
      <c r="L365" s="187">
        <v>29011</v>
      </c>
      <c r="M365" s="187">
        <v>42327.40625</v>
      </c>
      <c r="N365" s="187">
        <v>29011</v>
      </c>
      <c r="O365" t="s">
        <v>824</v>
      </c>
    </row>
    <row r="366" spans="1:15" hidden="1" x14ac:dyDescent="0.45">
      <c r="A366" s="187">
        <v>2014</v>
      </c>
      <c r="B366" t="s">
        <v>310</v>
      </c>
      <c r="C366" t="s">
        <v>322</v>
      </c>
      <c r="D366" t="s">
        <v>35</v>
      </c>
      <c r="E366" t="s">
        <v>356</v>
      </c>
      <c r="F366" t="s">
        <v>356</v>
      </c>
      <c r="G366" t="s">
        <v>37</v>
      </c>
      <c r="H366" t="s">
        <v>43</v>
      </c>
      <c r="I366" s="187"/>
      <c r="J366" s="187">
        <v>0</v>
      </c>
      <c r="K366" s="187">
        <v>0</v>
      </c>
      <c r="L366" s="187">
        <v>0</v>
      </c>
      <c r="M366" s="187">
        <v>0</v>
      </c>
      <c r="N366" s="187">
        <v>0</v>
      </c>
      <c r="O366" t="s">
        <v>826</v>
      </c>
    </row>
    <row r="367" spans="1:15" hidden="1" x14ac:dyDescent="0.45">
      <c r="A367" s="187">
        <v>2014</v>
      </c>
      <c r="B367" t="s">
        <v>309</v>
      </c>
      <c r="C367" t="s">
        <v>322</v>
      </c>
      <c r="D367" t="s">
        <v>35</v>
      </c>
      <c r="E367" t="s">
        <v>356</v>
      </c>
      <c r="F367" t="s">
        <v>356</v>
      </c>
      <c r="G367" t="s">
        <v>37</v>
      </c>
      <c r="H367" t="s">
        <v>43</v>
      </c>
      <c r="I367" s="187"/>
      <c r="J367" s="187">
        <v>0</v>
      </c>
      <c r="K367" s="187">
        <v>0</v>
      </c>
      <c r="L367" s="187">
        <v>0</v>
      </c>
      <c r="M367" s="187">
        <v>0</v>
      </c>
      <c r="N367" s="187">
        <v>0</v>
      </c>
      <c r="O367" t="s">
        <v>825</v>
      </c>
    </row>
    <row r="368" spans="1:15" hidden="1" x14ac:dyDescent="0.45">
      <c r="A368" s="187">
        <v>2014</v>
      </c>
      <c r="B368" t="s">
        <v>309</v>
      </c>
      <c r="C368" t="s">
        <v>323</v>
      </c>
      <c r="D368" t="s">
        <v>35</v>
      </c>
      <c r="E368" t="s">
        <v>349</v>
      </c>
      <c r="F368" t="s">
        <v>388</v>
      </c>
      <c r="G368" t="s">
        <v>36</v>
      </c>
      <c r="H368" t="s">
        <v>43</v>
      </c>
      <c r="I368" s="187"/>
      <c r="J368" s="187">
        <v>521.92592091944289</v>
      </c>
      <c r="K368" s="187">
        <v>2244.3476942075285</v>
      </c>
      <c r="L368" s="187">
        <v>16476.433006081297</v>
      </c>
      <c r="M368" s="187">
        <v>19242.70703125</v>
      </c>
      <c r="N368" s="187">
        <v>16476.43359375</v>
      </c>
      <c r="O368" t="s">
        <v>828</v>
      </c>
    </row>
    <row r="369" spans="1:15" hidden="1" x14ac:dyDescent="0.45">
      <c r="A369" s="187">
        <v>2014</v>
      </c>
      <c r="B369" t="s">
        <v>310</v>
      </c>
      <c r="C369" t="s">
        <v>323</v>
      </c>
      <c r="D369" t="s">
        <v>35</v>
      </c>
      <c r="E369" t="s">
        <v>349</v>
      </c>
      <c r="F369" t="s">
        <v>388</v>
      </c>
      <c r="G369" t="s">
        <v>36</v>
      </c>
      <c r="H369" t="s">
        <v>43</v>
      </c>
      <c r="I369" s="187"/>
      <c r="J369" s="187">
        <v>515.2420046649263</v>
      </c>
      <c r="K369" s="187">
        <v>2026.4862190527911</v>
      </c>
      <c r="L369" s="187">
        <v>14976.018876707451</v>
      </c>
      <c r="M369" s="187">
        <v>17517.748046875</v>
      </c>
      <c r="N369" s="187">
        <v>14976.0185546875</v>
      </c>
      <c r="O369" t="s">
        <v>827</v>
      </c>
    </row>
    <row r="370" spans="1:15" hidden="1" x14ac:dyDescent="0.45">
      <c r="A370" s="187">
        <v>2014</v>
      </c>
      <c r="B370" t="s">
        <v>310</v>
      </c>
      <c r="C370" t="s">
        <v>323</v>
      </c>
      <c r="D370" t="s">
        <v>35</v>
      </c>
      <c r="E370" t="s">
        <v>349</v>
      </c>
      <c r="F370" t="s">
        <v>389</v>
      </c>
      <c r="G370" t="s">
        <v>36</v>
      </c>
      <c r="H370" t="s">
        <v>43</v>
      </c>
      <c r="I370" s="187"/>
      <c r="J370" s="187">
        <v>0</v>
      </c>
      <c r="K370" s="187">
        <v>0</v>
      </c>
      <c r="L370" s="187">
        <v>0</v>
      </c>
      <c r="M370" s="187">
        <v>0</v>
      </c>
      <c r="N370" s="187">
        <v>0</v>
      </c>
      <c r="O370" t="s">
        <v>829</v>
      </c>
    </row>
    <row r="371" spans="1:15" hidden="1" x14ac:dyDescent="0.45">
      <c r="A371" s="187">
        <v>2014</v>
      </c>
      <c r="B371" t="s">
        <v>309</v>
      </c>
      <c r="C371" t="s">
        <v>323</v>
      </c>
      <c r="D371" t="s">
        <v>35</v>
      </c>
      <c r="E371" t="s">
        <v>349</v>
      </c>
      <c r="F371" t="s">
        <v>389</v>
      </c>
      <c r="G371" t="s">
        <v>36</v>
      </c>
      <c r="H371" t="s">
        <v>43</v>
      </c>
      <c r="I371" s="187"/>
      <c r="J371" s="187"/>
      <c r="K371" s="187">
        <v>0</v>
      </c>
      <c r="L371" s="187">
        <v>0</v>
      </c>
      <c r="M371" s="187">
        <v>0</v>
      </c>
      <c r="N371" s="187">
        <v>0</v>
      </c>
      <c r="O371" t="s">
        <v>830</v>
      </c>
    </row>
    <row r="372" spans="1:15" hidden="1" x14ac:dyDescent="0.45">
      <c r="A372" s="187">
        <v>2014</v>
      </c>
      <c r="B372" t="s">
        <v>310</v>
      </c>
      <c r="C372" t="s">
        <v>323</v>
      </c>
      <c r="D372" t="s">
        <v>35</v>
      </c>
      <c r="E372" t="s">
        <v>349</v>
      </c>
      <c r="F372" t="s">
        <v>390</v>
      </c>
      <c r="G372" t="s">
        <v>36</v>
      </c>
      <c r="H372" t="s">
        <v>43</v>
      </c>
      <c r="I372" s="187"/>
      <c r="J372" s="187">
        <v>515.2420046649263</v>
      </c>
      <c r="K372" s="187">
        <v>2026.4862190527911</v>
      </c>
      <c r="L372" s="187">
        <v>14976.018876707451</v>
      </c>
      <c r="M372" s="187">
        <v>17517.748046875</v>
      </c>
      <c r="N372" s="187">
        <v>14976.0185546875</v>
      </c>
      <c r="O372" t="s">
        <v>832</v>
      </c>
    </row>
    <row r="373" spans="1:15" hidden="1" x14ac:dyDescent="0.45">
      <c r="A373" s="187">
        <v>2014</v>
      </c>
      <c r="B373" t="s">
        <v>309</v>
      </c>
      <c r="C373" t="s">
        <v>323</v>
      </c>
      <c r="D373" t="s">
        <v>35</v>
      </c>
      <c r="E373" t="s">
        <v>349</v>
      </c>
      <c r="F373" t="s">
        <v>390</v>
      </c>
      <c r="G373" t="s">
        <v>36</v>
      </c>
      <c r="H373" t="s">
        <v>43</v>
      </c>
      <c r="I373" s="187"/>
      <c r="J373" s="187">
        <v>521.92592091944289</v>
      </c>
      <c r="K373" s="187">
        <v>2244.3476942075285</v>
      </c>
      <c r="L373" s="187">
        <v>16476.433006081297</v>
      </c>
      <c r="M373" s="187">
        <v>19242.70703125</v>
      </c>
      <c r="N373" s="187">
        <v>16476.43359375</v>
      </c>
      <c r="O373" t="s">
        <v>831</v>
      </c>
    </row>
    <row r="374" spans="1:15" hidden="1" x14ac:dyDescent="0.45">
      <c r="A374" s="187">
        <v>2014</v>
      </c>
      <c r="B374" t="s">
        <v>310</v>
      </c>
      <c r="C374" t="s">
        <v>323</v>
      </c>
      <c r="D374" t="s">
        <v>35</v>
      </c>
      <c r="E374" t="s">
        <v>349</v>
      </c>
      <c r="F374" t="s">
        <v>391</v>
      </c>
      <c r="G374" t="s">
        <v>36</v>
      </c>
      <c r="H374" t="s">
        <v>43</v>
      </c>
      <c r="I374" s="187"/>
      <c r="J374" s="187">
        <v>0</v>
      </c>
      <c r="K374" s="187">
        <v>556.40943719451877</v>
      </c>
      <c r="L374" s="187">
        <v>2704.3666640788515</v>
      </c>
      <c r="M374" s="187">
        <v>3260.776123046875</v>
      </c>
      <c r="N374" s="187">
        <v>2704.36669921875</v>
      </c>
      <c r="O374" t="s">
        <v>833</v>
      </c>
    </row>
    <row r="375" spans="1:15" hidden="1" x14ac:dyDescent="0.45">
      <c r="A375" s="187">
        <v>2014</v>
      </c>
      <c r="B375" t="s">
        <v>309</v>
      </c>
      <c r="C375" t="s">
        <v>323</v>
      </c>
      <c r="D375" t="s">
        <v>35</v>
      </c>
      <c r="E375" t="s">
        <v>349</v>
      </c>
      <c r="F375" t="s">
        <v>391</v>
      </c>
      <c r="G375" t="s">
        <v>36</v>
      </c>
      <c r="H375" t="s">
        <v>43</v>
      </c>
      <c r="I375" s="187"/>
      <c r="J375" s="187">
        <v>0</v>
      </c>
      <c r="K375" s="187">
        <v>87.950977079905698</v>
      </c>
      <c r="L375" s="187">
        <v>2727.5265765815557</v>
      </c>
      <c r="M375" s="187">
        <v>2815.4775390625</v>
      </c>
      <c r="N375" s="187">
        <v>2727.526611328125</v>
      </c>
      <c r="O375" t="s">
        <v>834</v>
      </c>
    </row>
    <row r="376" spans="1:15" hidden="1" x14ac:dyDescent="0.45">
      <c r="A376" s="187">
        <v>2014</v>
      </c>
      <c r="B376" t="s">
        <v>309</v>
      </c>
      <c r="C376" t="s">
        <v>323</v>
      </c>
      <c r="D376" t="s">
        <v>35</v>
      </c>
      <c r="E376" t="s">
        <v>349</v>
      </c>
      <c r="F376" t="s">
        <v>392</v>
      </c>
      <c r="G376" t="s">
        <v>36</v>
      </c>
      <c r="H376" t="s">
        <v>43</v>
      </c>
      <c r="I376" s="187"/>
      <c r="J376" s="187">
        <v>0</v>
      </c>
      <c r="K376" s="187">
        <v>0.96261959045645917</v>
      </c>
      <c r="L376" s="187">
        <v>0</v>
      </c>
      <c r="M376" s="187">
        <v>0.9626196026802063</v>
      </c>
      <c r="N376" s="187">
        <v>0</v>
      </c>
      <c r="O376" t="s">
        <v>836</v>
      </c>
    </row>
    <row r="377" spans="1:15" hidden="1" x14ac:dyDescent="0.45">
      <c r="A377" s="187">
        <v>2014</v>
      </c>
      <c r="B377" t="s">
        <v>310</v>
      </c>
      <c r="C377" t="s">
        <v>323</v>
      </c>
      <c r="D377" t="s">
        <v>35</v>
      </c>
      <c r="E377" t="s">
        <v>349</v>
      </c>
      <c r="F377" t="s">
        <v>392</v>
      </c>
      <c r="G377" t="s">
        <v>36</v>
      </c>
      <c r="H377" t="s">
        <v>43</v>
      </c>
      <c r="I377" s="187"/>
      <c r="J377" s="187">
        <v>0</v>
      </c>
      <c r="K377" s="187">
        <v>336.59340656014888</v>
      </c>
      <c r="L377" s="187">
        <v>71.924645321246061</v>
      </c>
      <c r="M377" s="187">
        <v>408.51806640625</v>
      </c>
      <c r="N377" s="187">
        <v>71.924644470214844</v>
      </c>
      <c r="O377" t="s">
        <v>835</v>
      </c>
    </row>
    <row r="378" spans="1:15" hidden="1" x14ac:dyDescent="0.45">
      <c r="A378" s="187">
        <v>2014</v>
      </c>
      <c r="B378" t="s">
        <v>310</v>
      </c>
      <c r="C378" t="s">
        <v>323</v>
      </c>
      <c r="D378" t="s">
        <v>35</v>
      </c>
      <c r="E378" t="s">
        <v>349</v>
      </c>
      <c r="F378" t="s">
        <v>393</v>
      </c>
      <c r="G378" t="s">
        <v>36</v>
      </c>
      <c r="H378" t="s">
        <v>43</v>
      </c>
      <c r="I378" s="187"/>
      <c r="J378" s="187">
        <v>0</v>
      </c>
      <c r="K378" s="187">
        <v>24.579902523741112</v>
      </c>
      <c r="L378" s="187">
        <v>897.09648527954175</v>
      </c>
      <c r="M378" s="187">
        <v>921.6763916015625</v>
      </c>
      <c r="N378" s="187">
        <v>897.09649658203125</v>
      </c>
      <c r="O378" t="s">
        <v>838</v>
      </c>
    </row>
    <row r="379" spans="1:15" hidden="1" x14ac:dyDescent="0.45">
      <c r="A379" s="187">
        <v>2014</v>
      </c>
      <c r="B379" t="s">
        <v>309</v>
      </c>
      <c r="C379" t="s">
        <v>323</v>
      </c>
      <c r="D379" t="s">
        <v>35</v>
      </c>
      <c r="E379" t="s">
        <v>349</v>
      </c>
      <c r="F379" t="s">
        <v>393</v>
      </c>
      <c r="G379" t="s">
        <v>36</v>
      </c>
      <c r="H379" t="s">
        <v>43</v>
      </c>
      <c r="I379" s="187"/>
      <c r="J379" s="187">
        <v>0</v>
      </c>
      <c r="K379" s="187">
        <v>61.261826357783974</v>
      </c>
      <c r="L379" s="187">
        <v>1404.166183184288</v>
      </c>
      <c r="M379" s="187">
        <v>1465.427978515625</v>
      </c>
      <c r="N379" s="187">
        <v>1404.1661376953125</v>
      </c>
      <c r="O379" t="s">
        <v>837</v>
      </c>
    </row>
    <row r="380" spans="1:15" hidden="1" x14ac:dyDescent="0.45">
      <c r="A380" s="187">
        <v>2014</v>
      </c>
      <c r="B380" t="s">
        <v>310</v>
      </c>
      <c r="C380" t="s">
        <v>323</v>
      </c>
      <c r="D380" t="s">
        <v>35</v>
      </c>
      <c r="E380" t="s">
        <v>349</v>
      </c>
      <c r="F380" t="s">
        <v>394</v>
      </c>
      <c r="G380" t="s">
        <v>36</v>
      </c>
      <c r="H380" t="s">
        <v>43</v>
      </c>
      <c r="I380" s="187"/>
      <c r="J380" s="187">
        <v>0</v>
      </c>
      <c r="K380" s="187">
        <v>10.302622728369304</v>
      </c>
      <c r="L380" s="187">
        <v>0</v>
      </c>
      <c r="M380" s="187">
        <v>10.30262279510498</v>
      </c>
      <c r="N380" s="187">
        <v>0</v>
      </c>
      <c r="O380" t="s">
        <v>839</v>
      </c>
    </row>
    <row r="381" spans="1:15" hidden="1" x14ac:dyDescent="0.45">
      <c r="A381" s="187">
        <v>2014</v>
      </c>
      <c r="B381" t="s">
        <v>309</v>
      </c>
      <c r="C381" t="s">
        <v>323</v>
      </c>
      <c r="D381" t="s">
        <v>35</v>
      </c>
      <c r="E381" t="s">
        <v>349</v>
      </c>
      <c r="F381" t="s">
        <v>394</v>
      </c>
      <c r="G381" t="s">
        <v>36</v>
      </c>
      <c r="H381" t="s">
        <v>43</v>
      </c>
      <c r="I381" s="187"/>
      <c r="J381" s="187">
        <v>0</v>
      </c>
      <c r="K381" s="187">
        <v>25.677786313656028</v>
      </c>
      <c r="L381" s="187">
        <v>0</v>
      </c>
      <c r="M381" s="187">
        <v>25.677785873413086</v>
      </c>
      <c r="N381" s="187">
        <v>0</v>
      </c>
      <c r="O381" t="s">
        <v>840</v>
      </c>
    </row>
    <row r="382" spans="1:15" hidden="1" x14ac:dyDescent="0.45">
      <c r="A382" s="187">
        <v>2014</v>
      </c>
      <c r="B382" t="s">
        <v>310</v>
      </c>
      <c r="C382" t="s">
        <v>323</v>
      </c>
      <c r="D382" t="s">
        <v>35</v>
      </c>
      <c r="E382" t="s">
        <v>349</v>
      </c>
      <c r="F382" t="s">
        <v>395</v>
      </c>
      <c r="G382" t="s">
        <v>36</v>
      </c>
      <c r="H382" t="s">
        <v>43</v>
      </c>
      <c r="I382" s="187"/>
      <c r="J382" s="187">
        <v>0</v>
      </c>
      <c r="K382" s="187">
        <v>128.65534740419719</v>
      </c>
      <c r="L382" s="187">
        <v>413.23978039115917</v>
      </c>
      <c r="M382" s="187">
        <v>541.8951416015625</v>
      </c>
      <c r="N382" s="187">
        <v>413.23977661132813</v>
      </c>
      <c r="O382" t="s">
        <v>841</v>
      </c>
    </row>
    <row r="383" spans="1:15" hidden="1" x14ac:dyDescent="0.45">
      <c r="A383" s="187">
        <v>2014</v>
      </c>
      <c r="B383" t="s">
        <v>309</v>
      </c>
      <c r="C383" t="s">
        <v>323</v>
      </c>
      <c r="D383" t="s">
        <v>35</v>
      </c>
      <c r="E383" t="s">
        <v>349</v>
      </c>
      <c r="F383" t="s">
        <v>395</v>
      </c>
      <c r="G383" t="s">
        <v>36</v>
      </c>
      <c r="H383" t="s">
        <v>43</v>
      </c>
      <c r="I383" s="187"/>
      <c r="J383" s="187">
        <v>0</v>
      </c>
      <c r="K383" s="187">
        <v>4.8744818009229543E-2</v>
      </c>
      <c r="L383" s="187">
        <v>127.16976753367138</v>
      </c>
      <c r="M383" s="187">
        <v>127.21851348876953</v>
      </c>
      <c r="N383" s="187">
        <v>127.16976928710938</v>
      </c>
      <c r="O383" t="s">
        <v>842</v>
      </c>
    </row>
    <row r="384" spans="1:15" hidden="1" x14ac:dyDescent="0.45">
      <c r="A384" s="187">
        <v>2014</v>
      </c>
      <c r="B384" t="s">
        <v>310</v>
      </c>
      <c r="C384" t="s">
        <v>323</v>
      </c>
      <c r="D384" t="s">
        <v>35</v>
      </c>
      <c r="E384" t="s">
        <v>349</v>
      </c>
      <c r="F384" t="s">
        <v>396</v>
      </c>
      <c r="G384" t="s">
        <v>36</v>
      </c>
      <c r="H384" t="s">
        <v>43</v>
      </c>
      <c r="I384" s="187"/>
      <c r="J384" s="187">
        <v>0</v>
      </c>
      <c r="K384" s="187">
        <v>56.278157978062175</v>
      </c>
      <c r="L384" s="187">
        <v>1322.1057530869048</v>
      </c>
      <c r="M384" s="187">
        <v>1378.3839111328125</v>
      </c>
      <c r="N384" s="187">
        <v>1322.105712890625</v>
      </c>
      <c r="O384" t="s">
        <v>843</v>
      </c>
    </row>
    <row r="385" spans="1:15" hidden="1" x14ac:dyDescent="0.45">
      <c r="A385" s="187">
        <v>2014</v>
      </c>
      <c r="B385" t="s">
        <v>309</v>
      </c>
      <c r="C385" t="s">
        <v>323</v>
      </c>
      <c r="D385" t="s">
        <v>35</v>
      </c>
      <c r="E385" t="s">
        <v>349</v>
      </c>
      <c r="F385" t="s">
        <v>396</v>
      </c>
      <c r="G385" t="s">
        <v>36</v>
      </c>
      <c r="H385" t="s">
        <v>43</v>
      </c>
      <c r="I385" s="187"/>
      <c r="J385" s="187">
        <v>0</v>
      </c>
      <c r="K385" s="187">
        <v>0</v>
      </c>
      <c r="L385" s="187">
        <v>1196.1906258635963</v>
      </c>
      <c r="M385" s="187">
        <v>1196.190673828125</v>
      </c>
      <c r="N385" s="187">
        <v>1196.190673828125</v>
      </c>
      <c r="O385" t="s">
        <v>844</v>
      </c>
    </row>
    <row r="386" spans="1:15" hidden="1" x14ac:dyDescent="0.45">
      <c r="A386" s="187">
        <v>2014</v>
      </c>
      <c r="B386" t="s">
        <v>310</v>
      </c>
      <c r="C386" t="s">
        <v>323</v>
      </c>
      <c r="D386" t="s">
        <v>35</v>
      </c>
      <c r="E386" t="s">
        <v>349</v>
      </c>
      <c r="F386" t="s">
        <v>397</v>
      </c>
      <c r="G386" t="s">
        <v>36</v>
      </c>
      <c r="H386" t="s">
        <v>43</v>
      </c>
      <c r="I386" s="187"/>
      <c r="J386" s="187">
        <v>0</v>
      </c>
      <c r="K386" s="187">
        <v>9.7258740174519701E-2</v>
      </c>
      <c r="L386" s="187">
        <v>0</v>
      </c>
      <c r="M386" s="187">
        <v>9.7258739173412323E-2</v>
      </c>
      <c r="N386" s="187">
        <v>0</v>
      </c>
      <c r="O386" t="s">
        <v>845</v>
      </c>
    </row>
    <row r="387" spans="1:15" hidden="1" x14ac:dyDescent="0.45">
      <c r="A387" s="187">
        <v>2014</v>
      </c>
      <c r="B387" t="s">
        <v>309</v>
      </c>
      <c r="C387" t="s">
        <v>323</v>
      </c>
      <c r="D387" t="s">
        <v>35</v>
      </c>
      <c r="E387" t="s">
        <v>349</v>
      </c>
      <c r="F387" t="s">
        <v>397</v>
      </c>
      <c r="G387" t="s">
        <v>36</v>
      </c>
      <c r="H387" t="s">
        <v>43</v>
      </c>
      <c r="I387" s="187"/>
      <c r="J387" s="187"/>
      <c r="K387" s="187">
        <v>0.2424032416968836</v>
      </c>
      <c r="L387" s="187">
        <v>0</v>
      </c>
      <c r="M387" s="187">
        <v>0.24240323901176453</v>
      </c>
      <c r="N387" s="187">
        <v>0</v>
      </c>
      <c r="O387" t="s">
        <v>846</v>
      </c>
    </row>
    <row r="388" spans="1:15" hidden="1" x14ac:dyDescent="0.45">
      <c r="A388" s="187">
        <v>2014</v>
      </c>
      <c r="B388" t="s">
        <v>310</v>
      </c>
      <c r="C388" t="s">
        <v>323</v>
      </c>
      <c r="D388" t="s">
        <v>35</v>
      </c>
      <c r="E388" t="s">
        <v>349</v>
      </c>
      <c r="F388" t="s">
        <v>398</v>
      </c>
      <c r="G388" t="s">
        <v>36</v>
      </c>
      <c r="H388" t="s">
        <v>43</v>
      </c>
      <c r="I388" s="187"/>
      <c r="J388" s="187">
        <v>515.2420046649263</v>
      </c>
      <c r="K388" s="187">
        <v>8.886169897969264</v>
      </c>
      <c r="L388" s="187">
        <v>0</v>
      </c>
      <c r="M388" s="187">
        <v>524.128173828125</v>
      </c>
      <c r="N388" s="187">
        <v>0</v>
      </c>
      <c r="O388" t="s">
        <v>848</v>
      </c>
    </row>
    <row r="389" spans="1:15" hidden="1" x14ac:dyDescent="0.45">
      <c r="A389" s="187">
        <v>2014</v>
      </c>
      <c r="B389" t="s">
        <v>309</v>
      </c>
      <c r="C389" t="s">
        <v>323</v>
      </c>
      <c r="D389" t="s">
        <v>35</v>
      </c>
      <c r="E389" t="s">
        <v>349</v>
      </c>
      <c r="F389" t="s">
        <v>398</v>
      </c>
      <c r="G389" t="s">
        <v>36</v>
      </c>
      <c r="H389" t="s">
        <v>43</v>
      </c>
      <c r="I389" s="187"/>
      <c r="J389" s="187">
        <v>521.92592091944289</v>
      </c>
      <c r="K389" s="187">
        <v>22.147483975957758</v>
      </c>
      <c r="L389" s="187">
        <v>6803.5825630514182</v>
      </c>
      <c r="M389" s="187">
        <v>7347.65576171875</v>
      </c>
      <c r="N389" s="187">
        <v>6803.58251953125</v>
      </c>
      <c r="O389" t="s">
        <v>847</v>
      </c>
    </row>
    <row r="390" spans="1:15" hidden="1" x14ac:dyDescent="0.45">
      <c r="A390" s="187">
        <v>2014</v>
      </c>
      <c r="B390" t="s">
        <v>309</v>
      </c>
      <c r="C390" t="s">
        <v>323</v>
      </c>
      <c r="D390" t="s">
        <v>35</v>
      </c>
      <c r="E390" t="s">
        <v>349</v>
      </c>
      <c r="F390" t="s">
        <v>399</v>
      </c>
      <c r="G390" t="s">
        <v>36</v>
      </c>
      <c r="H390" t="s">
        <v>43</v>
      </c>
      <c r="I390" s="187"/>
      <c r="J390" s="187">
        <v>349.71686071759626</v>
      </c>
      <c r="K390" s="187">
        <v>15.426722506610066</v>
      </c>
      <c r="L390" s="187">
        <v>3962.1330697209487</v>
      </c>
      <c r="M390" s="187">
        <v>4327.27685546875</v>
      </c>
      <c r="N390" s="187">
        <v>3962.133056640625</v>
      </c>
      <c r="O390" t="s">
        <v>849</v>
      </c>
    </row>
    <row r="391" spans="1:15" hidden="1" x14ac:dyDescent="0.45">
      <c r="A391" s="187">
        <v>2014</v>
      </c>
      <c r="B391" t="s">
        <v>310</v>
      </c>
      <c r="C391" t="s">
        <v>323</v>
      </c>
      <c r="D391" t="s">
        <v>35</v>
      </c>
      <c r="E391" t="s">
        <v>349</v>
      </c>
      <c r="F391" t="s">
        <v>399</v>
      </c>
      <c r="G391" t="s">
        <v>36</v>
      </c>
      <c r="H391" t="s">
        <v>43</v>
      </c>
      <c r="I391" s="187"/>
      <c r="J391" s="187">
        <v>345.23829754198107</v>
      </c>
      <c r="K391" s="187">
        <v>6.1896185278370934</v>
      </c>
      <c r="L391" s="187">
        <v>0</v>
      </c>
      <c r="M391" s="187">
        <v>351.42791748046875</v>
      </c>
      <c r="N391" s="187">
        <v>0</v>
      </c>
      <c r="O391" t="s">
        <v>850</v>
      </c>
    </row>
    <row r="392" spans="1:15" hidden="1" x14ac:dyDescent="0.45">
      <c r="A392" s="187">
        <v>2014</v>
      </c>
      <c r="B392" t="s">
        <v>310</v>
      </c>
      <c r="C392" t="s">
        <v>323</v>
      </c>
      <c r="D392" t="s">
        <v>35</v>
      </c>
      <c r="E392" t="s">
        <v>349</v>
      </c>
      <c r="F392" t="s">
        <v>400</v>
      </c>
      <c r="G392" t="s">
        <v>36</v>
      </c>
      <c r="H392" t="s">
        <v>43</v>
      </c>
      <c r="I392" s="187"/>
      <c r="J392" s="187">
        <v>170.00370712294523</v>
      </c>
      <c r="K392" s="187">
        <v>2.5943676734778358</v>
      </c>
      <c r="L392" s="187">
        <v>0</v>
      </c>
      <c r="M392" s="187">
        <v>172.59806823730469</v>
      </c>
      <c r="N392" s="187">
        <v>0</v>
      </c>
      <c r="O392" t="s">
        <v>851</v>
      </c>
    </row>
    <row r="393" spans="1:15" hidden="1" x14ac:dyDescent="0.45">
      <c r="A393" s="187">
        <v>2014</v>
      </c>
      <c r="B393" t="s">
        <v>309</v>
      </c>
      <c r="C393" t="s">
        <v>323</v>
      </c>
      <c r="D393" t="s">
        <v>35</v>
      </c>
      <c r="E393" t="s">
        <v>349</v>
      </c>
      <c r="F393" t="s">
        <v>400</v>
      </c>
      <c r="G393" t="s">
        <v>36</v>
      </c>
      <c r="H393" t="s">
        <v>43</v>
      </c>
      <c r="I393" s="187"/>
      <c r="J393" s="187">
        <v>172.20906020184665</v>
      </c>
      <c r="K393" s="187">
        <v>6.4660834910689786</v>
      </c>
      <c r="L393" s="187">
        <v>2841.44949333047</v>
      </c>
      <c r="M393" s="187">
        <v>3020.12451171875</v>
      </c>
      <c r="N393" s="187">
        <v>2841.449462890625</v>
      </c>
      <c r="O393" t="s">
        <v>852</v>
      </c>
    </row>
    <row r="394" spans="1:15" hidden="1" x14ac:dyDescent="0.45">
      <c r="A394" s="187">
        <v>2014</v>
      </c>
      <c r="B394" t="s">
        <v>309</v>
      </c>
      <c r="C394" t="s">
        <v>323</v>
      </c>
      <c r="D394" t="s">
        <v>35</v>
      </c>
      <c r="E394" t="s">
        <v>349</v>
      </c>
      <c r="F394" t="s">
        <v>401</v>
      </c>
      <c r="G394" t="s">
        <v>36</v>
      </c>
      <c r="H394" t="s">
        <v>43</v>
      </c>
      <c r="I394" s="187"/>
      <c r="J394" s="187">
        <v>0</v>
      </c>
      <c r="K394" s="187">
        <v>1.2274736581829758E-2</v>
      </c>
      <c r="L394" s="187">
        <v>0</v>
      </c>
      <c r="M394" s="187">
        <v>1.2274736538529396E-2</v>
      </c>
      <c r="N394" s="187">
        <v>0</v>
      </c>
      <c r="O394" t="s">
        <v>854</v>
      </c>
    </row>
    <row r="395" spans="1:15" hidden="1" x14ac:dyDescent="0.45">
      <c r="A395" s="187">
        <v>2014</v>
      </c>
      <c r="B395" t="s">
        <v>310</v>
      </c>
      <c r="C395" t="s">
        <v>323</v>
      </c>
      <c r="D395" t="s">
        <v>35</v>
      </c>
      <c r="E395" t="s">
        <v>349</v>
      </c>
      <c r="F395" t="s">
        <v>401</v>
      </c>
      <c r="G395" t="s">
        <v>36</v>
      </c>
      <c r="H395" t="s">
        <v>43</v>
      </c>
      <c r="I395" s="187"/>
      <c r="J395" s="187">
        <v>0</v>
      </c>
      <c r="K395" s="187">
        <v>4.9249564798134367E-3</v>
      </c>
      <c r="L395" s="187">
        <v>0</v>
      </c>
      <c r="M395" s="187">
        <v>4.9249567091464996E-3</v>
      </c>
      <c r="N395" s="187">
        <v>0</v>
      </c>
      <c r="O395" t="s">
        <v>853</v>
      </c>
    </row>
    <row r="396" spans="1:15" hidden="1" x14ac:dyDescent="0.45">
      <c r="A396" s="187">
        <v>2014</v>
      </c>
      <c r="B396" t="s">
        <v>309</v>
      </c>
      <c r="C396" t="s">
        <v>323</v>
      </c>
      <c r="D396" t="s">
        <v>35</v>
      </c>
      <c r="E396" t="s">
        <v>349</v>
      </c>
      <c r="F396" t="s">
        <v>402</v>
      </c>
      <c r="G396" t="s">
        <v>36</v>
      </c>
      <c r="H396" t="s">
        <v>43</v>
      </c>
      <c r="I396" s="187"/>
      <c r="J396" s="187">
        <v>0</v>
      </c>
      <c r="K396" s="187">
        <v>18.446406907185416</v>
      </c>
      <c r="L396" s="187">
        <v>270.23575600905167</v>
      </c>
      <c r="M396" s="187">
        <v>288.68215942382813</v>
      </c>
      <c r="N396" s="187">
        <v>270.23574829101563</v>
      </c>
      <c r="O396" t="s">
        <v>855</v>
      </c>
    </row>
    <row r="397" spans="1:15" hidden="1" x14ac:dyDescent="0.45">
      <c r="A397" s="187">
        <v>2014</v>
      </c>
      <c r="B397" t="s">
        <v>310</v>
      </c>
      <c r="C397" t="s">
        <v>323</v>
      </c>
      <c r="D397" t="s">
        <v>35</v>
      </c>
      <c r="E397" t="s">
        <v>349</v>
      </c>
      <c r="F397" t="s">
        <v>402</v>
      </c>
      <c r="G397" t="s">
        <v>36</v>
      </c>
      <c r="H397" t="s">
        <v>43</v>
      </c>
      <c r="I397" s="187"/>
      <c r="J397" s="187">
        <v>0</v>
      </c>
      <c r="K397" s="187">
        <v>26.404212006378312</v>
      </c>
      <c r="L397" s="187">
        <v>0</v>
      </c>
      <c r="M397" s="187">
        <v>26.404212951660156</v>
      </c>
      <c r="N397" s="187">
        <v>0</v>
      </c>
      <c r="O397" t="s">
        <v>856</v>
      </c>
    </row>
    <row r="398" spans="1:15" hidden="1" x14ac:dyDescent="0.45">
      <c r="A398" s="187">
        <v>2014</v>
      </c>
      <c r="B398" t="s">
        <v>310</v>
      </c>
      <c r="C398" t="s">
        <v>323</v>
      </c>
      <c r="D398" t="s">
        <v>35</v>
      </c>
      <c r="E398" t="s">
        <v>349</v>
      </c>
      <c r="F398" t="s">
        <v>403</v>
      </c>
      <c r="G398" t="s">
        <v>36</v>
      </c>
      <c r="H398" t="s">
        <v>43</v>
      </c>
      <c r="I398" s="187"/>
      <c r="J398" s="187">
        <v>0</v>
      </c>
      <c r="K398" s="187">
        <v>953.07343480985219</v>
      </c>
      <c r="L398" s="187">
        <v>6287.5217219009282</v>
      </c>
      <c r="M398" s="187">
        <v>7240.59521484375</v>
      </c>
      <c r="N398" s="187">
        <v>6287.521484375</v>
      </c>
      <c r="O398" t="s">
        <v>858</v>
      </c>
    </row>
    <row r="399" spans="1:15" hidden="1" x14ac:dyDescent="0.45">
      <c r="A399" s="187">
        <v>2014</v>
      </c>
      <c r="B399" t="s">
        <v>309</v>
      </c>
      <c r="C399" t="s">
        <v>323</v>
      </c>
      <c r="D399" t="s">
        <v>35</v>
      </c>
      <c r="E399" t="s">
        <v>349</v>
      </c>
      <c r="F399" t="s">
        <v>403</v>
      </c>
      <c r="G399" t="s">
        <v>36</v>
      </c>
      <c r="H399" t="s">
        <v>43</v>
      </c>
      <c r="I399" s="187"/>
      <c r="J399" s="187">
        <v>0</v>
      </c>
      <c r="K399" s="187">
        <v>1173.9430488186538</v>
      </c>
      <c r="L399" s="187">
        <v>3881.3272799339284</v>
      </c>
      <c r="M399" s="187">
        <v>5055.2705078125</v>
      </c>
      <c r="N399" s="187">
        <v>3881.327392578125</v>
      </c>
      <c r="O399" t="s">
        <v>857</v>
      </c>
    </row>
    <row r="400" spans="1:15" hidden="1" x14ac:dyDescent="0.45">
      <c r="A400" s="187">
        <v>2014</v>
      </c>
      <c r="B400" t="s">
        <v>310</v>
      </c>
      <c r="C400" t="s">
        <v>323</v>
      </c>
      <c r="D400" t="s">
        <v>35</v>
      </c>
      <c r="E400" t="s">
        <v>349</v>
      </c>
      <c r="F400" t="s">
        <v>404</v>
      </c>
      <c r="G400" t="s">
        <v>36</v>
      </c>
      <c r="H400" t="s">
        <v>43</v>
      </c>
      <c r="I400" s="187"/>
      <c r="J400" s="187">
        <v>0</v>
      </c>
      <c r="K400" s="187">
        <v>1452.4199899377477</v>
      </c>
      <c r="L400" s="187">
        <v>10835.774747851723</v>
      </c>
      <c r="M400" s="187">
        <v>12288.1943359375</v>
      </c>
      <c r="N400" s="187">
        <v>10835.7744140625</v>
      </c>
      <c r="O400" t="s">
        <v>860</v>
      </c>
    </row>
    <row r="401" spans="1:15" hidden="1" x14ac:dyDescent="0.45">
      <c r="A401" s="187">
        <v>2014</v>
      </c>
      <c r="B401" t="s">
        <v>309</v>
      </c>
      <c r="C401" t="s">
        <v>323</v>
      </c>
      <c r="D401" t="s">
        <v>35</v>
      </c>
      <c r="E401" t="s">
        <v>349</v>
      </c>
      <c r="F401" t="s">
        <v>404</v>
      </c>
      <c r="G401" t="s">
        <v>36</v>
      </c>
      <c r="H401" t="s">
        <v>43</v>
      </c>
      <c r="I401" s="187"/>
      <c r="J401" s="187">
        <v>0</v>
      </c>
      <c r="K401" s="187">
        <v>1685.379694310159</v>
      </c>
      <c r="L401" s="187">
        <v>5592.8204013245895</v>
      </c>
      <c r="M401" s="187">
        <v>7278.2001953125</v>
      </c>
      <c r="N401" s="187">
        <v>5592.8203125</v>
      </c>
      <c r="O401" t="s">
        <v>859</v>
      </c>
    </row>
    <row r="402" spans="1:15" hidden="1" x14ac:dyDescent="0.45">
      <c r="A402" s="187">
        <v>2014</v>
      </c>
      <c r="B402" t="s">
        <v>310</v>
      </c>
      <c r="C402" t="s">
        <v>323</v>
      </c>
      <c r="D402" t="s">
        <v>35</v>
      </c>
      <c r="E402" t="s">
        <v>349</v>
      </c>
      <c r="F402" t="s">
        <v>405</v>
      </c>
      <c r="G402" t="s">
        <v>36</v>
      </c>
      <c r="H402" t="s">
        <v>43</v>
      </c>
      <c r="I402" s="187"/>
      <c r="J402" s="187">
        <v>0</v>
      </c>
      <c r="K402" s="187">
        <v>399.47904682668729</v>
      </c>
      <c r="L402" s="187">
        <v>4357.3257856434884</v>
      </c>
      <c r="M402" s="187">
        <v>4756.8046875</v>
      </c>
      <c r="N402" s="187">
        <v>4357.32568359375</v>
      </c>
      <c r="O402" t="s">
        <v>861</v>
      </c>
    </row>
    <row r="403" spans="1:15" hidden="1" x14ac:dyDescent="0.45">
      <c r="A403" s="187">
        <v>2014</v>
      </c>
      <c r="B403" t="s">
        <v>309</v>
      </c>
      <c r="C403" t="s">
        <v>323</v>
      </c>
      <c r="D403" t="s">
        <v>35</v>
      </c>
      <c r="E403" t="s">
        <v>349</v>
      </c>
      <c r="F403" t="s">
        <v>405</v>
      </c>
      <c r="G403" t="s">
        <v>36</v>
      </c>
      <c r="H403" t="s">
        <v>43</v>
      </c>
      <c r="I403" s="187"/>
      <c r="J403" s="187">
        <v>0</v>
      </c>
      <c r="K403" s="187">
        <v>492.05615542568808</v>
      </c>
      <c r="L403" s="187">
        <v>1377.6724816147732</v>
      </c>
      <c r="M403" s="187">
        <v>1869.7286376953125</v>
      </c>
      <c r="N403" s="187">
        <v>1377.6724853515625</v>
      </c>
      <c r="O403" t="s">
        <v>862</v>
      </c>
    </row>
    <row r="404" spans="1:15" hidden="1" x14ac:dyDescent="0.45">
      <c r="A404" s="187">
        <v>2014</v>
      </c>
      <c r="B404" t="s">
        <v>309</v>
      </c>
      <c r="C404" t="s">
        <v>323</v>
      </c>
      <c r="D404" t="s">
        <v>35</v>
      </c>
      <c r="E404" t="s">
        <v>349</v>
      </c>
      <c r="F404" t="s">
        <v>406</v>
      </c>
      <c r="G404" t="s">
        <v>36</v>
      </c>
      <c r="H404" t="s">
        <v>43</v>
      </c>
      <c r="I404" s="187"/>
      <c r="J404" s="187">
        <v>0</v>
      </c>
      <c r="K404" s="187">
        <v>0.93408315863234892</v>
      </c>
      <c r="L404" s="187">
        <v>0</v>
      </c>
      <c r="M404" s="187">
        <v>0.93408316373825073</v>
      </c>
      <c r="N404" s="187">
        <v>0</v>
      </c>
      <c r="O404" t="s">
        <v>864</v>
      </c>
    </row>
    <row r="405" spans="1:15" hidden="1" x14ac:dyDescent="0.45">
      <c r="A405" s="187">
        <v>2014</v>
      </c>
      <c r="B405" t="s">
        <v>310</v>
      </c>
      <c r="C405" t="s">
        <v>323</v>
      </c>
      <c r="D405" t="s">
        <v>35</v>
      </c>
      <c r="E405" t="s">
        <v>349</v>
      </c>
      <c r="F405" t="s">
        <v>406</v>
      </c>
      <c r="G405" t="s">
        <v>36</v>
      </c>
      <c r="H405" t="s">
        <v>43</v>
      </c>
      <c r="I405" s="187"/>
      <c r="J405" s="187">
        <v>0</v>
      </c>
      <c r="K405" s="187">
        <v>0.37477944020410481</v>
      </c>
      <c r="L405" s="187">
        <v>143.84929064249212</v>
      </c>
      <c r="M405" s="187">
        <v>144.22407531738281</v>
      </c>
      <c r="N405" s="187">
        <v>143.84928894042969</v>
      </c>
      <c r="O405" t="s">
        <v>863</v>
      </c>
    </row>
    <row r="406" spans="1:15" hidden="1" x14ac:dyDescent="0.45">
      <c r="A406" s="187">
        <v>2014</v>
      </c>
      <c r="B406" t="s">
        <v>309</v>
      </c>
      <c r="C406" t="s">
        <v>323</v>
      </c>
      <c r="D406" t="s">
        <v>35</v>
      </c>
      <c r="E406" t="s">
        <v>349</v>
      </c>
      <c r="F406" t="s">
        <v>407</v>
      </c>
      <c r="G406" t="s">
        <v>36</v>
      </c>
      <c r="H406" t="s">
        <v>43</v>
      </c>
      <c r="I406" s="187"/>
      <c r="J406" s="187">
        <v>0</v>
      </c>
      <c r="K406" s="187">
        <v>0</v>
      </c>
      <c r="L406" s="187">
        <v>63.584883766835688</v>
      </c>
      <c r="M406" s="187">
        <v>63.584884643554688</v>
      </c>
      <c r="N406" s="187">
        <v>63.584884643554688</v>
      </c>
      <c r="O406" t="s">
        <v>865</v>
      </c>
    </row>
    <row r="407" spans="1:15" hidden="1" x14ac:dyDescent="0.45">
      <c r="A407" s="187">
        <v>2014</v>
      </c>
      <c r="B407" t="s">
        <v>310</v>
      </c>
      <c r="C407" t="s">
        <v>323</v>
      </c>
      <c r="D407" t="s">
        <v>35</v>
      </c>
      <c r="E407" t="s">
        <v>349</v>
      </c>
      <c r="F407" t="s">
        <v>407</v>
      </c>
      <c r="G407" t="s">
        <v>36</v>
      </c>
      <c r="H407" t="s">
        <v>43</v>
      </c>
      <c r="I407" s="187"/>
      <c r="J407" s="187">
        <v>0</v>
      </c>
      <c r="K407" s="187">
        <v>73.088516854626207</v>
      </c>
      <c r="L407" s="187">
        <v>47.077949664815598</v>
      </c>
      <c r="M407" s="187">
        <v>120.16646575927734</v>
      </c>
      <c r="N407" s="187">
        <v>47.077949523925781</v>
      </c>
      <c r="O407" t="s">
        <v>866</v>
      </c>
    </row>
    <row r="408" spans="1:15" hidden="1" x14ac:dyDescent="0.45">
      <c r="A408" s="187">
        <v>2014</v>
      </c>
      <c r="B408" t="s">
        <v>309</v>
      </c>
      <c r="C408" t="s">
        <v>323</v>
      </c>
      <c r="D408" t="s">
        <v>35</v>
      </c>
      <c r="E408" t="s">
        <v>349</v>
      </c>
      <c r="F408" t="s">
        <v>408</v>
      </c>
      <c r="G408" t="s">
        <v>36</v>
      </c>
      <c r="H408" t="s">
        <v>43</v>
      </c>
      <c r="I408" s="187"/>
      <c r="J408" s="187"/>
      <c r="K408" s="187">
        <v>448.86953884150574</v>
      </c>
      <c r="L408" s="187">
        <v>937.87703556082636</v>
      </c>
      <c r="M408" s="187">
        <v>1386.74658203125</v>
      </c>
      <c r="N408" s="187">
        <v>937.87701416015625</v>
      </c>
      <c r="O408" t="s">
        <v>867</v>
      </c>
    </row>
    <row r="409" spans="1:15" hidden="1" x14ac:dyDescent="0.45">
      <c r="A409" s="187">
        <v>2014</v>
      </c>
      <c r="B409" t="s">
        <v>310</v>
      </c>
      <c r="C409" t="s">
        <v>323</v>
      </c>
      <c r="D409" t="s">
        <v>35</v>
      </c>
      <c r="E409" t="s">
        <v>349</v>
      </c>
      <c r="F409" t="s">
        <v>408</v>
      </c>
      <c r="G409" t="s">
        <v>36</v>
      </c>
      <c r="H409" t="s">
        <v>43</v>
      </c>
      <c r="I409" s="187"/>
      <c r="J409" s="187">
        <v>0</v>
      </c>
      <c r="K409" s="187">
        <v>8.7706220225551448</v>
      </c>
      <c r="L409" s="187">
        <v>745.4008696929136</v>
      </c>
      <c r="M409" s="187">
        <v>754.1715087890625</v>
      </c>
      <c r="N409" s="187">
        <v>745.40087890625</v>
      </c>
      <c r="O409" t="s">
        <v>868</v>
      </c>
    </row>
    <row r="410" spans="1:15" hidden="1" x14ac:dyDescent="0.45">
      <c r="A410" s="187">
        <v>2014</v>
      </c>
      <c r="B410" t="s">
        <v>310</v>
      </c>
      <c r="C410" t="s">
        <v>323</v>
      </c>
      <c r="D410" t="s">
        <v>35</v>
      </c>
      <c r="E410" t="s">
        <v>349</v>
      </c>
      <c r="F410" t="s">
        <v>409</v>
      </c>
      <c r="G410" t="s">
        <v>36</v>
      </c>
      <c r="H410" t="s">
        <v>43</v>
      </c>
      <c r="I410" s="187"/>
      <c r="J410" s="187">
        <v>0</v>
      </c>
      <c r="K410" s="187">
        <v>0</v>
      </c>
      <c r="L410" s="187">
        <v>136.00296569835618</v>
      </c>
      <c r="M410" s="187">
        <v>136.00296020507813</v>
      </c>
      <c r="N410" s="187">
        <v>136.00296020507813</v>
      </c>
      <c r="O410" t="s">
        <v>869</v>
      </c>
    </row>
    <row r="411" spans="1:15" hidden="1" x14ac:dyDescent="0.45">
      <c r="A411" s="187">
        <v>2014</v>
      </c>
      <c r="B411" t="s">
        <v>309</v>
      </c>
      <c r="C411" t="s">
        <v>323</v>
      </c>
      <c r="D411" t="s">
        <v>35</v>
      </c>
      <c r="E411" t="s">
        <v>349</v>
      </c>
      <c r="F411" t="s">
        <v>409</v>
      </c>
      <c r="G411" t="s">
        <v>36</v>
      </c>
      <c r="H411" t="s">
        <v>43</v>
      </c>
      <c r="I411" s="187"/>
      <c r="J411" s="187"/>
      <c r="K411" s="187">
        <v>0</v>
      </c>
      <c r="L411" s="187">
        <v>31.792441883417844</v>
      </c>
      <c r="M411" s="187">
        <v>31.792442321777344</v>
      </c>
      <c r="N411" s="187">
        <v>31.792442321777344</v>
      </c>
      <c r="O411" t="s">
        <v>870</v>
      </c>
    </row>
    <row r="412" spans="1:15" hidden="1" x14ac:dyDescent="0.45">
      <c r="A412" s="187">
        <v>2014</v>
      </c>
      <c r="B412" t="s">
        <v>309</v>
      </c>
      <c r="C412" t="s">
        <v>323</v>
      </c>
      <c r="D412" t="s">
        <v>35</v>
      </c>
      <c r="E412" t="s">
        <v>349</v>
      </c>
      <c r="F412" t="s">
        <v>410</v>
      </c>
      <c r="G412" t="s">
        <v>36</v>
      </c>
      <c r="H412" t="s">
        <v>43</v>
      </c>
      <c r="I412" s="187"/>
      <c r="J412" s="187"/>
      <c r="K412" s="187">
        <v>0</v>
      </c>
      <c r="L412" s="187">
        <v>382.83398767948989</v>
      </c>
      <c r="M412" s="187">
        <v>382.833984375</v>
      </c>
      <c r="N412" s="187">
        <v>382.833984375</v>
      </c>
      <c r="O412" t="s">
        <v>872</v>
      </c>
    </row>
    <row r="413" spans="1:15" hidden="1" x14ac:dyDescent="0.45">
      <c r="A413" s="187">
        <v>2014</v>
      </c>
      <c r="B413" t="s">
        <v>310</v>
      </c>
      <c r="C413" t="s">
        <v>323</v>
      </c>
      <c r="D413" t="s">
        <v>35</v>
      </c>
      <c r="E413" t="s">
        <v>349</v>
      </c>
      <c r="F413" t="s">
        <v>410</v>
      </c>
      <c r="G413" t="s">
        <v>36</v>
      </c>
      <c r="H413" t="s">
        <v>43</v>
      </c>
      <c r="I413" s="187"/>
      <c r="J413" s="187">
        <v>0</v>
      </c>
      <c r="K413" s="187">
        <v>0</v>
      </c>
      <c r="L413" s="187">
        <v>554.47362938560593</v>
      </c>
      <c r="M413" s="187">
        <v>554.4736328125</v>
      </c>
      <c r="N413" s="187">
        <v>554.4736328125</v>
      </c>
      <c r="O413" t="s">
        <v>871</v>
      </c>
    </row>
    <row r="414" spans="1:15" hidden="1" x14ac:dyDescent="0.45">
      <c r="A414" s="187">
        <v>2014</v>
      </c>
      <c r="B414" t="s">
        <v>309</v>
      </c>
      <c r="C414" t="s">
        <v>323</v>
      </c>
      <c r="D414" t="s">
        <v>35</v>
      </c>
      <c r="E414" t="s">
        <v>349</v>
      </c>
      <c r="F414" t="s">
        <v>411</v>
      </c>
      <c r="G414" t="s">
        <v>36</v>
      </c>
      <c r="H414" t="s">
        <v>43</v>
      </c>
      <c r="I414" s="187"/>
      <c r="J414" s="187">
        <v>0</v>
      </c>
      <c r="K414" s="187">
        <v>448.86953884150574</v>
      </c>
      <c r="L414" s="187">
        <v>1352.503465123734</v>
      </c>
      <c r="M414" s="187">
        <v>1801.373046875</v>
      </c>
      <c r="N414" s="187">
        <v>1352.50341796875</v>
      </c>
      <c r="O414" t="s">
        <v>874</v>
      </c>
    </row>
    <row r="415" spans="1:15" hidden="1" x14ac:dyDescent="0.45">
      <c r="A415" s="187">
        <v>2014</v>
      </c>
      <c r="B415" t="s">
        <v>310</v>
      </c>
      <c r="C415" t="s">
        <v>323</v>
      </c>
      <c r="D415" t="s">
        <v>35</v>
      </c>
      <c r="E415" t="s">
        <v>349</v>
      </c>
      <c r="F415" t="s">
        <v>411</v>
      </c>
      <c r="G415" t="s">
        <v>36</v>
      </c>
      <c r="H415" t="s">
        <v>43</v>
      </c>
      <c r="I415" s="187"/>
      <c r="J415" s="187">
        <v>0</v>
      </c>
      <c r="K415" s="187">
        <v>8.7706220225551448</v>
      </c>
      <c r="L415" s="187">
        <v>1435.8774647768757</v>
      </c>
      <c r="M415" s="187">
        <v>1444.6480712890625</v>
      </c>
      <c r="N415" s="187">
        <v>1435.87744140625</v>
      </c>
      <c r="O415" t="s">
        <v>873</v>
      </c>
    </row>
    <row r="416" spans="1:15" hidden="1" x14ac:dyDescent="0.45">
      <c r="A416" s="187">
        <v>2014</v>
      </c>
      <c r="B416" t="s">
        <v>34</v>
      </c>
      <c r="C416" t="s">
        <v>324</v>
      </c>
      <c r="D416" t="s">
        <v>35</v>
      </c>
      <c r="E416" t="s">
        <v>348</v>
      </c>
      <c r="F416" t="s">
        <v>382</v>
      </c>
      <c r="G416" t="s">
        <v>36</v>
      </c>
      <c r="H416" t="s">
        <v>43</v>
      </c>
      <c r="I416" s="187"/>
      <c r="J416" s="187">
        <v>954.63623046875</v>
      </c>
      <c r="K416" s="187">
        <v>13899.6669921875</v>
      </c>
      <c r="L416" s="187">
        <v>42527.88671875</v>
      </c>
      <c r="M416" s="187">
        <v>57382.1875</v>
      </c>
      <c r="N416" s="187">
        <v>42527.88671875</v>
      </c>
      <c r="O416" t="s">
        <v>875</v>
      </c>
    </row>
    <row r="417" spans="1:15" hidden="1" x14ac:dyDescent="0.45">
      <c r="A417" s="187">
        <v>2014</v>
      </c>
      <c r="B417" t="s">
        <v>34</v>
      </c>
      <c r="C417" t="s">
        <v>324</v>
      </c>
      <c r="D417" t="s">
        <v>35</v>
      </c>
      <c r="E417" t="s">
        <v>348</v>
      </c>
      <c r="F417" t="s">
        <v>382</v>
      </c>
      <c r="G417" t="s">
        <v>37</v>
      </c>
      <c r="H417" t="s">
        <v>43</v>
      </c>
      <c r="I417" s="187"/>
      <c r="J417" s="187">
        <v>730</v>
      </c>
      <c r="K417" s="187">
        <v>10628.92564499457</v>
      </c>
      <c r="L417" s="187">
        <v>32520.617419999999</v>
      </c>
      <c r="M417" s="187">
        <v>43879.54296875</v>
      </c>
      <c r="N417" s="187">
        <v>32520.6171875</v>
      </c>
      <c r="O417" t="s">
        <v>876</v>
      </c>
    </row>
    <row r="418" spans="1:15" hidden="1" x14ac:dyDescent="0.45">
      <c r="A418" s="187">
        <v>2014</v>
      </c>
      <c r="B418" t="s">
        <v>34</v>
      </c>
      <c r="C418" t="s">
        <v>324</v>
      </c>
      <c r="D418" t="s">
        <v>35</v>
      </c>
      <c r="E418" t="s">
        <v>19</v>
      </c>
      <c r="F418" t="s">
        <v>19</v>
      </c>
      <c r="G418" t="s">
        <v>36</v>
      </c>
      <c r="H418" t="s">
        <v>43</v>
      </c>
      <c r="I418" s="187"/>
      <c r="J418" s="187">
        <v>13.077208518981934</v>
      </c>
      <c r="K418" s="187">
        <v>90.040023803710938</v>
      </c>
      <c r="L418" s="187">
        <v>2999.91162109375</v>
      </c>
      <c r="M418" s="187">
        <v>3103.02880859375</v>
      </c>
      <c r="N418" s="187">
        <v>2999.91162109375</v>
      </c>
      <c r="O418" t="s">
        <v>877</v>
      </c>
    </row>
    <row r="419" spans="1:15" hidden="1" x14ac:dyDescent="0.45">
      <c r="A419" s="187">
        <v>2014</v>
      </c>
      <c r="B419" t="s">
        <v>34</v>
      </c>
      <c r="C419" t="s">
        <v>324</v>
      </c>
      <c r="D419" t="s">
        <v>35</v>
      </c>
      <c r="E419" t="s">
        <v>19</v>
      </c>
      <c r="F419" t="s">
        <v>19</v>
      </c>
      <c r="G419" t="s">
        <v>37</v>
      </c>
      <c r="H419" t="s">
        <v>43</v>
      </c>
      <c r="I419" s="187"/>
      <c r="J419" s="187">
        <v>10</v>
      </c>
      <c r="K419" s="187">
        <v>68.852634800000004</v>
      </c>
      <c r="L419" s="187">
        <v>2294</v>
      </c>
      <c r="M419" s="187">
        <v>2372.8525390625</v>
      </c>
      <c r="N419" s="187">
        <v>2294</v>
      </c>
      <c r="O419" t="s">
        <v>878</v>
      </c>
    </row>
    <row r="420" spans="1:15" hidden="1" x14ac:dyDescent="0.45">
      <c r="A420" s="187">
        <v>2014</v>
      </c>
      <c r="B420" t="s">
        <v>34</v>
      </c>
      <c r="C420" t="s">
        <v>324</v>
      </c>
      <c r="D420" t="s">
        <v>35</v>
      </c>
      <c r="E420" t="s">
        <v>349</v>
      </c>
      <c r="F420" t="s">
        <v>349</v>
      </c>
      <c r="G420" t="s">
        <v>36</v>
      </c>
      <c r="H420" t="s">
        <v>43</v>
      </c>
      <c r="I420" s="187"/>
      <c r="J420" s="187">
        <v>559.70452880859375</v>
      </c>
      <c r="K420" s="187">
        <v>1114.8839111328125</v>
      </c>
      <c r="L420" s="187">
        <v>12666.583984375</v>
      </c>
      <c r="M420" s="187">
        <v>14341.171875</v>
      </c>
      <c r="N420" s="187">
        <v>12666.583984375</v>
      </c>
      <c r="O420" t="s">
        <v>879</v>
      </c>
    </row>
    <row r="421" spans="1:15" hidden="1" x14ac:dyDescent="0.45">
      <c r="A421" s="187">
        <v>2014</v>
      </c>
      <c r="B421" t="s">
        <v>34</v>
      </c>
      <c r="C421" t="s">
        <v>324</v>
      </c>
      <c r="D421" t="s">
        <v>35</v>
      </c>
      <c r="E421" t="s">
        <v>349</v>
      </c>
      <c r="F421" t="s">
        <v>349</v>
      </c>
      <c r="G421" t="s">
        <v>37</v>
      </c>
      <c r="H421" t="s">
        <v>43</v>
      </c>
      <c r="I421" s="187"/>
      <c r="J421" s="187">
        <v>428</v>
      </c>
      <c r="K421" s="187">
        <v>852.5397200000001</v>
      </c>
      <c r="L421" s="187">
        <v>9686</v>
      </c>
      <c r="M421" s="187">
        <v>10966.5400390625</v>
      </c>
      <c r="N421" s="187">
        <v>9686</v>
      </c>
      <c r="O421" t="s">
        <v>880</v>
      </c>
    </row>
    <row r="422" spans="1:15" hidden="1" x14ac:dyDescent="0.45">
      <c r="A422" s="187">
        <v>2014</v>
      </c>
      <c r="B422" t="s">
        <v>34</v>
      </c>
      <c r="C422" t="s">
        <v>324</v>
      </c>
      <c r="D422" t="s">
        <v>35</v>
      </c>
      <c r="E422" t="s">
        <v>14</v>
      </c>
      <c r="F422" t="s">
        <v>14</v>
      </c>
      <c r="G422" t="s">
        <v>36</v>
      </c>
      <c r="H422" t="s">
        <v>43</v>
      </c>
      <c r="I422" s="187"/>
      <c r="J422" s="187">
        <v>954.63623046875</v>
      </c>
      <c r="K422" s="187">
        <v>13716.2978515625</v>
      </c>
      <c r="L422" s="187">
        <v>37161.05859375</v>
      </c>
      <c r="M422" s="187">
        <v>51831.9921875</v>
      </c>
      <c r="N422" s="187">
        <v>37161.05859375</v>
      </c>
      <c r="O422" t="s">
        <v>881</v>
      </c>
    </row>
    <row r="423" spans="1:15" hidden="1" x14ac:dyDescent="0.45">
      <c r="A423" s="187">
        <v>2014</v>
      </c>
      <c r="B423" t="s">
        <v>34</v>
      </c>
      <c r="C423" t="s">
        <v>324</v>
      </c>
      <c r="D423" t="s">
        <v>35</v>
      </c>
      <c r="E423" t="s">
        <v>14</v>
      </c>
      <c r="F423" t="s">
        <v>14</v>
      </c>
      <c r="G423" t="s">
        <v>37</v>
      </c>
      <c r="H423" t="s">
        <v>43</v>
      </c>
      <c r="I423" s="187"/>
      <c r="J423" s="187">
        <v>730</v>
      </c>
      <c r="K423" s="187">
        <v>10488.704570722641</v>
      </c>
      <c r="L423" s="187">
        <v>28416.660169999999</v>
      </c>
      <c r="M423" s="187">
        <v>39635.36328125</v>
      </c>
      <c r="N423" s="187">
        <v>28416.66015625</v>
      </c>
      <c r="O423" t="s">
        <v>882</v>
      </c>
    </row>
    <row r="424" spans="1:15" hidden="1" x14ac:dyDescent="0.45">
      <c r="A424" s="187">
        <v>2014</v>
      </c>
      <c r="B424" t="s">
        <v>34</v>
      </c>
      <c r="C424" t="s">
        <v>324</v>
      </c>
      <c r="D424" t="s">
        <v>35</v>
      </c>
      <c r="E424" t="s">
        <v>16</v>
      </c>
      <c r="F424" t="s">
        <v>16</v>
      </c>
      <c r="G424" t="s">
        <v>36</v>
      </c>
      <c r="H424" t="s">
        <v>43</v>
      </c>
      <c r="I424" s="187"/>
      <c r="J424" s="187">
        <v>137.31068420410156</v>
      </c>
      <c r="K424" s="187">
        <v>5451.29638671875</v>
      </c>
      <c r="L424" s="187">
        <v>21337.412109375</v>
      </c>
      <c r="M424" s="187">
        <v>26926.01953125</v>
      </c>
      <c r="N424" s="187">
        <v>21337.412109375</v>
      </c>
      <c r="O424" t="s">
        <v>883</v>
      </c>
    </row>
    <row r="425" spans="1:15" hidden="1" x14ac:dyDescent="0.45">
      <c r="A425" s="187">
        <v>2014</v>
      </c>
      <c r="B425" t="s">
        <v>34</v>
      </c>
      <c r="C425" t="s">
        <v>324</v>
      </c>
      <c r="D425" t="s">
        <v>35</v>
      </c>
      <c r="E425" t="s">
        <v>16</v>
      </c>
      <c r="F425" t="s">
        <v>16</v>
      </c>
      <c r="G425" t="s">
        <v>37</v>
      </c>
      <c r="H425" t="s">
        <v>43</v>
      </c>
      <c r="I425" s="187"/>
      <c r="J425" s="187">
        <v>105</v>
      </c>
      <c r="K425" s="187">
        <v>4168.5474899999999</v>
      </c>
      <c r="L425" s="187">
        <v>16316.48928</v>
      </c>
      <c r="M425" s="187">
        <v>20590.037109375</v>
      </c>
      <c r="N425" s="187">
        <v>16316.4892578125</v>
      </c>
      <c r="O425" t="s">
        <v>884</v>
      </c>
    </row>
    <row r="426" spans="1:15" hidden="1" x14ac:dyDescent="0.45">
      <c r="A426" s="187">
        <v>2014</v>
      </c>
      <c r="B426" t="s">
        <v>34</v>
      </c>
      <c r="C426" t="s">
        <v>324</v>
      </c>
      <c r="D426" t="s">
        <v>35</v>
      </c>
      <c r="E426" t="s">
        <v>351</v>
      </c>
      <c r="F426" t="s">
        <v>351</v>
      </c>
      <c r="G426" t="s">
        <v>36</v>
      </c>
      <c r="H426" t="s">
        <v>43</v>
      </c>
      <c r="I426" s="187"/>
      <c r="J426" s="187">
        <v>0</v>
      </c>
      <c r="K426" s="187">
        <v>102.16161346435547</v>
      </c>
      <c r="L426" s="187">
        <v>147.77244567871094</v>
      </c>
      <c r="M426" s="187">
        <v>249.93405151367188</v>
      </c>
      <c r="N426" s="187">
        <v>147.77244567871094</v>
      </c>
      <c r="O426" t="s">
        <v>885</v>
      </c>
    </row>
    <row r="427" spans="1:15" hidden="1" x14ac:dyDescent="0.45">
      <c r="A427" s="187">
        <v>2014</v>
      </c>
      <c r="B427" t="s">
        <v>34</v>
      </c>
      <c r="C427" t="s">
        <v>324</v>
      </c>
      <c r="D427" t="s">
        <v>35</v>
      </c>
      <c r="E427" t="s">
        <v>351</v>
      </c>
      <c r="F427" t="s">
        <v>351</v>
      </c>
      <c r="G427" t="s">
        <v>37</v>
      </c>
      <c r="H427" t="s">
        <v>43</v>
      </c>
      <c r="I427" s="187"/>
      <c r="J427" s="187">
        <v>0</v>
      </c>
      <c r="K427" s="187">
        <v>78.121885728068762</v>
      </c>
      <c r="L427" s="187">
        <v>113</v>
      </c>
      <c r="M427" s="187">
        <v>191.12188720703125</v>
      </c>
      <c r="N427" s="187">
        <v>113</v>
      </c>
      <c r="O427" t="s">
        <v>886</v>
      </c>
    </row>
    <row r="428" spans="1:15" hidden="1" x14ac:dyDescent="0.45">
      <c r="A428" s="187">
        <v>2014</v>
      </c>
      <c r="B428" t="s">
        <v>34</v>
      </c>
      <c r="C428" t="s">
        <v>324</v>
      </c>
      <c r="D428" t="s">
        <v>35</v>
      </c>
      <c r="E428" t="s">
        <v>353</v>
      </c>
      <c r="F428" t="s">
        <v>383</v>
      </c>
      <c r="G428" t="s">
        <v>36</v>
      </c>
      <c r="H428" t="s">
        <v>43</v>
      </c>
      <c r="I428" s="187"/>
      <c r="J428" s="187">
        <v>823.8641357421875</v>
      </c>
      <c r="K428" s="187">
        <v>11880.0859375</v>
      </c>
      <c r="L428" s="187">
        <v>40827.8515625</v>
      </c>
      <c r="M428" s="187">
        <v>53531.80078125</v>
      </c>
      <c r="N428" s="187">
        <v>40827.8515625</v>
      </c>
      <c r="O428" t="s">
        <v>887</v>
      </c>
    </row>
    <row r="429" spans="1:15" hidden="1" x14ac:dyDescent="0.45">
      <c r="A429" s="187">
        <v>2014</v>
      </c>
      <c r="B429" t="s">
        <v>34</v>
      </c>
      <c r="C429" t="s">
        <v>324</v>
      </c>
      <c r="D429" t="s">
        <v>35</v>
      </c>
      <c r="E429" t="s">
        <v>353</v>
      </c>
      <c r="F429" t="s">
        <v>383</v>
      </c>
      <c r="G429" t="s">
        <v>37</v>
      </c>
      <c r="H429" t="s">
        <v>43</v>
      </c>
      <c r="I429" s="187"/>
      <c r="J429" s="187">
        <v>630</v>
      </c>
      <c r="K429" s="187">
        <v>9084.5731847999996</v>
      </c>
      <c r="L429" s="187">
        <v>31220.617419999999</v>
      </c>
      <c r="M429" s="187">
        <v>40935.19140625</v>
      </c>
      <c r="N429" s="187">
        <v>31220.6171875</v>
      </c>
      <c r="O429" t="s">
        <v>888</v>
      </c>
    </row>
    <row r="430" spans="1:15" hidden="1" x14ac:dyDescent="0.45">
      <c r="A430" s="187">
        <v>2014</v>
      </c>
      <c r="B430" t="s">
        <v>34</v>
      </c>
      <c r="C430" t="s">
        <v>324</v>
      </c>
      <c r="D430" t="s">
        <v>35</v>
      </c>
      <c r="E430" t="s">
        <v>38</v>
      </c>
      <c r="F430" t="s">
        <v>38</v>
      </c>
      <c r="G430" t="s">
        <v>36</v>
      </c>
      <c r="H430" t="s">
        <v>43</v>
      </c>
      <c r="I430" s="187"/>
      <c r="J430" s="187">
        <v>130.77207946777344</v>
      </c>
      <c r="K430" s="187">
        <v>2019.5819091796875</v>
      </c>
      <c r="L430" s="187">
        <v>1700.037109375</v>
      </c>
      <c r="M430" s="187">
        <v>3850.39111328125</v>
      </c>
      <c r="N430" s="187">
        <v>1700.037109375</v>
      </c>
      <c r="O430" t="s">
        <v>889</v>
      </c>
    </row>
    <row r="431" spans="1:15" hidden="1" x14ac:dyDescent="0.45">
      <c r="A431" s="187">
        <v>2014</v>
      </c>
      <c r="B431" t="s">
        <v>34</v>
      </c>
      <c r="C431" t="s">
        <v>324</v>
      </c>
      <c r="D431" t="s">
        <v>35</v>
      </c>
      <c r="E431" t="s">
        <v>38</v>
      </c>
      <c r="F431" t="s">
        <v>38</v>
      </c>
      <c r="G431" t="s">
        <v>37</v>
      </c>
      <c r="H431" t="s">
        <v>43</v>
      </c>
      <c r="I431" s="187"/>
      <c r="J431" s="187">
        <v>100</v>
      </c>
      <c r="K431" s="187">
        <v>1544.3524601945689</v>
      </c>
      <c r="L431" s="187">
        <v>1300</v>
      </c>
      <c r="M431" s="187">
        <v>2944.3525390625</v>
      </c>
      <c r="N431" s="187">
        <v>1300</v>
      </c>
      <c r="O431" t="s">
        <v>890</v>
      </c>
    </row>
    <row r="432" spans="1:15" hidden="1" x14ac:dyDescent="0.45">
      <c r="A432" s="187">
        <v>2014</v>
      </c>
      <c r="B432" t="s">
        <v>34</v>
      </c>
      <c r="C432" t="s">
        <v>324</v>
      </c>
      <c r="D432" t="s">
        <v>35</v>
      </c>
      <c r="E432" t="s">
        <v>354</v>
      </c>
      <c r="F432" t="s">
        <v>384</v>
      </c>
      <c r="G432" t="s">
        <v>36</v>
      </c>
      <c r="H432" t="s">
        <v>43</v>
      </c>
      <c r="I432" s="187"/>
      <c r="J432" s="187">
        <v>0</v>
      </c>
      <c r="K432" s="187">
        <v>0</v>
      </c>
      <c r="L432" s="187">
        <v>0</v>
      </c>
      <c r="M432" s="187">
        <v>0</v>
      </c>
      <c r="N432" s="187">
        <v>0</v>
      </c>
      <c r="O432" t="s">
        <v>891</v>
      </c>
    </row>
    <row r="433" spans="1:15" hidden="1" x14ac:dyDescent="0.45">
      <c r="A433" s="187">
        <v>2014</v>
      </c>
      <c r="B433" t="s">
        <v>34</v>
      </c>
      <c r="C433" t="s">
        <v>324</v>
      </c>
      <c r="D433" t="s">
        <v>35</v>
      </c>
      <c r="E433" t="s">
        <v>354</v>
      </c>
      <c r="F433" t="s">
        <v>384</v>
      </c>
      <c r="G433" t="s">
        <v>37</v>
      </c>
      <c r="H433" t="s">
        <v>43</v>
      </c>
      <c r="I433" s="187"/>
      <c r="J433" s="187">
        <v>0</v>
      </c>
      <c r="K433" s="187">
        <v>0</v>
      </c>
      <c r="L433" s="187">
        <v>0</v>
      </c>
      <c r="M433" s="187">
        <v>0</v>
      </c>
      <c r="N433" s="187">
        <v>0</v>
      </c>
      <c r="O433" t="s">
        <v>892</v>
      </c>
    </row>
    <row r="434" spans="1:15" hidden="1" x14ac:dyDescent="0.45">
      <c r="A434" s="187">
        <v>2014</v>
      </c>
      <c r="B434" t="s">
        <v>34</v>
      </c>
      <c r="C434" t="s">
        <v>324</v>
      </c>
      <c r="D434" t="s">
        <v>35</v>
      </c>
      <c r="E434" t="s">
        <v>354</v>
      </c>
      <c r="F434" t="s">
        <v>385</v>
      </c>
      <c r="G434" t="s">
        <v>36</v>
      </c>
      <c r="H434" t="s">
        <v>43</v>
      </c>
      <c r="I434" s="187"/>
      <c r="J434" s="187">
        <v>37.923904418945313</v>
      </c>
      <c r="K434" s="187">
        <v>1881.7742919921875</v>
      </c>
      <c r="L434" s="187">
        <v>1096.3865966796875</v>
      </c>
      <c r="M434" s="187">
        <v>3016.0849609375</v>
      </c>
      <c r="N434" s="187">
        <v>1096.3865966796875</v>
      </c>
      <c r="O434" t="s">
        <v>893</v>
      </c>
    </row>
    <row r="435" spans="1:15" hidden="1" x14ac:dyDescent="0.45">
      <c r="A435" s="187">
        <v>2014</v>
      </c>
      <c r="B435" t="s">
        <v>34</v>
      </c>
      <c r="C435" t="s">
        <v>324</v>
      </c>
      <c r="D435" t="s">
        <v>35</v>
      </c>
      <c r="E435" t="s">
        <v>354</v>
      </c>
      <c r="F435" t="s">
        <v>385</v>
      </c>
      <c r="G435" t="s">
        <v>37</v>
      </c>
      <c r="H435" t="s">
        <v>43</v>
      </c>
      <c r="I435" s="187"/>
      <c r="J435" s="187">
        <v>29</v>
      </c>
      <c r="K435" s="187">
        <v>1438.9725000000001</v>
      </c>
      <c r="L435" s="187">
        <v>838.39503000000002</v>
      </c>
      <c r="M435" s="187">
        <v>2306.36767578125</v>
      </c>
      <c r="N435" s="187">
        <v>838.39501953125</v>
      </c>
      <c r="O435" t="s">
        <v>894</v>
      </c>
    </row>
    <row r="436" spans="1:15" hidden="1" x14ac:dyDescent="0.45">
      <c r="A436" s="187">
        <v>2014</v>
      </c>
      <c r="B436" t="s">
        <v>34</v>
      </c>
      <c r="C436" t="s">
        <v>324</v>
      </c>
      <c r="D436" t="s">
        <v>35</v>
      </c>
      <c r="E436" t="s">
        <v>354</v>
      </c>
      <c r="F436" t="s">
        <v>386</v>
      </c>
      <c r="G436" t="s">
        <v>36</v>
      </c>
      <c r="H436" t="s">
        <v>43</v>
      </c>
      <c r="I436" s="187"/>
      <c r="J436" s="187">
        <v>39.231624603271484</v>
      </c>
      <c r="K436" s="187">
        <v>2924.454833984375</v>
      </c>
      <c r="L436" s="187">
        <v>854.900390625</v>
      </c>
      <c r="M436" s="187">
        <v>3818.5869140625</v>
      </c>
      <c r="N436" s="187">
        <v>854.900390625</v>
      </c>
      <c r="O436" t="s">
        <v>895</v>
      </c>
    </row>
    <row r="437" spans="1:15" hidden="1" x14ac:dyDescent="0.45">
      <c r="A437" s="187">
        <v>2014</v>
      </c>
      <c r="B437" t="s">
        <v>34</v>
      </c>
      <c r="C437" t="s">
        <v>324</v>
      </c>
      <c r="D437" t="s">
        <v>35</v>
      </c>
      <c r="E437" t="s">
        <v>354</v>
      </c>
      <c r="F437" t="s">
        <v>386</v>
      </c>
      <c r="G437" t="s">
        <v>37</v>
      </c>
      <c r="H437" t="s">
        <v>43</v>
      </c>
      <c r="I437" s="187"/>
      <c r="J437" s="187">
        <v>30</v>
      </c>
      <c r="K437" s="187">
        <v>2236.299</v>
      </c>
      <c r="L437" s="187">
        <v>653.73311000000001</v>
      </c>
      <c r="M437" s="187">
        <v>2920.0322265625</v>
      </c>
      <c r="N437" s="187">
        <v>653.73309326171875</v>
      </c>
      <c r="O437" t="s">
        <v>896</v>
      </c>
    </row>
    <row r="438" spans="1:15" hidden="1" x14ac:dyDescent="0.45">
      <c r="A438" s="187">
        <v>2014</v>
      </c>
      <c r="B438" t="s">
        <v>34</v>
      </c>
      <c r="C438" t="s">
        <v>324</v>
      </c>
      <c r="D438" t="s">
        <v>35</v>
      </c>
      <c r="E438" t="s">
        <v>354</v>
      </c>
      <c r="F438" t="s">
        <v>387</v>
      </c>
      <c r="G438" t="s">
        <v>36</v>
      </c>
      <c r="H438" t="s">
        <v>43</v>
      </c>
      <c r="I438" s="187"/>
      <c r="J438" s="187">
        <v>77.155525207519531</v>
      </c>
      <c r="K438" s="187">
        <v>4806.22900390625</v>
      </c>
      <c r="L438" s="187">
        <v>1951.2869873046875</v>
      </c>
      <c r="M438" s="187">
        <v>6834.671875</v>
      </c>
      <c r="N438" s="187">
        <v>1951.2869873046875</v>
      </c>
      <c r="O438" t="s">
        <v>897</v>
      </c>
    </row>
    <row r="439" spans="1:15" hidden="1" x14ac:dyDescent="0.45">
      <c r="A439" s="187">
        <v>2014</v>
      </c>
      <c r="B439" t="s">
        <v>34</v>
      </c>
      <c r="C439" t="s">
        <v>324</v>
      </c>
      <c r="D439" t="s">
        <v>35</v>
      </c>
      <c r="E439" t="s">
        <v>354</v>
      </c>
      <c r="F439" t="s">
        <v>387</v>
      </c>
      <c r="G439" t="s">
        <v>37</v>
      </c>
      <c r="H439" t="s">
        <v>43</v>
      </c>
      <c r="I439" s="187"/>
      <c r="J439" s="187">
        <v>59</v>
      </c>
      <c r="K439" s="187">
        <v>3675.2714999999998</v>
      </c>
      <c r="L439" s="187">
        <v>1492.12814</v>
      </c>
      <c r="M439" s="187">
        <v>5226.3994140625</v>
      </c>
      <c r="N439" s="187">
        <v>1492.128173828125</v>
      </c>
      <c r="O439" t="s">
        <v>898</v>
      </c>
    </row>
    <row r="440" spans="1:15" hidden="1" x14ac:dyDescent="0.45">
      <c r="A440" s="187">
        <v>2014</v>
      </c>
      <c r="B440" t="s">
        <v>34</v>
      </c>
      <c r="C440" t="s">
        <v>324</v>
      </c>
      <c r="D440" t="s">
        <v>35</v>
      </c>
      <c r="E440" t="s">
        <v>17</v>
      </c>
      <c r="F440" t="s">
        <v>17</v>
      </c>
      <c r="G440" t="s">
        <v>36</v>
      </c>
      <c r="H440" t="s">
        <v>43</v>
      </c>
      <c r="I440" s="187"/>
      <c r="J440" s="187">
        <v>36.616184234619141</v>
      </c>
      <c r="K440" s="187">
        <v>417.63613891601563</v>
      </c>
      <c r="L440" s="187">
        <v>1872.65625</v>
      </c>
      <c r="M440" s="187">
        <v>2326.90869140625</v>
      </c>
      <c r="N440" s="187">
        <v>1872.65625</v>
      </c>
      <c r="O440" t="s">
        <v>899</v>
      </c>
    </row>
    <row r="441" spans="1:15" hidden="1" x14ac:dyDescent="0.45">
      <c r="A441" s="187">
        <v>2014</v>
      </c>
      <c r="B441" t="s">
        <v>34</v>
      </c>
      <c r="C441" t="s">
        <v>324</v>
      </c>
      <c r="D441" t="s">
        <v>35</v>
      </c>
      <c r="E441" t="s">
        <v>17</v>
      </c>
      <c r="F441" t="s">
        <v>17</v>
      </c>
      <c r="G441" t="s">
        <v>37</v>
      </c>
      <c r="H441" t="s">
        <v>43</v>
      </c>
      <c r="I441" s="187"/>
      <c r="J441" s="187">
        <v>28</v>
      </c>
      <c r="K441" s="187">
        <v>319.36184000000009</v>
      </c>
      <c r="L441" s="187">
        <v>1432</v>
      </c>
      <c r="M441" s="187">
        <v>1779.36181640625</v>
      </c>
      <c r="N441" s="187">
        <v>1432</v>
      </c>
      <c r="O441" t="s">
        <v>900</v>
      </c>
    </row>
    <row r="442" spans="1:15" hidden="1" x14ac:dyDescent="0.45">
      <c r="A442" s="187">
        <v>2014</v>
      </c>
      <c r="B442" t="s">
        <v>34</v>
      </c>
      <c r="C442" t="s">
        <v>324</v>
      </c>
      <c r="D442" t="s">
        <v>35</v>
      </c>
      <c r="E442" t="s">
        <v>45</v>
      </c>
      <c r="F442" t="s">
        <v>45</v>
      </c>
      <c r="G442" t="s">
        <v>36</v>
      </c>
      <c r="H442" t="s">
        <v>43</v>
      </c>
      <c r="I442" s="187"/>
      <c r="J442" s="187">
        <v>0</v>
      </c>
      <c r="K442" s="187">
        <v>285.53164672851563</v>
      </c>
      <c r="L442" s="187">
        <v>5514.60302734375</v>
      </c>
      <c r="M442" s="187">
        <v>5800.134765625</v>
      </c>
      <c r="N442" s="187">
        <v>5514.60302734375</v>
      </c>
      <c r="O442" t="s">
        <v>901</v>
      </c>
    </row>
    <row r="443" spans="1:15" hidden="1" x14ac:dyDescent="0.45">
      <c r="A443" s="187">
        <v>2014</v>
      </c>
      <c r="B443" t="s">
        <v>34</v>
      </c>
      <c r="C443" t="s">
        <v>324</v>
      </c>
      <c r="D443" t="s">
        <v>35</v>
      </c>
      <c r="E443" t="s">
        <v>45</v>
      </c>
      <c r="F443" t="s">
        <v>45</v>
      </c>
      <c r="G443" t="s">
        <v>37</v>
      </c>
      <c r="H443" t="s">
        <v>43</v>
      </c>
      <c r="I443" s="187"/>
      <c r="J443" s="187">
        <v>0</v>
      </c>
      <c r="K443" s="187">
        <v>218.34296000000001</v>
      </c>
      <c r="L443" s="187">
        <v>4216.9572499999986</v>
      </c>
      <c r="M443" s="187">
        <v>4435.30029296875</v>
      </c>
      <c r="N443" s="187">
        <v>4216.95703125</v>
      </c>
      <c r="O443" t="s">
        <v>902</v>
      </c>
    </row>
    <row r="444" spans="1:15" hidden="1" x14ac:dyDescent="0.45">
      <c r="A444" s="187">
        <v>2014</v>
      </c>
      <c r="B444" t="s">
        <v>34</v>
      </c>
      <c r="C444" t="s">
        <v>324</v>
      </c>
      <c r="D444" t="s">
        <v>35</v>
      </c>
      <c r="E444" t="s">
        <v>356</v>
      </c>
      <c r="F444" t="s">
        <v>356</v>
      </c>
      <c r="G444" t="s">
        <v>36</v>
      </c>
      <c r="H444" t="s">
        <v>43</v>
      </c>
      <c r="I444" s="187"/>
      <c r="J444" s="187">
        <v>0</v>
      </c>
      <c r="K444" s="187"/>
      <c r="L444" s="187">
        <v>0</v>
      </c>
      <c r="M444" s="187">
        <v>0</v>
      </c>
      <c r="N444" s="187">
        <v>0</v>
      </c>
      <c r="O444" t="s">
        <v>903</v>
      </c>
    </row>
    <row r="445" spans="1:15" hidden="1" x14ac:dyDescent="0.45">
      <c r="A445" s="187">
        <v>2014</v>
      </c>
      <c r="B445" t="s">
        <v>34</v>
      </c>
      <c r="C445" t="s">
        <v>324</v>
      </c>
      <c r="D445" t="s">
        <v>35</v>
      </c>
      <c r="E445" t="s">
        <v>356</v>
      </c>
      <c r="F445" t="s">
        <v>356</v>
      </c>
      <c r="G445" t="s">
        <v>37</v>
      </c>
      <c r="H445" t="s">
        <v>43</v>
      </c>
      <c r="I445" s="187"/>
      <c r="J445" s="187">
        <v>0</v>
      </c>
      <c r="K445" s="187"/>
      <c r="L445" s="187">
        <v>0</v>
      </c>
      <c r="M445" s="187">
        <v>0</v>
      </c>
      <c r="N445" s="187">
        <v>0</v>
      </c>
      <c r="O445" t="s">
        <v>904</v>
      </c>
    </row>
    <row r="446" spans="1:15" hidden="1" x14ac:dyDescent="0.45">
      <c r="A446" s="187">
        <v>2014</v>
      </c>
      <c r="B446" t="s">
        <v>34</v>
      </c>
      <c r="C446" t="s">
        <v>325</v>
      </c>
      <c r="D446" t="s">
        <v>35</v>
      </c>
      <c r="E446" t="s">
        <v>357</v>
      </c>
      <c r="F446" t="s">
        <v>412</v>
      </c>
      <c r="G446" t="s">
        <v>36</v>
      </c>
      <c r="H446" t="s">
        <v>43</v>
      </c>
      <c r="I446" s="187"/>
      <c r="J446" s="187">
        <v>559.70452880859375</v>
      </c>
      <c r="K446" s="187">
        <v>1114.8839111328125</v>
      </c>
      <c r="L446" s="187">
        <v>12666.583984375</v>
      </c>
      <c r="M446" s="187">
        <v>14341.171875</v>
      </c>
      <c r="N446" s="187">
        <v>12666.583984375</v>
      </c>
      <c r="O446" t="s">
        <v>905</v>
      </c>
    </row>
    <row r="447" spans="1:15" hidden="1" x14ac:dyDescent="0.45">
      <c r="A447" s="187">
        <v>2014</v>
      </c>
      <c r="B447" t="s">
        <v>34</v>
      </c>
      <c r="C447" t="s">
        <v>325</v>
      </c>
      <c r="D447" t="s">
        <v>35</v>
      </c>
      <c r="E447" t="s">
        <v>357</v>
      </c>
      <c r="F447" t="s">
        <v>412</v>
      </c>
      <c r="G447" t="s">
        <v>37</v>
      </c>
      <c r="H447" t="s">
        <v>43</v>
      </c>
      <c r="I447" s="187"/>
      <c r="J447" s="187">
        <v>428</v>
      </c>
      <c r="K447" s="187">
        <v>852.5397200000001</v>
      </c>
      <c r="L447" s="187">
        <v>9686</v>
      </c>
      <c r="M447" s="187">
        <v>10966.5400390625</v>
      </c>
      <c r="N447" s="187">
        <v>9686</v>
      </c>
      <c r="O447" t="s">
        <v>906</v>
      </c>
    </row>
    <row r="448" spans="1:15" hidden="1" x14ac:dyDescent="0.45">
      <c r="A448" s="187">
        <v>2014</v>
      </c>
      <c r="B448" t="s">
        <v>34</v>
      </c>
      <c r="C448" t="s">
        <v>325</v>
      </c>
      <c r="D448" t="s">
        <v>35</v>
      </c>
      <c r="E448" t="s">
        <v>357</v>
      </c>
      <c r="F448" t="s">
        <v>413</v>
      </c>
      <c r="G448" t="s">
        <v>36</v>
      </c>
      <c r="H448" t="s">
        <v>43</v>
      </c>
      <c r="I448" s="187"/>
      <c r="J448" s="187">
        <v>559.70452880859375</v>
      </c>
      <c r="K448" s="187">
        <v>1114.8839111328125</v>
      </c>
      <c r="L448" s="187">
        <v>12666.583984375</v>
      </c>
      <c r="M448" s="187">
        <v>14341.171875</v>
      </c>
      <c r="N448" s="187">
        <v>12666.583984375</v>
      </c>
      <c r="O448" t="s">
        <v>907</v>
      </c>
    </row>
    <row r="449" spans="1:15" hidden="1" x14ac:dyDescent="0.45">
      <c r="A449" s="187">
        <v>2014</v>
      </c>
      <c r="B449" t="s">
        <v>34</v>
      </c>
      <c r="C449" t="s">
        <v>325</v>
      </c>
      <c r="D449" t="s">
        <v>35</v>
      </c>
      <c r="E449" t="s">
        <v>357</v>
      </c>
      <c r="F449" t="s">
        <v>413</v>
      </c>
      <c r="G449" t="s">
        <v>37</v>
      </c>
      <c r="H449" t="s">
        <v>43</v>
      </c>
      <c r="I449" s="187"/>
      <c r="J449" s="187">
        <v>428</v>
      </c>
      <c r="K449" s="187">
        <v>852.5397200000001</v>
      </c>
      <c r="L449" s="187">
        <v>9686</v>
      </c>
      <c r="M449" s="187">
        <v>10966.5400390625</v>
      </c>
      <c r="N449" s="187">
        <v>9686</v>
      </c>
      <c r="O449" t="s">
        <v>908</v>
      </c>
    </row>
    <row r="450" spans="1:15" hidden="1" x14ac:dyDescent="0.45">
      <c r="A450" s="187">
        <v>2014</v>
      </c>
      <c r="B450" t="s">
        <v>34</v>
      </c>
      <c r="C450" t="s">
        <v>325</v>
      </c>
      <c r="D450" t="s">
        <v>35</v>
      </c>
      <c r="E450" t="s">
        <v>357</v>
      </c>
      <c r="F450" t="s">
        <v>414</v>
      </c>
      <c r="G450" t="s">
        <v>36</v>
      </c>
      <c r="H450" t="s">
        <v>43</v>
      </c>
      <c r="I450" s="187"/>
      <c r="J450" s="187">
        <v>0</v>
      </c>
      <c r="K450" s="187">
        <v>0</v>
      </c>
      <c r="L450" s="187">
        <v>0</v>
      </c>
      <c r="M450" s="187">
        <v>0</v>
      </c>
      <c r="N450" s="187">
        <v>0</v>
      </c>
      <c r="O450" t="s">
        <v>909</v>
      </c>
    </row>
    <row r="451" spans="1:15" hidden="1" x14ac:dyDescent="0.45">
      <c r="A451" s="187">
        <v>2014</v>
      </c>
      <c r="B451" t="s">
        <v>34</v>
      </c>
      <c r="C451" t="s">
        <v>325</v>
      </c>
      <c r="D451" t="s">
        <v>35</v>
      </c>
      <c r="E451" t="s">
        <v>357</v>
      </c>
      <c r="F451" t="s">
        <v>414</v>
      </c>
      <c r="G451" t="s">
        <v>37</v>
      </c>
      <c r="H451" t="s">
        <v>43</v>
      </c>
      <c r="I451" s="187"/>
      <c r="J451" s="187">
        <v>0</v>
      </c>
      <c r="K451" s="187">
        <v>0</v>
      </c>
      <c r="L451" s="187">
        <v>0</v>
      </c>
      <c r="M451" s="187">
        <v>0</v>
      </c>
      <c r="N451" s="187">
        <v>0</v>
      </c>
      <c r="O451" t="s">
        <v>910</v>
      </c>
    </row>
    <row r="452" spans="1:15" hidden="1" x14ac:dyDescent="0.45">
      <c r="A452" s="187">
        <v>2014</v>
      </c>
      <c r="B452" t="s">
        <v>34</v>
      </c>
      <c r="C452" t="s">
        <v>325</v>
      </c>
      <c r="D452" t="s">
        <v>35</v>
      </c>
      <c r="E452" t="s">
        <v>357</v>
      </c>
      <c r="F452" t="s">
        <v>392</v>
      </c>
      <c r="G452" t="s">
        <v>36</v>
      </c>
      <c r="H452" t="s">
        <v>43</v>
      </c>
      <c r="I452" s="187"/>
      <c r="J452" s="187">
        <v>0</v>
      </c>
      <c r="K452" s="187">
        <v>86.516021728515625</v>
      </c>
      <c r="L452" s="187">
        <v>117.69487762451172</v>
      </c>
      <c r="M452" s="187">
        <v>204.21090698242188</v>
      </c>
      <c r="N452" s="187">
        <v>117.69487762451172</v>
      </c>
      <c r="O452" t="s">
        <v>911</v>
      </c>
    </row>
    <row r="453" spans="1:15" hidden="1" x14ac:dyDescent="0.45">
      <c r="A453" s="187">
        <v>2014</v>
      </c>
      <c r="B453" t="s">
        <v>34</v>
      </c>
      <c r="C453" t="s">
        <v>325</v>
      </c>
      <c r="D453" t="s">
        <v>35</v>
      </c>
      <c r="E453" t="s">
        <v>357</v>
      </c>
      <c r="F453" t="s">
        <v>392</v>
      </c>
      <c r="G453" t="s">
        <v>37</v>
      </c>
      <c r="H453" t="s">
        <v>43</v>
      </c>
      <c r="I453" s="187"/>
      <c r="J453" s="187">
        <v>0</v>
      </c>
      <c r="K453" s="187">
        <v>66.157870000000017</v>
      </c>
      <c r="L453" s="187">
        <v>90</v>
      </c>
      <c r="M453" s="187">
        <v>156.15786743164063</v>
      </c>
      <c r="N453" s="187">
        <v>90</v>
      </c>
      <c r="O453" t="s">
        <v>912</v>
      </c>
    </row>
    <row r="454" spans="1:15" hidden="1" x14ac:dyDescent="0.45">
      <c r="A454" s="187">
        <v>2014</v>
      </c>
      <c r="B454" t="s">
        <v>34</v>
      </c>
      <c r="C454" t="s">
        <v>325</v>
      </c>
      <c r="D454" t="s">
        <v>35</v>
      </c>
      <c r="E454" t="s">
        <v>357</v>
      </c>
      <c r="F454" t="s">
        <v>393</v>
      </c>
      <c r="G454" t="s">
        <v>36</v>
      </c>
      <c r="H454" t="s">
        <v>43</v>
      </c>
      <c r="I454" s="187"/>
      <c r="J454" s="187">
        <v>0</v>
      </c>
      <c r="K454" s="187">
        <v>0</v>
      </c>
      <c r="L454" s="187">
        <v>0</v>
      </c>
      <c r="M454" s="187">
        <v>0</v>
      </c>
      <c r="N454" s="187">
        <v>0</v>
      </c>
      <c r="O454" t="s">
        <v>913</v>
      </c>
    </row>
    <row r="455" spans="1:15" hidden="1" x14ac:dyDescent="0.45">
      <c r="A455" s="187">
        <v>2014</v>
      </c>
      <c r="B455" t="s">
        <v>34</v>
      </c>
      <c r="C455" t="s">
        <v>325</v>
      </c>
      <c r="D455" t="s">
        <v>35</v>
      </c>
      <c r="E455" t="s">
        <v>357</v>
      </c>
      <c r="F455" t="s">
        <v>393</v>
      </c>
      <c r="G455" t="s">
        <v>37</v>
      </c>
      <c r="H455" t="s">
        <v>43</v>
      </c>
      <c r="I455" s="187"/>
      <c r="J455" s="187">
        <v>0</v>
      </c>
      <c r="K455" s="187">
        <v>0</v>
      </c>
      <c r="L455" s="187">
        <v>0</v>
      </c>
      <c r="M455" s="187">
        <v>0</v>
      </c>
      <c r="N455" s="187">
        <v>0</v>
      </c>
      <c r="O455" t="s">
        <v>914</v>
      </c>
    </row>
    <row r="456" spans="1:15" hidden="1" x14ac:dyDescent="0.45">
      <c r="A456" s="187">
        <v>2014</v>
      </c>
      <c r="B456" t="s">
        <v>34</v>
      </c>
      <c r="C456" t="s">
        <v>325</v>
      </c>
      <c r="D456" t="s">
        <v>35</v>
      </c>
      <c r="E456" t="s">
        <v>357</v>
      </c>
      <c r="F456" t="s">
        <v>394</v>
      </c>
      <c r="G456" t="s">
        <v>36</v>
      </c>
      <c r="H456" t="s">
        <v>43</v>
      </c>
      <c r="I456" s="187"/>
      <c r="J456" s="187">
        <v>0</v>
      </c>
      <c r="K456" s="187">
        <v>0</v>
      </c>
      <c r="L456" s="187">
        <v>0</v>
      </c>
      <c r="M456" s="187">
        <v>0</v>
      </c>
      <c r="N456" s="187">
        <v>0</v>
      </c>
      <c r="O456" t="s">
        <v>915</v>
      </c>
    </row>
    <row r="457" spans="1:15" hidden="1" x14ac:dyDescent="0.45">
      <c r="A457" s="187">
        <v>2014</v>
      </c>
      <c r="B457" t="s">
        <v>34</v>
      </c>
      <c r="C457" t="s">
        <v>325</v>
      </c>
      <c r="D457" t="s">
        <v>35</v>
      </c>
      <c r="E457" t="s">
        <v>357</v>
      </c>
      <c r="F457" t="s">
        <v>394</v>
      </c>
      <c r="G457" t="s">
        <v>37</v>
      </c>
      <c r="H457" t="s">
        <v>43</v>
      </c>
      <c r="I457" s="187"/>
      <c r="J457" s="187">
        <v>0</v>
      </c>
      <c r="K457" s="187">
        <v>0</v>
      </c>
      <c r="L457" s="187">
        <v>0</v>
      </c>
      <c r="M457" s="187">
        <v>0</v>
      </c>
      <c r="N457" s="187">
        <v>0</v>
      </c>
      <c r="O457" t="s">
        <v>916</v>
      </c>
    </row>
    <row r="458" spans="1:15" hidden="1" x14ac:dyDescent="0.45">
      <c r="A458" s="187">
        <v>2014</v>
      </c>
      <c r="B458" t="s">
        <v>34</v>
      </c>
      <c r="C458" t="s">
        <v>325</v>
      </c>
      <c r="D458" t="s">
        <v>35</v>
      </c>
      <c r="E458" t="s">
        <v>357</v>
      </c>
      <c r="F458" t="s">
        <v>395</v>
      </c>
      <c r="G458" t="s">
        <v>36</v>
      </c>
      <c r="H458" t="s">
        <v>43</v>
      </c>
      <c r="I458" s="187"/>
      <c r="J458" s="187">
        <v>0</v>
      </c>
      <c r="K458" s="187">
        <v>302.70089721679688</v>
      </c>
      <c r="L458" s="187">
        <v>5.2308831214904785</v>
      </c>
      <c r="M458" s="187">
        <v>307.93179321289063</v>
      </c>
      <c r="N458" s="187">
        <v>5.2308831214904785</v>
      </c>
      <c r="O458" t="s">
        <v>917</v>
      </c>
    </row>
    <row r="459" spans="1:15" hidden="1" x14ac:dyDescent="0.45">
      <c r="A459" s="187">
        <v>2014</v>
      </c>
      <c r="B459" t="s">
        <v>34</v>
      </c>
      <c r="C459" t="s">
        <v>325</v>
      </c>
      <c r="D459" t="s">
        <v>35</v>
      </c>
      <c r="E459" t="s">
        <v>357</v>
      </c>
      <c r="F459" t="s">
        <v>395</v>
      </c>
      <c r="G459" t="s">
        <v>37</v>
      </c>
      <c r="H459" t="s">
        <v>43</v>
      </c>
      <c r="I459" s="187"/>
      <c r="J459" s="187">
        <v>0</v>
      </c>
      <c r="K459" s="187">
        <v>231.47210999999999</v>
      </c>
      <c r="L459" s="187">
        <v>4</v>
      </c>
      <c r="M459" s="187">
        <v>235.47210693359375</v>
      </c>
      <c r="N459" s="187">
        <v>4</v>
      </c>
      <c r="O459" t="s">
        <v>918</v>
      </c>
    </row>
    <row r="460" spans="1:15" hidden="1" x14ac:dyDescent="0.45">
      <c r="A460" s="187">
        <v>2014</v>
      </c>
      <c r="B460" t="s">
        <v>34</v>
      </c>
      <c r="C460" t="s">
        <v>325</v>
      </c>
      <c r="D460" t="s">
        <v>35</v>
      </c>
      <c r="E460" t="s">
        <v>357</v>
      </c>
      <c r="F460" t="s">
        <v>396</v>
      </c>
      <c r="G460" t="s">
        <v>36</v>
      </c>
      <c r="H460" t="s">
        <v>43</v>
      </c>
      <c r="I460" s="187"/>
      <c r="J460" s="187">
        <v>0</v>
      </c>
      <c r="K460" s="187">
        <v>105.93369293212891</v>
      </c>
      <c r="L460" s="187">
        <v>1224.0267333984375</v>
      </c>
      <c r="M460" s="187">
        <v>1329.96044921875</v>
      </c>
      <c r="N460" s="187">
        <v>1224.0267333984375</v>
      </c>
      <c r="O460" t="s">
        <v>919</v>
      </c>
    </row>
    <row r="461" spans="1:15" hidden="1" x14ac:dyDescent="0.45">
      <c r="A461" s="187">
        <v>2014</v>
      </c>
      <c r="B461" t="s">
        <v>34</v>
      </c>
      <c r="C461" t="s">
        <v>325</v>
      </c>
      <c r="D461" t="s">
        <v>35</v>
      </c>
      <c r="E461" t="s">
        <v>357</v>
      </c>
      <c r="F461" t="s">
        <v>396</v>
      </c>
      <c r="G461" t="s">
        <v>37</v>
      </c>
      <c r="H461" t="s">
        <v>43</v>
      </c>
      <c r="I461" s="187"/>
      <c r="J461" s="187">
        <v>0</v>
      </c>
      <c r="K461" s="187">
        <v>81.006350000000012</v>
      </c>
      <c r="L461" s="187">
        <v>936</v>
      </c>
      <c r="M461" s="187">
        <v>1017.00634765625</v>
      </c>
      <c r="N461" s="187">
        <v>936</v>
      </c>
      <c r="O461" t="s">
        <v>920</v>
      </c>
    </row>
    <row r="462" spans="1:15" hidden="1" x14ac:dyDescent="0.45">
      <c r="A462" s="187">
        <v>2014</v>
      </c>
      <c r="B462" t="s">
        <v>34</v>
      </c>
      <c r="C462" t="s">
        <v>325</v>
      </c>
      <c r="D462" t="s">
        <v>35</v>
      </c>
      <c r="E462" t="s">
        <v>357</v>
      </c>
      <c r="F462" t="s">
        <v>415</v>
      </c>
      <c r="G462" t="s">
        <v>36</v>
      </c>
      <c r="H462" t="s">
        <v>43</v>
      </c>
      <c r="I462" s="187"/>
      <c r="J462" s="187">
        <v>0</v>
      </c>
      <c r="K462" s="187">
        <v>495.15060424804688</v>
      </c>
      <c r="L462" s="187">
        <v>1346.952392578125</v>
      </c>
      <c r="M462" s="187">
        <v>1842.10302734375</v>
      </c>
      <c r="N462" s="187">
        <v>1346.952392578125</v>
      </c>
      <c r="O462" t="s">
        <v>921</v>
      </c>
    </row>
    <row r="463" spans="1:15" hidden="1" x14ac:dyDescent="0.45">
      <c r="A463" s="187">
        <v>2014</v>
      </c>
      <c r="B463" t="s">
        <v>34</v>
      </c>
      <c r="C463" t="s">
        <v>325</v>
      </c>
      <c r="D463" t="s">
        <v>35</v>
      </c>
      <c r="E463" t="s">
        <v>357</v>
      </c>
      <c r="F463" t="s">
        <v>415</v>
      </c>
      <c r="G463" t="s">
        <v>37</v>
      </c>
      <c r="H463" t="s">
        <v>43</v>
      </c>
      <c r="I463" s="187"/>
      <c r="J463" s="187">
        <v>0</v>
      </c>
      <c r="K463" s="187">
        <v>378.63632999999999</v>
      </c>
      <c r="L463" s="187">
        <v>1030</v>
      </c>
      <c r="M463" s="187">
        <v>1408.6363525390625</v>
      </c>
      <c r="N463" s="187">
        <v>1030</v>
      </c>
      <c r="O463" t="s">
        <v>922</v>
      </c>
    </row>
    <row r="464" spans="1:15" hidden="1" x14ac:dyDescent="0.45">
      <c r="A464" s="187">
        <v>2014</v>
      </c>
      <c r="B464" t="s">
        <v>34</v>
      </c>
      <c r="C464" t="s">
        <v>325</v>
      </c>
      <c r="D464" t="s">
        <v>35</v>
      </c>
      <c r="E464" t="s">
        <v>357</v>
      </c>
      <c r="F464" t="s">
        <v>416</v>
      </c>
      <c r="G464" t="s">
        <v>36</v>
      </c>
      <c r="H464" t="s">
        <v>43</v>
      </c>
      <c r="I464" s="187"/>
      <c r="J464" s="187">
        <v>0</v>
      </c>
      <c r="K464" s="187">
        <v>0</v>
      </c>
      <c r="L464" s="187">
        <v>0</v>
      </c>
      <c r="M464" s="187">
        <v>0</v>
      </c>
      <c r="N464" s="187">
        <v>0</v>
      </c>
      <c r="O464" t="s">
        <v>923</v>
      </c>
    </row>
    <row r="465" spans="1:15" hidden="1" x14ac:dyDescent="0.45">
      <c r="A465" s="187">
        <v>2014</v>
      </c>
      <c r="B465" t="s">
        <v>34</v>
      </c>
      <c r="C465" t="s">
        <v>325</v>
      </c>
      <c r="D465" t="s">
        <v>35</v>
      </c>
      <c r="E465" t="s">
        <v>357</v>
      </c>
      <c r="F465" t="s">
        <v>416</v>
      </c>
      <c r="G465" t="s">
        <v>37</v>
      </c>
      <c r="H465" t="s">
        <v>43</v>
      </c>
      <c r="I465" s="187"/>
      <c r="J465" s="187">
        <v>0</v>
      </c>
      <c r="K465" s="187">
        <v>0</v>
      </c>
      <c r="L465" s="187">
        <v>0</v>
      </c>
      <c r="M465" s="187">
        <v>0</v>
      </c>
      <c r="N465" s="187">
        <v>0</v>
      </c>
      <c r="O465" t="s">
        <v>924</v>
      </c>
    </row>
    <row r="466" spans="1:15" hidden="1" x14ac:dyDescent="0.45">
      <c r="A466" s="187">
        <v>2014</v>
      </c>
      <c r="B466" t="s">
        <v>34</v>
      </c>
      <c r="C466" t="s">
        <v>325</v>
      </c>
      <c r="D466" t="s">
        <v>35</v>
      </c>
      <c r="E466" t="s">
        <v>357</v>
      </c>
      <c r="F466" t="s">
        <v>417</v>
      </c>
      <c r="G466" t="s">
        <v>36</v>
      </c>
      <c r="H466" t="s">
        <v>43</v>
      </c>
      <c r="I466" s="187"/>
      <c r="J466" s="187">
        <v>380.5467529296875</v>
      </c>
      <c r="K466" s="187">
        <v>0</v>
      </c>
      <c r="L466" s="187">
        <v>0</v>
      </c>
      <c r="M466" s="187">
        <v>380.5467529296875</v>
      </c>
      <c r="N466" s="187">
        <v>0</v>
      </c>
      <c r="O466" t="s">
        <v>925</v>
      </c>
    </row>
    <row r="467" spans="1:15" hidden="1" x14ac:dyDescent="0.45">
      <c r="A467" s="187">
        <v>2014</v>
      </c>
      <c r="B467" t="s">
        <v>34</v>
      </c>
      <c r="C467" t="s">
        <v>325</v>
      </c>
      <c r="D467" t="s">
        <v>35</v>
      </c>
      <c r="E467" t="s">
        <v>357</v>
      </c>
      <c r="F467" t="s">
        <v>417</v>
      </c>
      <c r="G467" t="s">
        <v>37</v>
      </c>
      <c r="H467" t="s">
        <v>43</v>
      </c>
      <c r="I467" s="187"/>
      <c r="J467" s="187">
        <v>291</v>
      </c>
      <c r="K467" s="187">
        <v>0</v>
      </c>
      <c r="L467" s="187">
        <v>0</v>
      </c>
      <c r="M467" s="187">
        <v>291</v>
      </c>
      <c r="N467" s="187">
        <v>0</v>
      </c>
      <c r="O467" t="s">
        <v>926</v>
      </c>
    </row>
    <row r="468" spans="1:15" hidden="1" x14ac:dyDescent="0.45">
      <c r="A468" s="187">
        <v>2014</v>
      </c>
      <c r="B468" t="s">
        <v>34</v>
      </c>
      <c r="C468" t="s">
        <v>325</v>
      </c>
      <c r="D468" t="s">
        <v>35</v>
      </c>
      <c r="E468" t="s">
        <v>357</v>
      </c>
      <c r="F468" t="s">
        <v>418</v>
      </c>
      <c r="G468" t="s">
        <v>36</v>
      </c>
      <c r="H468" t="s">
        <v>43</v>
      </c>
      <c r="I468" s="187"/>
      <c r="J468" s="187">
        <v>153.00334167480469</v>
      </c>
      <c r="K468" s="187">
        <v>0</v>
      </c>
      <c r="L468" s="187">
        <v>0</v>
      </c>
      <c r="M468" s="187">
        <v>153.00334167480469</v>
      </c>
      <c r="N468" s="187">
        <v>0</v>
      </c>
      <c r="O468" t="s">
        <v>927</v>
      </c>
    </row>
    <row r="469" spans="1:15" hidden="1" x14ac:dyDescent="0.45">
      <c r="A469" s="187">
        <v>2014</v>
      </c>
      <c r="B469" t="s">
        <v>34</v>
      </c>
      <c r="C469" t="s">
        <v>325</v>
      </c>
      <c r="D469" t="s">
        <v>35</v>
      </c>
      <c r="E469" t="s">
        <v>357</v>
      </c>
      <c r="F469" t="s">
        <v>418</v>
      </c>
      <c r="G469" t="s">
        <v>37</v>
      </c>
      <c r="H469" t="s">
        <v>43</v>
      </c>
      <c r="I469" s="187"/>
      <c r="J469" s="187">
        <v>117</v>
      </c>
      <c r="K469" s="187">
        <v>0</v>
      </c>
      <c r="L469" s="187">
        <v>0</v>
      </c>
      <c r="M469" s="187">
        <v>117</v>
      </c>
      <c r="N469" s="187">
        <v>0</v>
      </c>
      <c r="O469" t="s">
        <v>928</v>
      </c>
    </row>
    <row r="470" spans="1:15" hidden="1" x14ac:dyDescent="0.45">
      <c r="A470" s="187">
        <v>2014</v>
      </c>
      <c r="B470" t="s">
        <v>34</v>
      </c>
      <c r="C470" t="s">
        <v>325</v>
      </c>
      <c r="D470" t="s">
        <v>35</v>
      </c>
      <c r="E470" t="s">
        <v>357</v>
      </c>
      <c r="F470" t="s">
        <v>419</v>
      </c>
      <c r="G470" t="s">
        <v>36</v>
      </c>
      <c r="H470" t="s">
        <v>43</v>
      </c>
      <c r="I470" s="187"/>
      <c r="J470" s="187">
        <v>0</v>
      </c>
      <c r="K470" s="187">
        <v>0</v>
      </c>
      <c r="L470" s="187">
        <v>0</v>
      </c>
      <c r="M470" s="187">
        <v>0</v>
      </c>
      <c r="N470" s="187">
        <v>0</v>
      </c>
      <c r="O470" t="s">
        <v>929</v>
      </c>
    </row>
    <row r="471" spans="1:15" hidden="1" x14ac:dyDescent="0.45">
      <c r="A471" s="187">
        <v>2014</v>
      </c>
      <c r="B471" t="s">
        <v>34</v>
      </c>
      <c r="C471" t="s">
        <v>325</v>
      </c>
      <c r="D471" t="s">
        <v>35</v>
      </c>
      <c r="E471" t="s">
        <v>357</v>
      </c>
      <c r="F471" t="s">
        <v>419</v>
      </c>
      <c r="G471" t="s">
        <v>37</v>
      </c>
      <c r="H471" t="s">
        <v>43</v>
      </c>
      <c r="I471" s="187"/>
      <c r="J471" s="187">
        <v>0</v>
      </c>
      <c r="K471" s="187">
        <v>0</v>
      </c>
      <c r="L471" s="187">
        <v>0</v>
      </c>
      <c r="M471" s="187">
        <v>0</v>
      </c>
      <c r="N471" s="187">
        <v>0</v>
      </c>
      <c r="O471" t="s">
        <v>930</v>
      </c>
    </row>
    <row r="472" spans="1:15" hidden="1" x14ac:dyDescent="0.45">
      <c r="A472" s="187">
        <v>2014</v>
      </c>
      <c r="B472" t="s">
        <v>34</v>
      </c>
      <c r="C472" t="s">
        <v>325</v>
      </c>
      <c r="D472" t="s">
        <v>35</v>
      </c>
      <c r="E472" t="s">
        <v>357</v>
      </c>
      <c r="F472" t="s">
        <v>420</v>
      </c>
      <c r="G472" t="s">
        <v>36</v>
      </c>
      <c r="H472" t="s">
        <v>43</v>
      </c>
      <c r="I472" s="187"/>
      <c r="J472" s="187">
        <v>533.55010986328125</v>
      </c>
      <c r="K472" s="187">
        <v>0</v>
      </c>
      <c r="L472" s="187">
        <v>0</v>
      </c>
      <c r="M472" s="187">
        <v>533.55010986328125</v>
      </c>
      <c r="N472" s="187">
        <v>0</v>
      </c>
      <c r="O472" t="s">
        <v>931</v>
      </c>
    </row>
    <row r="473" spans="1:15" hidden="1" x14ac:dyDescent="0.45">
      <c r="A473" s="187">
        <v>2014</v>
      </c>
      <c r="B473" t="s">
        <v>34</v>
      </c>
      <c r="C473" t="s">
        <v>325</v>
      </c>
      <c r="D473" t="s">
        <v>35</v>
      </c>
      <c r="E473" t="s">
        <v>357</v>
      </c>
      <c r="F473" t="s">
        <v>420</v>
      </c>
      <c r="G473" t="s">
        <v>37</v>
      </c>
      <c r="H473" t="s">
        <v>43</v>
      </c>
      <c r="I473" s="187"/>
      <c r="J473" s="187">
        <v>408</v>
      </c>
      <c r="K473" s="187">
        <v>0</v>
      </c>
      <c r="L473" s="187">
        <v>0</v>
      </c>
      <c r="M473" s="187">
        <v>408</v>
      </c>
      <c r="N473" s="187">
        <v>0</v>
      </c>
      <c r="O473" t="s">
        <v>932</v>
      </c>
    </row>
    <row r="474" spans="1:15" hidden="1" x14ac:dyDescent="0.45">
      <c r="A474" s="187">
        <v>2014</v>
      </c>
      <c r="B474" t="s">
        <v>34</v>
      </c>
      <c r="C474" t="s">
        <v>325</v>
      </c>
      <c r="D474" t="s">
        <v>35</v>
      </c>
      <c r="E474" t="s">
        <v>357</v>
      </c>
      <c r="F474" t="s">
        <v>402</v>
      </c>
      <c r="G474" t="s">
        <v>36</v>
      </c>
      <c r="H474" t="s">
        <v>43</v>
      </c>
      <c r="I474" s="187"/>
      <c r="J474" s="187">
        <v>0</v>
      </c>
      <c r="K474" s="187">
        <v>27.580879211425781</v>
      </c>
      <c r="L474" s="187">
        <v>0</v>
      </c>
      <c r="M474" s="187">
        <v>27.580879211425781</v>
      </c>
      <c r="N474" s="187">
        <v>0</v>
      </c>
      <c r="O474" t="s">
        <v>933</v>
      </c>
    </row>
    <row r="475" spans="1:15" hidden="1" x14ac:dyDescent="0.45">
      <c r="A475" s="187">
        <v>2014</v>
      </c>
      <c r="B475" t="s">
        <v>34</v>
      </c>
      <c r="C475" t="s">
        <v>325</v>
      </c>
      <c r="D475" t="s">
        <v>35</v>
      </c>
      <c r="E475" t="s">
        <v>357</v>
      </c>
      <c r="F475" t="s">
        <v>402</v>
      </c>
      <c r="G475" t="s">
        <v>37</v>
      </c>
      <c r="H475" t="s">
        <v>43</v>
      </c>
      <c r="I475" s="187"/>
      <c r="J475" s="187">
        <v>0</v>
      </c>
      <c r="K475" s="187">
        <v>21.090800000000002</v>
      </c>
      <c r="L475" s="187">
        <v>0</v>
      </c>
      <c r="M475" s="187">
        <v>21.090799331665039</v>
      </c>
      <c r="N475" s="187">
        <v>0</v>
      </c>
      <c r="O475" t="s">
        <v>934</v>
      </c>
    </row>
    <row r="476" spans="1:15" hidden="1" x14ac:dyDescent="0.45">
      <c r="A476" s="187">
        <v>2014</v>
      </c>
      <c r="B476" t="s">
        <v>34</v>
      </c>
      <c r="C476" t="s">
        <v>325</v>
      </c>
      <c r="D476" t="s">
        <v>35</v>
      </c>
      <c r="E476" t="s">
        <v>357</v>
      </c>
      <c r="F476" t="s">
        <v>403</v>
      </c>
      <c r="G476" t="s">
        <v>36</v>
      </c>
      <c r="H476" t="s">
        <v>43</v>
      </c>
      <c r="I476" s="187"/>
      <c r="J476" s="187">
        <v>14.384928703308105</v>
      </c>
      <c r="K476" s="187">
        <v>384.94833374023438</v>
      </c>
      <c r="L476" s="187">
        <v>9758.212890625</v>
      </c>
      <c r="M476" s="187">
        <v>10157.5458984375</v>
      </c>
      <c r="N476" s="187">
        <v>9758.212890625</v>
      </c>
      <c r="O476" t="s">
        <v>935</v>
      </c>
    </row>
    <row r="477" spans="1:15" hidden="1" x14ac:dyDescent="0.45">
      <c r="A477" s="187">
        <v>2014</v>
      </c>
      <c r="B477" t="s">
        <v>34</v>
      </c>
      <c r="C477" t="s">
        <v>325</v>
      </c>
      <c r="D477" t="s">
        <v>35</v>
      </c>
      <c r="E477" t="s">
        <v>357</v>
      </c>
      <c r="F477" t="s">
        <v>403</v>
      </c>
      <c r="G477" t="s">
        <v>37</v>
      </c>
      <c r="H477" t="s">
        <v>43</v>
      </c>
      <c r="I477" s="187"/>
      <c r="J477" s="187">
        <v>11</v>
      </c>
      <c r="K477" s="187">
        <v>294.36583999999999</v>
      </c>
      <c r="L477" s="187">
        <v>7462</v>
      </c>
      <c r="M477" s="187">
        <v>7767.36572265625</v>
      </c>
      <c r="N477" s="187">
        <v>7462</v>
      </c>
      <c r="O477" t="s">
        <v>936</v>
      </c>
    </row>
    <row r="478" spans="1:15" hidden="1" x14ac:dyDescent="0.45">
      <c r="A478" s="187">
        <v>2014</v>
      </c>
      <c r="B478" t="s">
        <v>34</v>
      </c>
      <c r="C478" t="s">
        <v>325</v>
      </c>
      <c r="D478" t="s">
        <v>35</v>
      </c>
      <c r="E478" t="s">
        <v>357</v>
      </c>
      <c r="F478" t="s">
        <v>405</v>
      </c>
      <c r="G478" t="s">
        <v>36</v>
      </c>
      <c r="H478" t="s">
        <v>43</v>
      </c>
      <c r="I478" s="187"/>
      <c r="J478" s="187">
        <v>11.769487380981445</v>
      </c>
      <c r="K478" s="187">
        <v>65.446601867675781</v>
      </c>
      <c r="L478" s="187">
        <v>214.46621704101563</v>
      </c>
      <c r="M478" s="187">
        <v>291.68231201171875</v>
      </c>
      <c r="N478" s="187">
        <v>214.46621704101563</v>
      </c>
      <c r="O478" t="s">
        <v>937</v>
      </c>
    </row>
    <row r="479" spans="1:15" hidden="1" x14ac:dyDescent="0.45">
      <c r="A479" s="187">
        <v>2014</v>
      </c>
      <c r="B479" t="s">
        <v>34</v>
      </c>
      <c r="C479" t="s">
        <v>325</v>
      </c>
      <c r="D479" t="s">
        <v>35</v>
      </c>
      <c r="E479" t="s">
        <v>357</v>
      </c>
      <c r="F479" t="s">
        <v>405</v>
      </c>
      <c r="G479" t="s">
        <v>37</v>
      </c>
      <c r="H479" t="s">
        <v>43</v>
      </c>
      <c r="I479" s="187"/>
      <c r="J479" s="187">
        <v>9</v>
      </c>
      <c r="K479" s="187">
        <v>50.046310000000013</v>
      </c>
      <c r="L479" s="187">
        <v>164</v>
      </c>
      <c r="M479" s="187">
        <v>223.04631042480469</v>
      </c>
      <c r="N479" s="187">
        <v>164</v>
      </c>
      <c r="O479" t="s">
        <v>938</v>
      </c>
    </row>
    <row r="480" spans="1:15" hidden="1" x14ac:dyDescent="0.45">
      <c r="A480" s="187">
        <v>2014</v>
      </c>
      <c r="B480" t="s">
        <v>34</v>
      </c>
      <c r="C480" t="s">
        <v>325</v>
      </c>
      <c r="D480" t="s">
        <v>35</v>
      </c>
      <c r="E480" t="s">
        <v>357</v>
      </c>
      <c r="F480" t="s">
        <v>406</v>
      </c>
      <c r="G480" t="s">
        <v>36</v>
      </c>
      <c r="H480" t="s">
        <v>43</v>
      </c>
      <c r="I480" s="187"/>
      <c r="J480" s="187">
        <v>0</v>
      </c>
      <c r="K480" s="187">
        <v>125.04554748535156</v>
      </c>
      <c r="L480" s="187">
        <v>147.77244567871094</v>
      </c>
      <c r="M480" s="187">
        <v>272.8179931640625</v>
      </c>
      <c r="N480" s="187">
        <v>147.77244567871094</v>
      </c>
      <c r="O480" t="s">
        <v>939</v>
      </c>
    </row>
    <row r="481" spans="1:15" hidden="1" x14ac:dyDescent="0.45">
      <c r="A481" s="187">
        <v>2014</v>
      </c>
      <c r="B481" t="s">
        <v>34</v>
      </c>
      <c r="C481" t="s">
        <v>325</v>
      </c>
      <c r="D481" t="s">
        <v>35</v>
      </c>
      <c r="E481" t="s">
        <v>357</v>
      </c>
      <c r="F481" t="s">
        <v>406</v>
      </c>
      <c r="G481" t="s">
        <v>37</v>
      </c>
      <c r="H481" t="s">
        <v>43</v>
      </c>
      <c r="I481" s="187"/>
      <c r="J481" s="187">
        <v>0</v>
      </c>
      <c r="K481" s="187">
        <v>95.620980000000017</v>
      </c>
      <c r="L481" s="187">
        <v>113</v>
      </c>
      <c r="M481" s="187">
        <v>208.6209716796875</v>
      </c>
      <c r="N481" s="187">
        <v>113</v>
      </c>
      <c r="O481" t="s">
        <v>940</v>
      </c>
    </row>
    <row r="482" spans="1:15" hidden="1" x14ac:dyDescent="0.45">
      <c r="A482" s="187">
        <v>2014</v>
      </c>
      <c r="B482" t="s">
        <v>34</v>
      </c>
      <c r="C482" t="s">
        <v>325</v>
      </c>
      <c r="D482" t="s">
        <v>35</v>
      </c>
      <c r="E482" t="s">
        <v>357</v>
      </c>
      <c r="F482" t="s">
        <v>421</v>
      </c>
      <c r="G482" t="s">
        <v>36</v>
      </c>
      <c r="H482" t="s">
        <v>43</v>
      </c>
      <c r="I482" s="187"/>
      <c r="J482" s="187">
        <v>0</v>
      </c>
      <c r="K482" s="187">
        <v>0</v>
      </c>
      <c r="L482" s="187">
        <v>73.232368469238281</v>
      </c>
      <c r="M482" s="187">
        <v>73.232368469238281</v>
      </c>
      <c r="N482" s="187">
        <v>73.232368469238281</v>
      </c>
      <c r="O482" t="s">
        <v>941</v>
      </c>
    </row>
    <row r="483" spans="1:15" hidden="1" x14ac:dyDescent="0.45">
      <c r="A483" s="187">
        <v>2014</v>
      </c>
      <c r="B483" t="s">
        <v>34</v>
      </c>
      <c r="C483" t="s">
        <v>325</v>
      </c>
      <c r="D483" t="s">
        <v>35</v>
      </c>
      <c r="E483" t="s">
        <v>357</v>
      </c>
      <c r="F483" t="s">
        <v>421</v>
      </c>
      <c r="G483" t="s">
        <v>37</v>
      </c>
      <c r="H483" t="s">
        <v>43</v>
      </c>
      <c r="I483" s="187"/>
      <c r="J483" s="187">
        <v>0</v>
      </c>
      <c r="K483" s="187">
        <v>0</v>
      </c>
      <c r="L483" s="187">
        <v>56</v>
      </c>
      <c r="M483" s="187">
        <v>56</v>
      </c>
      <c r="N483" s="187">
        <v>56</v>
      </c>
      <c r="O483" t="s">
        <v>942</v>
      </c>
    </row>
    <row r="484" spans="1:15" hidden="1" x14ac:dyDescent="0.45">
      <c r="A484" s="187">
        <v>2014</v>
      </c>
      <c r="B484" t="s">
        <v>34</v>
      </c>
      <c r="C484" t="s">
        <v>325</v>
      </c>
      <c r="D484" t="s">
        <v>35</v>
      </c>
      <c r="E484" t="s">
        <v>357</v>
      </c>
      <c r="F484" t="s">
        <v>422</v>
      </c>
      <c r="G484" t="s">
        <v>36</v>
      </c>
      <c r="H484" t="s">
        <v>43</v>
      </c>
      <c r="I484" s="187"/>
      <c r="J484" s="187">
        <v>26.154417037963867</v>
      </c>
      <c r="K484" s="187">
        <v>603.0213623046875</v>
      </c>
      <c r="L484" s="187">
        <v>10193.68359375</v>
      </c>
      <c r="M484" s="187">
        <v>10822.859375</v>
      </c>
      <c r="N484" s="187">
        <v>10193.68359375</v>
      </c>
      <c r="O484" t="s">
        <v>943</v>
      </c>
    </row>
    <row r="485" spans="1:15" hidden="1" x14ac:dyDescent="0.45">
      <c r="A485" s="187">
        <v>2014</v>
      </c>
      <c r="B485" t="s">
        <v>34</v>
      </c>
      <c r="C485" t="s">
        <v>325</v>
      </c>
      <c r="D485" t="s">
        <v>35</v>
      </c>
      <c r="E485" t="s">
        <v>357</v>
      </c>
      <c r="F485" t="s">
        <v>422</v>
      </c>
      <c r="G485" t="s">
        <v>37</v>
      </c>
      <c r="H485" t="s">
        <v>43</v>
      </c>
      <c r="I485" s="187"/>
      <c r="J485" s="187">
        <v>20</v>
      </c>
      <c r="K485" s="187">
        <v>461.12393000000009</v>
      </c>
      <c r="L485" s="187">
        <v>7795</v>
      </c>
      <c r="M485" s="187">
        <v>8276.1240234375</v>
      </c>
      <c r="N485" s="187">
        <v>7795</v>
      </c>
      <c r="O485" t="s">
        <v>944</v>
      </c>
    </row>
    <row r="486" spans="1:15" hidden="1" x14ac:dyDescent="0.45">
      <c r="A486" s="187">
        <v>2014</v>
      </c>
      <c r="B486" t="s">
        <v>34</v>
      </c>
      <c r="C486" t="s">
        <v>325</v>
      </c>
      <c r="D486" t="s">
        <v>35</v>
      </c>
      <c r="E486" t="s">
        <v>357</v>
      </c>
      <c r="F486" t="s">
        <v>423</v>
      </c>
      <c r="G486" t="s">
        <v>36</v>
      </c>
      <c r="H486" t="s">
        <v>43</v>
      </c>
      <c r="I486" s="187"/>
      <c r="J486" s="187">
        <v>0</v>
      </c>
      <c r="K486" s="187">
        <v>116.22093200683594</v>
      </c>
      <c r="L486" s="187">
        <v>604.1669921875</v>
      </c>
      <c r="M486" s="187">
        <v>720.387939453125</v>
      </c>
      <c r="N486" s="187">
        <v>604.1669921875</v>
      </c>
      <c r="O486" t="s">
        <v>945</v>
      </c>
    </row>
    <row r="487" spans="1:15" hidden="1" x14ac:dyDescent="0.45">
      <c r="A487" s="187">
        <v>2014</v>
      </c>
      <c r="B487" t="s">
        <v>34</v>
      </c>
      <c r="C487" t="s">
        <v>325</v>
      </c>
      <c r="D487" t="s">
        <v>35</v>
      </c>
      <c r="E487" t="s">
        <v>357</v>
      </c>
      <c r="F487" t="s">
        <v>423</v>
      </c>
      <c r="G487" t="s">
        <v>37</v>
      </c>
      <c r="H487" t="s">
        <v>43</v>
      </c>
      <c r="I487" s="187"/>
      <c r="J487" s="187">
        <v>0</v>
      </c>
      <c r="K487" s="187">
        <v>88.872889999999998</v>
      </c>
      <c r="L487" s="187">
        <v>462</v>
      </c>
      <c r="M487" s="187">
        <v>550.87286376953125</v>
      </c>
      <c r="N487" s="187">
        <v>462</v>
      </c>
      <c r="O487" t="s">
        <v>946</v>
      </c>
    </row>
    <row r="488" spans="1:15" hidden="1" x14ac:dyDescent="0.45">
      <c r="A488" s="187">
        <v>2014</v>
      </c>
      <c r="B488" t="s">
        <v>34</v>
      </c>
      <c r="C488" t="s">
        <v>325</v>
      </c>
      <c r="D488" t="s">
        <v>35</v>
      </c>
      <c r="E488" t="s">
        <v>357</v>
      </c>
      <c r="F488" t="s">
        <v>424</v>
      </c>
      <c r="G488" t="s">
        <v>36</v>
      </c>
      <c r="H488" t="s">
        <v>43</v>
      </c>
      <c r="I488" s="187"/>
      <c r="J488" s="187">
        <v>0</v>
      </c>
      <c r="K488" s="187">
        <v>38.769947052001953</v>
      </c>
      <c r="L488" s="187">
        <v>125.54119873046875</v>
      </c>
      <c r="M488" s="187">
        <v>164.31114196777344</v>
      </c>
      <c r="N488" s="187">
        <v>125.54119873046875</v>
      </c>
      <c r="O488" t="s">
        <v>947</v>
      </c>
    </row>
    <row r="489" spans="1:15" hidden="1" x14ac:dyDescent="0.45">
      <c r="A489" s="187">
        <v>2014</v>
      </c>
      <c r="B489" t="s">
        <v>34</v>
      </c>
      <c r="C489" t="s">
        <v>325</v>
      </c>
      <c r="D489" t="s">
        <v>35</v>
      </c>
      <c r="E489" t="s">
        <v>357</v>
      </c>
      <c r="F489" t="s">
        <v>424</v>
      </c>
      <c r="G489" t="s">
        <v>37</v>
      </c>
      <c r="H489" t="s">
        <v>43</v>
      </c>
      <c r="I489" s="187"/>
      <c r="J489" s="187">
        <v>0</v>
      </c>
      <c r="K489" s="187">
        <v>29.64696</v>
      </c>
      <c r="L489" s="187">
        <v>96</v>
      </c>
      <c r="M489" s="187">
        <v>125.64695739746094</v>
      </c>
      <c r="N489" s="187">
        <v>96</v>
      </c>
      <c r="O489" t="s">
        <v>948</v>
      </c>
    </row>
    <row r="490" spans="1:15" hidden="1" x14ac:dyDescent="0.45">
      <c r="A490" s="187">
        <v>2014</v>
      </c>
      <c r="B490" t="s">
        <v>34</v>
      </c>
      <c r="C490" t="s">
        <v>325</v>
      </c>
      <c r="D490" t="s">
        <v>35</v>
      </c>
      <c r="E490" t="s">
        <v>357</v>
      </c>
      <c r="F490" t="s">
        <v>425</v>
      </c>
      <c r="G490" t="s">
        <v>36</v>
      </c>
      <c r="H490" t="s">
        <v>43</v>
      </c>
      <c r="I490" s="187"/>
      <c r="J490" s="187">
        <v>0</v>
      </c>
      <c r="K490" s="187">
        <v>-138.27891540527344</v>
      </c>
      <c r="L490" s="187">
        <v>396.23941040039063</v>
      </c>
      <c r="M490" s="187">
        <v>257.96051025390625</v>
      </c>
      <c r="N490" s="187">
        <v>396.23941040039063</v>
      </c>
      <c r="O490" t="s">
        <v>949</v>
      </c>
    </row>
    <row r="491" spans="1:15" hidden="1" x14ac:dyDescent="0.45">
      <c r="A491" s="187">
        <v>2014</v>
      </c>
      <c r="B491" t="s">
        <v>34</v>
      </c>
      <c r="C491" t="s">
        <v>325</v>
      </c>
      <c r="D491" t="s">
        <v>35</v>
      </c>
      <c r="E491" t="s">
        <v>357</v>
      </c>
      <c r="F491" t="s">
        <v>425</v>
      </c>
      <c r="G491" t="s">
        <v>37</v>
      </c>
      <c r="H491" t="s">
        <v>43</v>
      </c>
      <c r="I491" s="187"/>
      <c r="J491" s="187">
        <v>0</v>
      </c>
      <c r="K491" s="187">
        <v>-105.74039</v>
      </c>
      <c r="L491" s="187">
        <v>303</v>
      </c>
      <c r="M491" s="187">
        <v>197.25961303710938</v>
      </c>
      <c r="N491" s="187">
        <v>303</v>
      </c>
      <c r="O491" t="s">
        <v>950</v>
      </c>
    </row>
    <row r="492" spans="1:15" hidden="1" x14ac:dyDescent="0.45">
      <c r="A492" s="187">
        <v>2014</v>
      </c>
      <c r="B492" t="s">
        <v>34</v>
      </c>
      <c r="C492" t="s">
        <v>325</v>
      </c>
      <c r="D492" t="s">
        <v>35</v>
      </c>
      <c r="E492" t="s">
        <v>357</v>
      </c>
      <c r="F492" t="s">
        <v>426</v>
      </c>
      <c r="G492" t="s">
        <v>36</v>
      </c>
      <c r="H492" t="s">
        <v>43</v>
      </c>
      <c r="I492" s="187"/>
      <c r="J492" s="187">
        <v>0</v>
      </c>
      <c r="K492" s="187">
        <v>16.711965560913086</v>
      </c>
      <c r="L492" s="187">
        <v>1125.9476318359375</v>
      </c>
      <c r="M492" s="187">
        <v>1142.6595458984375</v>
      </c>
      <c r="N492" s="187">
        <v>1125.9476318359375</v>
      </c>
      <c r="O492" t="s">
        <v>951</v>
      </c>
    </row>
    <row r="493" spans="1:15" hidden="1" x14ac:dyDescent="0.45">
      <c r="A493" s="187">
        <v>2014</v>
      </c>
      <c r="B493" t="s">
        <v>34</v>
      </c>
      <c r="C493" t="s">
        <v>325</v>
      </c>
      <c r="D493" t="s">
        <v>35</v>
      </c>
      <c r="E493" t="s">
        <v>357</v>
      </c>
      <c r="F493" t="s">
        <v>426</v>
      </c>
      <c r="G493" t="s">
        <v>37</v>
      </c>
      <c r="H493" t="s">
        <v>43</v>
      </c>
      <c r="I493" s="187"/>
      <c r="J493" s="187">
        <v>0</v>
      </c>
      <c r="K493" s="187">
        <v>12.77946</v>
      </c>
      <c r="L493" s="187">
        <v>861</v>
      </c>
      <c r="M493" s="187">
        <v>873.77947998046875</v>
      </c>
      <c r="N493" s="187">
        <v>861</v>
      </c>
      <c r="O493" t="s">
        <v>952</v>
      </c>
    </row>
    <row r="494" spans="1:15" hidden="1" x14ac:dyDescent="0.45">
      <c r="A494" s="187">
        <v>2014</v>
      </c>
      <c r="B494" t="s">
        <v>34</v>
      </c>
      <c r="C494" t="s">
        <v>325</v>
      </c>
      <c r="D494" t="s">
        <v>35</v>
      </c>
      <c r="E494" t="s">
        <v>358</v>
      </c>
      <c r="F494" t="s">
        <v>427</v>
      </c>
      <c r="G494" t="s">
        <v>36</v>
      </c>
      <c r="H494" t="s">
        <v>43</v>
      </c>
      <c r="I494" s="187"/>
      <c r="J494" s="187">
        <v>0</v>
      </c>
      <c r="K494" s="187">
        <v>107.07932281494141</v>
      </c>
      <c r="L494" s="187">
        <v>0</v>
      </c>
      <c r="M494" s="187">
        <v>107.07932281494141</v>
      </c>
      <c r="N494" s="187">
        <v>0</v>
      </c>
      <c r="O494" t="s">
        <v>953</v>
      </c>
    </row>
    <row r="495" spans="1:15" hidden="1" x14ac:dyDescent="0.45">
      <c r="A495" s="187">
        <v>2014</v>
      </c>
      <c r="B495" t="s">
        <v>34</v>
      </c>
      <c r="C495" t="s">
        <v>325</v>
      </c>
      <c r="D495" t="s">
        <v>35</v>
      </c>
      <c r="E495" t="s">
        <v>358</v>
      </c>
      <c r="F495" t="s">
        <v>427</v>
      </c>
      <c r="G495" t="s">
        <v>37</v>
      </c>
      <c r="H495" t="s">
        <v>43</v>
      </c>
      <c r="I495" s="187"/>
      <c r="J495" s="187">
        <v>0</v>
      </c>
      <c r="K495" s="187">
        <v>81.882400000000004</v>
      </c>
      <c r="L495" s="187">
        <v>0</v>
      </c>
      <c r="M495" s="187">
        <v>81.882400512695313</v>
      </c>
      <c r="N495" s="187">
        <v>0</v>
      </c>
      <c r="O495" t="s">
        <v>954</v>
      </c>
    </row>
    <row r="496" spans="1:15" hidden="1" x14ac:dyDescent="0.45">
      <c r="A496" s="187">
        <v>2014</v>
      </c>
      <c r="B496" t="s">
        <v>34</v>
      </c>
      <c r="C496" t="s">
        <v>325</v>
      </c>
      <c r="D496" t="s">
        <v>35</v>
      </c>
      <c r="E496" t="s">
        <v>358</v>
      </c>
      <c r="F496" t="s">
        <v>392</v>
      </c>
      <c r="G496" t="s">
        <v>36</v>
      </c>
      <c r="H496" t="s">
        <v>43</v>
      </c>
      <c r="I496" s="187"/>
      <c r="J496" s="187">
        <v>0</v>
      </c>
      <c r="K496" s="187">
        <v>0</v>
      </c>
      <c r="L496" s="187">
        <v>108.54082489013672</v>
      </c>
      <c r="M496" s="187">
        <v>108.54082489013672</v>
      </c>
      <c r="N496" s="187">
        <v>108.54082489013672</v>
      </c>
      <c r="O496" t="s">
        <v>955</v>
      </c>
    </row>
    <row r="497" spans="1:15" hidden="1" x14ac:dyDescent="0.45">
      <c r="A497" s="187">
        <v>2014</v>
      </c>
      <c r="B497" t="s">
        <v>34</v>
      </c>
      <c r="C497" t="s">
        <v>325</v>
      </c>
      <c r="D497" t="s">
        <v>35</v>
      </c>
      <c r="E497" t="s">
        <v>358</v>
      </c>
      <c r="F497" t="s">
        <v>392</v>
      </c>
      <c r="G497" t="s">
        <v>37</v>
      </c>
      <c r="H497" t="s">
        <v>43</v>
      </c>
      <c r="I497" s="187"/>
      <c r="J497" s="187">
        <v>0</v>
      </c>
      <c r="K497" s="187">
        <v>0</v>
      </c>
      <c r="L497" s="187">
        <v>83</v>
      </c>
      <c r="M497" s="187">
        <v>83</v>
      </c>
      <c r="N497" s="187">
        <v>83</v>
      </c>
      <c r="O497" t="s">
        <v>956</v>
      </c>
    </row>
    <row r="498" spans="1:15" hidden="1" x14ac:dyDescent="0.45">
      <c r="A498" s="187">
        <v>2014</v>
      </c>
      <c r="B498" t="s">
        <v>34</v>
      </c>
      <c r="C498" t="s">
        <v>325</v>
      </c>
      <c r="D498" t="s">
        <v>35</v>
      </c>
      <c r="E498" t="s">
        <v>358</v>
      </c>
      <c r="F498" t="s">
        <v>393</v>
      </c>
      <c r="G498" t="s">
        <v>36</v>
      </c>
      <c r="H498" t="s">
        <v>43</v>
      </c>
      <c r="I498" s="187"/>
      <c r="J498" s="187">
        <v>0</v>
      </c>
      <c r="K498" s="187">
        <v>0</v>
      </c>
      <c r="L498" s="187">
        <v>0</v>
      </c>
      <c r="M498" s="187">
        <v>0</v>
      </c>
      <c r="N498" s="187">
        <v>0</v>
      </c>
      <c r="O498" t="s">
        <v>957</v>
      </c>
    </row>
    <row r="499" spans="1:15" hidden="1" x14ac:dyDescent="0.45">
      <c r="A499" s="187">
        <v>2014</v>
      </c>
      <c r="B499" t="s">
        <v>34</v>
      </c>
      <c r="C499" t="s">
        <v>325</v>
      </c>
      <c r="D499" t="s">
        <v>35</v>
      </c>
      <c r="E499" t="s">
        <v>358</v>
      </c>
      <c r="F499" t="s">
        <v>393</v>
      </c>
      <c r="G499" t="s">
        <v>37</v>
      </c>
      <c r="H499" t="s">
        <v>43</v>
      </c>
      <c r="I499" s="187"/>
      <c r="J499" s="187">
        <v>0</v>
      </c>
      <c r="K499" s="187">
        <v>0</v>
      </c>
      <c r="L499" s="187">
        <v>0</v>
      </c>
      <c r="M499" s="187">
        <v>0</v>
      </c>
      <c r="N499" s="187">
        <v>0</v>
      </c>
      <c r="O499" t="s">
        <v>958</v>
      </c>
    </row>
    <row r="500" spans="1:15" hidden="1" x14ac:dyDescent="0.45">
      <c r="A500" s="187">
        <v>2014</v>
      </c>
      <c r="B500" t="s">
        <v>34</v>
      </c>
      <c r="C500" t="s">
        <v>325</v>
      </c>
      <c r="D500" t="s">
        <v>35</v>
      </c>
      <c r="E500" t="s">
        <v>358</v>
      </c>
      <c r="F500" t="s">
        <v>394</v>
      </c>
      <c r="G500" t="s">
        <v>36</v>
      </c>
      <c r="H500" t="s">
        <v>43</v>
      </c>
      <c r="I500" s="187"/>
      <c r="J500" s="187">
        <v>0</v>
      </c>
      <c r="K500" s="187">
        <v>0</v>
      </c>
      <c r="L500" s="187">
        <v>0</v>
      </c>
      <c r="M500" s="187">
        <v>0</v>
      </c>
      <c r="N500" s="187">
        <v>0</v>
      </c>
      <c r="O500" t="s">
        <v>959</v>
      </c>
    </row>
    <row r="501" spans="1:15" hidden="1" x14ac:dyDescent="0.45">
      <c r="A501" s="187">
        <v>2014</v>
      </c>
      <c r="B501" t="s">
        <v>34</v>
      </c>
      <c r="C501" t="s">
        <v>325</v>
      </c>
      <c r="D501" t="s">
        <v>35</v>
      </c>
      <c r="E501" t="s">
        <v>358</v>
      </c>
      <c r="F501" t="s">
        <v>394</v>
      </c>
      <c r="G501" t="s">
        <v>37</v>
      </c>
      <c r="H501" t="s">
        <v>43</v>
      </c>
      <c r="I501" s="187"/>
      <c r="J501" s="187">
        <v>0</v>
      </c>
      <c r="K501" s="187">
        <v>0</v>
      </c>
      <c r="L501" s="187">
        <v>0</v>
      </c>
      <c r="M501" s="187">
        <v>0</v>
      </c>
      <c r="N501" s="187">
        <v>0</v>
      </c>
      <c r="O501" t="s">
        <v>960</v>
      </c>
    </row>
    <row r="502" spans="1:15" hidden="1" x14ac:dyDescent="0.45">
      <c r="A502" s="187">
        <v>2014</v>
      </c>
      <c r="B502" t="s">
        <v>34</v>
      </c>
      <c r="C502" t="s">
        <v>325</v>
      </c>
      <c r="D502" t="s">
        <v>35</v>
      </c>
      <c r="E502" t="s">
        <v>358</v>
      </c>
      <c r="F502" t="s">
        <v>395</v>
      </c>
      <c r="G502" t="s">
        <v>36</v>
      </c>
      <c r="H502" t="s">
        <v>43</v>
      </c>
      <c r="I502" s="187"/>
      <c r="J502" s="187">
        <v>0</v>
      </c>
      <c r="K502" s="187">
        <v>0</v>
      </c>
      <c r="L502" s="187">
        <v>0</v>
      </c>
      <c r="M502" s="187">
        <v>0</v>
      </c>
      <c r="N502" s="187">
        <v>0</v>
      </c>
      <c r="O502" t="s">
        <v>961</v>
      </c>
    </row>
    <row r="503" spans="1:15" hidden="1" x14ac:dyDescent="0.45">
      <c r="A503" s="187">
        <v>2014</v>
      </c>
      <c r="B503" t="s">
        <v>34</v>
      </c>
      <c r="C503" t="s">
        <v>325</v>
      </c>
      <c r="D503" t="s">
        <v>35</v>
      </c>
      <c r="E503" t="s">
        <v>358</v>
      </c>
      <c r="F503" t="s">
        <v>395</v>
      </c>
      <c r="G503" t="s">
        <v>37</v>
      </c>
      <c r="H503" t="s">
        <v>43</v>
      </c>
      <c r="I503" s="187"/>
      <c r="J503" s="187">
        <v>0</v>
      </c>
      <c r="K503" s="187">
        <v>0</v>
      </c>
      <c r="L503" s="187">
        <v>0</v>
      </c>
      <c r="M503" s="187">
        <v>0</v>
      </c>
      <c r="N503" s="187">
        <v>0</v>
      </c>
      <c r="O503" t="s">
        <v>962</v>
      </c>
    </row>
    <row r="504" spans="1:15" hidden="1" x14ac:dyDescent="0.45">
      <c r="A504" s="187">
        <v>2014</v>
      </c>
      <c r="B504" t="s">
        <v>34</v>
      </c>
      <c r="C504" t="s">
        <v>325</v>
      </c>
      <c r="D504" t="s">
        <v>35</v>
      </c>
      <c r="E504" t="s">
        <v>358</v>
      </c>
      <c r="F504" t="s">
        <v>396</v>
      </c>
      <c r="G504" t="s">
        <v>36</v>
      </c>
      <c r="H504" t="s">
        <v>43</v>
      </c>
      <c r="I504" s="187"/>
      <c r="J504" s="187">
        <v>0</v>
      </c>
      <c r="K504" s="187">
        <v>0</v>
      </c>
      <c r="L504" s="187">
        <v>912.78912353515625</v>
      </c>
      <c r="M504" s="187">
        <v>912.78912353515625</v>
      </c>
      <c r="N504" s="187">
        <v>912.78912353515625</v>
      </c>
      <c r="O504" t="s">
        <v>963</v>
      </c>
    </row>
    <row r="505" spans="1:15" hidden="1" x14ac:dyDescent="0.45">
      <c r="A505" s="187">
        <v>2014</v>
      </c>
      <c r="B505" t="s">
        <v>34</v>
      </c>
      <c r="C505" t="s">
        <v>325</v>
      </c>
      <c r="D505" t="s">
        <v>35</v>
      </c>
      <c r="E505" t="s">
        <v>358</v>
      </c>
      <c r="F505" t="s">
        <v>396</v>
      </c>
      <c r="G505" t="s">
        <v>37</v>
      </c>
      <c r="H505" t="s">
        <v>43</v>
      </c>
      <c r="I505" s="187"/>
      <c r="J505" s="187">
        <v>0</v>
      </c>
      <c r="K505" s="187">
        <v>0</v>
      </c>
      <c r="L505" s="187">
        <v>698</v>
      </c>
      <c r="M505" s="187">
        <v>698</v>
      </c>
      <c r="N505" s="187">
        <v>698</v>
      </c>
      <c r="O505" t="s">
        <v>964</v>
      </c>
    </row>
    <row r="506" spans="1:15" hidden="1" x14ac:dyDescent="0.45">
      <c r="A506" s="187">
        <v>2014</v>
      </c>
      <c r="B506" t="s">
        <v>34</v>
      </c>
      <c r="C506" t="s">
        <v>325</v>
      </c>
      <c r="D506" t="s">
        <v>35</v>
      </c>
      <c r="E506" t="s">
        <v>358</v>
      </c>
      <c r="F506" t="s">
        <v>415</v>
      </c>
      <c r="G506" t="s">
        <v>36</v>
      </c>
      <c r="H506" t="s">
        <v>43</v>
      </c>
      <c r="I506" s="187"/>
      <c r="J506" s="187">
        <v>0</v>
      </c>
      <c r="K506" s="187">
        <v>0</v>
      </c>
      <c r="L506" s="187">
        <v>1021.3299560546875</v>
      </c>
      <c r="M506" s="187">
        <v>1021.3299560546875</v>
      </c>
      <c r="N506" s="187">
        <v>1021.3299560546875</v>
      </c>
      <c r="O506" t="s">
        <v>965</v>
      </c>
    </row>
    <row r="507" spans="1:15" hidden="1" x14ac:dyDescent="0.45">
      <c r="A507" s="187">
        <v>2014</v>
      </c>
      <c r="B507" t="s">
        <v>34</v>
      </c>
      <c r="C507" t="s">
        <v>325</v>
      </c>
      <c r="D507" t="s">
        <v>35</v>
      </c>
      <c r="E507" t="s">
        <v>358</v>
      </c>
      <c r="F507" t="s">
        <v>415</v>
      </c>
      <c r="G507" t="s">
        <v>37</v>
      </c>
      <c r="H507" t="s">
        <v>43</v>
      </c>
      <c r="I507" s="187"/>
      <c r="J507" s="187">
        <v>0</v>
      </c>
      <c r="K507" s="187">
        <v>0</v>
      </c>
      <c r="L507" s="187">
        <v>781</v>
      </c>
      <c r="M507" s="187">
        <v>781</v>
      </c>
      <c r="N507" s="187">
        <v>781</v>
      </c>
      <c r="O507" t="s">
        <v>966</v>
      </c>
    </row>
    <row r="508" spans="1:15" hidden="1" x14ac:dyDescent="0.45">
      <c r="A508" s="187">
        <v>2014</v>
      </c>
      <c r="B508" t="s">
        <v>34</v>
      </c>
      <c r="C508" t="s">
        <v>325</v>
      </c>
      <c r="D508" t="s">
        <v>35</v>
      </c>
      <c r="E508" t="s">
        <v>358</v>
      </c>
      <c r="F508" t="s">
        <v>416</v>
      </c>
      <c r="G508" t="s">
        <v>36</v>
      </c>
      <c r="H508" t="s">
        <v>43</v>
      </c>
      <c r="I508" s="187"/>
      <c r="J508" s="187">
        <v>0</v>
      </c>
      <c r="K508" s="187">
        <v>0</v>
      </c>
      <c r="L508" s="187">
        <v>0</v>
      </c>
      <c r="M508" s="187">
        <v>0</v>
      </c>
      <c r="N508" s="187">
        <v>0</v>
      </c>
      <c r="O508" t="s">
        <v>967</v>
      </c>
    </row>
    <row r="509" spans="1:15" hidden="1" x14ac:dyDescent="0.45">
      <c r="A509" s="187">
        <v>2014</v>
      </c>
      <c r="B509" t="s">
        <v>34</v>
      </c>
      <c r="C509" t="s">
        <v>325</v>
      </c>
      <c r="D509" t="s">
        <v>35</v>
      </c>
      <c r="E509" t="s">
        <v>358</v>
      </c>
      <c r="F509" t="s">
        <v>416</v>
      </c>
      <c r="G509" t="s">
        <v>37</v>
      </c>
      <c r="H509" t="s">
        <v>43</v>
      </c>
      <c r="I509" s="187"/>
      <c r="J509" s="187">
        <v>0</v>
      </c>
      <c r="K509" s="187">
        <v>0</v>
      </c>
      <c r="L509" s="187">
        <v>0</v>
      </c>
      <c r="M509" s="187">
        <v>0</v>
      </c>
      <c r="N509" s="187">
        <v>0</v>
      </c>
      <c r="O509" t="s">
        <v>968</v>
      </c>
    </row>
    <row r="510" spans="1:15" hidden="1" x14ac:dyDescent="0.45">
      <c r="A510" s="187">
        <v>2014</v>
      </c>
      <c r="B510" t="s">
        <v>34</v>
      </c>
      <c r="C510" t="s">
        <v>325</v>
      </c>
      <c r="D510" t="s">
        <v>35</v>
      </c>
      <c r="E510" t="s">
        <v>358</v>
      </c>
      <c r="F510" t="s">
        <v>417</v>
      </c>
      <c r="G510" t="s">
        <v>36</v>
      </c>
      <c r="H510" t="s">
        <v>43</v>
      </c>
      <c r="I510" s="187"/>
      <c r="J510" s="187">
        <v>5.2308831214904785</v>
      </c>
      <c r="K510" s="187">
        <v>0</v>
      </c>
      <c r="L510" s="187">
        <v>0</v>
      </c>
      <c r="M510" s="187">
        <v>5.2308831214904785</v>
      </c>
      <c r="N510" s="187">
        <v>0</v>
      </c>
      <c r="O510" t="s">
        <v>969</v>
      </c>
    </row>
    <row r="511" spans="1:15" hidden="1" x14ac:dyDescent="0.45">
      <c r="A511" s="187">
        <v>2014</v>
      </c>
      <c r="B511" t="s">
        <v>34</v>
      </c>
      <c r="C511" t="s">
        <v>325</v>
      </c>
      <c r="D511" t="s">
        <v>35</v>
      </c>
      <c r="E511" t="s">
        <v>358</v>
      </c>
      <c r="F511" t="s">
        <v>417</v>
      </c>
      <c r="G511" t="s">
        <v>37</v>
      </c>
      <c r="H511" t="s">
        <v>43</v>
      </c>
      <c r="I511" s="187"/>
      <c r="J511" s="187">
        <v>4</v>
      </c>
      <c r="K511" s="187">
        <v>0</v>
      </c>
      <c r="L511" s="187">
        <v>0</v>
      </c>
      <c r="M511" s="187">
        <v>4</v>
      </c>
      <c r="N511" s="187">
        <v>0</v>
      </c>
      <c r="O511" t="s">
        <v>970</v>
      </c>
    </row>
    <row r="512" spans="1:15" hidden="1" x14ac:dyDescent="0.45">
      <c r="A512" s="187">
        <v>2014</v>
      </c>
      <c r="B512" t="s">
        <v>34</v>
      </c>
      <c r="C512" t="s">
        <v>325</v>
      </c>
      <c r="D512" t="s">
        <v>35</v>
      </c>
      <c r="E512" t="s">
        <v>358</v>
      </c>
      <c r="F512" t="s">
        <v>418</v>
      </c>
      <c r="G512" t="s">
        <v>36</v>
      </c>
      <c r="H512" t="s">
        <v>43</v>
      </c>
      <c r="I512" s="187"/>
      <c r="J512" s="187">
        <v>0</v>
      </c>
      <c r="K512" s="187">
        <v>0</v>
      </c>
      <c r="L512" s="187">
        <v>0</v>
      </c>
      <c r="M512" s="187">
        <v>0</v>
      </c>
      <c r="N512" s="187">
        <v>0</v>
      </c>
      <c r="O512" t="s">
        <v>971</v>
      </c>
    </row>
    <row r="513" spans="1:15" hidden="1" x14ac:dyDescent="0.45">
      <c r="A513" s="187">
        <v>2014</v>
      </c>
      <c r="B513" t="s">
        <v>34</v>
      </c>
      <c r="C513" t="s">
        <v>325</v>
      </c>
      <c r="D513" t="s">
        <v>35</v>
      </c>
      <c r="E513" t="s">
        <v>358</v>
      </c>
      <c r="F513" t="s">
        <v>418</v>
      </c>
      <c r="G513" t="s">
        <v>37</v>
      </c>
      <c r="H513" t="s">
        <v>43</v>
      </c>
      <c r="I513" s="187"/>
      <c r="J513" s="187">
        <v>0</v>
      </c>
      <c r="K513" s="187">
        <v>0</v>
      </c>
      <c r="L513" s="187">
        <v>0</v>
      </c>
      <c r="M513" s="187">
        <v>0</v>
      </c>
      <c r="N513" s="187">
        <v>0</v>
      </c>
      <c r="O513" t="s">
        <v>972</v>
      </c>
    </row>
    <row r="514" spans="1:15" hidden="1" x14ac:dyDescent="0.45">
      <c r="A514" s="187">
        <v>2014</v>
      </c>
      <c r="B514" t="s">
        <v>34</v>
      </c>
      <c r="C514" t="s">
        <v>325</v>
      </c>
      <c r="D514" t="s">
        <v>35</v>
      </c>
      <c r="E514" t="s">
        <v>358</v>
      </c>
      <c r="F514" t="s">
        <v>419</v>
      </c>
      <c r="G514" t="s">
        <v>36</v>
      </c>
      <c r="H514" t="s">
        <v>43</v>
      </c>
      <c r="I514" s="187"/>
      <c r="J514" s="187">
        <v>0</v>
      </c>
      <c r="K514" s="187">
        <v>0</v>
      </c>
      <c r="L514" s="187">
        <v>0</v>
      </c>
      <c r="M514" s="187">
        <v>0</v>
      </c>
      <c r="N514" s="187">
        <v>0</v>
      </c>
      <c r="O514" t="s">
        <v>973</v>
      </c>
    </row>
    <row r="515" spans="1:15" hidden="1" x14ac:dyDescent="0.45">
      <c r="A515" s="187">
        <v>2014</v>
      </c>
      <c r="B515" t="s">
        <v>34</v>
      </c>
      <c r="C515" t="s">
        <v>325</v>
      </c>
      <c r="D515" t="s">
        <v>35</v>
      </c>
      <c r="E515" t="s">
        <v>358</v>
      </c>
      <c r="F515" t="s">
        <v>419</v>
      </c>
      <c r="G515" t="s">
        <v>37</v>
      </c>
      <c r="H515" t="s">
        <v>43</v>
      </c>
      <c r="I515" s="187"/>
      <c r="J515" s="187">
        <v>0</v>
      </c>
      <c r="K515" s="187">
        <v>0</v>
      </c>
      <c r="L515" s="187">
        <v>0</v>
      </c>
      <c r="M515" s="187">
        <v>0</v>
      </c>
      <c r="N515" s="187">
        <v>0</v>
      </c>
      <c r="O515" t="s">
        <v>974</v>
      </c>
    </row>
    <row r="516" spans="1:15" hidden="1" x14ac:dyDescent="0.45">
      <c r="A516" s="187">
        <v>2014</v>
      </c>
      <c r="B516" t="s">
        <v>34</v>
      </c>
      <c r="C516" t="s">
        <v>325</v>
      </c>
      <c r="D516" t="s">
        <v>35</v>
      </c>
      <c r="E516" t="s">
        <v>358</v>
      </c>
      <c r="F516" t="s">
        <v>420</v>
      </c>
      <c r="G516" t="s">
        <v>36</v>
      </c>
      <c r="H516" t="s">
        <v>43</v>
      </c>
      <c r="I516" s="187"/>
      <c r="J516" s="187">
        <v>5.2308831214904785</v>
      </c>
      <c r="K516" s="187">
        <v>0</v>
      </c>
      <c r="L516" s="187">
        <v>0</v>
      </c>
      <c r="M516" s="187">
        <v>5.2308831214904785</v>
      </c>
      <c r="N516" s="187">
        <v>0</v>
      </c>
      <c r="O516" t="s">
        <v>975</v>
      </c>
    </row>
    <row r="517" spans="1:15" hidden="1" x14ac:dyDescent="0.45">
      <c r="A517" s="187">
        <v>2014</v>
      </c>
      <c r="B517" t="s">
        <v>34</v>
      </c>
      <c r="C517" t="s">
        <v>325</v>
      </c>
      <c r="D517" t="s">
        <v>35</v>
      </c>
      <c r="E517" t="s">
        <v>358</v>
      </c>
      <c r="F517" t="s">
        <v>420</v>
      </c>
      <c r="G517" t="s">
        <v>37</v>
      </c>
      <c r="H517" t="s">
        <v>43</v>
      </c>
      <c r="I517" s="187"/>
      <c r="J517" s="187">
        <v>4</v>
      </c>
      <c r="K517" s="187">
        <v>0</v>
      </c>
      <c r="L517" s="187">
        <v>0</v>
      </c>
      <c r="M517" s="187">
        <v>4</v>
      </c>
      <c r="N517" s="187">
        <v>0</v>
      </c>
      <c r="O517" t="s">
        <v>976</v>
      </c>
    </row>
    <row r="518" spans="1:15" hidden="1" x14ac:dyDescent="0.45">
      <c r="A518" s="187">
        <v>2014</v>
      </c>
      <c r="B518" t="s">
        <v>34</v>
      </c>
      <c r="C518" t="s">
        <v>325</v>
      </c>
      <c r="D518" t="s">
        <v>35</v>
      </c>
      <c r="E518" t="s">
        <v>358</v>
      </c>
      <c r="F518" t="s">
        <v>402</v>
      </c>
      <c r="G518" t="s">
        <v>36</v>
      </c>
      <c r="H518" t="s">
        <v>43</v>
      </c>
      <c r="I518" s="187"/>
      <c r="J518" s="187">
        <v>0</v>
      </c>
      <c r="K518" s="187">
        <v>0</v>
      </c>
      <c r="L518" s="187">
        <v>0</v>
      </c>
      <c r="M518" s="187">
        <v>0</v>
      </c>
      <c r="N518" s="187">
        <v>0</v>
      </c>
      <c r="O518" t="s">
        <v>977</v>
      </c>
    </row>
    <row r="519" spans="1:15" hidden="1" x14ac:dyDescent="0.45">
      <c r="A519" s="187">
        <v>2014</v>
      </c>
      <c r="B519" t="s">
        <v>34</v>
      </c>
      <c r="C519" t="s">
        <v>325</v>
      </c>
      <c r="D519" t="s">
        <v>35</v>
      </c>
      <c r="E519" t="s">
        <v>358</v>
      </c>
      <c r="F519" t="s">
        <v>402</v>
      </c>
      <c r="G519" t="s">
        <v>37</v>
      </c>
      <c r="H519" t="s">
        <v>43</v>
      </c>
      <c r="I519" s="187"/>
      <c r="J519" s="187">
        <v>0</v>
      </c>
      <c r="K519" s="187">
        <v>0</v>
      </c>
      <c r="L519" s="187">
        <v>0</v>
      </c>
      <c r="M519" s="187">
        <v>0</v>
      </c>
      <c r="N519" s="187">
        <v>0</v>
      </c>
      <c r="O519" t="s">
        <v>978</v>
      </c>
    </row>
    <row r="520" spans="1:15" hidden="1" x14ac:dyDescent="0.45">
      <c r="A520" s="187">
        <v>2014</v>
      </c>
      <c r="B520" t="s">
        <v>34</v>
      </c>
      <c r="C520" t="s">
        <v>325</v>
      </c>
      <c r="D520" t="s">
        <v>35</v>
      </c>
      <c r="E520" t="s">
        <v>358</v>
      </c>
      <c r="F520" t="s">
        <v>403</v>
      </c>
      <c r="G520" t="s">
        <v>36</v>
      </c>
      <c r="H520" t="s">
        <v>43</v>
      </c>
      <c r="I520" s="187"/>
      <c r="J520" s="187">
        <v>31.385299682617188</v>
      </c>
      <c r="K520" s="187">
        <v>687.24420166015625</v>
      </c>
      <c r="L520" s="187">
        <v>851.32623291015625</v>
      </c>
      <c r="M520" s="187">
        <v>1569.955810546875</v>
      </c>
      <c r="N520" s="187">
        <v>851.32623291015625</v>
      </c>
      <c r="O520" t="s">
        <v>979</v>
      </c>
    </row>
    <row r="521" spans="1:15" hidden="1" x14ac:dyDescent="0.45">
      <c r="A521" s="187">
        <v>2014</v>
      </c>
      <c r="B521" t="s">
        <v>34</v>
      </c>
      <c r="C521" t="s">
        <v>325</v>
      </c>
      <c r="D521" t="s">
        <v>35</v>
      </c>
      <c r="E521" t="s">
        <v>358</v>
      </c>
      <c r="F521" t="s">
        <v>403</v>
      </c>
      <c r="G521" t="s">
        <v>37</v>
      </c>
      <c r="H521" t="s">
        <v>43</v>
      </c>
      <c r="I521" s="187"/>
      <c r="J521" s="187">
        <v>24</v>
      </c>
      <c r="K521" s="187">
        <v>525.52822000000003</v>
      </c>
      <c r="L521" s="187">
        <v>651</v>
      </c>
      <c r="M521" s="187">
        <v>1200.5281982421875</v>
      </c>
      <c r="N521" s="187">
        <v>651</v>
      </c>
      <c r="O521" t="s">
        <v>980</v>
      </c>
    </row>
    <row r="522" spans="1:15" hidden="1" x14ac:dyDescent="0.45">
      <c r="A522" s="187">
        <v>2014</v>
      </c>
      <c r="B522" t="s">
        <v>34</v>
      </c>
      <c r="C522" t="s">
        <v>325</v>
      </c>
      <c r="D522" t="s">
        <v>35</v>
      </c>
      <c r="E522" t="s">
        <v>358</v>
      </c>
      <c r="F522" t="s">
        <v>405</v>
      </c>
      <c r="G522" t="s">
        <v>36</v>
      </c>
      <c r="H522" t="s">
        <v>43</v>
      </c>
      <c r="I522" s="187"/>
      <c r="J522" s="187">
        <v>0</v>
      </c>
      <c r="K522" s="187">
        <v>0</v>
      </c>
      <c r="L522" s="187">
        <v>0</v>
      </c>
      <c r="M522" s="187">
        <v>0</v>
      </c>
      <c r="N522" s="187">
        <v>0</v>
      </c>
      <c r="O522" t="s">
        <v>981</v>
      </c>
    </row>
    <row r="523" spans="1:15" hidden="1" x14ac:dyDescent="0.45">
      <c r="A523" s="187">
        <v>2014</v>
      </c>
      <c r="B523" t="s">
        <v>34</v>
      </c>
      <c r="C523" t="s">
        <v>325</v>
      </c>
      <c r="D523" t="s">
        <v>35</v>
      </c>
      <c r="E523" t="s">
        <v>358</v>
      </c>
      <c r="F523" t="s">
        <v>405</v>
      </c>
      <c r="G523" t="s">
        <v>37</v>
      </c>
      <c r="H523" t="s">
        <v>43</v>
      </c>
      <c r="I523" s="187"/>
      <c r="J523" s="187">
        <v>0</v>
      </c>
      <c r="K523" s="187">
        <v>0</v>
      </c>
      <c r="L523" s="187">
        <v>0</v>
      </c>
      <c r="M523" s="187">
        <v>0</v>
      </c>
      <c r="N523" s="187">
        <v>0</v>
      </c>
      <c r="O523" t="s">
        <v>982</v>
      </c>
    </row>
    <row r="524" spans="1:15" hidden="1" x14ac:dyDescent="0.45">
      <c r="A524" s="187">
        <v>2014</v>
      </c>
      <c r="B524" t="s">
        <v>34</v>
      </c>
      <c r="C524" t="s">
        <v>325</v>
      </c>
      <c r="D524" t="s">
        <v>35</v>
      </c>
      <c r="E524" t="s">
        <v>358</v>
      </c>
      <c r="F524" t="s">
        <v>406</v>
      </c>
      <c r="G524" t="s">
        <v>36</v>
      </c>
      <c r="H524" t="s">
        <v>43</v>
      </c>
      <c r="I524" s="187"/>
      <c r="J524" s="187">
        <v>0</v>
      </c>
      <c r="K524" s="187">
        <v>0</v>
      </c>
      <c r="L524" s="187">
        <v>0</v>
      </c>
      <c r="M524" s="187">
        <v>0</v>
      </c>
      <c r="N524" s="187">
        <v>0</v>
      </c>
      <c r="O524" t="s">
        <v>983</v>
      </c>
    </row>
    <row r="525" spans="1:15" hidden="1" x14ac:dyDescent="0.45">
      <c r="A525" s="187">
        <v>2014</v>
      </c>
      <c r="B525" t="s">
        <v>34</v>
      </c>
      <c r="C525" t="s">
        <v>325</v>
      </c>
      <c r="D525" t="s">
        <v>35</v>
      </c>
      <c r="E525" t="s">
        <v>358</v>
      </c>
      <c r="F525" t="s">
        <v>406</v>
      </c>
      <c r="G525" t="s">
        <v>37</v>
      </c>
      <c r="H525" t="s">
        <v>43</v>
      </c>
      <c r="I525" s="187"/>
      <c r="J525" s="187">
        <v>0</v>
      </c>
      <c r="K525" s="187">
        <v>0</v>
      </c>
      <c r="L525" s="187">
        <v>0</v>
      </c>
      <c r="M525" s="187">
        <v>0</v>
      </c>
      <c r="N525" s="187">
        <v>0</v>
      </c>
      <c r="O525" t="s">
        <v>984</v>
      </c>
    </row>
    <row r="526" spans="1:15" hidden="1" x14ac:dyDescent="0.45">
      <c r="A526" s="187">
        <v>2014</v>
      </c>
      <c r="B526" t="s">
        <v>34</v>
      </c>
      <c r="C526" t="s">
        <v>325</v>
      </c>
      <c r="D526" t="s">
        <v>35</v>
      </c>
      <c r="E526" t="s">
        <v>358</v>
      </c>
      <c r="F526" t="s">
        <v>421</v>
      </c>
      <c r="G526" t="s">
        <v>36</v>
      </c>
      <c r="H526" t="s">
        <v>43</v>
      </c>
      <c r="I526" s="187"/>
      <c r="J526" s="187">
        <v>0</v>
      </c>
      <c r="K526" s="187">
        <v>0</v>
      </c>
      <c r="L526" s="187">
        <v>0</v>
      </c>
      <c r="M526" s="187">
        <v>0</v>
      </c>
      <c r="N526" s="187">
        <v>0</v>
      </c>
      <c r="O526" t="s">
        <v>985</v>
      </c>
    </row>
    <row r="527" spans="1:15" hidden="1" x14ac:dyDescent="0.45">
      <c r="A527" s="187">
        <v>2014</v>
      </c>
      <c r="B527" t="s">
        <v>34</v>
      </c>
      <c r="C527" t="s">
        <v>325</v>
      </c>
      <c r="D527" t="s">
        <v>35</v>
      </c>
      <c r="E527" t="s">
        <v>358</v>
      </c>
      <c r="F527" t="s">
        <v>421</v>
      </c>
      <c r="G527" t="s">
        <v>37</v>
      </c>
      <c r="H527" t="s">
        <v>43</v>
      </c>
      <c r="I527" s="187"/>
      <c r="J527" s="187">
        <v>0</v>
      </c>
      <c r="K527" s="187">
        <v>0</v>
      </c>
      <c r="L527" s="187">
        <v>0</v>
      </c>
      <c r="M527" s="187">
        <v>0</v>
      </c>
      <c r="N527" s="187">
        <v>0</v>
      </c>
      <c r="O527" t="s">
        <v>986</v>
      </c>
    </row>
    <row r="528" spans="1:15" hidden="1" x14ac:dyDescent="0.45">
      <c r="A528" s="187">
        <v>2014</v>
      </c>
      <c r="B528" t="s">
        <v>34</v>
      </c>
      <c r="C528" t="s">
        <v>325</v>
      </c>
      <c r="D528" t="s">
        <v>35</v>
      </c>
      <c r="E528" t="s">
        <v>358</v>
      </c>
      <c r="F528" t="s">
        <v>422</v>
      </c>
      <c r="G528" t="s">
        <v>36</v>
      </c>
      <c r="H528" t="s">
        <v>43</v>
      </c>
      <c r="I528" s="187"/>
      <c r="J528" s="187">
        <v>31.385299682617188</v>
      </c>
      <c r="K528" s="187">
        <v>687.24420166015625</v>
      </c>
      <c r="L528" s="187">
        <v>851.32623291015625</v>
      </c>
      <c r="M528" s="187">
        <v>1569.955810546875</v>
      </c>
      <c r="N528" s="187">
        <v>851.32623291015625</v>
      </c>
      <c r="O528" t="s">
        <v>987</v>
      </c>
    </row>
    <row r="529" spans="1:15" hidden="1" x14ac:dyDescent="0.45">
      <c r="A529" s="187">
        <v>2014</v>
      </c>
      <c r="B529" t="s">
        <v>34</v>
      </c>
      <c r="C529" t="s">
        <v>325</v>
      </c>
      <c r="D529" t="s">
        <v>35</v>
      </c>
      <c r="E529" t="s">
        <v>358</v>
      </c>
      <c r="F529" t="s">
        <v>422</v>
      </c>
      <c r="G529" t="s">
        <v>37</v>
      </c>
      <c r="H529" t="s">
        <v>43</v>
      </c>
      <c r="I529" s="187"/>
      <c r="J529" s="187">
        <v>24</v>
      </c>
      <c r="K529" s="187">
        <v>525.52822000000003</v>
      </c>
      <c r="L529" s="187">
        <v>651</v>
      </c>
      <c r="M529" s="187">
        <v>1200.5281982421875</v>
      </c>
      <c r="N529" s="187">
        <v>651</v>
      </c>
      <c r="O529" t="s">
        <v>988</v>
      </c>
    </row>
    <row r="530" spans="1:15" hidden="1" x14ac:dyDescent="0.45">
      <c r="A530" s="187">
        <v>2014</v>
      </c>
      <c r="B530" t="s">
        <v>34</v>
      </c>
      <c r="C530" t="s">
        <v>325</v>
      </c>
      <c r="D530" t="s">
        <v>35</v>
      </c>
      <c r="E530" t="s">
        <v>358</v>
      </c>
      <c r="F530" t="s">
        <v>423</v>
      </c>
      <c r="G530" t="s">
        <v>36</v>
      </c>
      <c r="H530" t="s">
        <v>43</v>
      </c>
      <c r="I530" s="187"/>
      <c r="J530" s="187">
        <v>0</v>
      </c>
      <c r="K530" s="187">
        <v>20.294454574584961</v>
      </c>
      <c r="L530" s="187">
        <v>0</v>
      </c>
      <c r="M530" s="187">
        <v>20.294454574584961</v>
      </c>
      <c r="N530" s="187">
        <v>0</v>
      </c>
      <c r="O530" t="s">
        <v>989</v>
      </c>
    </row>
    <row r="531" spans="1:15" hidden="1" x14ac:dyDescent="0.45">
      <c r="A531" s="187">
        <v>2014</v>
      </c>
      <c r="B531" t="s">
        <v>34</v>
      </c>
      <c r="C531" t="s">
        <v>325</v>
      </c>
      <c r="D531" t="s">
        <v>35</v>
      </c>
      <c r="E531" t="s">
        <v>358</v>
      </c>
      <c r="F531" t="s">
        <v>423</v>
      </c>
      <c r="G531" t="s">
        <v>37</v>
      </c>
      <c r="H531" t="s">
        <v>43</v>
      </c>
      <c r="I531" s="187"/>
      <c r="J531" s="187">
        <v>0</v>
      </c>
      <c r="K531" s="187">
        <v>15.51895</v>
      </c>
      <c r="L531" s="187">
        <v>0</v>
      </c>
      <c r="M531" s="187">
        <v>15.518950462341309</v>
      </c>
      <c r="N531" s="187">
        <v>0</v>
      </c>
      <c r="O531" t="s">
        <v>990</v>
      </c>
    </row>
    <row r="532" spans="1:15" hidden="1" x14ac:dyDescent="0.45">
      <c r="A532" s="187">
        <v>2014</v>
      </c>
      <c r="B532" t="s">
        <v>34</v>
      </c>
      <c r="C532" t="s">
        <v>325</v>
      </c>
      <c r="D532" t="s">
        <v>35</v>
      </c>
      <c r="E532" t="s">
        <v>358</v>
      </c>
      <c r="F532" t="s">
        <v>424</v>
      </c>
      <c r="G532" t="s">
        <v>36</v>
      </c>
      <c r="H532" t="s">
        <v>43</v>
      </c>
      <c r="I532" s="187"/>
      <c r="J532" s="187">
        <v>0</v>
      </c>
      <c r="K532" s="187">
        <v>0</v>
      </c>
      <c r="L532" s="187">
        <v>0</v>
      </c>
      <c r="M532" s="187">
        <v>0</v>
      </c>
      <c r="N532" s="187">
        <v>0</v>
      </c>
      <c r="O532" t="s">
        <v>991</v>
      </c>
    </row>
    <row r="533" spans="1:15" hidden="1" x14ac:dyDescent="0.45">
      <c r="A533" s="187">
        <v>2014</v>
      </c>
      <c r="B533" t="s">
        <v>34</v>
      </c>
      <c r="C533" t="s">
        <v>325</v>
      </c>
      <c r="D533" t="s">
        <v>35</v>
      </c>
      <c r="E533" t="s">
        <v>358</v>
      </c>
      <c r="F533" t="s">
        <v>424</v>
      </c>
      <c r="G533" t="s">
        <v>37</v>
      </c>
      <c r="H533" t="s">
        <v>43</v>
      </c>
      <c r="I533" s="187"/>
      <c r="J533" s="187">
        <v>0</v>
      </c>
      <c r="K533" s="187">
        <v>0</v>
      </c>
      <c r="L533" s="187">
        <v>0</v>
      </c>
      <c r="M533" s="187">
        <v>0</v>
      </c>
      <c r="N533" s="187">
        <v>0</v>
      </c>
      <c r="O533" t="s">
        <v>992</v>
      </c>
    </row>
    <row r="534" spans="1:15" hidden="1" x14ac:dyDescent="0.45">
      <c r="A534" s="187">
        <v>2014</v>
      </c>
      <c r="B534" t="s">
        <v>34</v>
      </c>
      <c r="C534" t="s">
        <v>325</v>
      </c>
      <c r="D534" t="s">
        <v>35</v>
      </c>
      <c r="E534" t="s">
        <v>358</v>
      </c>
      <c r="F534" t="s">
        <v>425</v>
      </c>
      <c r="G534" t="s">
        <v>36</v>
      </c>
      <c r="H534" t="s">
        <v>43</v>
      </c>
      <c r="I534" s="187"/>
      <c r="J534" s="187">
        <v>0</v>
      </c>
      <c r="K534" s="187">
        <v>-289.90252685546875</v>
      </c>
      <c r="L534" s="187">
        <v>0</v>
      </c>
      <c r="M534" s="187">
        <v>-289.90252685546875</v>
      </c>
      <c r="N534" s="187">
        <v>0</v>
      </c>
      <c r="O534" t="s">
        <v>993</v>
      </c>
    </row>
    <row r="535" spans="1:15" hidden="1" x14ac:dyDescent="0.45">
      <c r="A535" s="187">
        <v>2014</v>
      </c>
      <c r="B535" t="s">
        <v>34</v>
      </c>
      <c r="C535" t="s">
        <v>325</v>
      </c>
      <c r="D535" t="s">
        <v>35</v>
      </c>
      <c r="E535" t="s">
        <v>358</v>
      </c>
      <c r="F535" t="s">
        <v>425</v>
      </c>
      <c r="G535" t="s">
        <v>37</v>
      </c>
      <c r="H535" t="s">
        <v>43</v>
      </c>
      <c r="I535" s="187"/>
      <c r="J535" s="187">
        <v>0</v>
      </c>
      <c r="K535" s="187">
        <v>-221.68532999999991</v>
      </c>
      <c r="L535" s="187">
        <v>0</v>
      </c>
      <c r="M535" s="187">
        <v>-221.68533325195313</v>
      </c>
      <c r="N535" s="187">
        <v>0</v>
      </c>
      <c r="O535" t="s">
        <v>994</v>
      </c>
    </row>
    <row r="536" spans="1:15" hidden="1" x14ac:dyDescent="0.45">
      <c r="A536" s="187">
        <v>2014</v>
      </c>
      <c r="B536" t="s">
        <v>34</v>
      </c>
      <c r="C536" t="s">
        <v>325</v>
      </c>
      <c r="D536" t="s">
        <v>35</v>
      </c>
      <c r="E536" t="s">
        <v>358</v>
      </c>
      <c r="F536" t="s">
        <v>426</v>
      </c>
      <c r="G536" t="s">
        <v>36</v>
      </c>
      <c r="H536" t="s">
        <v>43</v>
      </c>
      <c r="I536" s="187"/>
      <c r="J536" s="187">
        <v>0</v>
      </c>
      <c r="K536" s="187">
        <v>-269.60806274414063</v>
      </c>
      <c r="L536" s="187">
        <v>0</v>
      </c>
      <c r="M536" s="187">
        <v>-269.60806274414063</v>
      </c>
      <c r="N536" s="187">
        <v>0</v>
      </c>
      <c r="O536" t="s">
        <v>995</v>
      </c>
    </row>
    <row r="537" spans="1:15" hidden="1" x14ac:dyDescent="0.45">
      <c r="A537" s="187">
        <v>2014</v>
      </c>
      <c r="B537" t="s">
        <v>34</v>
      </c>
      <c r="C537" t="s">
        <v>325</v>
      </c>
      <c r="D537" t="s">
        <v>35</v>
      </c>
      <c r="E537" t="s">
        <v>358</v>
      </c>
      <c r="F537" t="s">
        <v>426</v>
      </c>
      <c r="G537" t="s">
        <v>37</v>
      </c>
      <c r="H537" t="s">
        <v>43</v>
      </c>
      <c r="I537" s="187"/>
      <c r="J537" s="187">
        <v>0</v>
      </c>
      <c r="K537" s="187">
        <v>-206.16637999999989</v>
      </c>
      <c r="L537" s="187">
        <v>0</v>
      </c>
      <c r="M537" s="187">
        <v>-206.1663818359375</v>
      </c>
      <c r="N537" s="187">
        <v>0</v>
      </c>
      <c r="O537" t="s">
        <v>996</v>
      </c>
    </row>
    <row r="538" spans="1:15" hidden="1" x14ac:dyDescent="0.45">
      <c r="A538" s="187">
        <v>2014</v>
      </c>
      <c r="B538" t="s">
        <v>34</v>
      </c>
      <c r="C538" t="s">
        <v>325</v>
      </c>
      <c r="D538" t="s">
        <v>35</v>
      </c>
      <c r="E538" t="s">
        <v>358</v>
      </c>
      <c r="F538" t="s">
        <v>428</v>
      </c>
      <c r="G538" t="s">
        <v>36</v>
      </c>
      <c r="H538" t="s">
        <v>43</v>
      </c>
      <c r="I538" s="187"/>
      <c r="J538" s="187">
        <v>36.616184234619141</v>
      </c>
      <c r="K538" s="187">
        <v>417.63613891601563</v>
      </c>
      <c r="L538" s="187">
        <v>1872.65625</v>
      </c>
      <c r="M538" s="187">
        <v>2326.90869140625</v>
      </c>
      <c r="N538" s="187">
        <v>1872.65625</v>
      </c>
      <c r="O538" t="s">
        <v>997</v>
      </c>
    </row>
    <row r="539" spans="1:15" hidden="1" x14ac:dyDescent="0.45">
      <c r="A539" s="187">
        <v>2014</v>
      </c>
      <c r="B539" t="s">
        <v>34</v>
      </c>
      <c r="C539" t="s">
        <v>325</v>
      </c>
      <c r="D539" t="s">
        <v>35</v>
      </c>
      <c r="E539" t="s">
        <v>358</v>
      </c>
      <c r="F539" t="s">
        <v>428</v>
      </c>
      <c r="G539" t="s">
        <v>37</v>
      </c>
      <c r="H539" t="s">
        <v>43</v>
      </c>
      <c r="I539" s="187"/>
      <c r="J539" s="187">
        <v>28</v>
      </c>
      <c r="K539" s="187">
        <v>319.36184000000009</v>
      </c>
      <c r="L539" s="187">
        <v>1432</v>
      </c>
      <c r="M539" s="187">
        <v>1779.36181640625</v>
      </c>
      <c r="N539" s="187">
        <v>1432</v>
      </c>
      <c r="O539" t="s">
        <v>998</v>
      </c>
    </row>
    <row r="540" spans="1:15" hidden="1" x14ac:dyDescent="0.45">
      <c r="A540" s="187">
        <v>2014</v>
      </c>
      <c r="B540" t="s">
        <v>34</v>
      </c>
      <c r="C540" t="s">
        <v>325</v>
      </c>
      <c r="D540" t="s">
        <v>35</v>
      </c>
      <c r="E540" t="s">
        <v>358</v>
      </c>
      <c r="F540" t="s">
        <v>429</v>
      </c>
      <c r="G540" t="s">
        <v>36</v>
      </c>
      <c r="H540" t="s">
        <v>43</v>
      </c>
      <c r="I540" s="187"/>
      <c r="J540" s="187">
        <v>36.616184234619141</v>
      </c>
      <c r="K540" s="187">
        <v>310.55682373046875</v>
      </c>
      <c r="L540" s="187">
        <v>1872.65625</v>
      </c>
      <c r="M540" s="187">
        <v>2219.829345703125</v>
      </c>
      <c r="N540" s="187">
        <v>1872.65625</v>
      </c>
      <c r="O540" t="s">
        <v>999</v>
      </c>
    </row>
    <row r="541" spans="1:15" hidden="1" x14ac:dyDescent="0.45">
      <c r="A541" s="187">
        <v>2014</v>
      </c>
      <c r="B541" t="s">
        <v>34</v>
      </c>
      <c r="C541" t="s">
        <v>325</v>
      </c>
      <c r="D541" t="s">
        <v>35</v>
      </c>
      <c r="E541" t="s">
        <v>358</v>
      </c>
      <c r="F541" t="s">
        <v>429</v>
      </c>
      <c r="G541" t="s">
        <v>37</v>
      </c>
      <c r="H541" t="s">
        <v>43</v>
      </c>
      <c r="I541" s="187"/>
      <c r="J541" s="187">
        <v>28</v>
      </c>
      <c r="K541" s="187">
        <v>237.4794400000001</v>
      </c>
      <c r="L541" s="187">
        <v>1432</v>
      </c>
      <c r="M541" s="187">
        <v>1697.4794921875</v>
      </c>
      <c r="N541" s="187">
        <v>1432</v>
      </c>
      <c r="O541" t="s">
        <v>1000</v>
      </c>
    </row>
    <row r="542" spans="1:15" hidden="1" x14ac:dyDescent="0.45">
      <c r="A542" s="187">
        <v>2014</v>
      </c>
      <c r="B542" t="s">
        <v>34</v>
      </c>
      <c r="C542" t="s">
        <v>326</v>
      </c>
      <c r="D542" t="s">
        <v>337</v>
      </c>
      <c r="E542" t="s">
        <v>155</v>
      </c>
      <c r="F542" t="s">
        <v>155</v>
      </c>
      <c r="G542" t="s">
        <v>453</v>
      </c>
      <c r="H542" t="s">
        <v>455</v>
      </c>
      <c r="I542" s="187"/>
      <c r="J542" s="187">
        <v>657</v>
      </c>
      <c r="K542" s="187">
        <v>5779.1931791610004</v>
      </c>
      <c r="L542" s="187">
        <v>10622.709000000001</v>
      </c>
      <c r="M542" s="187">
        <v>17058.90234375</v>
      </c>
      <c r="N542" s="187">
        <v>10622.708984375</v>
      </c>
      <c r="O542" t="s">
        <v>1001</v>
      </c>
    </row>
    <row r="543" spans="1:15" hidden="1" x14ac:dyDescent="0.45">
      <c r="A543" s="187">
        <v>2014</v>
      </c>
      <c r="B543" t="s">
        <v>34</v>
      </c>
      <c r="C543" t="s">
        <v>327</v>
      </c>
      <c r="D543" t="s">
        <v>337</v>
      </c>
      <c r="E543" t="s">
        <v>359</v>
      </c>
      <c r="F543" t="s">
        <v>430</v>
      </c>
      <c r="G543" t="s">
        <v>453</v>
      </c>
      <c r="H543" t="s">
        <v>456</v>
      </c>
      <c r="I543" s="187"/>
      <c r="J543" s="187">
        <v>10216</v>
      </c>
      <c r="K543" s="187">
        <v>103358</v>
      </c>
      <c r="L543" s="187">
        <v>159738</v>
      </c>
      <c r="M543" s="187">
        <v>273312</v>
      </c>
      <c r="N543" s="187">
        <v>159738</v>
      </c>
      <c r="O543" t="s">
        <v>1002</v>
      </c>
    </row>
    <row r="544" spans="1:15" hidden="1" x14ac:dyDescent="0.45">
      <c r="A544" s="187">
        <v>2014</v>
      </c>
      <c r="B544" t="s">
        <v>34</v>
      </c>
      <c r="C544" t="s">
        <v>327</v>
      </c>
      <c r="D544" t="s">
        <v>337</v>
      </c>
      <c r="E544" t="s">
        <v>360</v>
      </c>
      <c r="F544" t="s">
        <v>151</v>
      </c>
      <c r="G544" t="s">
        <v>453</v>
      </c>
      <c r="H544" t="s">
        <v>457</v>
      </c>
      <c r="I544" s="187"/>
      <c r="J544" s="187">
        <v>3031.798630136987</v>
      </c>
      <c r="K544" s="187">
        <v>24499.63246575341</v>
      </c>
      <c r="L544" s="187">
        <v>60094.989150684953</v>
      </c>
      <c r="M544" s="187">
        <v>87626.421875</v>
      </c>
      <c r="N544" s="187">
        <v>60094.98828125</v>
      </c>
      <c r="O544" t="s">
        <v>1003</v>
      </c>
    </row>
    <row r="545" spans="1:15" hidden="1" x14ac:dyDescent="0.45">
      <c r="A545" s="187">
        <v>2014</v>
      </c>
      <c r="B545" t="s">
        <v>34</v>
      </c>
      <c r="C545" t="s">
        <v>327</v>
      </c>
      <c r="D545" t="s">
        <v>337</v>
      </c>
      <c r="E545" t="s">
        <v>360</v>
      </c>
      <c r="F545" t="s">
        <v>6</v>
      </c>
      <c r="G545" t="s">
        <v>453</v>
      </c>
      <c r="H545" t="s">
        <v>454</v>
      </c>
      <c r="I545" s="187"/>
      <c r="J545" s="187">
        <v>0.86753694865669595</v>
      </c>
      <c r="K545" s="187">
        <v>0.72774864039287968</v>
      </c>
      <c r="L545" s="187">
        <v>0.8500909886318978</v>
      </c>
      <c r="M545" s="187">
        <v>0.81512552499771118</v>
      </c>
      <c r="N545" s="187">
        <v>0.28336367011070251</v>
      </c>
      <c r="O545" t="s">
        <v>1004</v>
      </c>
    </row>
    <row r="546" spans="1:15" hidden="1" x14ac:dyDescent="0.45">
      <c r="A546" s="187">
        <v>2014</v>
      </c>
      <c r="B546" t="s">
        <v>34</v>
      </c>
      <c r="C546" t="s">
        <v>327</v>
      </c>
      <c r="D546" t="s">
        <v>337</v>
      </c>
      <c r="E546" t="s">
        <v>360</v>
      </c>
      <c r="F546" t="s">
        <v>152</v>
      </c>
      <c r="G546" t="s">
        <v>453</v>
      </c>
      <c r="H546" t="s">
        <v>457</v>
      </c>
      <c r="I546" s="187"/>
      <c r="J546" s="187">
        <v>4549.7704994913829</v>
      </c>
      <c r="K546" s="187">
        <v>42857.169999999991</v>
      </c>
      <c r="L546" s="187">
        <v>85391.724999999991</v>
      </c>
      <c r="M546" s="187">
        <v>132798.671875</v>
      </c>
      <c r="N546" s="187">
        <v>85391.7265625</v>
      </c>
      <c r="O546" t="s">
        <v>1005</v>
      </c>
    </row>
    <row r="547" spans="1:15" hidden="1" x14ac:dyDescent="0.45">
      <c r="A547" s="187">
        <v>2014</v>
      </c>
      <c r="B547" t="s">
        <v>34</v>
      </c>
      <c r="C547" t="s">
        <v>327</v>
      </c>
      <c r="D547" t="s">
        <v>337</v>
      </c>
      <c r="E547" t="s">
        <v>360</v>
      </c>
      <c r="F547" t="s">
        <v>431</v>
      </c>
      <c r="G547" t="s">
        <v>453</v>
      </c>
      <c r="H547" t="s">
        <v>458</v>
      </c>
      <c r="I547" s="187"/>
      <c r="J547" s="187">
        <v>106923.526</v>
      </c>
      <c r="K547" s="187">
        <v>1023976.017</v>
      </c>
      <c r="L547" s="187">
        <v>2150227.773</v>
      </c>
      <c r="M547" s="187">
        <v>3281127.25</v>
      </c>
      <c r="N547" s="187">
        <v>2150227.75</v>
      </c>
      <c r="O547" t="s">
        <v>1006</v>
      </c>
    </row>
    <row r="548" spans="1:15" hidden="1" x14ac:dyDescent="0.45">
      <c r="A548" s="187">
        <v>2014</v>
      </c>
      <c r="B548" t="s">
        <v>34</v>
      </c>
      <c r="C548" t="s">
        <v>327</v>
      </c>
      <c r="D548" t="s">
        <v>337</v>
      </c>
      <c r="E548" t="s">
        <v>360</v>
      </c>
      <c r="F548" t="s">
        <v>153</v>
      </c>
      <c r="G548" t="s">
        <v>453</v>
      </c>
      <c r="H548" t="s">
        <v>458</v>
      </c>
      <c r="I548" s="187"/>
      <c r="J548" s="187">
        <v>106297.73</v>
      </c>
      <c r="K548" s="187">
        <v>1023976.017</v>
      </c>
      <c r="L548" s="187">
        <v>2150227.773</v>
      </c>
      <c r="M548" s="187">
        <v>3280501.5</v>
      </c>
      <c r="N548" s="187">
        <v>2150227.75</v>
      </c>
      <c r="O548" t="s">
        <v>1007</v>
      </c>
    </row>
    <row r="549" spans="1:15" hidden="1" x14ac:dyDescent="0.45">
      <c r="A549" s="187">
        <v>2014</v>
      </c>
      <c r="B549" t="s">
        <v>34</v>
      </c>
      <c r="C549" t="s">
        <v>327</v>
      </c>
      <c r="D549" t="s">
        <v>337</v>
      </c>
      <c r="E549" t="s">
        <v>360</v>
      </c>
      <c r="F549" t="s">
        <v>432</v>
      </c>
      <c r="G549" t="s">
        <v>453</v>
      </c>
      <c r="H549" t="s">
        <v>456</v>
      </c>
      <c r="I549" s="187"/>
      <c r="J549" s="187">
        <v>0</v>
      </c>
      <c r="K549" s="187">
        <v>0</v>
      </c>
      <c r="L549" s="187">
        <v>1</v>
      </c>
      <c r="M549" s="187">
        <v>1</v>
      </c>
      <c r="N549" s="187">
        <v>1</v>
      </c>
      <c r="O549" t="s">
        <v>1008</v>
      </c>
    </row>
    <row r="550" spans="1:15" hidden="1" x14ac:dyDescent="0.45">
      <c r="A550" s="187">
        <v>2014</v>
      </c>
      <c r="B550" t="s">
        <v>34</v>
      </c>
      <c r="C550" t="s">
        <v>327</v>
      </c>
      <c r="D550" t="s">
        <v>337</v>
      </c>
      <c r="E550" t="s">
        <v>360</v>
      </c>
      <c r="F550" t="s">
        <v>154</v>
      </c>
      <c r="G550" t="s">
        <v>453</v>
      </c>
      <c r="H550" t="s">
        <v>459</v>
      </c>
      <c r="I550" s="187"/>
      <c r="J550" s="187">
        <v>1106606.5</v>
      </c>
      <c r="K550" s="187">
        <v>8942365.849999994</v>
      </c>
      <c r="L550" s="187">
        <v>21934671.04000001</v>
      </c>
      <c r="M550" s="187">
        <v>31983644</v>
      </c>
      <c r="N550" s="187">
        <v>21934672</v>
      </c>
      <c r="O550" t="s">
        <v>1009</v>
      </c>
    </row>
    <row r="551" spans="1:15" hidden="1" x14ac:dyDescent="0.45">
      <c r="A551" s="187">
        <v>2014</v>
      </c>
      <c r="B551" t="s">
        <v>310</v>
      </c>
      <c r="C551" t="s">
        <v>328</v>
      </c>
      <c r="D551" t="s">
        <v>39</v>
      </c>
      <c r="E551" t="s">
        <v>349</v>
      </c>
      <c r="F551" t="s">
        <v>349</v>
      </c>
      <c r="G551" t="s">
        <v>36</v>
      </c>
      <c r="H551" t="s">
        <v>43</v>
      </c>
      <c r="I551" s="187"/>
      <c r="J551" s="187">
        <v>0</v>
      </c>
      <c r="K551" s="187">
        <v>3664.1196365202668</v>
      </c>
      <c r="L551" s="187">
        <v>0</v>
      </c>
      <c r="M551" s="187">
        <v>3664.11962890625</v>
      </c>
      <c r="N551" s="187">
        <v>0</v>
      </c>
      <c r="O551" t="s">
        <v>1010</v>
      </c>
    </row>
    <row r="552" spans="1:15" hidden="1" x14ac:dyDescent="0.45">
      <c r="A552" s="187">
        <v>2014</v>
      </c>
      <c r="B552" t="s">
        <v>309</v>
      </c>
      <c r="C552" t="s">
        <v>328</v>
      </c>
      <c r="D552" t="s">
        <v>39</v>
      </c>
      <c r="E552" t="s">
        <v>349</v>
      </c>
      <c r="F552" t="s">
        <v>349</v>
      </c>
      <c r="G552" t="s">
        <v>36</v>
      </c>
      <c r="H552" t="s">
        <v>43</v>
      </c>
      <c r="I552" s="187"/>
      <c r="J552" s="187">
        <v>0</v>
      </c>
      <c r="K552" s="187">
        <v>3291.9100214696741</v>
      </c>
      <c r="L552" s="187">
        <v>0</v>
      </c>
      <c r="M552" s="187">
        <v>3291.909912109375</v>
      </c>
      <c r="N552" s="187">
        <v>0</v>
      </c>
      <c r="O552" t="s">
        <v>1011</v>
      </c>
    </row>
    <row r="553" spans="1:15" hidden="1" x14ac:dyDescent="0.45">
      <c r="A553" s="187">
        <v>2014</v>
      </c>
      <c r="B553" t="s">
        <v>310</v>
      </c>
      <c r="C553" t="s">
        <v>328</v>
      </c>
      <c r="D553" t="s">
        <v>39</v>
      </c>
      <c r="E553" t="s">
        <v>349</v>
      </c>
      <c r="F553" t="s">
        <v>349</v>
      </c>
      <c r="G553" t="s">
        <v>37</v>
      </c>
      <c r="H553" t="s">
        <v>43</v>
      </c>
      <c r="I553" s="187"/>
      <c r="J553" s="187">
        <v>0</v>
      </c>
      <c r="K553" s="187">
        <v>3134.55557</v>
      </c>
      <c r="L553" s="187">
        <v>0</v>
      </c>
      <c r="M553" s="187">
        <v>3134.5556640625</v>
      </c>
      <c r="N553" s="187">
        <v>0</v>
      </c>
      <c r="O553" t="s">
        <v>1013</v>
      </c>
    </row>
    <row r="554" spans="1:15" hidden="1" x14ac:dyDescent="0.45">
      <c r="A554" s="187">
        <v>2014</v>
      </c>
      <c r="B554" t="s">
        <v>309</v>
      </c>
      <c r="C554" t="s">
        <v>328</v>
      </c>
      <c r="D554" t="s">
        <v>39</v>
      </c>
      <c r="E554" t="s">
        <v>349</v>
      </c>
      <c r="F554" t="s">
        <v>349</v>
      </c>
      <c r="G554" t="s">
        <v>37</v>
      </c>
      <c r="H554" t="s">
        <v>43</v>
      </c>
      <c r="I554" s="187"/>
      <c r="J554" s="187">
        <v>0</v>
      </c>
      <c r="K554" s="187">
        <v>2831.273103887826</v>
      </c>
      <c r="L554" s="187">
        <v>0</v>
      </c>
      <c r="M554" s="187">
        <v>2831.273193359375</v>
      </c>
      <c r="N554" s="187">
        <v>0</v>
      </c>
      <c r="O554" t="s">
        <v>1012</v>
      </c>
    </row>
    <row r="555" spans="1:15" hidden="1" x14ac:dyDescent="0.45">
      <c r="A555" s="187">
        <v>2014</v>
      </c>
      <c r="B555" t="s">
        <v>310</v>
      </c>
      <c r="C555" t="s">
        <v>328</v>
      </c>
      <c r="D555" t="s">
        <v>39</v>
      </c>
      <c r="E555" t="s">
        <v>21</v>
      </c>
      <c r="F555" t="s">
        <v>21</v>
      </c>
      <c r="G555" t="s">
        <v>36</v>
      </c>
      <c r="H555" t="s">
        <v>43</v>
      </c>
      <c r="I555" s="187"/>
      <c r="J555" s="187">
        <v>1128.0308708140265</v>
      </c>
      <c r="K555" s="187">
        <v>8211.463679045306</v>
      </c>
      <c r="L555" s="187">
        <v>7720.8745095612903</v>
      </c>
      <c r="M555" s="187">
        <v>17060.369140625</v>
      </c>
      <c r="N555" s="187">
        <v>7720.87451171875</v>
      </c>
      <c r="O555" t="s">
        <v>1014</v>
      </c>
    </row>
    <row r="556" spans="1:15" hidden="1" x14ac:dyDescent="0.45">
      <c r="A556" s="187">
        <v>2014</v>
      </c>
      <c r="B556" t="s">
        <v>309</v>
      </c>
      <c r="C556" t="s">
        <v>328</v>
      </c>
      <c r="D556" t="s">
        <v>39</v>
      </c>
      <c r="E556" t="s">
        <v>21</v>
      </c>
      <c r="F556" t="s">
        <v>21</v>
      </c>
      <c r="G556" t="s">
        <v>36</v>
      </c>
      <c r="H556" t="s">
        <v>43</v>
      </c>
      <c r="I556" s="187"/>
      <c r="J556" s="187">
        <v>1123.2098236982008</v>
      </c>
      <c r="K556" s="187">
        <v>7760.2113540921127</v>
      </c>
      <c r="L556" s="187">
        <v>9459.7374547307645</v>
      </c>
      <c r="M556" s="187">
        <v>18343.158203125</v>
      </c>
      <c r="N556" s="187">
        <v>9459.7373046875</v>
      </c>
      <c r="O556" t="s">
        <v>1015</v>
      </c>
    </row>
    <row r="557" spans="1:15" hidden="1" x14ac:dyDescent="0.45">
      <c r="A557" s="187">
        <v>2014</v>
      </c>
      <c r="B557" t="s">
        <v>309</v>
      </c>
      <c r="C557" t="s">
        <v>328</v>
      </c>
      <c r="D557" t="s">
        <v>39</v>
      </c>
      <c r="E557" t="s">
        <v>21</v>
      </c>
      <c r="F557" t="s">
        <v>21</v>
      </c>
      <c r="G557" t="s">
        <v>37</v>
      </c>
      <c r="H557" t="s">
        <v>43</v>
      </c>
      <c r="I557" s="187"/>
      <c r="J557" s="187">
        <v>961.95429999999999</v>
      </c>
      <c r="K557" s="187">
        <v>6674.3251012422425</v>
      </c>
      <c r="L557" s="187">
        <v>8210</v>
      </c>
      <c r="M557" s="187">
        <v>15846.279296875</v>
      </c>
      <c r="N557" s="187">
        <v>8210</v>
      </c>
      <c r="O557" t="s">
        <v>1016</v>
      </c>
    </row>
    <row r="558" spans="1:15" hidden="1" x14ac:dyDescent="0.45">
      <c r="A558" s="187">
        <v>2014</v>
      </c>
      <c r="B558" t="s">
        <v>310</v>
      </c>
      <c r="C558" t="s">
        <v>328</v>
      </c>
      <c r="D558" t="s">
        <v>39</v>
      </c>
      <c r="E558" t="s">
        <v>21</v>
      </c>
      <c r="F558" t="s">
        <v>21</v>
      </c>
      <c r="G558" t="s">
        <v>37</v>
      </c>
      <c r="H558" t="s">
        <v>43</v>
      </c>
      <c r="I558" s="187"/>
      <c r="J558" s="187">
        <v>965</v>
      </c>
      <c r="K558" s="187">
        <v>7024.6858089623374</v>
      </c>
      <c r="L558" s="187">
        <v>6605</v>
      </c>
      <c r="M558" s="187">
        <v>14594.685546875</v>
      </c>
      <c r="N558" s="187">
        <v>6605</v>
      </c>
      <c r="O558" t="s">
        <v>1017</v>
      </c>
    </row>
    <row r="559" spans="1:15" hidden="1" x14ac:dyDescent="0.45">
      <c r="A559" s="187">
        <v>2014</v>
      </c>
      <c r="B559" t="s">
        <v>309</v>
      </c>
      <c r="C559" t="s">
        <v>328</v>
      </c>
      <c r="D559" t="s">
        <v>39</v>
      </c>
      <c r="E559" t="s">
        <v>352</v>
      </c>
      <c r="F559" t="s">
        <v>433</v>
      </c>
      <c r="G559" t="s">
        <v>36</v>
      </c>
      <c r="H559" t="s">
        <v>43</v>
      </c>
      <c r="I559" s="187"/>
      <c r="J559" s="187">
        <v>170.3276827029085</v>
      </c>
      <c r="K559" s="187">
        <v>333.79166163825522</v>
      </c>
      <c r="L559" s="187">
        <v>284.67353962234358</v>
      </c>
      <c r="M559" s="187">
        <v>788.79290771484375</v>
      </c>
      <c r="N559" s="187">
        <v>284.67355346679688</v>
      </c>
      <c r="O559" t="s">
        <v>1018</v>
      </c>
    </row>
    <row r="560" spans="1:15" hidden="1" x14ac:dyDescent="0.45">
      <c r="A560" s="187">
        <v>2014</v>
      </c>
      <c r="B560" t="s">
        <v>310</v>
      </c>
      <c r="C560" t="s">
        <v>328</v>
      </c>
      <c r="D560" t="s">
        <v>39</v>
      </c>
      <c r="E560" t="s">
        <v>352</v>
      </c>
      <c r="F560" t="s">
        <v>433</v>
      </c>
      <c r="G560" t="s">
        <v>36</v>
      </c>
      <c r="H560" t="s">
        <v>43</v>
      </c>
      <c r="I560" s="187"/>
      <c r="J560" s="187">
        <v>223.26828634764669</v>
      </c>
      <c r="K560" s="187">
        <v>312.98473125435817</v>
      </c>
      <c r="L560" s="187">
        <v>294.57386470998415</v>
      </c>
      <c r="M560" s="187">
        <v>830.82684326171875</v>
      </c>
      <c r="N560" s="187">
        <v>294.5738525390625</v>
      </c>
      <c r="O560" t="s">
        <v>1019</v>
      </c>
    </row>
    <row r="561" spans="1:15" hidden="1" x14ac:dyDescent="0.45">
      <c r="A561" s="187">
        <v>2014</v>
      </c>
      <c r="B561" t="s">
        <v>309</v>
      </c>
      <c r="C561" t="s">
        <v>328</v>
      </c>
      <c r="D561" t="s">
        <v>39</v>
      </c>
      <c r="E561" t="s">
        <v>352</v>
      </c>
      <c r="F561" t="s">
        <v>361</v>
      </c>
      <c r="G561" t="s">
        <v>36</v>
      </c>
      <c r="H561" t="s">
        <v>43</v>
      </c>
      <c r="I561" s="187"/>
      <c r="J561" s="187"/>
      <c r="K561" s="187">
        <v>0</v>
      </c>
      <c r="L561" s="187"/>
      <c r="M561" s="187">
        <v>0</v>
      </c>
      <c r="N561" s="187">
        <v>0</v>
      </c>
      <c r="O561" t="s">
        <v>1021</v>
      </c>
    </row>
    <row r="562" spans="1:15" hidden="1" x14ac:dyDescent="0.45">
      <c r="A562" s="187">
        <v>2014</v>
      </c>
      <c r="B562" t="s">
        <v>310</v>
      </c>
      <c r="C562" t="s">
        <v>328</v>
      </c>
      <c r="D562" t="s">
        <v>39</v>
      </c>
      <c r="E562" t="s">
        <v>352</v>
      </c>
      <c r="F562" t="s">
        <v>361</v>
      </c>
      <c r="G562" t="s">
        <v>36</v>
      </c>
      <c r="H562" t="s">
        <v>43</v>
      </c>
      <c r="I562" s="187"/>
      <c r="J562" s="187">
        <v>0</v>
      </c>
      <c r="K562" s="187">
        <v>0</v>
      </c>
      <c r="L562" s="187"/>
      <c r="M562" s="187">
        <v>0</v>
      </c>
      <c r="N562" s="187">
        <v>0</v>
      </c>
      <c r="O562" t="s">
        <v>1020</v>
      </c>
    </row>
    <row r="563" spans="1:15" hidden="1" x14ac:dyDescent="0.45">
      <c r="A563" s="187">
        <v>2014</v>
      </c>
      <c r="B563" t="s">
        <v>309</v>
      </c>
      <c r="C563" t="s">
        <v>328</v>
      </c>
      <c r="D563" t="s">
        <v>39</v>
      </c>
      <c r="E563" t="s">
        <v>40</v>
      </c>
      <c r="F563" t="s">
        <v>40</v>
      </c>
      <c r="G563" t="s">
        <v>36</v>
      </c>
      <c r="H563" t="s">
        <v>43</v>
      </c>
      <c r="I563" s="187"/>
      <c r="J563" s="187">
        <v>624.13780235191655</v>
      </c>
      <c r="K563" s="187">
        <v>6422.2171873399266</v>
      </c>
      <c r="L563" s="187">
        <v>10200.603319354605</v>
      </c>
      <c r="M563" s="187">
        <v>17246.958984375</v>
      </c>
      <c r="N563" s="187">
        <v>10200.603515625</v>
      </c>
      <c r="O563" t="s">
        <v>1023</v>
      </c>
    </row>
    <row r="564" spans="1:15" hidden="1" x14ac:dyDescent="0.45">
      <c r="A564" s="187">
        <v>2014</v>
      </c>
      <c r="B564" t="s">
        <v>310</v>
      </c>
      <c r="C564" t="s">
        <v>328</v>
      </c>
      <c r="D564" t="s">
        <v>39</v>
      </c>
      <c r="E564" t="s">
        <v>40</v>
      </c>
      <c r="F564" t="s">
        <v>40</v>
      </c>
      <c r="G564" t="s">
        <v>36</v>
      </c>
      <c r="H564" t="s">
        <v>43</v>
      </c>
      <c r="I564" s="187"/>
      <c r="J564" s="187">
        <v>143.78010063225415</v>
      </c>
      <c r="K564" s="187">
        <v>6372.6445782811143</v>
      </c>
      <c r="L564" s="187">
        <v>9488.3176978211959</v>
      </c>
      <c r="M564" s="187">
        <v>16004.7421875</v>
      </c>
      <c r="N564" s="187">
        <v>9488.3173828125</v>
      </c>
      <c r="O564" t="s">
        <v>1022</v>
      </c>
    </row>
    <row r="565" spans="1:15" hidden="1" x14ac:dyDescent="0.45">
      <c r="A565" s="187">
        <v>2014</v>
      </c>
      <c r="B565" t="s">
        <v>310</v>
      </c>
      <c r="C565" t="s">
        <v>328</v>
      </c>
      <c r="D565" t="s">
        <v>39</v>
      </c>
      <c r="E565" t="s">
        <v>40</v>
      </c>
      <c r="F565" t="s">
        <v>40</v>
      </c>
      <c r="G565" t="s">
        <v>37</v>
      </c>
      <c r="H565" t="s">
        <v>43</v>
      </c>
      <c r="I565" s="187"/>
      <c r="J565" s="187">
        <v>123</v>
      </c>
      <c r="K565" s="187">
        <v>5451.6256400000002</v>
      </c>
      <c r="L565" s="187">
        <v>8117</v>
      </c>
      <c r="M565" s="187">
        <v>13691.625</v>
      </c>
      <c r="N565" s="187">
        <v>8117</v>
      </c>
      <c r="O565" t="s">
        <v>1024</v>
      </c>
    </row>
    <row r="566" spans="1:15" hidden="1" x14ac:dyDescent="0.45">
      <c r="A566" s="187">
        <v>2014</v>
      </c>
      <c r="B566" t="s">
        <v>309</v>
      </c>
      <c r="C566" t="s">
        <v>328</v>
      </c>
      <c r="D566" t="s">
        <v>39</v>
      </c>
      <c r="E566" t="s">
        <v>40</v>
      </c>
      <c r="F566" t="s">
        <v>40</v>
      </c>
      <c r="G566" t="s">
        <v>37</v>
      </c>
      <c r="H566" t="s">
        <v>43</v>
      </c>
      <c r="I566" s="187"/>
      <c r="J566" s="187">
        <v>534.53240000000005</v>
      </c>
      <c r="K566" s="187">
        <v>5523.5564372211584</v>
      </c>
      <c r="L566" s="187">
        <v>8853</v>
      </c>
      <c r="M566" s="187">
        <v>14911.0888671875</v>
      </c>
      <c r="N566" s="187">
        <v>8853</v>
      </c>
      <c r="O566" t="s">
        <v>1025</v>
      </c>
    </row>
    <row r="567" spans="1:15" hidden="1" x14ac:dyDescent="0.45">
      <c r="A567" s="187">
        <v>2014</v>
      </c>
      <c r="B567" t="s">
        <v>309</v>
      </c>
      <c r="C567" t="s">
        <v>328</v>
      </c>
      <c r="D567" t="s">
        <v>39</v>
      </c>
      <c r="E567" t="s">
        <v>41</v>
      </c>
      <c r="F567" t="s">
        <v>41</v>
      </c>
      <c r="G567" t="s">
        <v>36</v>
      </c>
      <c r="H567" t="s">
        <v>43</v>
      </c>
      <c r="I567" s="187"/>
      <c r="J567" s="187">
        <v>1147.0318772230833</v>
      </c>
      <c r="K567" s="187">
        <v>12623.82239401753</v>
      </c>
      <c r="L567" s="187">
        <v>14237.250289145912</v>
      </c>
      <c r="M567" s="187">
        <v>28008.10546875</v>
      </c>
      <c r="N567" s="187">
        <v>14237.25</v>
      </c>
      <c r="O567" t="s">
        <v>1026</v>
      </c>
    </row>
    <row r="568" spans="1:15" hidden="1" x14ac:dyDescent="0.45">
      <c r="A568" s="187">
        <v>2014</v>
      </c>
      <c r="B568" t="s">
        <v>310</v>
      </c>
      <c r="C568" t="s">
        <v>328</v>
      </c>
      <c r="D568" t="s">
        <v>39</v>
      </c>
      <c r="E568" t="s">
        <v>41</v>
      </c>
      <c r="F568" t="s">
        <v>41</v>
      </c>
      <c r="G568" t="s">
        <v>36</v>
      </c>
      <c r="H568" t="s">
        <v>43</v>
      </c>
      <c r="I568" s="187"/>
      <c r="J568" s="187">
        <v>1920.5748401527933</v>
      </c>
      <c r="K568" s="187">
        <v>12314.093475192743</v>
      </c>
      <c r="L568" s="187">
        <v>11759.57571024778</v>
      </c>
      <c r="M568" s="187">
        <v>25994.244140625</v>
      </c>
      <c r="N568" s="187">
        <v>11759.576171875</v>
      </c>
      <c r="O568" t="s">
        <v>1027</v>
      </c>
    </row>
    <row r="569" spans="1:15" hidden="1" x14ac:dyDescent="0.45">
      <c r="A569" s="187">
        <v>2014</v>
      </c>
      <c r="B569" t="s">
        <v>310</v>
      </c>
      <c r="C569" t="s">
        <v>328</v>
      </c>
      <c r="D569" t="s">
        <v>39</v>
      </c>
      <c r="E569" t="s">
        <v>41</v>
      </c>
      <c r="F569" t="s">
        <v>41</v>
      </c>
      <c r="G569" t="s">
        <v>37</v>
      </c>
      <c r="H569" t="s">
        <v>43</v>
      </c>
      <c r="I569" s="187"/>
      <c r="J569" s="187">
        <v>1643</v>
      </c>
      <c r="K569" s="187">
        <v>10534.374998962339</v>
      </c>
      <c r="L569" s="187">
        <v>10060</v>
      </c>
      <c r="M569" s="187">
        <v>22237.375</v>
      </c>
      <c r="N569" s="187">
        <v>10060</v>
      </c>
      <c r="O569" t="s">
        <v>1029</v>
      </c>
    </row>
    <row r="570" spans="1:15" hidden="1" x14ac:dyDescent="0.45">
      <c r="A570" s="187">
        <v>2014</v>
      </c>
      <c r="B570" t="s">
        <v>309</v>
      </c>
      <c r="C570" t="s">
        <v>328</v>
      </c>
      <c r="D570" t="s">
        <v>39</v>
      </c>
      <c r="E570" t="s">
        <v>41</v>
      </c>
      <c r="F570" t="s">
        <v>41</v>
      </c>
      <c r="G570" t="s">
        <v>37</v>
      </c>
      <c r="H570" t="s">
        <v>43</v>
      </c>
      <c r="I570" s="187"/>
      <c r="J570" s="187">
        <v>982.35630000000003</v>
      </c>
      <c r="K570" s="187">
        <v>10857.371124767829</v>
      </c>
      <c r="L570" s="187">
        <v>12356</v>
      </c>
      <c r="M570" s="187">
        <v>24195.7265625</v>
      </c>
      <c r="N570" s="187">
        <v>12356</v>
      </c>
      <c r="O570" t="s">
        <v>1028</v>
      </c>
    </row>
    <row r="571" spans="1:15" hidden="1" x14ac:dyDescent="0.45">
      <c r="A571" s="187">
        <v>2014</v>
      </c>
      <c r="B571" t="s">
        <v>309</v>
      </c>
      <c r="C571" t="s">
        <v>328</v>
      </c>
      <c r="D571" t="s">
        <v>39</v>
      </c>
      <c r="E571" t="s">
        <v>361</v>
      </c>
      <c r="F571" t="s">
        <v>361</v>
      </c>
      <c r="G571" t="s">
        <v>36</v>
      </c>
      <c r="H571" t="s">
        <v>43</v>
      </c>
      <c r="I571" s="187"/>
      <c r="J571" s="187">
        <v>0</v>
      </c>
      <c r="K571" s="187"/>
      <c r="L571" s="187">
        <v>0</v>
      </c>
      <c r="M571" s="187">
        <v>0</v>
      </c>
      <c r="N571" s="187">
        <v>0</v>
      </c>
      <c r="O571" t="s">
        <v>1031</v>
      </c>
    </row>
    <row r="572" spans="1:15" hidden="1" x14ac:dyDescent="0.45">
      <c r="A572" s="187">
        <v>2014</v>
      </c>
      <c r="B572" t="s">
        <v>310</v>
      </c>
      <c r="C572" t="s">
        <v>328</v>
      </c>
      <c r="D572" t="s">
        <v>39</v>
      </c>
      <c r="E572" t="s">
        <v>361</v>
      </c>
      <c r="F572" t="s">
        <v>361</v>
      </c>
      <c r="G572" t="s">
        <v>36</v>
      </c>
      <c r="H572" t="s">
        <v>43</v>
      </c>
      <c r="I572" s="187"/>
      <c r="J572" s="187"/>
      <c r="K572" s="187"/>
      <c r="L572" s="187"/>
      <c r="M572" s="187">
        <v>0</v>
      </c>
      <c r="N572" s="187">
        <v>0</v>
      </c>
      <c r="O572" t="s">
        <v>1030</v>
      </c>
    </row>
    <row r="573" spans="1:15" hidden="1" x14ac:dyDescent="0.45">
      <c r="A573" s="187">
        <v>2014</v>
      </c>
      <c r="B573" t="s">
        <v>310</v>
      </c>
      <c r="C573" t="s">
        <v>328</v>
      </c>
      <c r="D573" t="s">
        <v>39</v>
      </c>
      <c r="E573" t="s">
        <v>362</v>
      </c>
      <c r="F573" t="s">
        <v>362</v>
      </c>
      <c r="G573" t="s">
        <v>36</v>
      </c>
      <c r="H573" t="s">
        <v>43</v>
      </c>
      <c r="I573" s="187"/>
      <c r="J573" s="187">
        <v>95.853400421502769</v>
      </c>
      <c r="K573" s="187">
        <v>2300.8324569404876</v>
      </c>
      <c r="L573" s="187">
        <v>5059.1892320032193</v>
      </c>
      <c r="M573" s="187">
        <v>7455.875</v>
      </c>
      <c r="N573" s="187">
        <v>5059.189453125</v>
      </c>
      <c r="O573" t="s">
        <v>1033</v>
      </c>
    </row>
    <row r="574" spans="1:15" hidden="1" x14ac:dyDescent="0.45">
      <c r="A574" s="187">
        <v>2014</v>
      </c>
      <c r="B574" t="s">
        <v>309</v>
      </c>
      <c r="C574" t="s">
        <v>328</v>
      </c>
      <c r="D574" t="s">
        <v>39</v>
      </c>
      <c r="E574" t="s">
        <v>362</v>
      </c>
      <c r="F574" t="s">
        <v>362</v>
      </c>
      <c r="G574" t="s">
        <v>36</v>
      </c>
      <c r="H574" t="s">
        <v>43</v>
      </c>
      <c r="I574" s="187"/>
      <c r="J574" s="187">
        <v>612.22677558947532</v>
      </c>
      <c r="K574" s="187">
        <v>2723.3073813976393</v>
      </c>
      <c r="L574" s="187">
        <v>5419.5171769107255</v>
      </c>
      <c r="M574" s="187">
        <v>8755.0517578125</v>
      </c>
      <c r="N574" s="187">
        <v>5419.51708984375</v>
      </c>
      <c r="O574" t="s">
        <v>1032</v>
      </c>
    </row>
    <row r="575" spans="1:15" hidden="1" x14ac:dyDescent="0.45">
      <c r="A575" s="187">
        <v>2014</v>
      </c>
      <c r="B575" t="s">
        <v>310</v>
      </c>
      <c r="C575" t="s">
        <v>328</v>
      </c>
      <c r="D575" t="s">
        <v>39</v>
      </c>
      <c r="E575" t="s">
        <v>362</v>
      </c>
      <c r="F575" t="s">
        <v>362</v>
      </c>
      <c r="G575" t="s">
        <v>37</v>
      </c>
      <c r="H575" t="s">
        <v>43</v>
      </c>
      <c r="I575" s="187"/>
      <c r="J575" s="187">
        <v>82</v>
      </c>
      <c r="K575" s="187">
        <v>1968.3001400000001</v>
      </c>
      <c r="L575" s="187">
        <v>4328</v>
      </c>
      <c r="M575" s="187">
        <v>6378.2998046875</v>
      </c>
      <c r="N575" s="187">
        <v>4328</v>
      </c>
      <c r="O575" t="s">
        <v>1035</v>
      </c>
    </row>
    <row r="576" spans="1:15" hidden="1" x14ac:dyDescent="0.45">
      <c r="A576" s="187">
        <v>2014</v>
      </c>
      <c r="B576" t="s">
        <v>309</v>
      </c>
      <c r="C576" t="s">
        <v>328</v>
      </c>
      <c r="D576" t="s">
        <v>39</v>
      </c>
      <c r="E576" t="s">
        <v>362</v>
      </c>
      <c r="F576" t="s">
        <v>362</v>
      </c>
      <c r="G576" t="s">
        <v>37</v>
      </c>
      <c r="H576" t="s">
        <v>43</v>
      </c>
      <c r="I576" s="187"/>
      <c r="J576" s="187">
        <v>524.33140000000003</v>
      </c>
      <c r="K576" s="187">
        <v>2342.2350223072008</v>
      </c>
      <c r="L576" s="187">
        <v>4704</v>
      </c>
      <c r="M576" s="187">
        <v>7570.56640625</v>
      </c>
      <c r="N576" s="187">
        <v>4704</v>
      </c>
      <c r="O576" t="s">
        <v>1034</v>
      </c>
    </row>
    <row r="577" spans="1:15" hidden="1" x14ac:dyDescent="0.45">
      <c r="A577" s="187">
        <v>2014</v>
      </c>
      <c r="B577" t="s">
        <v>310</v>
      </c>
      <c r="C577" t="s">
        <v>328</v>
      </c>
      <c r="D577" t="s">
        <v>39</v>
      </c>
      <c r="E577" t="s">
        <v>363</v>
      </c>
      <c r="F577" t="s">
        <v>363</v>
      </c>
      <c r="G577" t="s">
        <v>36</v>
      </c>
      <c r="H577" t="s">
        <v>43</v>
      </c>
      <c r="I577" s="187"/>
      <c r="J577" s="187">
        <v>47.926700210751385</v>
      </c>
      <c r="K577" s="187">
        <v>407.69248482035965</v>
      </c>
      <c r="L577" s="187">
        <v>4429.1284658179757</v>
      </c>
      <c r="M577" s="187">
        <v>4884.74755859375</v>
      </c>
      <c r="N577" s="187">
        <v>4429.12841796875</v>
      </c>
      <c r="O577" t="s">
        <v>1037</v>
      </c>
    </row>
    <row r="578" spans="1:15" hidden="1" x14ac:dyDescent="0.45">
      <c r="A578" s="187">
        <v>2014</v>
      </c>
      <c r="B578" t="s">
        <v>309</v>
      </c>
      <c r="C578" t="s">
        <v>328</v>
      </c>
      <c r="D578" t="s">
        <v>39</v>
      </c>
      <c r="E578" t="s">
        <v>363</v>
      </c>
      <c r="F578" t="s">
        <v>363</v>
      </c>
      <c r="G578" t="s">
        <v>36</v>
      </c>
      <c r="H578" t="s">
        <v>43</v>
      </c>
      <c r="I578" s="187"/>
      <c r="J578" s="187">
        <v>11.911026762441155</v>
      </c>
      <c r="K578" s="187">
        <v>406.99978447261424</v>
      </c>
      <c r="L578" s="187">
        <v>4781.0861424438799</v>
      </c>
      <c r="M578" s="187">
        <v>5199.9970703125</v>
      </c>
      <c r="N578" s="187">
        <v>4781.0859375</v>
      </c>
      <c r="O578" t="s">
        <v>1036</v>
      </c>
    </row>
    <row r="579" spans="1:15" hidden="1" x14ac:dyDescent="0.45">
      <c r="A579" s="187">
        <v>2014</v>
      </c>
      <c r="B579" t="s">
        <v>310</v>
      </c>
      <c r="C579" t="s">
        <v>328</v>
      </c>
      <c r="D579" t="s">
        <v>39</v>
      </c>
      <c r="E579" t="s">
        <v>363</v>
      </c>
      <c r="F579" t="s">
        <v>363</v>
      </c>
      <c r="G579" t="s">
        <v>37</v>
      </c>
      <c r="H579" t="s">
        <v>43</v>
      </c>
      <c r="I579" s="187"/>
      <c r="J579" s="187">
        <v>41</v>
      </c>
      <c r="K579" s="187">
        <v>348.76992999999999</v>
      </c>
      <c r="L579" s="187">
        <v>3789</v>
      </c>
      <c r="M579" s="187">
        <v>4178.77001953125</v>
      </c>
      <c r="N579" s="187">
        <v>3789</v>
      </c>
      <c r="O579" t="s">
        <v>1039</v>
      </c>
    </row>
    <row r="580" spans="1:15" hidden="1" x14ac:dyDescent="0.45">
      <c r="A580" s="187">
        <v>2014</v>
      </c>
      <c r="B580" t="s">
        <v>309</v>
      </c>
      <c r="C580" t="s">
        <v>328</v>
      </c>
      <c r="D580" t="s">
        <v>39</v>
      </c>
      <c r="E580" t="s">
        <v>363</v>
      </c>
      <c r="F580" t="s">
        <v>363</v>
      </c>
      <c r="G580" t="s">
        <v>37</v>
      </c>
      <c r="H580" t="s">
        <v>43</v>
      </c>
      <c r="I580" s="187"/>
      <c r="J580" s="187">
        <v>10.201000000000001</v>
      </c>
      <c r="K580" s="187">
        <v>350.04831102613127</v>
      </c>
      <c r="L580" s="187">
        <v>4149</v>
      </c>
      <c r="M580" s="187">
        <v>4509.24951171875</v>
      </c>
      <c r="N580" s="187">
        <v>4149</v>
      </c>
      <c r="O580" t="s">
        <v>1038</v>
      </c>
    </row>
    <row r="581" spans="1:15" hidden="1" x14ac:dyDescent="0.45">
      <c r="A581" s="187">
        <v>2014</v>
      </c>
      <c r="B581" t="s">
        <v>309</v>
      </c>
      <c r="C581" t="s">
        <v>328</v>
      </c>
      <c r="D581" t="s">
        <v>39</v>
      </c>
      <c r="E581" t="s">
        <v>364</v>
      </c>
      <c r="F581" t="s">
        <v>364</v>
      </c>
      <c r="G581" t="s">
        <v>36</v>
      </c>
      <c r="H581" t="s">
        <v>43</v>
      </c>
      <c r="I581" s="187"/>
      <c r="J581" s="187">
        <v>23.82205352488231</v>
      </c>
      <c r="K581" s="187">
        <v>4863.6110399254203</v>
      </c>
      <c r="L581" s="187">
        <v>4777.5128344151472</v>
      </c>
      <c r="M581" s="187">
        <v>9664.9462890625</v>
      </c>
      <c r="N581" s="187">
        <v>4777.5126953125</v>
      </c>
      <c r="O581" t="s">
        <v>1040</v>
      </c>
    </row>
    <row r="582" spans="1:15" hidden="1" x14ac:dyDescent="0.45">
      <c r="A582" s="187">
        <v>2014</v>
      </c>
      <c r="B582" t="s">
        <v>310</v>
      </c>
      <c r="C582" t="s">
        <v>328</v>
      </c>
      <c r="D582" t="s">
        <v>39</v>
      </c>
      <c r="E582" t="s">
        <v>364</v>
      </c>
      <c r="F582" t="s">
        <v>364</v>
      </c>
      <c r="G582" t="s">
        <v>36</v>
      </c>
      <c r="H582" t="s">
        <v>43</v>
      </c>
      <c r="I582" s="187"/>
      <c r="J582" s="187">
        <v>792.54396933876683</v>
      </c>
      <c r="K582" s="187">
        <v>4102.6297961474365</v>
      </c>
      <c r="L582" s="187">
        <v>4038.7012006864888</v>
      </c>
      <c r="M582" s="187">
        <v>8933.875</v>
      </c>
      <c r="N582" s="187">
        <v>4038.701171875</v>
      </c>
      <c r="O582" t="s">
        <v>1041</v>
      </c>
    </row>
    <row r="583" spans="1:15" hidden="1" x14ac:dyDescent="0.45">
      <c r="A583" s="187">
        <v>2014</v>
      </c>
      <c r="B583" t="s">
        <v>309</v>
      </c>
      <c r="C583" t="s">
        <v>328</v>
      </c>
      <c r="D583" t="s">
        <v>39</v>
      </c>
      <c r="E583" t="s">
        <v>364</v>
      </c>
      <c r="F583" t="s">
        <v>364</v>
      </c>
      <c r="G583" t="s">
        <v>37</v>
      </c>
      <c r="H583" t="s">
        <v>43</v>
      </c>
      <c r="I583" s="187"/>
      <c r="J583" s="187">
        <v>20.402000000000001</v>
      </c>
      <c r="K583" s="187">
        <v>4183.046023525585</v>
      </c>
      <c r="L583" s="187">
        <v>4146</v>
      </c>
      <c r="M583" s="187">
        <v>8349.4482421875</v>
      </c>
      <c r="N583" s="187">
        <v>4146</v>
      </c>
      <c r="O583" t="s">
        <v>1042</v>
      </c>
    </row>
    <row r="584" spans="1:15" hidden="1" x14ac:dyDescent="0.45">
      <c r="A584" s="187">
        <v>2014</v>
      </c>
      <c r="B584" t="s">
        <v>310</v>
      </c>
      <c r="C584" t="s">
        <v>328</v>
      </c>
      <c r="D584" t="s">
        <v>39</v>
      </c>
      <c r="E584" t="s">
        <v>364</v>
      </c>
      <c r="F584" t="s">
        <v>364</v>
      </c>
      <c r="G584" t="s">
        <v>37</v>
      </c>
      <c r="H584" t="s">
        <v>43</v>
      </c>
      <c r="I584" s="187"/>
      <c r="J584" s="187">
        <v>678</v>
      </c>
      <c r="K584" s="187">
        <v>3509.689190000001</v>
      </c>
      <c r="L584" s="187">
        <v>3455</v>
      </c>
      <c r="M584" s="187">
        <v>7642.68896484375</v>
      </c>
      <c r="N584" s="187">
        <v>3455</v>
      </c>
      <c r="O584" t="s">
        <v>1043</v>
      </c>
    </row>
    <row r="585" spans="1:15" hidden="1" x14ac:dyDescent="0.45">
      <c r="A585" s="187">
        <v>2014</v>
      </c>
      <c r="B585" t="s">
        <v>309</v>
      </c>
      <c r="C585" t="s">
        <v>328</v>
      </c>
      <c r="D585" t="s">
        <v>39</v>
      </c>
      <c r="E585" t="s">
        <v>365</v>
      </c>
      <c r="F585" t="s">
        <v>375</v>
      </c>
      <c r="G585" t="s">
        <v>36</v>
      </c>
      <c r="H585" t="s">
        <v>43</v>
      </c>
      <c r="I585" s="187"/>
      <c r="J585" s="187">
        <v>1771.1696795749997</v>
      </c>
      <c r="K585" s="187">
        <v>19046.039581357458</v>
      </c>
      <c r="L585" s="187">
        <v>24437.853608500518</v>
      </c>
      <c r="M585" s="187">
        <v>45255.0625</v>
      </c>
      <c r="N585" s="187">
        <v>24437.853515625</v>
      </c>
      <c r="O585" t="s">
        <v>1044</v>
      </c>
    </row>
    <row r="586" spans="1:15" hidden="1" x14ac:dyDescent="0.45">
      <c r="A586" s="187">
        <v>2014</v>
      </c>
      <c r="B586" t="s">
        <v>310</v>
      </c>
      <c r="C586" t="s">
        <v>328</v>
      </c>
      <c r="D586" t="s">
        <v>39</v>
      </c>
      <c r="E586" t="s">
        <v>365</v>
      </c>
      <c r="F586" t="s">
        <v>375</v>
      </c>
      <c r="G586" t="s">
        <v>36</v>
      </c>
      <c r="H586" t="s">
        <v>43</v>
      </c>
      <c r="I586" s="187"/>
      <c r="J586" s="187">
        <v>2064.3549407850473</v>
      </c>
      <c r="K586" s="187">
        <v>18686.738053473859</v>
      </c>
      <c r="L586" s="187">
        <v>21247.893408068976</v>
      </c>
      <c r="M586" s="187">
        <v>41998.98828125</v>
      </c>
      <c r="N586" s="187">
        <v>21247.892578125</v>
      </c>
      <c r="O586" t="s">
        <v>1045</v>
      </c>
    </row>
    <row r="587" spans="1:15" hidden="1" x14ac:dyDescent="0.45">
      <c r="A587" s="187">
        <v>2014</v>
      </c>
      <c r="B587" t="s">
        <v>309</v>
      </c>
      <c r="C587" t="s">
        <v>328</v>
      </c>
      <c r="D587" t="s">
        <v>39</v>
      </c>
      <c r="E587" t="s">
        <v>365</v>
      </c>
      <c r="F587" t="s">
        <v>375</v>
      </c>
      <c r="G587" t="s">
        <v>37</v>
      </c>
      <c r="H587" t="s">
        <v>43</v>
      </c>
      <c r="I587" s="187"/>
      <c r="J587" s="187">
        <v>1516.8887</v>
      </c>
      <c r="K587" s="187">
        <v>16380.92756198898</v>
      </c>
      <c r="L587" s="187">
        <v>21209</v>
      </c>
      <c r="M587" s="187">
        <v>39106.81640625</v>
      </c>
      <c r="N587" s="187">
        <v>21209</v>
      </c>
      <c r="O587" t="s">
        <v>1046</v>
      </c>
    </row>
    <row r="588" spans="1:15" hidden="1" x14ac:dyDescent="0.45">
      <c r="A588" s="187">
        <v>2014</v>
      </c>
      <c r="B588" t="s">
        <v>310</v>
      </c>
      <c r="C588" t="s">
        <v>328</v>
      </c>
      <c r="D588" t="s">
        <v>39</v>
      </c>
      <c r="E588" t="s">
        <v>365</v>
      </c>
      <c r="F588" t="s">
        <v>375</v>
      </c>
      <c r="G588" t="s">
        <v>37</v>
      </c>
      <c r="H588" t="s">
        <v>43</v>
      </c>
      <c r="I588" s="187"/>
      <c r="J588" s="187">
        <v>1766</v>
      </c>
      <c r="K588" s="187">
        <v>15986.00063896234</v>
      </c>
      <c r="L588" s="187">
        <v>18177</v>
      </c>
      <c r="M588" s="187">
        <v>35929</v>
      </c>
      <c r="N588" s="187">
        <v>18177</v>
      </c>
      <c r="O588" t="s">
        <v>1047</v>
      </c>
    </row>
    <row r="589" spans="1:15" hidden="1" x14ac:dyDescent="0.45">
      <c r="A589" s="187">
        <v>2014</v>
      </c>
      <c r="B589" t="s">
        <v>34</v>
      </c>
      <c r="C589" t="s">
        <v>329</v>
      </c>
      <c r="D589" t="s">
        <v>39</v>
      </c>
      <c r="E589" t="s">
        <v>349</v>
      </c>
      <c r="F589" t="s">
        <v>349</v>
      </c>
      <c r="G589" t="s">
        <v>36</v>
      </c>
      <c r="H589" t="s">
        <v>43</v>
      </c>
      <c r="I589" s="187"/>
      <c r="J589" s="187">
        <v>0</v>
      </c>
      <c r="K589" s="187">
        <v>3111.186767578125</v>
      </c>
      <c r="L589" s="187">
        <v>0</v>
      </c>
      <c r="M589" s="187">
        <v>3111.186767578125</v>
      </c>
      <c r="N589" s="187">
        <v>0</v>
      </c>
      <c r="O589" t="s">
        <v>1048</v>
      </c>
    </row>
    <row r="590" spans="1:15" hidden="1" x14ac:dyDescent="0.45">
      <c r="A590" s="187">
        <v>2014</v>
      </c>
      <c r="B590" t="s">
        <v>34</v>
      </c>
      <c r="C590" t="s">
        <v>329</v>
      </c>
      <c r="D590" t="s">
        <v>39</v>
      </c>
      <c r="E590" t="s">
        <v>349</v>
      </c>
      <c r="F590" t="s">
        <v>349</v>
      </c>
      <c r="G590" t="s">
        <v>37</v>
      </c>
      <c r="H590" t="s">
        <v>43</v>
      </c>
      <c r="I590" s="187"/>
      <c r="J590" s="187">
        <v>0</v>
      </c>
      <c r="K590" s="187">
        <v>2661.5363900000002</v>
      </c>
      <c r="L590" s="187">
        <v>0</v>
      </c>
      <c r="M590" s="187">
        <v>2661.536376953125</v>
      </c>
      <c r="N590" s="187">
        <v>0</v>
      </c>
      <c r="O590" t="s">
        <v>1049</v>
      </c>
    </row>
    <row r="591" spans="1:15" hidden="1" x14ac:dyDescent="0.45">
      <c r="A591" s="187">
        <v>2014</v>
      </c>
      <c r="B591" t="s">
        <v>34</v>
      </c>
      <c r="C591" t="s">
        <v>329</v>
      </c>
      <c r="D591" t="s">
        <v>39</v>
      </c>
      <c r="E591" t="s">
        <v>21</v>
      </c>
      <c r="F591" t="s">
        <v>21</v>
      </c>
      <c r="G591" t="s">
        <v>36</v>
      </c>
      <c r="H591" t="s">
        <v>43</v>
      </c>
      <c r="I591" s="187"/>
      <c r="J591" s="187">
        <v>884.89056396484375</v>
      </c>
      <c r="K591" s="187">
        <v>7097.84619140625</v>
      </c>
      <c r="L591" s="187">
        <v>7360.83984375</v>
      </c>
      <c r="M591" s="187">
        <v>15343.576171875</v>
      </c>
      <c r="N591" s="187">
        <v>7360.83984375</v>
      </c>
      <c r="O591" t="s">
        <v>1050</v>
      </c>
    </row>
    <row r="592" spans="1:15" hidden="1" x14ac:dyDescent="0.45">
      <c r="A592" s="187">
        <v>2014</v>
      </c>
      <c r="B592" t="s">
        <v>34</v>
      </c>
      <c r="C592" t="s">
        <v>329</v>
      </c>
      <c r="D592" t="s">
        <v>39</v>
      </c>
      <c r="E592" t="s">
        <v>21</v>
      </c>
      <c r="F592" t="s">
        <v>21</v>
      </c>
      <c r="G592" t="s">
        <v>37</v>
      </c>
      <c r="H592" t="s">
        <v>43</v>
      </c>
      <c r="I592" s="187"/>
      <c r="J592" s="187">
        <v>757</v>
      </c>
      <c r="K592" s="187">
        <v>6072.0161955518424</v>
      </c>
      <c r="L592" s="187">
        <v>6297</v>
      </c>
      <c r="M592" s="187">
        <v>13126.015625</v>
      </c>
      <c r="N592" s="187">
        <v>6297</v>
      </c>
      <c r="O592" t="s">
        <v>1051</v>
      </c>
    </row>
    <row r="593" spans="1:15" hidden="1" x14ac:dyDescent="0.45">
      <c r="A593" s="187">
        <v>2014</v>
      </c>
      <c r="B593" t="s">
        <v>34</v>
      </c>
      <c r="C593" t="s">
        <v>329</v>
      </c>
      <c r="D593" t="s">
        <v>39</v>
      </c>
      <c r="E593" t="s">
        <v>40</v>
      </c>
      <c r="F593" t="s">
        <v>40</v>
      </c>
      <c r="G593" t="s">
        <v>36</v>
      </c>
      <c r="H593" t="s">
        <v>43</v>
      </c>
      <c r="I593" s="187"/>
      <c r="J593" s="187">
        <v>153.13165283203125</v>
      </c>
      <c r="K593" s="187">
        <v>6073.83740234375</v>
      </c>
      <c r="L593" s="187">
        <v>8783.4443359375</v>
      </c>
      <c r="M593" s="187">
        <v>15010.4140625</v>
      </c>
      <c r="N593" s="187">
        <v>8783.4443359375</v>
      </c>
      <c r="O593" t="s">
        <v>1052</v>
      </c>
    </row>
    <row r="594" spans="1:15" hidden="1" x14ac:dyDescent="0.45">
      <c r="A594" s="187">
        <v>2014</v>
      </c>
      <c r="B594" t="s">
        <v>34</v>
      </c>
      <c r="C594" t="s">
        <v>329</v>
      </c>
      <c r="D594" t="s">
        <v>39</v>
      </c>
      <c r="E594" t="s">
        <v>40</v>
      </c>
      <c r="F594" t="s">
        <v>40</v>
      </c>
      <c r="G594" t="s">
        <v>37</v>
      </c>
      <c r="H594" t="s">
        <v>43</v>
      </c>
      <c r="I594" s="187"/>
      <c r="J594" s="187">
        <v>131</v>
      </c>
      <c r="K594" s="187">
        <v>5196.0039500000003</v>
      </c>
      <c r="L594" s="187">
        <v>7514</v>
      </c>
      <c r="M594" s="187">
        <v>12841.00390625</v>
      </c>
      <c r="N594" s="187">
        <v>7514</v>
      </c>
      <c r="O594" t="s">
        <v>1053</v>
      </c>
    </row>
    <row r="595" spans="1:15" hidden="1" x14ac:dyDescent="0.45">
      <c r="A595" s="187">
        <v>2014</v>
      </c>
      <c r="B595" t="s">
        <v>34</v>
      </c>
      <c r="C595" t="s">
        <v>329</v>
      </c>
      <c r="D595" t="s">
        <v>39</v>
      </c>
      <c r="E595" t="s">
        <v>41</v>
      </c>
      <c r="F595" t="s">
        <v>41</v>
      </c>
      <c r="G595" t="s">
        <v>36</v>
      </c>
      <c r="H595" t="s">
        <v>43</v>
      </c>
      <c r="I595" s="187"/>
      <c r="J595" s="187">
        <v>1670.4208984375</v>
      </c>
      <c r="K595" s="187">
        <v>11683.5234375</v>
      </c>
      <c r="L595" s="187">
        <v>10464.3857421875</v>
      </c>
      <c r="M595" s="187">
        <v>23818.330078125</v>
      </c>
      <c r="N595" s="187">
        <v>10464.3857421875</v>
      </c>
      <c r="O595" t="s">
        <v>1054</v>
      </c>
    </row>
    <row r="596" spans="1:15" hidden="1" x14ac:dyDescent="0.45">
      <c r="A596" s="187">
        <v>2014</v>
      </c>
      <c r="B596" t="s">
        <v>34</v>
      </c>
      <c r="C596" t="s">
        <v>329</v>
      </c>
      <c r="D596" t="s">
        <v>39</v>
      </c>
      <c r="E596" t="s">
        <v>41</v>
      </c>
      <c r="F596" t="s">
        <v>41</v>
      </c>
      <c r="G596" t="s">
        <v>37</v>
      </c>
      <c r="H596" t="s">
        <v>43</v>
      </c>
      <c r="I596" s="187"/>
      <c r="J596" s="187">
        <v>1429</v>
      </c>
      <c r="K596" s="187">
        <v>9994.9389812121026</v>
      </c>
      <c r="L596" s="187">
        <v>8952</v>
      </c>
      <c r="M596" s="187">
        <v>20375.939453125</v>
      </c>
      <c r="N596" s="187">
        <v>8952</v>
      </c>
      <c r="O596" t="s">
        <v>1055</v>
      </c>
    </row>
    <row r="597" spans="1:15" hidden="1" x14ac:dyDescent="0.45">
      <c r="A597" s="187">
        <v>2014</v>
      </c>
      <c r="B597" t="s">
        <v>34</v>
      </c>
      <c r="C597" t="s">
        <v>329</v>
      </c>
      <c r="D597" t="s">
        <v>39</v>
      </c>
      <c r="E597" t="s">
        <v>362</v>
      </c>
      <c r="F597" t="s">
        <v>362</v>
      </c>
      <c r="G597" t="s">
        <v>36</v>
      </c>
      <c r="H597" t="s">
        <v>43</v>
      </c>
      <c r="I597" s="187"/>
      <c r="J597" s="187">
        <v>93.515510559082031</v>
      </c>
      <c r="K597" s="187">
        <v>2544.4716796875</v>
      </c>
      <c r="L597" s="187">
        <v>4420.94580078125</v>
      </c>
      <c r="M597" s="187">
        <v>7058.93310546875</v>
      </c>
      <c r="N597" s="187">
        <v>4420.94580078125</v>
      </c>
      <c r="O597" t="s">
        <v>1056</v>
      </c>
    </row>
    <row r="598" spans="1:15" hidden="1" x14ac:dyDescent="0.45">
      <c r="A598" s="187">
        <v>2014</v>
      </c>
      <c r="B598" t="s">
        <v>34</v>
      </c>
      <c r="C598" t="s">
        <v>329</v>
      </c>
      <c r="D598" t="s">
        <v>39</v>
      </c>
      <c r="E598" t="s">
        <v>362</v>
      </c>
      <c r="F598" t="s">
        <v>362</v>
      </c>
      <c r="G598" t="s">
        <v>37</v>
      </c>
      <c r="H598" t="s">
        <v>43</v>
      </c>
      <c r="I598" s="187"/>
      <c r="J598" s="187">
        <v>80</v>
      </c>
      <c r="K598" s="187">
        <v>2176.7270199999998</v>
      </c>
      <c r="L598" s="187">
        <v>3782</v>
      </c>
      <c r="M598" s="187">
        <v>6038.72705078125</v>
      </c>
      <c r="N598" s="187">
        <v>3782</v>
      </c>
      <c r="O598" t="s">
        <v>1057</v>
      </c>
    </row>
    <row r="599" spans="1:15" hidden="1" x14ac:dyDescent="0.45">
      <c r="A599" s="187">
        <v>2014</v>
      </c>
      <c r="B599" t="s">
        <v>34</v>
      </c>
      <c r="C599" t="s">
        <v>329</v>
      </c>
      <c r="D599" t="s">
        <v>39</v>
      </c>
      <c r="E599" t="s">
        <v>363</v>
      </c>
      <c r="F599" t="s">
        <v>363</v>
      </c>
      <c r="G599" t="s">
        <v>36</v>
      </c>
      <c r="H599" t="s">
        <v>43</v>
      </c>
      <c r="I599" s="187"/>
      <c r="J599" s="187">
        <v>59.616138458251953</v>
      </c>
      <c r="K599" s="187">
        <v>418.17861938476563</v>
      </c>
      <c r="L599" s="187">
        <v>4362.49853515625</v>
      </c>
      <c r="M599" s="187">
        <v>4840.29345703125</v>
      </c>
      <c r="N599" s="187">
        <v>4362.49853515625</v>
      </c>
      <c r="O599" t="s">
        <v>1058</v>
      </c>
    </row>
    <row r="600" spans="1:15" hidden="1" x14ac:dyDescent="0.45">
      <c r="A600" s="187">
        <v>2014</v>
      </c>
      <c r="B600" t="s">
        <v>34</v>
      </c>
      <c r="C600" t="s">
        <v>329</v>
      </c>
      <c r="D600" t="s">
        <v>39</v>
      </c>
      <c r="E600" t="s">
        <v>363</v>
      </c>
      <c r="F600" t="s">
        <v>363</v>
      </c>
      <c r="G600" t="s">
        <v>37</v>
      </c>
      <c r="H600" t="s">
        <v>43</v>
      </c>
      <c r="I600" s="187"/>
      <c r="J600" s="187">
        <v>51</v>
      </c>
      <c r="K600" s="187">
        <v>357.74054000000001</v>
      </c>
      <c r="L600" s="187">
        <v>3732</v>
      </c>
      <c r="M600" s="187">
        <v>4140.74072265625</v>
      </c>
      <c r="N600" s="187">
        <v>3732</v>
      </c>
      <c r="O600" t="s">
        <v>1059</v>
      </c>
    </row>
    <row r="601" spans="1:15" hidden="1" x14ac:dyDescent="0.45">
      <c r="A601" s="187">
        <v>2014</v>
      </c>
      <c r="B601" t="s">
        <v>34</v>
      </c>
      <c r="C601" t="s">
        <v>329</v>
      </c>
      <c r="D601" t="s">
        <v>39</v>
      </c>
      <c r="E601" t="s">
        <v>364</v>
      </c>
      <c r="F601" t="s">
        <v>364</v>
      </c>
      <c r="G601" t="s">
        <v>36</v>
      </c>
      <c r="H601" t="s">
        <v>43</v>
      </c>
      <c r="I601" s="187"/>
      <c r="J601" s="187">
        <v>785.53033447265625</v>
      </c>
      <c r="K601" s="187">
        <v>4585.6767578125</v>
      </c>
      <c r="L601" s="187">
        <v>3103.546142578125</v>
      </c>
      <c r="M601" s="187">
        <v>8474.7529296875</v>
      </c>
      <c r="N601" s="187">
        <v>3103.546142578125</v>
      </c>
      <c r="O601" t="s">
        <v>1060</v>
      </c>
    </row>
    <row r="602" spans="1:15" hidden="1" x14ac:dyDescent="0.45">
      <c r="A602" s="187">
        <v>2014</v>
      </c>
      <c r="B602" t="s">
        <v>34</v>
      </c>
      <c r="C602" t="s">
        <v>329</v>
      </c>
      <c r="D602" t="s">
        <v>39</v>
      </c>
      <c r="E602" t="s">
        <v>364</v>
      </c>
      <c r="F602" t="s">
        <v>364</v>
      </c>
      <c r="G602" t="s">
        <v>37</v>
      </c>
      <c r="H602" t="s">
        <v>43</v>
      </c>
      <c r="I602" s="187"/>
      <c r="J602" s="187">
        <v>672</v>
      </c>
      <c r="K602" s="187">
        <v>3922.9227856602611</v>
      </c>
      <c r="L602" s="187">
        <v>2655</v>
      </c>
      <c r="M602" s="187">
        <v>7249.9228515625</v>
      </c>
      <c r="N602" s="187">
        <v>2655</v>
      </c>
      <c r="O602" t="s">
        <v>1061</v>
      </c>
    </row>
    <row r="603" spans="1:15" hidden="1" x14ac:dyDescent="0.45">
      <c r="A603" s="187">
        <v>2014</v>
      </c>
      <c r="B603" t="s">
        <v>34</v>
      </c>
      <c r="C603" t="s">
        <v>329</v>
      </c>
      <c r="D603" t="s">
        <v>39</v>
      </c>
      <c r="E603" t="s">
        <v>365</v>
      </c>
      <c r="F603" t="s">
        <v>375</v>
      </c>
      <c r="G603" t="s">
        <v>36</v>
      </c>
      <c r="H603" t="s">
        <v>43</v>
      </c>
      <c r="I603" s="187"/>
      <c r="J603" s="187">
        <v>1823.552490234375</v>
      </c>
      <c r="K603" s="187">
        <v>17757.359375</v>
      </c>
      <c r="L603" s="187">
        <v>19247.830078125</v>
      </c>
      <c r="M603" s="187">
        <v>38828.7421875</v>
      </c>
      <c r="N603" s="187">
        <v>19247.830078125</v>
      </c>
      <c r="O603" t="s">
        <v>1062</v>
      </c>
    </row>
    <row r="604" spans="1:15" hidden="1" x14ac:dyDescent="0.45">
      <c r="A604" s="187">
        <v>2014</v>
      </c>
      <c r="B604" t="s">
        <v>34</v>
      </c>
      <c r="C604" t="s">
        <v>329</v>
      </c>
      <c r="D604" t="s">
        <v>39</v>
      </c>
      <c r="E604" t="s">
        <v>365</v>
      </c>
      <c r="F604" t="s">
        <v>375</v>
      </c>
      <c r="G604" t="s">
        <v>37</v>
      </c>
      <c r="H604" t="s">
        <v>43</v>
      </c>
      <c r="I604" s="187"/>
      <c r="J604" s="187">
        <v>1560</v>
      </c>
      <c r="K604" s="187">
        <v>15190.942931212099</v>
      </c>
      <c r="L604" s="187">
        <v>16466</v>
      </c>
      <c r="M604" s="187">
        <v>33216.9453125</v>
      </c>
      <c r="N604" s="187">
        <v>16466</v>
      </c>
      <c r="O604" t="s">
        <v>1063</v>
      </c>
    </row>
    <row r="605" spans="1:15" hidden="1" x14ac:dyDescent="0.45">
      <c r="A605" s="187">
        <v>2014</v>
      </c>
      <c r="B605" t="s">
        <v>34</v>
      </c>
      <c r="C605" t="s">
        <v>320</v>
      </c>
      <c r="D605" t="s">
        <v>336</v>
      </c>
      <c r="E605" t="s">
        <v>102</v>
      </c>
      <c r="F605" t="s">
        <v>14</v>
      </c>
      <c r="G605" t="s">
        <v>36</v>
      </c>
      <c r="H605" t="s">
        <v>43</v>
      </c>
      <c r="I605" s="187"/>
      <c r="J605" s="187">
        <v>0</v>
      </c>
      <c r="K605" s="187">
        <v>0</v>
      </c>
      <c r="L605" s="187">
        <v>0</v>
      </c>
      <c r="M605" s="187">
        <v>0</v>
      </c>
      <c r="N605" s="187">
        <v>0</v>
      </c>
      <c r="O605" t="s">
        <v>1064</v>
      </c>
    </row>
    <row r="606" spans="1:15" hidden="1" x14ac:dyDescent="0.45">
      <c r="A606" s="187">
        <v>2014</v>
      </c>
      <c r="B606" t="s">
        <v>34</v>
      </c>
      <c r="C606" t="s">
        <v>320</v>
      </c>
      <c r="D606" t="s">
        <v>336</v>
      </c>
      <c r="E606" t="s">
        <v>102</v>
      </c>
      <c r="F606" t="s">
        <v>14</v>
      </c>
      <c r="G606" t="s">
        <v>37</v>
      </c>
      <c r="H606" t="s">
        <v>43</v>
      </c>
      <c r="I606" s="187"/>
      <c r="J606" s="187">
        <v>0</v>
      </c>
      <c r="K606" s="187">
        <v>0</v>
      </c>
      <c r="L606" s="187">
        <v>0</v>
      </c>
      <c r="M606" s="187">
        <v>0</v>
      </c>
      <c r="N606" s="187">
        <v>0</v>
      </c>
      <c r="O606" t="s">
        <v>1065</v>
      </c>
    </row>
    <row r="607" spans="1:15" hidden="1" x14ac:dyDescent="0.45">
      <c r="A607" s="187">
        <v>2014</v>
      </c>
      <c r="B607" t="s">
        <v>34</v>
      </c>
      <c r="C607" t="s">
        <v>320</v>
      </c>
      <c r="D607" t="s">
        <v>336</v>
      </c>
      <c r="E607" t="s">
        <v>102</v>
      </c>
      <c r="F607" t="s">
        <v>374</v>
      </c>
      <c r="G607" t="s">
        <v>36</v>
      </c>
      <c r="H607" t="s">
        <v>43</v>
      </c>
      <c r="I607" s="187"/>
      <c r="J607" s="187">
        <v>0</v>
      </c>
      <c r="K607" s="187">
        <v>0</v>
      </c>
      <c r="L607" s="187">
        <v>0</v>
      </c>
      <c r="M607" s="187">
        <v>0</v>
      </c>
      <c r="N607" s="187">
        <v>0</v>
      </c>
      <c r="O607" t="s">
        <v>1066</v>
      </c>
    </row>
    <row r="608" spans="1:15" hidden="1" x14ac:dyDescent="0.45">
      <c r="A608" s="187">
        <v>2014</v>
      </c>
      <c r="B608" t="s">
        <v>34</v>
      </c>
      <c r="C608" t="s">
        <v>320</v>
      </c>
      <c r="D608" t="s">
        <v>336</v>
      </c>
      <c r="E608" t="s">
        <v>102</v>
      </c>
      <c r="F608" t="s">
        <v>374</v>
      </c>
      <c r="G608" t="s">
        <v>37</v>
      </c>
      <c r="H608" t="s">
        <v>43</v>
      </c>
      <c r="I608" s="187"/>
      <c r="J608" s="187">
        <v>0</v>
      </c>
      <c r="K608" s="187">
        <v>0</v>
      </c>
      <c r="L608" s="187">
        <v>0</v>
      </c>
      <c r="M608" s="187">
        <v>0</v>
      </c>
      <c r="N608" s="187">
        <v>0</v>
      </c>
      <c r="O608" t="s">
        <v>1067</v>
      </c>
    </row>
    <row r="609" spans="1:15" hidden="1" x14ac:dyDescent="0.45">
      <c r="A609" s="187">
        <v>2014</v>
      </c>
      <c r="B609" t="s">
        <v>34</v>
      </c>
      <c r="C609" t="s">
        <v>320</v>
      </c>
      <c r="D609" t="s">
        <v>336</v>
      </c>
      <c r="E609" t="s">
        <v>102</v>
      </c>
      <c r="F609" t="s">
        <v>375</v>
      </c>
      <c r="G609" t="s">
        <v>36</v>
      </c>
      <c r="H609" t="s">
        <v>43</v>
      </c>
      <c r="I609" s="187"/>
      <c r="J609" s="187">
        <v>346.00738525390625</v>
      </c>
      <c r="K609" s="187">
        <v>0</v>
      </c>
      <c r="L609" s="187">
        <v>0</v>
      </c>
      <c r="M609" s="187">
        <v>346.00738525390625</v>
      </c>
      <c r="N609" s="187">
        <v>0</v>
      </c>
      <c r="O609" t="s">
        <v>1068</v>
      </c>
    </row>
    <row r="610" spans="1:15" hidden="1" x14ac:dyDescent="0.45">
      <c r="A610" s="187">
        <v>2014</v>
      </c>
      <c r="B610" t="s">
        <v>34</v>
      </c>
      <c r="C610" t="s">
        <v>320</v>
      </c>
      <c r="D610" t="s">
        <v>336</v>
      </c>
      <c r="E610" t="s">
        <v>102</v>
      </c>
      <c r="F610" t="s">
        <v>375</v>
      </c>
      <c r="G610" t="s">
        <v>37</v>
      </c>
      <c r="H610" t="s">
        <v>43</v>
      </c>
      <c r="I610" s="187"/>
      <c r="J610" s="187">
        <v>296</v>
      </c>
      <c r="K610" s="187">
        <v>0</v>
      </c>
      <c r="L610" s="187">
        <v>0</v>
      </c>
      <c r="M610" s="187">
        <v>296</v>
      </c>
      <c r="N610" s="187">
        <v>0</v>
      </c>
      <c r="O610" t="s">
        <v>1069</v>
      </c>
    </row>
    <row r="611" spans="1:15" hidden="1" x14ac:dyDescent="0.45">
      <c r="A611" s="187">
        <v>2014</v>
      </c>
      <c r="B611" t="s">
        <v>34</v>
      </c>
      <c r="C611" t="s">
        <v>320</v>
      </c>
      <c r="D611" t="s">
        <v>336</v>
      </c>
      <c r="E611" t="s">
        <v>102</v>
      </c>
      <c r="F611" t="s">
        <v>376</v>
      </c>
      <c r="G611" t="s">
        <v>36</v>
      </c>
      <c r="H611" t="s">
        <v>43</v>
      </c>
      <c r="I611" s="187"/>
      <c r="J611" s="187">
        <v>0</v>
      </c>
      <c r="K611" s="187">
        <v>0</v>
      </c>
      <c r="L611" s="187">
        <v>0</v>
      </c>
      <c r="M611" s="187">
        <v>0</v>
      </c>
      <c r="N611" s="187">
        <v>0</v>
      </c>
      <c r="O611" t="s">
        <v>1070</v>
      </c>
    </row>
    <row r="612" spans="1:15" hidden="1" x14ac:dyDescent="0.45">
      <c r="A612" s="187">
        <v>2014</v>
      </c>
      <c r="B612" t="s">
        <v>34</v>
      </c>
      <c r="C612" t="s">
        <v>320</v>
      </c>
      <c r="D612" t="s">
        <v>336</v>
      </c>
      <c r="E612" t="s">
        <v>102</v>
      </c>
      <c r="F612" t="s">
        <v>376</v>
      </c>
      <c r="G612" t="s">
        <v>37</v>
      </c>
      <c r="H612" t="s">
        <v>43</v>
      </c>
      <c r="I612" s="187"/>
      <c r="J612" s="187">
        <v>0</v>
      </c>
      <c r="K612" s="187">
        <v>0</v>
      </c>
      <c r="L612" s="187">
        <v>0</v>
      </c>
      <c r="M612" s="187">
        <v>0</v>
      </c>
      <c r="N612" s="187">
        <v>0</v>
      </c>
      <c r="O612" t="s">
        <v>1071</v>
      </c>
    </row>
    <row r="613" spans="1:15" hidden="1" x14ac:dyDescent="0.45">
      <c r="A613" s="187">
        <v>2014</v>
      </c>
      <c r="B613" t="s">
        <v>34</v>
      </c>
      <c r="C613" t="s">
        <v>320</v>
      </c>
      <c r="D613" t="s">
        <v>336</v>
      </c>
      <c r="E613" t="s">
        <v>102</v>
      </c>
      <c r="F613" t="s">
        <v>347</v>
      </c>
      <c r="G613" t="s">
        <v>36</v>
      </c>
      <c r="H613" t="s">
        <v>43</v>
      </c>
      <c r="I613" s="187"/>
      <c r="J613" s="187">
        <v>0</v>
      </c>
      <c r="K613" s="187">
        <v>0</v>
      </c>
      <c r="L613" s="187">
        <v>7131.38671875</v>
      </c>
      <c r="M613" s="187">
        <v>7131.38671875</v>
      </c>
      <c r="N613" s="187">
        <v>7131.38671875</v>
      </c>
      <c r="O613" t="s">
        <v>1072</v>
      </c>
    </row>
    <row r="614" spans="1:15" hidden="1" x14ac:dyDescent="0.45">
      <c r="A614" s="187">
        <v>2014</v>
      </c>
      <c r="B614" t="s">
        <v>34</v>
      </c>
      <c r="C614" t="s">
        <v>320</v>
      </c>
      <c r="D614" t="s">
        <v>336</v>
      </c>
      <c r="E614" t="s">
        <v>102</v>
      </c>
      <c r="F614" t="s">
        <v>347</v>
      </c>
      <c r="G614" t="s">
        <v>37</v>
      </c>
      <c r="H614" t="s">
        <v>43</v>
      </c>
      <c r="I614" s="187"/>
      <c r="J614" s="187">
        <v>0</v>
      </c>
      <c r="K614" s="187">
        <v>0</v>
      </c>
      <c r="L614" s="187">
        <v>6197</v>
      </c>
      <c r="M614" s="187">
        <v>6197</v>
      </c>
      <c r="N614" s="187">
        <v>6197</v>
      </c>
      <c r="O614" t="s">
        <v>1073</v>
      </c>
    </row>
    <row r="615" spans="1:15" hidden="1" x14ac:dyDescent="0.45">
      <c r="A615" s="187">
        <v>2014</v>
      </c>
      <c r="B615" t="s">
        <v>34</v>
      </c>
      <c r="C615" t="s">
        <v>330</v>
      </c>
      <c r="D615" t="s">
        <v>338</v>
      </c>
      <c r="E615" t="s">
        <v>366</v>
      </c>
      <c r="F615" t="s">
        <v>434</v>
      </c>
      <c r="G615" t="s">
        <v>36</v>
      </c>
      <c r="H615" t="s">
        <v>43</v>
      </c>
      <c r="I615" s="187"/>
      <c r="J615" s="187">
        <v>2651</v>
      </c>
      <c r="K615" s="187">
        <v>46969.219832269373</v>
      </c>
      <c r="L615" s="187">
        <v>58547</v>
      </c>
      <c r="M615" s="187">
        <v>108167.21875</v>
      </c>
      <c r="N615" s="187">
        <v>58547</v>
      </c>
      <c r="O615" t="s">
        <v>1074</v>
      </c>
    </row>
    <row r="616" spans="1:15" hidden="1" x14ac:dyDescent="0.45">
      <c r="A616" s="187">
        <v>2014</v>
      </c>
      <c r="B616" t="s">
        <v>34</v>
      </c>
      <c r="C616" t="s">
        <v>330</v>
      </c>
      <c r="D616" t="s">
        <v>338</v>
      </c>
      <c r="E616" t="s">
        <v>366</v>
      </c>
      <c r="F616" t="s">
        <v>435</v>
      </c>
      <c r="G616" t="s">
        <v>36</v>
      </c>
      <c r="H616" t="s">
        <v>43</v>
      </c>
      <c r="I616" s="187"/>
      <c r="J616" s="187">
        <v>126</v>
      </c>
      <c r="K616" s="187">
        <v>2218.0778207043732</v>
      </c>
      <c r="L616" s="187">
        <v>3929</v>
      </c>
      <c r="M616" s="187">
        <v>6273.078125</v>
      </c>
      <c r="N616" s="187">
        <v>3929</v>
      </c>
      <c r="O616" t="s">
        <v>1075</v>
      </c>
    </row>
    <row r="617" spans="1:15" hidden="1" x14ac:dyDescent="0.45">
      <c r="A617" s="187">
        <v>2014</v>
      </c>
      <c r="B617" t="s">
        <v>34</v>
      </c>
      <c r="C617" t="s">
        <v>330</v>
      </c>
      <c r="D617" t="s">
        <v>338</v>
      </c>
      <c r="E617" t="s">
        <v>366</v>
      </c>
      <c r="F617" t="s">
        <v>436</v>
      </c>
      <c r="G617" t="s">
        <v>36</v>
      </c>
      <c r="H617" t="s">
        <v>43</v>
      </c>
      <c r="I617" s="187"/>
      <c r="J617" s="187">
        <v>7077</v>
      </c>
      <c r="K617" s="187">
        <v>5117.8804076218112</v>
      </c>
      <c r="L617" s="187">
        <v>11990</v>
      </c>
      <c r="M617" s="187">
        <v>24184.880859375</v>
      </c>
      <c r="N617" s="187">
        <v>11990</v>
      </c>
      <c r="O617" t="s">
        <v>1076</v>
      </c>
    </row>
    <row r="618" spans="1:15" hidden="1" x14ac:dyDescent="0.45">
      <c r="A618" s="187">
        <v>2014</v>
      </c>
      <c r="B618" t="s">
        <v>34</v>
      </c>
      <c r="C618" t="s">
        <v>330</v>
      </c>
      <c r="D618" t="s">
        <v>338</v>
      </c>
      <c r="E618" t="s">
        <v>366</v>
      </c>
      <c r="F618" t="s">
        <v>437</v>
      </c>
      <c r="G618" t="s">
        <v>36</v>
      </c>
      <c r="H618" t="s">
        <v>43</v>
      </c>
      <c r="I618" s="187"/>
      <c r="J618" s="187">
        <v>5642</v>
      </c>
      <c r="K618" s="187">
        <v>171303.0888052494</v>
      </c>
      <c r="L618" s="187">
        <v>310833</v>
      </c>
      <c r="M618" s="187">
        <v>487778.09375</v>
      </c>
      <c r="N618" s="187">
        <v>310833</v>
      </c>
      <c r="O618" t="s">
        <v>1077</v>
      </c>
    </row>
    <row r="619" spans="1:15" hidden="1" x14ac:dyDescent="0.45">
      <c r="A619" s="187">
        <v>2014</v>
      </c>
      <c r="B619" t="s">
        <v>34</v>
      </c>
      <c r="C619" t="s">
        <v>330</v>
      </c>
      <c r="D619" t="s">
        <v>338</v>
      </c>
      <c r="E619" t="s">
        <v>366</v>
      </c>
      <c r="F619" t="s">
        <v>44</v>
      </c>
      <c r="G619" t="s">
        <v>36</v>
      </c>
      <c r="H619" t="s">
        <v>43</v>
      </c>
      <c r="I619" s="187"/>
      <c r="J619" s="187">
        <v>260</v>
      </c>
      <c r="K619" s="187">
        <v>3669.743874070045</v>
      </c>
      <c r="L619" s="187">
        <v>11485</v>
      </c>
      <c r="M619" s="187">
        <v>15414.744140625</v>
      </c>
      <c r="N619" s="187">
        <v>11485</v>
      </c>
      <c r="O619" t="s">
        <v>1078</v>
      </c>
    </row>
    <row r="620" spans="1:15" hidden="1" x14ac:dyDescent="0.45">
      <c r="A620" s="187">
        <v>2014</v>
      </c>
      <c r="B620" t="s">
        <v>34</v>
      </c>
      <c r="C620" t="s">
        <v>330</v>
      </c>
      <c r="D620" t="s">
        <v>338</v>
      </c>
      <c r="E620" t="s">
        <v>366</v>
      </c>
      <c r="F620" t="s">
        <v>438</v>
      </c>
      <c r="G620" t="s">
        <v>36</v>
      </c>
      <c r="H620" t="s">
        <v>43</v>
      </c>
      <c r="I620" s="187"/>
      <c r="J620" s="187">
        <v>6488</v>
      </c>
      <c r="K620" s="187">
        <v>96717.680999280055</v>
      </c>
      <c r="L620" s="187">
        <v>70446</v>
      </c>
      <c r="M620" s="187">
        <v>173651.6875</v>
      </c>
      <c r="N620" s="187">
        <v>70446</v>
      </c>
      <c r="O620" t="s">
        <v>1079</v>
      </c>
    </row>
    <row r="621" spans="1:15" hidden="1" x14ac:dyDescent="0.45">
      <c r="A621" s="187">
        <v>2014</v>
      </c>
      <c r="B621" t="s">
        <v>34</v>
      </c>
      <c r="C621" t="s">
        <v>330</v>
      </c>
      <c r="D621" t="s">
        <v>338</v>
      </c>
      <c r="E621" t="s">
        <v>366</v>
      </c>
      <c r="F621" t="s">
        <v>439</v>
      </c>
      <c r="G621" t="s">
        <v>36</v>
      </c>
      <c r="H621" t="s">
        <v>43</v>
      </c>
      <c r="I621" s="187"/>
      <c r="J621" s="187">
        <v>350</v>
      </c>
      <c r="K621" s="187">
        <v>347.99718944777129</v>
      </c>
      <c r="L621" s="187">
        <v>4757</v>
      </c>
      <c r="M621" s="187">
        <v>5454.9970703125</v>
      </c>
      <c r="N621" s="187">
        <v>4757</v>
      </c>
      <c r="O621" t="s">
        <v>1080</v>
      </c>
    </row>
    <row r="622" spans="1:15" hidden="1" x14ac:dyDescent="0.45">
      <c r="A622" s="187">
        <v>2014</v>
      </c>
      <c r="B622" t="s">
        <v>34</v>
      </c>
      <c r="C622" t="s">
        <v>330</v>
      </c>
      <c r="D622" t="s">
        <v>338</v>
      </c>
      <c r="E622" t="s">
        <v>366</v>
      </c>
      <c r="F622" t="s">
        <v>440</v>
      </c>
      <c r="G622" t="s">
        <v>36</v>
      </c>
      <c r="H622" t="s">
        <v>43</v>
      </c>
      <c r="I622" s="187"/>
      <c r="J622" s="187">
        <v>216</v>
      </c>
      <c r="K622" s="187">
        <v>5984.4084021875751</v>
      </c>
      <c r="L622" s="187">
        <v>6464</v>
      </c>
      <c r="M622" s="187">
        <v>12664.408203125</v>
      </c>
      <c r="N622" s="187">
        <v>6464</v>
      </c>
      <c r="O622" t="s">
        <v>1081</v>
      </c>
    </row>
    <row r="623" spans="1:15" hidden="1" x14ac:dyDescent="0.45">
      <c r="A623" s="187">
        <v>2014</v>
      </c>
      <c r="B623" t="s">
        <v>34</v>
      </c>
      <c r="C623" t="s">
        <v>330</v>
      </c>
      <c r="D623" t="s">
        <v>338</v>
      </c>
      <c r="E623" t="s">
        <v>366</v>
      </c>
      <c r="F623" t="s">
        <v>441</v>
      </c>
      <c r="G623" t="s">
        <v>36</v>
      </c>
      <c r="H623" t="s">
        <v>43</v>
      </c>
      <c r="I623" s="187"/>
      <c r="J623" s="187">
        <v>23147</v>
      </c>
      <c r="K623" s="187">
        <v>340539.46569280012</v>
      </c>
      <c r="L623" s="187">
        <v>483573</v>
      </c>
      <c r="M623" s="187">
        <v>847259.5</v>
      </c>
      <c r="N623" s="187">
        <v>483573</v>
      </c>
      <c r="O623" t="s">
        <v>1082</v>
      </c>
    </row>
    <row r="624" spans="1:15" hidden="1" x14ac:dyDescent="0.45">
      <c r="A624" s="187">
        <v>2014</v>
      </c>
      <c r="B624" t="s">
        <v>34</v>
      </c>
      <c r="C624" t="s">
        <v>331</v>
      </c>
      <c r="D624" t="s">
        <v>339</v>
      </c>
      <c r="E624" t="s">
        <v>7</v>
      </c>
      <c r="F624" t="s">
        <v>442</v>
      </c>
      <c r="G624" t="s">
        <v>453</v>
      </c>
      <c r="H624" t="s">
        <v>456</v>
      </c>
      <c r="I624" s="187"/>
      <c r="J624" s="187">
        <v>40.639269406392692</v>
      </c>
      <c r="K624" s="187">
        <v>20.279647412134899</v>
      </c>
      <c r="L624" s="187">
        <v>19.533623673584579</v>
      </c>
      <c r="M624" s="187">
        <v>80.452545166015625</v>
      </c>
      <c r="N624" s="187">
        <v>19.533622741699219</v>
      </c>
      <c r="O624" t="s">
        <v>1083</v>
      </c>
    </row>
    <row r="625" spans="1:15" hidden="1" x14ac:dyDescent="0.45">
      <c r="A625" s="187">
        <v>2014</v>
      </c>
      <c r="B625" t="s">
        <v>34</v>
      </c>
      <c r="C625" t="s">
        <v>332</v>
      </c>
      <c r="D625" t="s">
        <v>339</v>
      </c>
      <c r="E625" t="s">
        <v>110</v>
      </c>
      <c r="F625" t="s">
        <v>443</v>
      </c>
      <c r="G625" t="s">
        <v>453</v>
      </c>
      <c r="H625" t="s">
        <v>456</v>
      </c>
      <c r="I625" s="187"/>
      <c r="J625" s="187">
        <v>169</v>
      </c>
      <c r="K625" s="187">
        <v>225</v>
      </c>
      <c r="L625" s="187">
        <v>1529</v>
      </c>
      <c r="M625" s="187">
        <v>1923</v>
      </c>
      <c r="N625" s="187">
        <v>1529</v>
      </c>
      <c r="O625" t="s">
        <v>1084</v>
      </c>
    </row>
    <row r="626" spans="1:15" hidden="1" x14ac:dyDescent="0.45">
      <c r="A626" s="187">
        <v>2014</v>
      </c>
      <c r="B626" t="s">
        <v>34</v>
      </c>
      <c r="C626" t="s">
        <v>332</v>
      </c>
      <c r="D626" t="s">
        <v>339</v>
      </c>
      <c r="E626" t="s">
        <v>110</v>
      </c>
      <c r="F626" t="s">
        <v>444</v>
      </c>
      <c r="G626" t="s">
        <v>453</v>
      </c>
      <c r="H626" t="s">
        <v>456</v>
      </c>
      <c r="I626" s="187"/>
      <c r="J626" s="187">
        <v>54</v>
      </c>
      <c r="K626" s="187">
        <v>685</v>
      </c>
      <c r="L626" s="187">
        <v>111</v>
      </c>
      <c r="M626" s="187">
        <v>850</v>
      </c>
      <c r="N626" s="187">
        <v>111</v>
      </c>
      <c r="O626" t="s">
        <v>1085</v>
      </c>
    </row>
    <row r="627" spans="1:15" hidden="1" x14ac:dyDescent="0.45">
      <c r="A627" s="187">
        <v>2014</v>
      </c>
      <c r="B627" t="s">
        <v>34</v>
      </c>
      <c r="C627" t="s">
        <v>333</v>
      </c>
      <c r="D627" t="s">
        <v>339</v>
      </c>
      <c r="E627" t="s">
        <v>111</v>
      </c>
      <c r="F627" t="s">
        <v>188</v>
      </c>
      <c r="G627" t="s">
        <v>453</v>
      </c>
      <c r="H627" t="s">
        <v>460</v>
      </c>
      <c r="I627" s="187"/>
      <c r="J627" s="187">
        <v>214.14285714285711</v>
      </c>
      <c r="K627" s="187">
        <v>95.477130044843051</v>
      </c>
      <c r="L627" s="187">
        <v>217.59259259259261</v>
      </c>
      <c r="M627" s="187">
        <v>175.73753356933594</v>
      </c>
      <c r="N627" s="187">
        <v>72.530860900878906</v>
      </c>
      <c r="O627" t="s">
        <v>1086</v>
      </c>
    </row>
    <row r="628" spans="1:15" hidden="1" x14ac:dyDescent="0.45">
      <c r="A628" s="187">
        <v>2014</v>
      </c>
      <c r="B628" t="s">
        <v>34</v>
      </c>
      <c r="C628" t="s">
        <v>333</v>
      </c>
      <c r="D628" t="s">
        <v>339</v>
      </c>
      <c r="E628" t="s">
        <v>111</v>
      </c>
      <c r="F628" t="s">
        <v>445</v>
      </c>
      <c r="G628" t="s">
        <v>453</v>
      </c>
      <c r="H628" t="s">
        <v>460</v>
      </c>
      <c r="I628" s="187"/>
      <c r="J628" s="187">
        <v>258</v>
      </c>
      <c r="K628" s="187">
        <v>67.428571428571431</v>
      </c>
      <c r="L628" s="187">
        <v>287.67123287671228</v>
      </c>
      <c r="M628" s="187">
        <v>204.36659240722656</v>
      </c>
      <c r="N628" s="187">
        <v>95.890411376953125</v>
      </c>
      <c r="O628" t="s">
        <v>1087</v>
      </c>
    </row>
    <row r="629" spans="1:15" hidden="1" x14ac:dyDescent="0.45">
      <c r="A629" s="187">
        <v>2014</v>
      </c>
      <c r="B629" t="s">
        <v>34</v>
      </c>
      <c r="C629" t="s">
        <v>333</v>
      </c>
      <c r="D629" t="s">
        <v>339</v>
      </c>
      <c r="E629" t="s">
        <v>0</v>
      </c>
      <c r="F629" t="s">
        <v>188</v>
      </c>
      <c r="G629" t="s">
        <v>453</v>
      </c>
      <c r="H629" t="s">
        <v>460</v>
      </c>
      <c r="I629" s="187"/>
      <c r="J629" s="187">
        <v>4.4969999999999999</v>
      </c>
      <c r="K629" s="187">
        <v>1032.801040009314</v>
      </c>
      <c r="L629" s="187">
        <v>4700</v>
      </c>
      <c r="M629" s="187">
        <v>1912.4326171875</v>
      </c>
      <c r="N629" s="187">
        <v>1566.6666259765625</v>
      </c>
      <c r="O629" t="s">
        <v>1088</v>
      </c>
    </row>
    <row r="630" spans="1:15" hidden="1" x14ac:dyDescent="0.45">
      <c r="A630" s="187">
        <v>2014</v>
      </c>
      <c r="B630" t="s">
        <v>34</v>
      </c>
      <c r="C630" t="s">
        <v>333</v>
      </c>
      <c r="D630" t="s">
        <v>339</v>
      </c>
      <c r="E630" t="s">
        <v>0</v>
      </c>
      <c r="F630" t="s">
        <v>445</v>
      </c>
      <c r="G630" t="s">
        <v>453</v>
      </c>
      <c r="H630" t="s">
        <v>460</v>
      </c>
      <c r="I630" s="187"/>
      <c r="J630" s="187">
        <v>0.77400000000000002</v>
      </c>
      <c r="K630" s="187">
        <v>183.16581939539759</v>
      </c>
      <c r="L630" s="187">
        <v>2100</v>
      </c>
      <c r="M630" s="187">
        <v>761.31329345703125</v>
      </c>
      <c r="N630" s="187">
        <v>700</v>
      </c>
      <c r="O630" t="s">
        <v>1089</v>
      </c>
    </row>
    <row r="631" spans="1:15" hidden="1" x14ac:dyDescent="0.45">
      <c r="A631" s="187">
        <v>2014</v>
      </c>
      <c r="B631" t="s">
        <v>34</v>
      </c>
      <c r="C631" t="s">
        <v>333</v>
      </c>
      <c r="D631" t="s">
        <v>339</v>
      </c>
      <c r="E631" t="s">
        <v>42</v>
      </c>
      <c r="F631" t="s">
        <v>188</v>
      </c>
      <c r="G631" t="s">
        <v>453</v>
      </c>
      <c r="H631" t="s">
        <v>460</v>
      </c>
      <c r="I631" s="187"/>
      <c r="J631" s="187">
        <v>2.1000000000000001E-2</v>
      </c>
      <c r="K631" s="187">
        <v>10.81726105009896</v>
      </c>
      <c r="L631" s="187">
        <v>21.6</v>
      </c>
      <c r="M631" s="187">
        <v>10.812752723693848</v>
      </c>
      <c r="N631" s="187">
        <v>7.2000002861022949</v>
      </c>
      <c r="O631" t="s">
        <v>1090</v>
      </c>
    </row>
    <row r="632" spans="1:15" hidden="1" x14ac:dyDescent="0.45">
      <c r="A632" s="187">
        <v>2014</v>
      </c>
      <c r="B632" t="s">
        <v>34</v>
      </c>
      <c r="C632" t="s">
        <v>333</v>
      </c>
      <c r="D632" t="s">
        <v>339</v>
      </c>
      <c r="E632" t="s">
        <v>42</v>
      </c>
      <c r="F632" t="s">
        <v>445</v>
      </c>
      <c r="G632" t="s">
        <v>453</v>
      </c>
      <c r="H632" t="s">
        <v>460</v>
      </c>
      <c r="I632" s="187"/>
      <c r="J632" s="187">
        <v>3.0000000000000001E-3</v>
      </c>
      <c r="K632" s="187">
        <v>2.71644223679615</v>
      </c>
      <c r="L632" s="187">
        <v>7.3</v>
      </c>
      <c r="M632" s="187">
        <v>3.3398141860961914</v>
      </c>
      <c r="N632" s="187">
        <v>2.4333333969116211</v>
      </c>
      <c r="O632" t="s">
        <v>1091</v>
      </c>
    </row>
    <row r="633" spans="1:15" hidden="1" x14ac:dyDescent="0.45">
      <c r="A633" s="187">
        <v>2014</v>
      </c>
      <c r="B633" t="s">
        <v>34</v>
      </c>
      <c r="C633" t="s">
        <v>319</v>
      </c>
      <c r="D633" t="s">
        <v>335</v>
      </c>
      <c r="E633" t="s">
        <v>10</v>
      </c>
      <c r="F633" t="s">
        <v>372</v>
      </c>
      <c r="G633" t="s">
        <v>453</v>
      </c>
      <c r="H633" t="s">
        <v>454</v>
      </c>
      <c r="I633" s="187"/>
      <c r="J633" s="187">
        <v>6.8297446674922199E-2</v>
      </c>
      <c r="K633" s="187">
        <v>4.9240755404837501E-2</v>
      </c>
      <c r="L633" s="187">
        <v>7.5249233078248795E-2</v>
      </c>
      <c r="M633" s="187">
        <v>6.4262479543685913E-2</v>
      </c>
      <c r="N633" s="187">
        <v>2.5083078071475029E-2</v>
      </c>
      <c r="O633" t="s">
        <v>1092</v>
      </c>
    </row>
    <row r="634" spans="1:15" hidden="1" x14ac:dyDescent="0.45">
      <c r="A634" s="187">
        <v>2014</v>
      </c>
      <c r="B634" t="s">
        <v>34</v>
      </c>
      <c r="C634" t="s">
        <v>319</v>
      </c>
      <c r="D634" t="s">
        <v>335</v>
      </c>
      <c r="E634" t="s">
        <v>10</v>
      </c>
      <c r="F634" t="s">
        <v>373</v>
      </c>
      <c r="G634" t="s">
        <v>453</v>
      </c>
      <c r="H634" t="s">
        <v>454</v>
      </c>
      <c r="I634" s="187"/>
      <c r="J634" s="187">
        <v>7.5061126674922193E-2</v>
      </c>
      <c r="K634" s="187">
        <v>5.70639554048376E-2</v>
      </c>
      <c r="L634" s="187">
        <v>8.2012913078248803E-2</v>
      </c>
      <c r="M634" s="187">
        <v>7.1379326283931732E-2</v>
      </c>
      <c r="N634" s="187">
        <v>2.7337638661265373E-2</v>
      </c>
      <c r="O634" t="s">
        <v>1093</v>
      </c>
    </row>
    <row r="635" spans="1:15" hidden="1" x14ac:dyDescent="0.45">
      <c r="A635" s="187">
        <v>2014</v>
      </c>
      <c r="B635" t="s">
        <v>34</v>
      </c>
      <c r="C635" t="s">
        <v>321</v>
      </c>
      <c r="D635" t="s">
        <v>335</v>
      </c>
      <c r="E635" t="s">
        <v>341</v>
      </c>
      <c r="F635" t="s">
        <v>375</v>
      </c>
      <c r="G635" t="s">
        <v>36</v>
      </c>
      <c r="H635" t="s">
        <v>43</v>
      </c>
      <c r="I635" s="187"/>
      <c r="J635" s="187">
        <v>1795.217529296875</v>
      </c>
      <c r="K635" s="187">
        <v>17481.44140625</v>
      </c>
      <c r="L635" s="187">
        <v>18948.751953125</v>
      </c>
      <c r="M635" s="187">
        <v>38225.41015625</v>
      </c>
      <c r="N635" s="187">
        <v>18948.751953125</v>
      </c>
      <c r="O635" t="s">
        <v>1094</v>
      </c>
    </row>
    <row r="636" spans="1:15" hidden="1" x14ac:dyDescent="0.45">
      <c r="A636" s="187">
        <v>2014</v>
      </c>
      <c r="B636" t="s">
        <v>34</v>
      </c>
      <c r="C636" t="s">
        <v>321</v>
      </c>
      <c r="D636" t="s">
        <v>335</v>
      </c>
      <c r="E636" t="s">
        <v>341</v>
      </c>
      <c r="F636" t="s">
        <v>375</v>
      </c>
      <c r="G636" t="s">
        <v>37</v>
      </c>
      <c r="H636" t="s">
        <v>43</v>
      </c>
      <c r="I636" s="187"/>
      <c r="J636" s="187">
        <v>1560</v>
      </c>
      <c r="K636" s="187">
        <v>15190.943359375</v>
      </c>
      <c r="L636" s="187">
        <v>16466</v>
      </c>
      <c r="M636" s="187">
        <v>33216.9453125</v>
      </c>
      <c r="N636" s="187">
        <v>16466</v>
      </c>
      <c r="O636" t="s">
        <v>1095</v>
      </c>
    </row>
    <row r="637" spans="1:15" hidden="1" x14ac:dyDescent="0.45">
      <c r="A637" s="187">
        <v>2014</v>
      </c>
      <c r="B637" t="s">
        <v>34</v>
      </c>
      <c r="C637" t="s">
        <v>321</v>
      </c>
      <c r="D637" t="s">
        <v>335</v>
      </c>
      <c r="E637" t="s">
        <v>341</v>
      </c>
      <c r="F637" t="s">
        <v>377</v>
      </c>
      <c r="G637" t="s">
        <v>36</v>
      </c>
      <c r="H637" t="s">
        <v>43</v>
      </c>
      <c r="I637" s="187"/>
      <c r="J637" s="187">
        <v>94.363998413085938</v>
      </c>
      <c r="K637" s="187">
        <v>2042.485107421875</v>
      </c>
      <c r="L637" s="187">
        <v>2781.4365234375</v>
      </c>
      <c r="M637" s="187">
        <v>4918.28564453125</v>
      </c>
      <c r="N637" s="187">
        <v>2781.4365234375</v>
      </c>
      <c r="O637" t="s">
        <v>1096</v>
      </c>
    </row>
    <row r="638" spans="1:15" hidden="1" x14ac:dyDescent="0.45">
      <c r="A638" s="187">
        <v>2014</v>
      </c>
      <c r="B638" t="s">
        <v>34</v>
      </c>
      <c r="C638" t="s">
        <v>321</v>
      </c>
      <c r="D638" t="s">
        <v>335</v>
      </c>
      <c r="E638" t="s">
        <v>341</v>
      </c>
      <c r="F638" t="s">
        <v>377</v>
      </c>
      <c r="G638" t="s">
        <v>37</v>
      </c>
      <c r="H638" t="s">
        <v>43</v>
      </c>
      <c r="I638" s="187"/>
      <c r="J638" s="187">
        <v>82</v>
      </c>
      <c r="K638" s="187">
        <v>1774.869384765625</v>
      </c>
      <c r="L638" s="187">
        <v>2417</v>
      </c>
      <c r="M638" s="187">
        <v>4273.869140625</v>
      </c>
      <c r="N638" s="187">
        <v>2417</v>
      </c>
      <c r="O638" t="s">
        <v>1097</v>
      </c>
    </row>
    <row r="639" spans="1:15" hidden="1" x14ac:dyDescent="0.45">
      <c r="A639" s="187">
        <v>2014</v>
      </c>
      <c r="B639" t="s">
        <v>34</v>
      </c>
      <c r="C639" t="s">
        <v>321</v>
      </c>
      <c r="D639" t="s">
        <v>335</v>
      </c>
      <c r="E639" t="s">
        <v>342</v>
      </c>
      <c r="F639" t="s">
        <v>342</v>
      </c>
      <c r="G639" t="s">
        <v>36</v>
      </c>
      <c r="H639" t="s">
        <v>43</v>
      </c>
      <c r="I639" s="187"/>
      <c r="J639" s="187">
        <v>3250.954833984375</v>
      </c>
      <c r="K639" s="187">
        <v>38112.06640625</v>
      </c>
      <c r="L639" s="187">
        <v>64938.54296875</v>
      </c>
      <c r="M639" s="187">
        <v>106301.5625</v>
      </c>
      <c r="N639" s="187">
        <v>64938.54296875</v>
      </c>
      <c r="O639" t="s">
        <v>1098</v>
      </c>
    </row>
    <row r="640" spans="1:15" hidden="1" x14ac:dyDescent="0.45">
      <c r="A640" s="187">
        <v>2014</v>
      </c>
      <c r="B640" t="s">
        <v>34</v>
      </c>
      <c r="C640" t="s">
        <v>321</v>
      </c>
      <c r="D640" t="s">
        <v>335</v>
      </c>
      <c r="E640" t="s">
        <v>342</v>
      </c>
      <c r="F640" t="s">
        <v>342</v>
      </c>
      <c r="G640" t="s">
        <v>37</v>
      </c>
      <c r="H640" t="s">
        <v>43</v>
      </c>
      <c r="I640" s="187"/>
      <c r="J640" s="187">
        <v>2825</v>
      </c>
      <c r="K640" s="187">
        <v>33118.44921875</v>
      </c>
      <c r="L640" s="187">
        <v>56430</v>
      </c>
      <c r="M640" s="187">
        <v>92373.453125</v>
      </c>
      <c r="N640" s="187">
        <v>56430</v>
      </c>
      <c r="O640" t="s">
        <v>1099</v>
      </c>
    </row>
    <row r="641" spans="1:15" hidden="1" x14ac:dyDescent="0.45">
      <c r="A641" s="187">
        <v>2014</v>
      </c>
      <c r="B641" t="s">
        <v>34</v>
      </c>
      <c r="C641" t="s">
        <v>321</v>
      </c>
      <c r="D641" t="s">
        <v>335</v>
      </c>
      <c r="E641" t="s">
        <v>343</v>
      </c>
      <c r="F641" t="s">
        <v>343</v>
      </c>
      <c r="G641" t="s">
        <v>36</v>
      </c>
      <c r="H641" t="s">
        <v>43</v>
      </c>
      <c r="I641" s="187"/>
      <c r="J641" s="187">
        <v>1977.7301025390625</v>
      </c>
      <c r="K641" s="187">
        <v>25248.345703125</v>
      </c>
      <c r="L641" s="187">
        <v>45199.37890625</v>
      </c>
      <c r="M641" s="187">
        <v>72425.453125</v>
      </c>
      <c r="N641" s="187">
        <v>45199.37890625</v>
      </c>
      <c r="O641" t="s">
        <v>1100</v>
      </c>
    </row>
    <row r="642" spans="1:15" hidden="1" x14ac:dyDescent="0.45">
      <c r="A642" s="187">
        <v>2014</v>
      </c>
      <c r="B642" t="s">
        <v>34</v>
      </c>
      <c r="C642" t="s">
        <v>321</v>
      </c>
      <c r="D642" t="s">
        <v>335</v>
      </c>
      <c r="E642" t="s">
        <v>343</v>
      </c>
      <c r="F642" t="s">
        <v>343</v>
      </c>
      <c r="G642" t="s">
        <v>37</v>
      </c>
      <c r="H642" t="s">
        <v>43</v>
      </c>
      <c r="I642" s="187"/>
      <c r="J642" s="187">
        <v>1718.598876953125</v>
      </c>
      <c r="K642" s="187">
        <v>21940.193359375</v>
      </c>
      <c r="L642" s="187">
        <v>39277.15234375</v>
      </c>
      <c r="M642" s="187">
        <v>62935.9453125</v>
      </c>
      <c r="N642" s="187">
        <v>39277.15234375</v>
      </c>
      <c r="O642" t="s">
        <v>1101</v>
      </c>
    </row>
    <row r="643" spans="1:15" hidden="1" x14ac:dyDescent="0.45">
      <c r="A643" s="187">
        <v>2014</v>
      </c>
      <c r="B643" t="s">
        <v>34</v>
      </c>
      <c r="C643" t="s">
        <v>321</v>
      </c>
      <c r="D643" t="s">
        <v>335</v>
      </c>
      <c r="E643" t="s">
        <v>344</v>
      </c>
      <c r="F643" t="s">
        <v>344</v>
      </c>
      <c r="G643" t="s">
        <v>36</v>
      </c>
      <c r="H643" t="s">
        <v>43</v>
      </c>
      <c r="I643" s="187"/>
      <c r="J643" s="187">
        <v>2641.20751953125</v>
      </c>
      <c r="K643" s="187">
        <v>31186.134765625</v>
      </c>
      <c r="L643" s="187">
        <v>56848.28515625</v>
      </c>
      <c r="M643" s="187">
        <v>90675.625</v>
      </c>
      <c r="N643" s="187">
        <v>56848.28515625</v>
      </c>
      <c r="O643" t="s">
        <v>1102</v>
      </c>
    </row>
    <row r="644" spans="1:15" hidden="1" x14ac:dyDescent="0.45">
      <c r="A644" s="187">
        <v>2014</v>
      </c>
      <c r="B644" t="s">
        <v>34</v>
      </c>
      <c r="C644" t="s">
        <v>321</v>
      </c>
      <c r="D644" t="s">
        <v>335</v>
      </c>
      <c r="E644" t="s">
        <v>344</v>
      </c>
      <c r="F644" t="s">
        <v>344</v>
      </c>
      <c r="G644" t="s">
        <v>37</v>
      </c>
      <c r="H644" t="s">
        <v>43</v>
      </c>
      <c r="I644" s="187"/>
      <c r="J644" s="187">
        <v>2295.14453125</v>
      </c>
      <c r="K644" s="187">
        <v>27099.986328125</v>
      </c>
      <c r="L644" s="187">
        <v>49399.765625</v>
      </c>
      <c r="M644" s="187">
        <v>78794.8984375</v>
      </c>
      <c r="N644" s="187">
        <v>49399.765625</v>
      </c>
      <c r="O644" t="s">
        <v>1103</v>
      </c>
    </row>
    <row r="645" spans="1:15" hidden="1" x14ac:dyDescent="0.45">
      <c r="A645" s="187">
        <v>2014</v>
      </c>
      <c r="B645" t="s">
        <v>34</v>
      </c>
      <c r="C645" t="s">
        <v>321</v>
      </c>
      <c r="D645" t="s">
        <v>335</v>
      </c>
      <c r="E645" t="s">
        <v>345</v>
      </c>
      <c r="F645" t="s">
        <v>378</v>
      </c>
      <c r="G645" t="s">
        <v>36</v>
      </c>
      <c r="H645" t="s">
        <v>43</v>
      </c>
      <c r="I645" s="187"/>
      <c r="J645" s="187">
        <v>663.47747802734375</v>
      </c>
      <c r="K645" s="187">
        <v>5937.78955078125</v>
      </c>
      <c r="L645" s="187">
        <v>11648.904296875</v>
      </c>
      <c r="M645" s="187">
        <v>18250.171875</v>
      </c>
      <c r="N645" s="187">
        <v>11648.904296875</v>
      </c>
      <c r="O645" t="s">
        <v>1104</v>
      </c>
    </row>
    <row r="646" spans="1:15" hidden="1" x14ac:dyDescent="0.45">
      <c r="A646" s="187">
        <v>2014</v>
      </c>
      <c r="B646" t="s">
        <v>34</v>
      </c>
      <c r="C646" t="s">
        <v>321</v>
      </c>
      <c r="D646" t="s">
        <v>335</v>
      </c>
      <c r="E646" t="s">
        <v>345</v>
      </c>
      <c r="F646" t="s">
        <v>378</v>
      </c>
      <c r="G646" t="s">
        <v>37</v>
      </c>
      <c r="H646" t="s">
        <v>43</v>
      </c>
      <c r="I646" s="187"/>
      <c r="J646" s="187">
        <v>576.545654296875</v>
      </c>
      <c r="K646" s="187">
        <v>5159.79345703125</v>
      </c>
      <c r="L646" s="187">
        <v>10122.6123046875</v>
      </c>
      <c r="M646" s="187">
        <v>15858.951171875</v>
      </c>
      <c r="N646" s="187">
        <v>10122.6123046875</v>
      </c>
      <c r="O646" t="s">
        <v>1105</v>
      </c>
    </row>
    <row r="647" spans="1:15" hidden="1" x14ac:dyDescent="0.45">
      <c r="A647" s="187">
        <v>2014</v>
      </c>
      <c r="B647" t="s">
        <v>34</v>
      </c>
      <c r="C647" t="s">
        <v>321</v>
      </c>
      <c r="D647" t="s">
        <v>335</v>
      </c>
      <c r="E647" t="s">
        <v>346</v>
      </c>
      <c r="F647" t="s">
        <v>379</v>
      </c>
      <c r="G647" t="s">
        <v>36</v>
      </c>
      <c r="H647" t="s">
        <v>43</v>
      </c>
      <c r="I647" s="187"/>
      <c r="J647" s="187">
        <v>0</v>
      </c>
      <c r="K647" s="187">
        <v>0</v>
      </c>
      <c r="L647" s="187">
        <v>110.03711700439453</v>
      </c>
      <c r="M647" s="187">
        <v>110.03711700439453</v>
      </c>
      <c r="N647" s="187">
        <v>110.03711700439453</v>
      </c>
      <c r="O647" t="s">
        <v>1106</v>
      </c>
    </row>
    <row r="648" spans="1:15" hidden="1" x14ac:dyDescent="0.45">
      <c r="A648" s="187">
        <v>2014</v>
      </c>
      <c r="B648" t="s">
        <v>34</v>
      </c>
      <c r="C648" t="s">
        <v>321</v>
      </c>
      <c r="D648" t="s">
        <v>335</v>
      </c>
      <c r="E648" t="s">
        <v>346</v>
      </c>
      <c r="F648" t="s">
        <v>379</v>
      </c>
      <c r="G648" t="s">
        <v>37</v>
      </c>
      <c r="H648" t="s">
        <v>43</v>
      </c>
      <c r="I648" s="187"/>
      <c r="J648" s="187">
        <v>0</v>
      </c>
      <c r="K648" s="187">
        <v>0</v>
      </c>
      <c r="L648" s="187">
        <v>95.619552612304688</v>
      </c>
      <c r="M648" s="187">
        <v>95.619552612304688</v>
      </c>
      <c r="N648" s="187">
        <v>95.619552612304688</v>
      </c>
      <c r="O648" t="s">
        <v>1107</v>
      </c>
    </row>
    <row r="649" spans="1:15" hidden="1" x14ac:dyDescent="0.45">
      <c r="A649" s="187">
        <v>2014</v>
      </c>
      <c r="B649" t="s">
        <v>34</v>
      </c>
      <c r="C649" t="s">
        <v>321</v>
      </c>
      <c r="D649" t="s">
        <v>335</v>
      </c>
      <c r="E649" t="s">
        <v>347</v>
      </c>
      <c r="F649" t="s">
        <v>380</v>
      </c>
      <c r="G649" t="s">
        <v>36</v>
      </c>
      <c r="H649" t="s">
        <v>43</v>
      </c>
      <c r="I649" s="187"/>
      <c r="J649" s="187">
        <v>0</v>
      </c>
      <c r="K649" s="187">
        <v>-37.896553039550781</v>
      </c>
      <c r="L649" s="187">
        <v>-57.539024353027344</v>
      </c>
      <c r="M649" s="187">
        <v>-95.435577392578125</v>
      </c>
      <c r="N649" s="187">
        <v>-57.539024353027344</v>
      </c>
      <c r="O649" t="s">
        <v>1108</v>
      </c>
    </row>
    <row r="650" spans="1:15" hidden="1" x14ac:dyDescent="0.45">
      <c r="A650" s="187">
        <v>2014</v>
      </c>
      <c r="B650" t="s">
        <v>34</v>
      </c>
      <c r="C650" t="s">
        <v>321</v>
      </c>
      <c r="D650" t="s">
        <v>335</v>
      </c>
      <c r="E650" t="s">
        <v>347</v>
      </c>
      <c r="F650" t="s">
        <v>380</v>
      </c>
      <c r="G650" t="s">
        <v>37</v>
      </c>
      <c r="H650" t="s">
        <v>43</v>
      </c>
      <c r="I650" s="187"/>
      <c r="J650" s="187">
        <v>0</v>
      </c>
      <c r="K650" s="187">
        <v>-32.931175231933594</v>
      </c>
      <c r="L650" s="187">
        <v>-50</v>
      </c>
      <c r="M650" s="187">
        <v>-82.931175231933594</v>
      </c>
      <c r="N650" s="187">
        <v>-50</v>
      </c>
      <c r="O650" t="s">
        <v>1109</v>
      </c>
    </row>
    <row r="651" spans="1:15" hidden="1" x14ac:dyDescent="0.45">
      <c r="A651" s="187">
        <v>2014</v>
      </c>
      <c r="B651" t="s">
        <v>34</v>
      </c>
      <c r="C651" t="s">
        <v>321</v>
      </c>
      <c r="D651" t="s">
        <v>335</v>
      </c>
      <c r="E651" t="s">
        <v>347</v>
      </c>
      <c r="F651" t="s">
        <v>11</v>
      </c>
      <c r="G651" t="s">
        <v>36</v>
      </c>
      <c r="H651" t="s">
        <v>43</v>
      </c>
      <c r="I651" s="187"/>
      <c r="J651" s="187">
        <v>5108.314453125</v>
      </c>
      <c r="K651" s="187">
        <v>56553.83984375</v>
      </c>
      <c r="L651" s="187">
        <v>85921.875</v>
      </c>
      <c r="M651" s="187">
        <v>147584.03125</v>
      </c>
      <c r="N651" s="187">
        <v>85921.875</v>
      </c>
      <c r="O651" t="s">
        <v>1110</v>
      </c>
    </row>
    <row r="652" spans="1:15" hidden="1" x14ac:dyDescent="0.45">
      <c r="A652" s="187">
        <v>2014</v>
      </c>
      <c r="B652" t="s">
        <v>34</v>
      </c>
      <c r="C652" t="s">
        <v>321</v>
      </c>
      <c r="D652" t="s">
        <v>335</v>
      </c>
      <c r="E652" t="s">
        <v>347</v>
      </c>
      <c r="F652" t="s">
        <v>11</v>
      </c>
      <c r="G652" t="s">
        <v>37</v>
      </c>
      <c r="H652" t="s">
        <v>43</v>
      </c>
      <c r="I652" s="187"/>
      <c r="J652" s="187">
        <v>4439</v>
      </c>
      <c r="K652" s="187">
        <v>49143.8984375</v>
      </c>
      <c r="L652" s="187">
        <v>74664</v>
      </c>
      <c r="M652" s="187">
        <v>128246.8984375</v>
      </c>
      <c r="N652" s="187">
        <v>74664</v>
      </c>
      <c r="O652" t="s">
        <v>1111</v>
      </c>
    </row>
    <row r="653" spans="1:15" hidden="1" x14ac:dyDescent="0.45">
      <c r="A653" s="187">
        <v>2014</v>
      </c>
      <c r="B653" t="s">
        <v>34</v>
      </c>
      <c r="C653" t="s">
        <v>321</v>
      </c>
      <c r="D653" t="s">
        <v>335</v>
      </c>
      <c r="E653" t="s">
        <v>347</v>
      </c>
      <c r="F653" t="s">
        <v>381</v>
      </c>
      <c r="G653" t="s">
        <v>36</v>
      </c>
      <c r="H653" t="s">
        <v>43</v>
      </c>
      <c r="I653" s="187"/>
      <c r="J653" s="187">
        <v>32.221855163574219</v>
      </c>
      <c r="K653" s="187">
        <v>1120.0462646484375</v>
      </c>
      <c r="L653" s="187">
        <v>804.39556884765625</v>
      </c>
      <c r="M653" s="187">
        <v>1956.66357421875</v>
      </c>
      <c r="N653" s="187">
        <v>804.39556884765625</v>
      </c>
      <c r="O653" t="s">
        <v>1112</v>
      </c>
    </row>
    <row r="654" spans="1:15" hidden="1" x14ac:dyDescent="0.45">
      <c r="A654" s="187">
        <v>2014</v>
      </c>
      <c r="B654" t="s">
        <v>34</v>
      </c>
      <c r="C654" t="s">
        <v>321</v>
      </c>
      <c r="D654" t="s">
        <v>335</v>
      </c>
      <c r="E654" t="s">
        <v>347</v>
      </c>
      <c r="F654" t="s">
        <v>381</v>
      </c>
      <c r="G654" t="s">
        <v>37</v>
      </c>
      <c r="H654" t="s">
        <v>43</v>
      </c>
      <c r="I654" s="187"/>
      <c r="J654" s="187">
        <v>28</v>
      </c>
      <c r="K654" s="187">
        <v>973.292724609375</v>
      </c>
      <c r="L654" s="187">
        <v>699</v>
      </c>
      <c r="M654" s="187">
        <v>1700.292724609375</v>
      </c>
      <c r="N654" s="187">
        <v>699</v>
      </c>
      <c r="O654" t="s">
        <v>1113</v>
      </c>
    </row>
    <row r="655" spans="1:15" hidden="1" x14ac:dyDescent="0.45">
      <c r="A655" s="187">
        <v>2014</v>
      </c>
      <c r="B655" t="s">
        <v>34</v>
      </c>
      <c r="C655" t="s">
        <v>321</v>
      </c>
      <c r="D655" t="s">
        <v>335</v>
      </c>
      <c r="E655" t="s">
        <v>347</v>
      </c>
      <c r="F655" t="s">
        <v>347</v>
      </c>
      <c r="G655" t="s">
        <v>36</v>
      </c>
      <c r="H655" t="s">
        <v>43</v>
      </c>
      <c r="I655" s="187"/>
      <c r="J655" s="187">
        <v>5140.53662109375</v>
      </c>
      <c r="K655" s="187">
        <v>57635.9921875</v>
      </c>
      <c r="L655" s="187">
        <v>86668.734375</v>
      </c>
      <c r="M655" s="187">
        <v>149445.265625</v>
      </c>
      <c r="N655" s="187">
        <v>86668.734375</v>
      </c>
      <c r="O655" t="s">
        <v>1114</v>
      </c>
    </row>
    <row r="656" spans="1:15" hidden="1" x14ac:dyDescent="0.45">
      <c r="A656" s="187">
        <v>2014</v>
      </c>
      <c r="B656" t="s">
        <v>34</v>
      </c>
      <c r="C656" t="s">
        <v>321</v>
      </c>
      <c r="D656" t="s">
        <v>335</v>
      </c>
      <c r="E656" t="s">
        <v>347</v>
      </c>
      <c r="F656" t="s">
        <v>347</v>
      </c>
      <c r="G656" t="s">
        <v>37</v>
      </c>
      <c r="H656" t="s">
        <v>43</v>
      </c>
      <c r="I656" s="187"/>
      <c r="J656" s="187">
        <v>4467</v>
      </c>
      <c r="K656" s="187">
        <v>50084.26171875</v>
      </c>
      <c r="L656" s="187">
        <v>75313</v>
      </c>
      <c r="M656" s="187">
        <v>129864.265625</v>
      </c>
      <c r="N656" s="187">
        <v>75313</v>
      </c>
      <c r="O656" t="s">
        <v>1115</v>
      </c>
    </row>
    <row r="657" spans="1:15" hidden="1" x14ac:dyDescent="0.45">
      <c r="A657" s="187">
        <v>2015</v>
      </c>
      <c r="B657" t="s">
        <v>311</v>
      </c>
      <c r="C657" t="s">
        <v>322</v>
      </c>
      <c r="D657" t="s">
        <v>35</v>
      </c>
      <c r="E657" t="s">
        <v>348</v>
      </c>
      <c r="F657" t="s">
        <v>382</v>
      </c>
      <c r="G657" t="s">
        <v>36</v>
      </c>
      <c r="H657" t="s">
        <v>43</v>
      </c>
      <c r="I657" s="187"/>
      <c r="J657" s="187">
        <v>942.44235664204791</v>
      </c>
      <c r="K657" s="187">
        <v>19916.788224149266</v>
      </c>
      <c r="L657" s="187">
        <v>37399.275440980644</v>
      </c>
      <c r="M657" s="187">
        <v>58258.5078125</v>
      </c>
      <c r="N657" s="187">
        <v>37399.27734375</v>
      </c>
      <c r="O657" t="s">
        <v>1118</v>
      </c>
    </row>
    <row r="658" spans="1:15" hidden="1" x14ac:dyDescent="0.45">
      <c r="A658" s="187">
        <v>2015</v>
      </c>
      <c r="B658" t="s">
        <v>309</v>
      </c>
      <c r="C658" t="s">
        <v>322</v>
      </c>
      <c r="D658" t="s">
        <v>35</v>
      </c>
      <c r="E658" t="s">
        <v>348</v>
      </c>
      <c r="F658" t="s">
        <v>382</v>
      </c>
      <c r="G658" t="s">
        <v>36</v>
      </c>
      <c r="H658" t="s">
        <v>43</v>
      </c>
      <c r="I658" s="187"/>
      <c r="J658" s="187">
        <v>915.35738922673875</v>
      </c>
      <c r="K658" s="187">
        <v>17348.336308520084</v>
      </c>
      <c r="L658" s="187">
        <v>34420.617079113719</v>
      </c>
      <c r="M658" s="187">
        <v>52684.30859375</v>
      </c>
      <c r="N658" s="187">
        <v>34420.6171875</v>
      </c>
      <c r="O658" t="s">
        <v>1116</v>
      </c>
    </row>
    <row r="659" spans="1:15" hidden="1" x14ac:dyDescent="0.45">
      <c r="A659" s="187">
        <v>2015</v>
      </c>
      <c r="B659" t="s">
        <v>310</v>
      </c>
      <c r="C659" t="s">
        <v>322</v>
      </c>
      <c r="D659" t="s">
        <v>35</v>
      </c>
      <c r="E659" t="s">
        <v>348</v>
      </c>
      <c r="F659" t="s">
        <v>382</v>
      </c>
      <c r="G659" t="s">
        <v>36</v>
      </c>
      <c r="H659" t="s">
        <v>43</v>
      </c>
      <c r="I659" s="187"/>
      <c r="J659" s="187">
        <v>1000.4064303773315</v>
      </c>
      <c r="K659" s="187">
        <v>18831.820485675027</v>
      </c>
      <c r="L659" s="187">
        <v>42196.227828739029</v>
      </c>
      <c r="M659" s="187">
        <v>62028.453125</v>
      </c>
      <c r="N659" s="187">
        <v>42196.2265625</v>
      </c>
      <c r="O659" t="s">
        <v>1117</v>
      </c>
    </row>
    <row r="660" spans="1:15" hidden="1" x14ac:dyDescent="0.45">
      <c r="A660" s="187">
        <v>2015</v>
      </c>
      <c r="B660" t="s">
        <v>310</v>
      </c>
      <c r="C660" t="s">
        <v>322</v>
      </c>
      <c r="D660" t="s">
        <v>35</v>
      </c>
      <c r="E660" t="s">
        <v>348</v>
      </c>
      <c r="F660" t="s">
        <v>382</v>
      </c>
      <c r="G660" t="s">
        <v>37</v>
      </c>
      <c r="H660" t="s">
        <v>43</v>
      </c>
      <c r="I660" s="187"/>
      <c r="J660" s="187">
        <v>782</v>
      </c>
      <c r="K660" s="187">
        <v>14683.87626750557</v>
      </c>
      <c r="L660" s="187">
        <v>33132</v>
      </c>
      <c r="M660" s="187">
        <v>48597.875</v>
      </c>
      <c r="N660" s="187">
        <v>33132</v>
      </c>
      <c r="O660" t="s">
        <v>1119</v>
      </c>
    </row>
    <row r="661" spans="1:15" hidden="1" x14ac:dyDescent="0.45">
      <c r="A661" s="187">
        <v>2015</v>
      </c>
      <c r="B661" t="s">
        <v>309</v>
      </c>
      <c r="C661" t="s">
        <v>322</v>
      </c>
      <c r="D661" t="s">
        <v>35</v>
      </c>
      <c r="E661" t="s">
        <v>348</v>
      </c>
      <c r="F661" t="s">
        <v>382</v>
      </c>
      <c r="G661" t="s">
        <v>37</v>
      </c>
      <c r="H661" t="s">
        <v>43</v>
      </c>
      <c r="I661" s="187"/>
      <c r="J661" s="187">
        <v>720.16020000000003</v>
      </c>
      <c r="K661" s="187">
        <v>13705.516205179511</v>
      </c>
      <c r="L661" s="187">
        <v>27585</v>
      </c>
      <c r="M661" s="187">
        <v>42010.67578125</v>
      </c>
      <c r="N661" s="187">
        <v>27585</v>
      </c>
      <c r="O661" t="s">
        <v>1120</v>
      </c>
    </row>
    <row r="662" spans="1:15" hidden="1" x14ac:dyDescent="0.45">
      <c r="A662" s="187">
        <v>2015</v>
      </c>
      <c r="B662" t="s">
        <v>311</v>
      </c>
      <c r="C662" t="s">
        <v>322</v>
      </c>
      <c r="D662" t="s">
        <v>35</v>
      </c>
      <c r="E662" t="s">
        <v>348</v>
      </c>
      <c r="F662" t="s">
        <v>382</v>
      </c>
      <c r="G662" t="s">
        <v>37</v>
      </c>
      <c r="H662" t="s">
        <v>43</v>
      </c>
      <c r="I662" s="187"/>
      <c r="J662" s="187">
        <v>739</v>
      </c>
      <c r="K662" s="187">
        <v>15617.407679010539</v>
      </c>
      <c r="L662" s="187">
        <v>29326</v>
      </c>
      <c r="M662" s="187">
        <v>45682.40625</v>
      </c>
      <c r="N662" s="187">
        <v>29326</v>
      </c>
      <c r="O662" t="s">
        <v>1121</v>
      </c>
    </row>
    <row r="663" spans="1:15" hidden="1" x14ac:dyDescent="0.45">
      <c r="A663" s="187">
        <v>2015</v>
      </c>
      <c r="B663" t="s">
        <v>310</v>
      </c>
      <c r="C663" t="s">
        <v>322</v>
      </c>
      <c r="D663" t="s">
        <v>35</v>
      </c>
      <c r="E663" t="s">
        <v>19</v>
      </c>
      <c r="F663" t="s">
        <v>19</v>
      </c>
      <c r="G663" t="s">
        <v>36</v>
      </c>
      <c r="H663" t="s">
        <v>43</v>
      </c>
      <c r="I663" s="187"/>
      <c r="J663" s="187">
        <v>71.924645321246061</v>
      </c>
      <c r="K663" s="187">
        <v>147.89249381164743</v>
      </c>
      <c r="L663" s="187">
        <v>5489.8120192471079</v>
      </c>
      <c r="M663" s="187">
        <v>5709.62939453125</v>
      </c>
      <c r="N663" s="187">
        <v>5489.81201171875</v>
      </c>
      <c r="O663" t="s">
        <v>1122</v>
      </c>
    </row>
    <row r="664" spans="1:15" hidden="1" x14ac:dyDescent="0.45">
      <c r="A664" s="187">
        <v>2015</v>
      </c>
      <c r="B664" t="s">
        <v>309</v>
      </c>
      <c r="C664" t="s">
        <v>322</v>
      </c>
      <c r="D664" t="s">
        <v>35</v>
      </c>
      <c r="E664" t="s">
        <v>19</v>
      </c>
      <c r="F664" t="s">
        <v>19</v>
      </c>
      <c r="G664" t="s">
        <v>36</v>
      </c>
      <c r="H664" t="s">
        <v>43</v>
      </c>
      <c r="I664" s="187"/>
      <c r="J664" s="187">
        <v>0</v>
      </c>
      <c r="K664" s="187">
        <v>150.70942137818534</v>
      </c>
      <c r="L664" s="187">
        <v>5130.5053089365547</v>
      </c>
      <c r="M664" s="187">
        <v>5281.21484375</v>
      </c>
      <c r="N664" s="187">
        <v>5130.50537109375</v>
      </c>
      <c r="O664" t="s">
        <v>1124</v>
      </c>
    </row>
    <row r="665" spans="1:15" hidden="1" x14ac:dyDescent="0.45">
      <c r="A665" s="187">
        <v>2015</v>
      </c>
      <c r="B665" t="s">
        <v>311</v>
      </c>
      <c r="C665" t="s">
        <v>322</v>
      </c>
      <c r="D665" t="s">
        <v>35</v>
      </c>
      <c r="E665" t="s">
        <v>19</v>
      </c>
      <c r="F665" t="s">
        <v>19</v>
      </c>
      <c r="G665" t="s">
        <v>36</v>
      </c>
      <c r="H665" t="s">
        <v>43</v>
      </c>
      <c r="I665" s="187"/>
      <c r="J665" s="187">
        <v>165.78823594515052</v>
      </c>
      <c r="K665" s="187">
        <v>209.87975757711678</v>
      </c>
      <c r="L665" s="187">
        <v>2467.6941273374327</v>
      </c>
      <c r="M665" s="187">
        <v>2843.362060546875</v>
      </c>
      <c r="N665" s="187">
        <v>2467.694091796875</v>
      </c>
      <c r="O665" t="s">
        <v>1123</v>
      </c>
    </row>
    <row r="666" spans="1:15" hidden="1" x14ac:dyDescent="0.45">
      <c r="A666" s="187">
        <v>2015</v>
      </c>
      <c r="B666" t="s">
        <v>311</v>
      </c>
      <c r="C666" t="s">
        <v>322</v>
      </c>
      <c r="D666" t="s">
        <v>35</v>
      </c>
      <c r="E666" t="s">
        <v>19</v>
      </c>
      <c r="F666" t="s">
        <v>19</v>
      </c>
      <c r="G666" t="s">
        <v>37</v>
      </c>
      <c r="H666" t="s">
        <v>43</v>
      </c>
      <c r="I666" s="187"/>
      <c r="J666" s="187">
        <v>130</v>
      </c>
      <c r="K666" s="187">
        <v>164.57361</v>
      </c>
      <c r="L666" s="187">
        <v>1935</v>
      </c>
      <c r="M666" s="187">
        <v>2229.57373046875</v>
      </c>
      <c r="N666" s="187">
        <v>1935</v>
      </c>
      <c r="O666" t="s">
        <v>1126</v>
      </c>
    </row>
    <row r="667" spans="1:15" hidden="1" x14ac:dyDescent="0.45">
      <c r="A667" s="187">
        <v>2015</v>
      </c>
      <c r="B667" t="s">
        <v>309</v>
      </c>
      <c r="C667" t="s">
        <v>322</v>
      </c>
      <c r="D667" t="s">
        <v>35</v>
      </c>
      <c r="E667" t="s">
        <v>19</v>
      </c>
      <c r="F667" t="s">
        <v>19</v>
      </c>
      <c r="G667" t="s">
        <v>37</v>
      </c>
      <c r="H667" t="s">
        <v>43</v>
      </c>
      <c r="I667" s="187"/>
      <c r="J667" s="187">
        <v>0</v>
      </c>
      <c r="K667" s="187">
        <v>119.0633142128744</v>
      </c>
      <c r="L667" s="187">
        <v>4112</v>
      </c>
      <c r="M667" s="187">
        <v>4231.0634765625</v>
      </c>
      <c r="N667" s="187">
        <v>4112</v>
      </c>
      <c r="O667" t="s">
        <v>1125</v>
      </c>
    </row>
    <row r="668" spans="1:15" hidden="1" x14ac:dyDescent="0.45">
      <c r="A668" s="187">
        <v>2015</v>
      </c>
      <c r="B668" t="s">
        <v>310</v>
      </c>
      <c r="C668" t="s">
        <v>322</v>
      </c>
      <c r="D668" t="s">
        <v>35</v>
      </c>
      <c r="E668" t="s">
        <v>19</v>
      </c>
      <c r="F668" t="s">
        <v>19</v>
      </c>
      <c r="G668" t="s">
        <v>37</v>
      </c>
      <c r="H668" t="s">
        <v>43</v>
      </c>
      <c r="I668" s="187"/>
      <c r="J668" s="187">
        <v>56</v>
      </c>
      <c r="K668" s="187">
        <v>115.17409532473199</v>
      </c>
      <c r="L668" s="187">
        <v>4311</v>
      </c>
      <c r="M668" s="187">
        <v>4482.17431640625</v>
      </c>
      <c r="N668" s="187">
        <v>4311</v>
      </c>
      <c r="O668" t="s">
        <v>1127</v>
      </c>
    </row>
    <row r="669" spans="1:15" hidden="1" x14ac:dyDescent="0.45">
      <c r="A669" s="187">
        <v>2015</v>
      </c>
      <c r="B669" t="s">
        <v>311</v>
      </c>
      <c r="C669" t="s">
        <v>322</v>
      </c>
      <c r="D669" t="s">
        <v>35</v>
      </c>
      <c r="E669" t="s">
        <v>349</v>
      </c>
      <c r="F669" t="s">
        <v>349</v>
      </c>
      <c r="G669" t="s">
        <v>36</v>
      </c>
      <c r="H669" t="s">
        <v>43</v>
      </c>
      <c r="I669" s="187"/>
      <c r="J669" s="187">
        <v>348.15529548481607</v>
      </c>
      <c r="K669" s="187">
        <v>3801.219340150516</v>
      </c>
      <c r="L669" s="187">
        <v>7538.2635590137288</v>
      </c>
      <c r="M669" s="187">
        <v>11687.6376953125</v>
      </c>
      <c r="N669" s="187">
        <v>7538.263671875</v>
      </c>
      <c r="O669" t="s">
        <v>1129</v>
      </c>
    </row>
    <row r="670" spans="1:15" hidden="1" x14ac:dyDescent="0.45">
      <c r="A670" s="187">
        <v>2015</v>
      </c>
      <c r="B670" t="s">
        <v>309</v>
      </c>
      <c r="C670" t="s">
        <v>322</v>
      </c>
      <c r="D670" t="s">
        <v>35</v>
      </c>
      <c r="E670" t="s">
        <v>349</v>
      </c>
      <c r="F670" t="s">
        <v>349</v>
      </c>
      <c r="G670" t="s">
        <v>36</v>
      </c>
      <c r="H670" t="s">
        <v>43</v>
      </c>
      <c r="I670" s="187"/>
      <c r="J670" s="187">
        <v>384.15867275796563</v>
      </c>
      <c r="K670" s="187">
        <v>3767.7355344546336</v>
      </c>
      <c r="L670" s="187">
        <v>5398.0916947886544</v>
      </c>
      <c r="M670" s="187">
        <v>9549.9853515625</v>
      </c>
      <c r="N670" s="187">
        <v>5398.091796875</v>
      </c>
      <c r="O670" t="s">
        <v>1130</v>
      </c>
    </row>
    <row r="671" spans="1:15" hidden="1" x14ac:dyDescent="0.45">
      <c r="A671" s="187">
        <v>2015</v>
      </c>
      <c r="B671" t="s">
        <v>310</v>
      </c>
      <c r="C671" t="s">
        <v>322</v>
      </c>
      <c r="D671" t="s">
        <v>35</v>
      </c>
      <c r="E671" t="s">
        <v>349</v>
      </c>
      <c r="F671" t="s">
        <v>349</v>
      </c>
      <c r="G671" t="s">
        <v>36</v>
      </c>
      <c r="H671" t="s">
        <v>43</v>
      </c>
      <c r="I671" s="187"/>
      <c r="J671" s="187">
        <v>519.16516713699423</v>
      </c>
      <c r="K671" s="187">
        <v>3248.2703468737113</v>
      </c>
      <c r="L671" s="187">
        <v>6454.9099873758278</v>
      </c>
      <c r="M671" s="187">
        <v>10222.345703125</v>
      </c>
      <c r="N671" s="187">
        <v>6454.91015625</v>
      </c>
      <c r="O671" t="s">
        <v>1128</v>
      </c>
    </row>
    <row r="672" spans="1:15" hidden="1" x14ac:dyDescent="0.45">
      <c r="A672" s="187">
        <v>2015</v>
      </c>
      <c r="B672" t="s">
        <v>309</v>
      </c>
      <c r="C672" t="s">
        <v>322</v>
      </c>
      <c r="D672" t="s">
        <v>35</v>
      </c>
      <c r="E672" t="s">
        <v>349</v>
      </c>
      <c r="F672" t="s">
        <v>349</v>
      </c>
      <c r="G672" t="s">
        <v>37</v>
      </c>
      <c r="H672" t="s">
        <v>43</v>
      </c>
      <c r="I672" s="187"/>
      <c r="J672" s="187">
        <v>302.238</v>
      </c>
      <c r="K672" s="187">
        <v>2976.5828553218612</v>
      </c>
      <c r="L672" s="187">
        <v>4326</v>
      </c>
      <c r="M672" s="187">
        <v>7604.82080078125</v>
      </c>
      <c r="N672" s="187">
        <v>4326</v>
      </c>
      <c r="O672" t="s">
        <v>1133</v>
      </c>
    </row>
    <row r="673" spans="1:15" hidden="1" x14ac:dyDescent="0.45">
      <c r="A673" s="187">
        <v>2015</v>
      </c>
      <c r="B673" t="s">
        <v>311</v>
      </c>
      <c r="C673" t="s">
        <v>322</v>
      </c>
      <c r="D673" t="s">
        <v>35</v>
      </c>
      <c r="E673" t="s">
        <v>349</v>
      </c>
      <c r="F673" t="s">
        <v>349</v>
      </c>
      <c r="G673" t="s">
        <v>37</v>
      </c>
      <c r="H673" t="s">
        <v>43</v>
      </c>
      <c r="I673" s="187"/>
      <c r="J673" s="187">
        <v>273</v>
      </c>
      <c r="K673" s="187">
        <v>2980.6609100000001</v>
      </c>
      <c r="L673" s="187">
        <v>5911</v>
      </c>
      <c r="M673" s="187">
        <v>9164.6611328125</v>
      </c>
      <c r="N673" s="187">
        <v>5911</v>
      </c>
      <c r="O673" t="s">
        <v>1132</v>
      </c>
    </row>
    <row r="674" spans="1:15" hidden="1" x14ac:dyDescent="0.45">
      <c r="A674" s="187">
        <v>2015</v>
      </c>
      <c r="B674" t="s">
        <v>310</v>
      </c>
      <c r="C674" t="s">
        <v>322</v>
      </c>
      <c r="D674" t="s">
        <v>35</v>
      </c>
      <c r="E674" t="s">
        <v>349</v>
      </c>
      <c r="F674" t="s">
        <v>349</v>
      </c>
      <c r="G674" t="s">
        <v>37</v>
      </c>
      <c r="H674" t="s">
        <v>43</v>
      </c>
      <c r="I674" s="187"/>
      <c r="J674" s="187">
        <v>406</v>
      </c>
      <c r="K674" s="187">
        <v>2532.74375520681</v>
      </c>
      <c r="L674" s="187">
        <v>5067</v>
      </c>
      <c r="M674" s="187">
        <v>8005.74365234375</v>
      </c>
      <c r="N674" s="187">
        <v>5067</v>
      </c>
      <c r="O674" t="s">
        <v>1131</v>
      </c>
    </row>
    <row r="675" spans="1:15" hidden="1" x14ac:dyDescent="0.45">
      <c r="A675" s="187">
        <v>2015</v>
      </c>
      <c r="B675" t="s">
        <v>311</v>
      </c>
      <c r="C675" t="s">
        <v>322</v>
      </c>
      <c r="D675" t="s">
        <v>35</v>
      </c>
      <c r="E675" t="s">
        <v>46</v>
      </c>
      <c r="F675" t="s">
        <v>46</v>
      </c>
      <c r="G675" t="s">
        <v>37</v>
      </c>
      <c r="H675" t="s">
        <v>43</v>
      </c>
      <c r="I675" s="187"/>
      <c r="J675" s="187">
        <v>739</v>
      </c>
      <c r="K675" s="187">
        <v>14262.988167244741</v>
      </c>
      <c r="L675" s="187">
        <v>28374</v>
      </c>
      <c r="M675" s="187">
        <v>43375.98828125</v>
      </c>
      <c r="N675" s="187">
        <v>28374</v>
      </c>
      <c r="O675" t="s">
        <v>1134</v>
      </c>
    </row>
    <row r="676" spans="1:15" hidden="1" x14ac:dyDescent="0.45">
      <c r="A676" s="187">
        <v>2015</v>
      </c>
      <c r="B676" t="s">
        <v>309</v>
      </c>
      <c r="C676" t="s">
        <v>322</v>
      </c>
      <c r="D676" t="s">
        <v>35</v>
      </c>
      <c r="E676" t="s">
        <v>350</v>
      </c>
      <c r="F676" t="s">
        <v>350</v>
      </c>
      <c r="G676" t="s">
        <v>37</v>
      </c>
      <c r="H676" t="s">
        <v>43</v>
      </c>
      <c r="I676" s="187"/>
      <c r="J676" s="187">
        <v>720.16020000000003</v>
      </c>
      <c r="K676" s="187">
        <v>13244.358676041369</v>
      </c>
      <c r="L676" s="187">
        <v>23107</v>
      </c>
      <c r="M676" s="187">
        <v>37071.51953125</v>
      </c>
      <c r="N676" s="187">
        <v>23107</v>
      </c>
      <c r="O676" t="s">
        <v>1136</v>
      </c>
    </row>
    <row r="677" spans="1:15" hidden="1" x14ac:dyDescent="0.45">
      <c r="A677" s="187">
        <v>2015</v>
      </c>
      <c r="B677" t="s">
        <v>310</v>
      </c>
      <c r="C677" t="s">
        <v>322</v>
      </c>
      <c r="D677" t="s">
        <v>35</v>
      </c>
      <c r="E677" t="s">
        <v>350</v>
      </c>
      <c r="F677" t="s">
        <v>350</v>
      </c>
      <c r="G677" t="s">
        <v>37</v>
      </c>
      <c r="H677" t="s">
        <v>43</v>
      </c>
      <c r="I677" s="187"/>
      <c r="J677" s="187">
        <v>782</v>
      </c>
      <c r="K677" s="187">
        <v>14088.788401182121</v>
      </c>
      <c r="L677" s="187">
        <v>27686</v>
      </c>
      <c r="M677" s="187">
        <v>42556.7890625</v>
      </c>
      <c r="N677" s="187">
        <v>27686</v>
      </c>
      <c r="O677" t="s">
        <v>1137</v>
      </c>
    </row>
    <row r="678" spans="1:15" hidden="1" x14ac:dyDescent="0.45">
      <c r="A678" s="187">
        <v>2015</v>
      </c>
      <c r="B678" t="s">
        <v>311</v>
      </c>
      <c r="C678" t="s">
        <v>322</v>
      </c>
      <c r="D678" t="s">
        <v>35</v>
      </c>
      <c r="E678" t="s">
        <v>350</v>
      </c>
      <c r="F678" t="s">
        <v>350</v>
      </c>
      <c r="G678" t="s">
        <v>37</v>
      </c>
      <c r="H678" t="s">
        <v>43</v>
      </c>
      <c r="I678" s="187"/>
      <c r="J678" s="187">
        <v>739</v>
      </c>
      <c r="K678" s="187">
        <v>15013.67175499447</v>
      </c>
      <c r="L678" s="187">
        <v>24441</v>
      </c>
      <c r="M678" s="187">
        <v>40193.671875</v>
      </c>
      <c r="N678" s="187">
        <v>24441</v>
      </c>
      <c r="O678" t="s">
        <v>1135</v>
      </c>
    </row>
    <row r="679" spans="1:15" hidden="1" x14ac:dyDescent="0.45">
      <c r="A679" s="187">
        <v>2015</v>
      </c>
      <c r="B679" t="s">
        <v>310</v>
      </c>
      <c r="C679" t="s">
        <v>322</v>
      </c>
      <c r="D679" t="s">
        <v>35</v>
      </c>
      <c r="E679" t="s">
        <v>16</v>
      </c>
      <c r="F679" t="s">
        <v>16</v>
      </c>
      <c r="G679" t="s">
        <v>36</v>
      </c>
      <c r="H679" t="s">
        <v>43</v>
      </c>
      <c r="I679" s="187"/>
      <c r="J679" s="187">
        <v>104.61766592181245</v>
      </c>
      <c r="K679" s="187">
        <v>5232.083351974703</v>
      </c>
      <c r="L679" s="187">
        <v>21909.554685675572</v>
      </c>
      <c r="M679" s="187">
        <v>27246.255859375</v>
      </c>
      <c r="N679" s="187">
        <v>21909.5546875</v>
      </c>
      <c r="O679" t="s">
        <v>1138</v>
      </c>
    </row>
    <row r="680" spans="1:15" hidden="1" x14ac:dyDescent="0.45">
      <c r="A680" s="187">
        <v>2015</v>
      </c>
      <c r="B680" t="s">
        <v>309</v>
      </c>
      <c r="C680" t="s">
        <v>322</v>
      </c>
      <c r="D680" t="s">
        <v>35</v>
      </c>
      <c r="E680" t="s">
        <v>16</v>
      </c>
      <c r="F680" t="s">
        <v>16</v>
      </c>
      <c r="G680" t="s">
        <v>36</v>
      </c>
      <c r="H680" t="s">
        <v>43</v>
      </c>
      <c r="I680" s="187"/>
      <c r="J680" s="187">
        <v>99.351380885680769</v>
      </c>
      <c r="K680" s="187">
        <v>4887.5065352945494</v>
      </c>
      <c r="L680" s="187">
        <v>13752.880484735169</v>
      </c>
      <c r="M680" s="187">
        <v>18739.73828125</v>
      </c>
      <c r="N680" s="187">
        <v>13752.880859375</v>
      </c>
      <c r="O680" t="s">
        <v>1139</v>
      </c>
    </row>
    <row r="681" spans="1:15" hidden="1" x14ac:dyDescent="0.45">
      <c r="A681" s="187">
        <v>2015</v>
      </c>
      <c r="B681" t="s">
        <v>311</v>
      </c>
      <c r="C681" t="s">
        <v>322</v>
      </c>
      <c r="D681" t="s">
        <v>35</v>
      </c>
      <c r="E681" t="s">
        <v>16</v>
      </c>
      <c r="F681" t="s">
        <v>16</v>
      </c>
      <c r="G681" t="s">
        <v>36</v>
      </c>
      <c r="H681" t="s">
        <v>43</v>
      </c>
      <c r="I681" s="187"/>
      <c r="J681" s="187">
        <v>172.16470655842554</v>
      </c>
      <c r="K681" s="187">
        <v>5149.2186429983194</v>
      </c>
      <c r="L681" s="187">
        <v>22688.757736155174</v>
      </c>
      <c r="M681" s="187">
        <v>28010.140625</v>
      </c>
      <c r="N681" s="187">
        <v>22688.7578125</v>
      </c>
      <c r="O681" t="s">
        <v>1140</v>
      </c>
    </row>
    <row r="682" spans="1:15" hidden="1" x14ac:dyDescent="0.45">
      <c r="A682" s="187">
        <v>2015</v>
      </c>
      <c r="B682" t="s">
        <v>311</v>
      </c>
      <c r="C682" t="s">
        <v>322</v>
      </c>
      <c r="D682" t="s">
        <v>35</v>
      </c>
      <c r="E682" t="s">
        <v>16</v>
      </c>
      <c r="F682" t="s">
        <v>16</v>
      </c>
      <c r="G682" t="s">
        <v>37</v>
      </c>
      <c r="H682" t="s">
        <v>43</v>
      </c>
      <c r="I682" s="187"/>
      <c r="J682" s="187">
        <v>135</v>
      </c>
      <c r="K682" s="187">
        <v>4037.6714293</v>
      </c>
      <c r="L682" s="187">
        <v>17791</v>
      </c>
      <c r="M682" s="187">
        <v>21963.671875</v>
      </c>
      <c r="N682" s="187">
        <v>17791</v>
      </c>
      <c r="O682" t="s">
        <v>1142</v>
      </c>
    </row>
    <row r="683" spans="1:15" hidden="1" x14ac:dyDescent="0.45">
      <c r="A683" s="187">
        <v>2015</v>
      </c>
      <c r="B683" t="s">
        <v>310</v>
      </c>
      <c r="C683" t="s">
        <v>322</v>
      </c>
      <c r="D683" t="s">
        <v>35</v>
      </c>
      <c r="E683" t="s">
        <v>16</v>
      </c>
      <c r="F683" t="s">
        <v>16</v>
      </c>
      <c r="G683" t="s">
        <v>37</v>
      </c>
      <c r="H683" t="s">
        <v>43</v>
      </c>
      <c r="I683" s="187"/>
      <c r="J683" s="187">
        <v>82</v>
      </c>
      <c r="K683" s="187">
        <v>4079.5638975029701</v>
      </c>
      <c r="L683" s="187">
        <v>17204</v>
      </c>
      <c r="M683" s="187">
        <v>21365.564453125</v>
      </c>
      <c r="N683" s="187">
        <v>17204</v>
      </c>
      <c r="O683" t="s">
        <v>1143</v>
      </c>
    </row>
    <row r="684" spans="1:15" hidden="1" x14ac:dyDescent="0.45">
      <c r="A684" s="187">
        <v>2015</v>
      </c>
      <c r="B684" t="s">
        <v>309</v>
      </c>
      <c r="C684" t="s">
        <v>322</v>
      </c>
      <c r="D684" t="s">
        <v>35</v>
      </c>
      <c r="E684" t="s">
        <v>16</v>
      </c>
      <c r="F684" t="s">
        <v>16</v>
      </c>
      <c r="G684" t="s">
        <v>37</v>
      </c>
      <c r="H684" t="s">
        <v>43</v>
      </c>
      <c r="I684" s="187"/>
      <c r="J684" s="187">
        <v>78.165000000000006</v>
      </c>
      <c r="K684" s="187">
        <v>3861.223279923518</v>
      </c>
      <c r="L684" s="187">
        <v>11021</v>
      </c>
      <c r="M684" s="187">
        <v>14960.388671875</v>
      </c>
      <c r="N684" s="187">
        <v>11021</v>
      </c>
      <c r="O684" t="s">
        <v>1141</v>
      </c>
    </row>
    <row r="685" spans="1:15" hidden="1" x14ac:dyDescent="0.45">
      <c r="A685" s="187">
        <v>2015</v>
      </c>
      <c r="B685" t="s">
        <v>309</v>
      </c>
      <c r="C685" t="s">
        <v>322</v>
      </c>
      <c r="D685" t="s">
        <v>35</v>
      </c>
      <c r="E685" t="s">
        <v>351</v>
      </c>
      <c r="F685" t="s">
        <v>351</v>
      </c>
      <c r="G685" t="s">
        <v>37</v>
      </c>
      <c r="H685" t="s">
        <v>43</v>
      </c>
      <c r="I685" s="187"/>
      <c r="J685" s="187">
        <v>0</v>
      </c>
      <c r="K685" s="187">
        <v>170.78575883012411</v>
      </c>
      <c r="L685" s="187">
        <v>184</v>
      </c>
      <c r="M685" s="187">
        <v>354.7857666015625</v>
      </c>
      <c r="N685" s="187">
        <v>184</v>
      </c>
      <c r="O685" t="s">
        <v>1144</v>
      </c>
    </row>
    <row r="686" spans="1:15" hidden="1" x14ac:dyDescent="0.45">
      <c r="A686" s="187">
        <v>2015</v>
      </c>
      <c r="B686" t="s">
        <v>311</v>
      </c>
      <c r="C686" t="s">
        <v>322</v>
      </c>
      <c r="D686" t="s">
        <v>35</v>
      </c>
      <c r="E686" t="s">
        <v>351</v>
      </c>
      <c r="F686" t="s">
        <v>351</v>
      </c>
      <c r="G686" t="s">
        <v>37</v>
      </c>
      <c r="H686" t="s">
        <v>43</v>
      </c>
      <c r="I686" s="187"/>
      <c r="J686" s="187">
        <v>0</v>
      </c>
      <c r="K686" s="187">
        <v>15.40771136917958</v>
      </c>
      <c r="L686" s="187">
        <v>119</v>
      </c>
      <c r="M686" s="187">
        <v>134.40771484375</v>
      </c>
      <c r="N686" s="187">
        <v>119</v>
      </c>
      <c r="O686" t="s">
        <v>1145</v>
      </c>
    </row>
    <row r="687" spans="1:15" hidden="1" x14ac:dyDescent="0.45">
      <c r="A687" s="187">
        <v>2015</v>
      </c>
      <c r="B687" t="s">
        <v>310</v>
      </c>
      <c r="C687" t="s">
        <v>322</v>
      </c>
      <c r="D687" t="s">
        <v>35</v>
      </c>
      <c r="E687" t="s">
        <v>351</v>
      </c>
      <c r="F687" t="s">
        <v>351</v>
      </c>
      <c r="G687" t="s">
        <v>37</v>
      </c>
      <c r="H687" t="s">
        <v>43</v>
      </c>
      <c r="I687" s="187"/>
      <c r="J687" s="187">
        <v>0</v>
      </c>
      <c r="K687" s="187">
        <v>15.40771136917958</v>
      </c>
      <c r="L687" s="187">
        <v>187</v>
      </c>
      <c r="M687" s="187">
        <v>202.40771484375</v>
      </c>
      <c r="N687" s="187">
        <v>187</v>
      </c>
      <c r="O687" t="s">
        <v>1146</v>
      </c>
    </row>
    <row r="688" spans="1:15" hidden="1" x14ac:dyDescent="0.45">
      <c r="A688" s="187">
        <v>2015</v>
      </c>
      <c r="B688" t="s">
        <v>309</v>
      </c>
      <c r="C688" t="s">
        <v>322</v>
      </c>
      <c r="D688" t="s">
        <v>35</v>
      </c>
      <c r="E688" t="s">
        <v>352</v>
      </c>
      <c r="F688" t="s">
        <v>361</v>
      </c>
      <c r="G688" t="s">
        <v>36</v>
      </c>
      <c r="H688" t="s">
        <v>43</v>
      </c>
      <c r="I688" s="187"/>
      <c r="J688" s="187">
        <v>0</v>
      </c>
      <c r="K688" s="187">
        <v>0</v>
      </c>
      <c r="L688" s="187">
        <v>0</v>
      </c>
      <c r="M688" s="187">
        <v>0</v>
      </c>
      <c r="N688" s="187">
        <v>0</v>
      </c>
      <c r="O688" t="s">
        <v>1148</v>
      </c>
    </row>
    <row r="689" spans="1:15" hidden="1" x14ac:dyDescent="0.45">
      <c r="A689" s="187">
        <v>2015</v>
      </c>
      <c r="B689" t="s">
        <v>310</v>
      </c>
      <c r="C689" t="s">
        <v>322</v>
      </c>
      <c r="D689" t="s">
        <v>35</v>
      </c>
      <c r="E689" t="s">
        <v>352</v>
      </c>
      <c r="F689" t="s">
        <v>361</v>
      </c>
      <c r="G689" t="s">
        <v>36</v>
      </c>
      <c r="H689" t="s">
        <v>43</v>
      </c>
      <c r="I689" s="187"/>
      <c r="J689" s="187">
        <v>0</v>
      </c>
      <c r="K689" s="187">
        <v>0</v>
      </c>
      <c r="L689" s="187"/>
      <c r="M689" s="187">
        <v>0</v>
      </c>
      <c r="N689" s="187">
        <v>0</v>
      </c>
      <c r="O689" t="s">
        <v>1149</v>
      </c>
    </row>
    <row r="690" spans="1:15" hidden="1" x14ac:dyDescent="0.45">
      <c r="A690" s="187">
        <v>2015</v>
      </c>
      <c r="B690" t="s">
        <v>311</v>
      </c>
      <c r="C690" t="s">
        <v>322</v>
      </c>
      <c r="D690" t="s">
        <v>35</v>
      </c>
      <c r="E690" t="s">
        <v>352</v>
      </c>
      <c r="F690" t="s">
        <v>361</v>
      </c>
      <c r="G690" t="s">
        <v>36</v>
      </c>
      <c r="H690" t="s">
        <v>43</v>
      </c>
      <c r="I690" s="187"/>
      <c r="J690" s="187">
        <v>0</v>
      </c>
      <c r="K690" s="187">
        <v>0</v>
      </c>
      <c r="L690" s="187"/>
      <c r="M690" s="187">
        <v>0</v>
      </c>
      <c r="N690" s="187">
        <v>0</v>
      </c>
      <c r="O690" t="s">
        <v>1147</v>
      </c>
    </row>
    <row r="691" spans="1:15" hidden="1" x14ac:dyDescent="0.45">
      <c r="A691" s="187">
        <v>2015</v>
      </c>
      <c r="B691" t="s">
        <v>311</v>
      </c>
      <c r="C691" t="s">
        <v>322</v>
      </c>
      <c r="D691" t="s">
        <v>35</v>
      </c>
      <c r="E691" t="s">
        <v>353</v>
      </c>
      <c r="F691" t="s">
        <v>383</v>
      </c>
      <c r="G691" t="s">
        <v>36</v>
      </c>
      <c r="H691" t="s">
        <v>43</v>
      </c>
      <c r="I691" s="187"/>
      <c r="J691" s="187">
        <v>777.92941481955245</v>
      </c>
      <c r="K691" s="187">
        <v>17308.458353295846</v>
      </c>
      <c r="L691" s="187">
        <v>36033.435435617139</v>
      </c>
      <c r="M691" s="187">
        <v>54119.82421875</v>
      </c>
      <c r="N691" s="187">
        <v>36033.43359375</v>
      </c>
      <c r="O691" t="s">
        <v>1151</v>
      </c>
    </row>
    <row r="692" spans="1:15" hidden="1" x14ac:dyDescent="0.45">
      <c r="A692" s="187">
        <v>2015</v>
      </c>
      <c r="B692" t="s">
        <v>310</v>
      </c>
      <c r="C692" t="s">
        <v>322</v>
      </c>
      <c r="D692" t="s">
        <v>35</v>
      </c>
      <c r="E692" t="s">
        <v>353</v>
      </c>
      <c r="F692" t="s">
        <v>383</v>
      </c>
      <c r="G692" t="s">
        <v>36</v>
      </c>
      <c r="H692" t="s">
        <v>43</v>
      </c>
      <c r="I692" s="187"/>
      <c r="J692" s="187">
        <v>835.63360655047688</v>
      </c>
      <c r="K692" s="187">
        <v>16208.731214700889</v>
      </c>
      <c r="L692" s="187">
        <v>40296.109471434109</v>
      </c>
      <c r="M692" s="187">
        <v>57340.4765625</v>
      </c>
      <c r="N692" s="187">
        <v>40296.109375</v>
      </c>
      <c r="O692" t="s">
        <v>1150</v>
      </c>
    </row>
    <row r="693" spans="1:15" hidden="1" x14ac:dyDescent="0.45">
      <c r="A693" s="187">
        <v>2015</v>
      </c>
      <c r="B693" t="s">
        <v>309</v>
      </c>
      <c r="C693" t="s">
        <v>322</v>
      </c>
      <c r="D693" t="s">
        <v>35</v>
      </c>
      <c r="E693" t="s">
        <v>353</v>
      </c>
      <c r="F693" t="s">
        <v>383</v>
      </c>
      <c r="G693" t="s">
        <v>36</v>
      </c>
      <c r="H693" t="s">
        <v>43</v>
      </c>
      <c r="I693" s="187"/>
      <c r="J693" s="187">
        <v>782.88888137916445</v>
      </c>
      <c r="K693" s="187">
        <v>16236.378093336041</v>
      </c>
      <c r="L693" s="187">
        <v>31975.248424247497</v>
      </c>
      <c r="M693" s="187">
        <v>48994.515625</v>
      </c>
      <c r="N693" s="187">
        <v>31975.248046875</v>
      </c>
      <c r="O693" t="s">
        <v>1152</v>
      </c>
    </row>
    <row r="694" spans="1:15" hidden="1" x14ac:dyDescent="0.45">
      <c r="A694" s="187">
        <v>2015</v>
      </c>
      <c r="B694" t="s">
        <v>310</v>
      </c>
      <c r="C694" t="s">
        <v>322</v>
      </c>
      <c r="D694" t="s">
        <v>35</v>
      </c>
      <c r="E694" t="s">
        <v>353</v>
      </c>
      <c r="F694" t="s">
        <v>383</v>
      </c>
      <c r="G694" t="s">
        <v>37</v>
      </c>
      <c r="H694" t="s">
        <v>43</v>
      </c>
      <c r="I694" s="187"/>
      <c r="J694" s="187">
        <v>653</v>
      </c>
      <c r="K694" s="187">
        <v>12638.599162783101</v>
      </c>
      <c r="L694" s="187">
        <v>31640</v>
      </c>
      <c r="M694" s="187">
        <v>44931.6015625</v>
      </c>
      <c r="N694" s="187">
        <v>31640</v>
      </c>
      <c r="O694" t="s">
        <v>1153</v>
      </c>
    </row>
    <row r="695" spans="1:15" hidden="1" x14ac:dyDescent="0.45">
      <c r="A695" s="187">
        <v>2015</v>
      </c>
      <c r="B695" t="s">
        <v>309</v>
      </c>
      <c r="C695" t="s">
        <v>322</v>
      </c>
      <c r="D695" t="s">
        <v>35</v>
      </c>
      <c r="E695" t="s">
        <v>353</v>
      </c>
      <c r="F695" t="s">
        <v>383</v>
      </c>
      <c r="G695" t="s">
        <v>37</v>
      </c>
      <c r="H695" t="s">
        <v>43</v>
      </c>
      <c r="I695" s="187"/>
      <c r="J695" s="187">
        <v>615.9402</v>
      </c>
      <c r="K695" s="187">
        <v>12827.048030095601</v>
      </c>
      <c r="L695" s="187">
        <v>25625</v>
      </c>
      <c r="M695" s="187">
        <v>39067.98828125</v>
      </c>
      <c r="N695" s="187">
        <v>25625</v>
      </c>
      <c r="O695" t="s">
        <v>1155</v>
      </c>
    </row>
    <row r="696" spans="1:15" hidden="1" x14ac:dyDescent="0.45">
      <c r="A696" s="187">
        <v>2015</v>
      </c>
      <c r="B696" t="s">
        <v>311</v>
      </c>
      <c r="C696" t="s">
        <v>322</v>
      </c>
      <c r="D696" t="s">
        <v>35</v>
      </c>
      <c r="E696" t="s">
        <v>353</v>
      </c>
      <c r="F696" t="s">
        <v>383</v>
      </c>
      <c r="G696" t="s">
        <v>37</v>
      </c>
      <c r="H696" t="s">
        <v>43</v>
      </c>
      <c r="I696" s="187"/>
      <c r="J696" s="187">
        <v>610</v>
      </c>
      <c r="K696" s="187">
        <v>13572.13057428806</v>
      </c>
      <c r="L696" s="187">
        <v>28255</v>
      </c>
      <c r="M696" s="187">
        <v>42437.1328125</v>
      </c>
      <c r="N696" s="187">
        <v>28255</v>
      </c>
      <c r="O696" t="s">
        <v>1154</v>
      </c>
    </row>
    <row r="697" spans="1:15" hidden="1" x14ac:dyDescent="0.45">
      <c r="A697" s="187">
        <v>2015</v>
      </c>
      <c r="B697" t="s">
        <v>309</v>
      </c>
      <c r="C697" t="s">
        <v>322</v>
      </c>
      <c r="D697" t="s">
        <v>35</v>
      </c>
      <c r="E697" t="s">
        <v>38</v>
      </c>
      <c r="F697" t="s">
        <v>38</v>
      </c>
      <c r="G697" t="s">
        <v>36</v>
      </c>
      <c r="H697" t="s">
        <v>43</v>
      </c>
      <c r="I697" s="187"/>
      <c r="J697" s="187">
        <v>132.46850784757436</v>
      </c>
      <c r="K697" s="187">
        <v>1111.9582151840484</v>
      </c>
      <c r="L697" s="187">
        <v>2445.3686548662226</v>
      </c>
      <c r="M697" s="187">
        <v>3689.79541015625</v>
      </c>
      <c r="N697" s="187">
        <v>2445.36865234375</v>
      </c>
      <c r="O697" t="s">
        <v>1156</v>
      </c>
    </row>
    <row r="698" spans="1:15" hidden="1" x14ac:dyDescent="0.45">
      <c r="A698" s="187">
        <v>2015</v>
      </c>
      <c r="B698" t="s">
        <v>311</v>
      </c>
      <c r="C698" t="s">
        <v>322</v>
      </c>
      <c r="D698" t="s">
        <v>35</v>
      </c>
      <c r="E698" t="s">
        <v>38</v>
      </c>
      <c r="F698" t="s">
        <v>38</v>
      </c>
      <c r="G698" t="s">
        <v>36</v>
      </c>
      <c r="H698" t="s">
        <v>43</v>
      </c>
      <c r="I698" s="187"/>
      <c r="J698" s="187">
        <v>164.51294182249552</v>
      </c>
      <c r="K698" s="187">
        <v>2608.3298708534116</v>
      </c>
      <c r="L698" s="187">
        <v>1365.8400053635094</v>
      </c>
      <c r="M698" s="187">
        <v>4138.6826171875</v>
      </c>
      <c r="N698" s="187">
        <v>1365.8399658203125</v>
      </c>
      <c r="O698" t="s">
        <v>1157</v>
      </c>
    </row>
    <row r="699" spans="1:15" hidden="1" x14ac:dyDescent="0.45">
      <c r="A699" s="187">
        <v>2015</v>
      </c>
      <c r="B699" t="s">
        <v>310</v>
      </c>
      <c r="C699" t="s">
        <v>322</v>
      </c>
      <c r="D699" t="s">
        <v>35</v>
      </c>
      <c r="E699" t="s">
        <v>38</v>
      </c>
      <c r="F699" t="s">
        <v>38</v>
      </c>
      <c r="G699" t="s">
        <v>36</v>
      </c>
      <c r="H699" t="s">
        <v>43</v>
      </c>
      <c r="I699" s="187"/>
      <c r="J699" s="187">
        <v>164.77282382685459</v>
      </c>
      <c r="K699" s="187">
        <v>2623.0892709741343</v>
      </c>
      <c r="L699" s="187">
        <v>1900.1183573049184</v>
      </c>
      <c r="M699" s="187">
        <v>4687.98046875</v>
      </c>
      <c r="N699" s="187">
        <v>1900.118408203125</v>
      </c>
      <c r="O699" t="s">
        <v>1158</v>
      </c>
    </row>
    <row r="700" spans="1:15" hidden="1" x14ac:dyDescent="0.45">
      <c r="A700" s="187">
        <v>2015</v>
      </c>
      <c r="B700" t="s">
        <v>310</v>
      </c>
      <c r="C700" t="s">
        <v>322</v>
      </c>
      <c r="D700" t="s">
        <v>35</v>
      </c>
      <c r="E700" t="s">
        <v>38</v>
      </c>
      <c r="F700" t="s">
        <v>38</v>
      </c>
      <c r="G700" t="s">
        <v>37</v>
      </c>
      <c r="H700" t="s">
        <v>43</v>
      </c>
      <c r="I700" s="187"/>
      <c r="J700" s="187">
        <v>129</v>
      </c>
      <c r="K700" s="187">
        <v>2045.2771047224719</v>
      </c>
      <c r="L700" s="187">
        <v>1492</v>
      </c>
      <c r="M700" s="187">
        <v>3666.277099609375</v>
      </c>
      <c r="N700" s="187">
        <v>1492</v>
      </c>
      <c r="O700" t="s">
        <v>1160</v>
      </c>
    </row>
    <row r="701" spans="1:15" hidden="1" x14ac:dyDescent="0.45">
      <c r="A701" s="187">
        <v>2015</v>
      </c>
      <c r="B701" t="s">
        <v>309</v>
      </c>
      <c r="C701" t="s">
        <v>322</v>
      </c>
      <c r="D701" t="s">
        <v>35</v>
      </c>
      <c r="E701" t="s">
        <v>38</v>
      </c>
      <c r="F701" t="s">
        <v>38</v>
      </c>
      <c r="G701" t="s">
        <v>37</v>
      </c>
      <c r="H701" t="s">
        <v>43</v>
      </c>
      <c r="I701" s="187"/>
      <c r="J701" s="187">
        <v>104.22</v>
      </c>
      <c r="K701" s="187">
        <v>878.46817508390279</v>
      </c>
      <c r="L701" s="187">
        <v>1960</v>
      </c>
      <c r="M701" s="187">
        <v>2942.688232421875</v>
      </c>
      <c r="N701" s="187">
        <v>1960</v>
      </c>
      <c r="O701" t="s">
        <v>1159</v>
      </c>
    </row>
    <row r="702" spans="1:15" hidden="1" x14ac:dyDescent="0.45">
      <c r="A702" s="187">
        <v>2015</v>
      </c>
      <c r="B702" t="s">
        <v>311</v>
      </c>
      <c r="C702" t="s">
        <v>322</v>
      </c>
      <c r="D702" t="s">
        <v>35</v>
      </c>
      <c r="E702" t="s">
        <v>38</v>
      </c>
      <c r="F702" t="s">
        <v>38</v>
      </c>
      <c r="G702" t="s">
        <v>37</v>
      </c>
      <c r="H702" t="s">
        <v>43</v>
      </c>
      <c r="I702" s="187"/>
      <c r="J702" s="187">
        <v>129</v>
      </c>
      <c r="K702" s="187">
        <v>2045.2771047224719</v>
      </c>
      <c r="L702" s="187">
        <v>1071</v>
      </c>
      <c r="M702" s="187">
        <v>3245.277099609375</v>
      </c>
      <c r="N702" s="187">
        <v>1071</v>
      </c>
      <c r="O702" t="s">
        <v>1161</v>
      </c>
    </row>
    <row r="703" spans="1:15" hidden="1" x14ac:dyDescent="0.45">
      <c r="A703" s="187">
        <v>2015</v>
      </c>
      <c r="B703" t="s">
        <v>310</v>
      </c>
      <c r="C703" t="s">
        <v>322</v>
      </c>
      <c r="D703" t="s">
        <v>35</v>
      </c>
      <c r="E703" t="s">
        <v>354</v>
      </c>
      <c r="F703" t="s">
        <v>384</v>
      </c>
      <c r="G703" t="s">
        <v>36</v>
      </c>
      <c r="H703" t="s">
        <v>43</v>
      </c>
      <c r="I703" s="187"/>
      <c r="J703" s="187">
        <v>0</v>
      </c>
      <c r="K703" s="187">
        <v>0</v>
      </c>
      <c r="L703" s="187">
        <v>0</v>
      </c>
      <c r="M703" s="187">
        <v>0</v>
      </c>
      <c r="N703" s="187">
        <v>0</v>
      </c>
      <c r="O703" t="s">
        <v>1163</v>
      </c>
    </row>
    <row r="704" spans="1:15" hidden="1" x14ac:dyDescent="0.45">
      <c r="A704" s="187">
        <v>2015</v>
      </c>
      <c r="B704" t="s">
        <v>311</v>
      </c>
      <c r="C704" t="s">
        <v>322</v>
      </c>
      <c r="D704" t="s">
        <v>35</v>
      </c>
      <c r="E704" t="s">
        <v>354</v>
      </c>
      <c r="F704" t="s">
        <v>384</v>
      </c>
      <c r="G704" t="s">
        <v>36</v>
      </c>
      <c r="H704" t="s">
        <v>43</v>
      </c>
      <c r="I704" s="187"/>
      <c r="J704" s="187">
        <v>0</v>
      </c>
      <c r="K704" s="187">
        <v>0</v>
      </c>
      <c r="L704" s="187">
        <v>526.69647265651668</v>
      </c>
      <c r="M704" s="187">
        <v>526.69647216796875</v>
      </c>
      <c r="N704" s="187">
        <v>526.69647216796875</v>
      </c>
      <c r="O704" t="s">
        <v>1164</v>
      </c>
    </row>
    <row r="705" spans="1:15" hidden="1" x14ac:dyDescent="0.45">
      <c r="A705" s="187">
        <v>2015</v>
      </c>
      <c r="B705" t="s">
        <v>309</v>
      </c>
      <c r="C705" t="s">
        <v>322</v>
      </c>
      <c r="D705" t="s">
        <v>35</v>
      </c>
      <c r="E705" t="s">
        <v>354</v>
      </c>
      <c r="F705" t="s">
        <v>384</v>
      </c>
      <c r="G705" t="s">
        <v>36</v>
      </c>
      <c r="H705" t="s">
        <v>43</v>
      </c>
      <c r="I705" s="187"/>
      <c r="J705" s="187">
        <v>0</v>
      </c>
      <c r="K705" s="187">
        <v>0</v>
      </c>
      <c r="L705" s="187">
        <v>0</v>
      </c>
      <c r="M705" s="187">
        <v>0</v>
      </c>
      <c r="N705" s="187">
        <v>0</v>
      </c>
      <c r="O705" t="s">
        <v>1162</v>
      </c>
    </row>
    <row r="706" spans="1:15" hidden="1" x14ac:dyDescent="0.45">
      <c r="A706" s="187">
        <v>2015</v>
      </c>
      <c r="B706" t="s">
        <v>311</v>
      </c>
      <c r="C706" t="s">
        <v>322</v>
      </c>
      <c r="D706" t="s">
        <v>35</v>
      </c>
      <c r="E706" t="s">
        <v>354</v>
      </c>
      <c r="F706" t="s">
        <v>384</v>
      </c>
      <c r="G706" t="s">
        <v>37</v>
      </c>
      <c r="H706" t="s">
        <v>43</v>
      </c>
      <c r="I706" s="187"/>
      <c r="J706" s="187">
        <v>0</v>
      </c>
      <c r="K706" s="187">
        <v>0</v>
      </c>
      <c r="L706" s="187">
        <v>413</v>
      </c>
      <c r="M706" s="187">
        <v>413</v>
      </c>
      <c r="N706" s="187">
        <v>413</v>
      </c>
      <c r="O706" t="s">
        <v>1166</v>
      </c>
    </row>
    <row r="707" spans="1:15" hidden="1" x14ac:dyDescent="0.45">
      <c r="A707" s="187">
        <v>2015</v>
      </c>
      <c r="B707" t="s">
        <v>310</v>
      </c>
      <c r="C707" t="s">
        <v>322</v>
      </c>
      <c r="D707" t="s">
        <v>35</v>
      </c>
      <c r="E707" t="s">
        <v>354</v>
      </c>
      <c r="F707" t="s">
        <v>384</v>
      </c>
      <c r="G707" t="s">
        <v>37</v>
      </c>
      <c r="H707" t="s">
        <v>43</v>
      </c>
      <c r="I707" s="187"/>
      <c r="J707" s="187">
        <v>0</v>
      </c>
      <c r="K707" s="187">
        <v>0</v>
      </c>
      <c r="L707" s="187">
        <v>0</v>
      </c>
      <c r="M707" s="187">
        <v>0</v>
      </c>
      <c r="N707" s="187">
        <v>0</v>
      </c>
      <c r="O707" t="s">
        <v>1165</v>
      </c>
    </row>
    <row r="708" spans="1:15" hidden="1" x14ac:dyDescent="0.45">
      <c r="A708" s="187">
        <v>2015</v>
      </c>
      <c r="B708" t="s">
        <v>309</v>
      </c>
      <c r="C708" t="s">
        <v>322</v>
      </c>
      <c r="D708" t="s">
        <v>35</v>
      </c>
      <c r="E708" t="s">
        <v>354</v>
      </c>
      <c r="F708" t="s">
        <v>384</v>
      </c>
      <c r="G708" t="s">
        <v>37</v>
      </c>
      <c r="H708" t="s">
        <v>43</v>
      </c>
      <c r="I708" s="187"/>
      <c r="J708" s="187">
        <v>0</v>
      </c>
      <c r="K708" s="187">
        <v>0</v>
      </c>
      <c r="L708" s="187">
        <v>0</v>
      </c>
      <c r="M708" s="187">
        <v>0</v>
      </c>
      <c r="N708" s="187">
        <v>0</v>
      </c>
      <c r="O708" t="s">
        <v>1167</v>
      </c>
    </row>
    <row r="709" spans="1:15" hidden="1" x14ac:dyDescent="0.45">
      <c r="A709" s="187">
        <v>2015</v>
      </c>
      <c r="B709" t="s">
        <v>309</v>
      </c>
      <c r="C709" t="s">
        <v>322</v>
      </c>
      <c r="D709" t="s">
        <v>35</v>
      </c>
      <c r="E709" t="s">
        <v>354</v>
      </c>
      <c r="F709" t="s">
        <v>385</v>
      </c>
      <c r="G709" t="s">
        <v>36</v>
      </c>
      <c r="H709" t="s">
        <v>43</v>
      </c>
      <c r="I709" s="187"/>
      <c r="J709" s="187">
        <v>52.987403139029738</v>
      </c>
      <c r="K709" s="187">
        <v>2378.1946693477648</v>
      </c>
      <c r="L709" s="187">
        <v>0</v>
      </c>
      <c r="M709" s="187">
        <v>2431.18212890625</v>
      </c>
      <c r="N709" s="187">
        <v>0</v>
      </c>
      <c r="O709" t="s">
        <v>1170</v>
      </c>
    </row>
    <row r="710" spans="1:15" hidden="1" x14ac:dyDescent="0.45">
      <c r="A710" s="187">
        <v>2015</v>
      </c>
      <c r="B710" t="s">
        <v>310</v>
      </c>
      <c r="C710" t="s">
        <v>322</v>
      </c>
      <c r="D710" t="s">
        <v>35</v>
      </c>
      <c r="E710" t="s">
        <v>354</v>
      </c>
      <c r="F710" t="s">
        <v>385</v>
      </c>
      <c r="G710" t="s">
        <v>36</v>
      </c>
      <c r="H710" t="s">
        <v>43</v>
      </c>
      <c r="I710" s="187"/>
      <c r="J710" s="187">
        <v>19.615812360339834</v>
      </c>
      <c r="K710" s="187">
        <v>1613.6691558629661</v>
      </c>
      <c r="L710" s="187">
        <v>0</v>
      </c>
      <c r="M710" s="187">
        <v>1633.284912109375</v>
      </c>
      <c r="N710" s="187">
        <v>0</v>
      </c>
      <c r="O710" t="s">
        <v>1168</v>
      </c>
    </row>
    <row r="711" spans="1:15" hidden="1" x14ac:dyDescent="0.45">
      <c r="A711" s="187">
        <v>2015</v>
      </c>
      <c r="B711" t="s">
        <v>311</v>
      </c>
      <c r="C711" t="s">
        <v>322</v>
      </c>
      <c r="D711" t="s">
        <v>35</v>
      </c>
      <c r="E711" t="s">
        <v>354</v>
      </c>
      <c r="F711" t="s">
        <v>385</v>
      </c>
      <c r="G711" t="s">
        <v>36</v>
      </c>
      <c r="H711" t="s">
        <v>43</v>
      </c>
      <c r="I711" s="187"/>
      <c r="J711" s="187">
        <v>12.752941226550039</v>
      </c>
      <c r="K711" s="187">
        <v>3645.6326409983667</v>
      </c>
      <c r="L711" s="187">
        <v>330.30117776764604</v>
      </c>
      <c r="M711" s="187">
        <v>3988.686767578125</v>
      </c>
      <c r="N711" s="187">
        <v>330.30117797851563</v>
      </c>
      <c r="O711" t="s">
        <v>1169</v>
      </c>
    </row>
    <row r="712" spans="1:15" hidden="1" x14ac:dyDescent="0.45">
      <c r="A712" s="187">
        <v>2015</v>
      </c>
      <c r="B712" t="s">
        <v>311</v>
      </c>
      <c r="C712" t="s">
        <v>322</v>
      </c>
      <c r="D712" t="s">
        <v>35</v>
      </c>
      <c r="E712" t="s">
        <v>354</v>
      </c>
      <c r="F712" t="s">
        <v>385</v>
      </c>
      <c r="G712" t="s">
        <v>37</v>
      </c>
      <c r="H712" t="s">
        <v>43</v>
      </c>
      <c r="I712" s="187"/>
      <c r="J712" s="187">
        <v>10</v>
      </c>
      <c r="K712" s="187">
        <v>2858.6602699999999</v>
      </c>
      <c r="L712" s="187">
        <v>259</v>
      </c>
      <c r="M712" s="187">
        <v>3127.66015625</v>
      </c>
      <c r="N712" s="187">
        <v>259</v>
      </c>
      <c r="O712" t="s">
        <v>1172</v>
      </c>
    </row>
    <row r="713" spans="1:15" hidden="1" x14ac:dyDescent="0.45">
      <c r="A713" s="187">
        <v>2015</v>
      </c>
      <c r="B713" t="s">
        <v>310</v>
      </c>
      <c r="C713" t="s">
        <v>322</v>
      </c>
      <c r="D713" t="s">
        <v>35</v>
      </c>
      <c r="E713" t="s">
        <v>354</v>
      </c>
      <c r="F713" t="s">
        <v>385</v>
      </c>
      <c r="G713" t="s">
        <v>37</v>
      </c>
      <c r="H713" t="s">
        <v>43</v>
      </c>
      <c r="I713" s="187"/>
      <c r="J713" s="187">
        <v>15</v>
      </c>
      <c r="K713" s="187">
        <v>1258.2113066467221</v>
      </c>
      <c r="L713" s="187">
        <v>0</v>
      </c>
      <c r="M713" s="187">
        <v>1273.2113037109375</v>
      </c>
      <c r="N713" s="187">
        <v>0</v>
      </c>
      <c r="O713" t="s">
        <v>1173</v>
      </c>
    </row>
    <row r="714" spans="1:15" hidden="1" x14ac:dyDescent="0.45">
      <c r="A714" s="187">
        <v>2015</v>
      </c>
      <c r="B714" t="s">
        <v>309</v>
      </c>
      <c r="C714" t="s">
        <v>322</v>
      </c>
      <c r="D714" t="s">
        <v>35</v>
      </c>
      <c r="E714" t="s">
        <v>354</v>
      </c>
      <c r="F714" t="s">
        <v>385</v>
      </c>
      <c r="G714" t="s">
        <v>37</v>
      </c>
      <c r="H714" t="s">
        <v>43</v>
      </c>
      <c r="I714" s="187"/>
      <c r="J714" s="187">
        <v>41.688000000000002</v>
      </c>
      <c r="K714" s="187">
        <v>1878.8190982791591</v>
      </c>
      <c r="L714" s="187">
        <v>0</v>
      </c>
      <c r="M714" s="187">
        <v>1920.507080078125</v>
      </c>
      <c r="N714" s="187">
        <v>0</v>
      </c>
      <c r="O714" t="s">
        <v>1171</v>
      </c>
    </row>
    <row r="715" spans="1:15" hidden="1" x14ac:dyDescent="0.45">
      <c r="A715" s="187">
        <v>2015</v>
      </c>
      <c r="B715" t="s">
        <v>309</v>
      </c>
      <c r="C715" t="s">
        <v>322</v>
      </c>
      <c r="D715" t="s">
        <v>35</v>
      </c>
      <c r="E715" t="s">
        <v>354</v>
      </c>
      <c r="F715" t="s">
        <v>386</v>
      </c>
      <c r="G715" t="s">
        <v>36</v>
      </c>
      <c r="H715" t="s">
        <v>43</v>
      </c>
      <c r="I715" s="187"/>
      <c r="J715" s="187">
        <v>211.94961255611895</v>
      </c>
      <c r="K715" s="187">
        <v>979.61123895820481</v>
      </c>
      <c r="L715" s="187">
        <v>967.02010728729272</v>
      </c>
      <c r="M715" s="187">
        <v>2158.5810546875</v>
      </c>
      <c r="N715" s="187">
        <v>967.02008056640625</v>
      </c>
      <c r="O715" t="s">
        <v>1176</v>
      </c>
    </row>
    <row r="716" spans="1:15" hidden="1" x14ac:dyDescent="0.45">
      <c r="A716" s="187">
        <v>2015</v>
      </c>
      <c r="B716" t="s">
        <v>311</v>
      </c>
      <c r="C716" t="s">
        <v>322</v>
      </c>
      <c r="D716" t="s">
        <v>35</v>
      </c>
      <c r="E716" t="s">
        <v>354</v>
      </c>
      <c r="F716" t="s">
        <v>386</v>
      </c>
      <c r="G716" t="s">
        <v>36</v>
      </c>
      <c r="H716" t="s">
        <v>43</v>
      </c>
      <c r="I716" s="187"/>
      <c r="J716" s="187">
        <v>38.258823679650121</v>
      </c>
      <c r="K716" s="187">
        <v>2222.976535317629</v>
      </c>
      <c r="L716" s="187">
        <v>85.444706217885269</v>
      </c>
      <c r="M716" s="187">
        <v>2346.68017578125</v>
      </c>
      <c r="N716" s="187">
        <v>85.444709777832031</v>
      </c>
      <c r="O716" t="s">
        <v>1175</v>
      </c>
    </row>
    <row r="717" spans="1:15" hidden="1" x14ac:dyDescent="0.45">
      <c r="A717" s="187">
        <v>2015</v>
      </c>
      <c r="B717" t="s">
        <v>310</v>
      </c>
      <c r="C717" t="s">
        <v>322</v>
      </c>
      <c r="D717" t="s">
        <v>35</v>
      </c>
      <c r="E717" t="s">
        <v>354</v>
      </c>
      <c r="F717" t="s">
        <v>386</v>
      </c>
      <c r="G717" t="s">
        <v>36</v>
      </c>
      <c r="H717" t="s">
        <v>43</v>
      </c>
      <c r="I717" s="187"/>
      <c r="J717" s="187">
        <v>68.001482849178089</v>
      </c>
      <c r="K717" s="187">
        <v>2897.2678082136276</v>
      </c>
      <c r="L717" s="187">
        <v>846.0953731426581</v>
      </c>
      <c r="M717" s="187">
        <v>3811.36474609375</v>
      </c>
      <c r="N717" s="187">
        <v>846.09539794921875</v>
      </c>
      <c r="O717" t="s">
        <v>1174</v>
      </c>
    </row>
    <row r="718" spans="1:15" hidden="1" x14ac:dyDescent="0.45">
      <c r="A718" s="187">
        <v>2015</v>
      </c>
      <c r="B718" t="s">
        <v>309</v>
      </c>
      <c r="C718" t="s">
        <v>322</v>
      </c>
      <c r="D718" t="s">
        <v>35</v>
      </c>
      <c r="E718" t="s">
        <v>354</v>
      </c>
      <c r="F718" t="s">
        <v>386</v>
      </c>
      <c r="G718" t="s">
        <v>37</v>
      </c>
      <c r="H718" t="s">
        <v>43</v>
      </c>
      <c r="I718" s="187"/>
      <c r="J718" s="187">
        <v>166.75200000000001</v>
      </c>
      <c r="K718" s="187">
        <v>773.91154238368392</v>
      </c>
      <c r="L718" s="187">
        <v>775</v>
      </c>
      <c r="M718" s="187">
        <v>1715.66357421875</v>
      </c>
      <c r="N718" s="187">
        <v>775</v>
      </c>
      <c r="O718" t="s">
        <v>1179</v>
      </c>
    </row>
    <row r="719" spans="1:15" hidden="1" x14ac:dyDescent="0.45">
      <c r="A719" s="187">
        <v>2015</v>
      </c>
      <c r="B719" t="s">
        <v>310</v>
      </c>
      <c r="C719" t="s">
        <v>322</v>
      </c>
      <c r="D719" t="s">
        <v>35</v>
      </c>
      <c r="E719" t="s">
        <v>354</v>
      </c>
      <c r="F719" t="s">
        <v>386</v>
      </c>
      <c r="G719" t="s">
        <v>37</v>
      </c>
      <c r="H719" t="s">
        <v>43</v>
      </c>
      <c r="I719" s="187"/>
      <c r="J719" s="187">
        <v>53</v>
      </c>
      <c r="K719" s="187">
        <v>2259.05979638587</v>
      </c>
      <c r="L719" s="187">
        <v>664</v>
      </c>
      <c r="M719" s="187">
        <v>2976.059814453125</v>
      </c>
      <c r="N719" s="187">
        <v>664</v>
      </c>
      <c r="O719" t="s">
        <v>1178</v>
      </c>
    </row>
    <row r="720" spans="1:15" hidden="1" x14ac:dyDescent="0.45">
      <c r="A720" s="187">
        <v>2015</v>
      </c>
      <c r="B720" t="s">
        <v>311</v>
      </c>
      <c r="C720" t="s">
        <v>322</v>
      </c>
      <c r="D720" t="s">
        <v>35</v>
      </c>
      <c r="E720" t="s">
        <v>354</v>
      </c>
      <c r="F720" t="s">
        <v>386</v>
      </c>
      <c r="G720" t="s">
        <v>37</v>
      </c>
      <c r="H720" t="s">
        <v>43</v>
      </c>
      <c r="I720" s="187"/>
      <c r="J720" s="187">
        <v>30</v>
      </c>
      <c r="K720" s="187">
        <v>1743.1088999999999</v>
      </c>
      <c r="L720" s="187">
        <v>67</v>
      </c>
      <c r="M720" s="187">
        <v>1840.10888671875</v>
      </c>
      <c r="N720" s="187">
        <v>67</v>
      </c>
      <c r="O720" t="s">
        <v>1177</v>
      </c>
    </row>
    <row r="721" spans="1:15" hidden="1" x14ac:dyDescent="0.45">
      <c r="A721" s="187">
        <v>2015</v>
      </c>
      <c r="B721" t="s">
        <v>309</v>
      </c>
      <c r="C721" t="s">
        <v>322</v>
      </c>
      <c r="D721" t="s">
        <v>35</v>
      </c>
      <c r="E721" t="s">
        <v>354</v>
      </c>
      <c r="F721" t="s">
        <v>387</v>
      </c>
      <c r="G721" t="s">
        <v>36</v>
      </c>
      <c r="H721" t="s">
        <v>43</v>
      </c>
      <c r="I721" s="187"/>
      <c r="J721" s="187">
        <v>264.93701569514872</v>
      </c>
      <c r="K721" s="187">
        <v>3357.8059083059693</v>
      </c>
      <c r="L721" s="187">
        <v>967.02010728729272</v>
      </c>
      <c r="M721" s="187">
        <v>4589.76318359375</v>
      </c>
      <c r="N721" s="187">
        <v>967.02008056640625</v>
      </c>
      <c r="O721" t="s">
        <v>1181</v>
      </c>
    </row>
    <row r="722" spans="1:15" hidden="1" x14ac:dyDescent="0.45">
      <c r="A722" s="187">
        <v>2015</v>
      </c>
      <c r="B722" t="s">
        <v>311</v>
      </c>
      <c r="C722" t="s">
        <v>322</v>
      </c>
      <c r="D722" t="s">
        <v>35</v>
      </c>
      <c r="E722" t="s">
        <v>354</v>
      </c>
      <c r="F722" t="s">
        <v>387</v>
      </c>
      <c r="G722" t="s">
        <v>36</v>
      </c>
      <c r="H722" t="s">
        <v>43</v>
      </c>
      <c r="I722" s="187"/>
      <c r="J722" s="187">
        <v>51.011764906200156</v>
      </c>
      <c r="K722" s="187">
        <v>5868.6091763159957</v>
      </c>
      <c r="L722" s="187">
        <v>942.44235664204791</v>
      </c>
      <c r="M722" s="187">
        <v>6862.0634765625</v>
      </c>
      <c r="N722" s="187">
        <v>942.4423828125</v>
      </c>
      <c r="O722" t="s">
        <v>1180</v>
      </c>
    </row>
    <row r="723" spans="1:15" hidden="1" x14ac:dyDescent="0.45">
      <c r="A723" s="187">
        <v>2015</v>
      </c>
      <c r="B723" t="s">
        <v>310</v>
      </c>
      <c r="C723" t="s">
        <v>322</v>
      </c>
      <c r="D723" t="s">
        <v>35</v>
      </c>
      <c r="E723" t="s">
        <v>354</v>
      </c>
      <c r="F723" t="s">
        <v>387</v>
      </c>
      <c r="G723" t="s">
        <v>36</v>
      </c>
      <c r="H723" t="s">
        <v>43</v>
      </c>
      <c r="I723" s="187"/>
      <c r="J723" s="187">
        <v>87.61729520951792</v>
      </c>
      <c r="K723" s="187">
        <v>4510.9369640765935</v>
      </c>
      <c r="L723" s="187">
        <v>846.0953731426581</v>
      </c>
      <c r="M723" s="187">
        <v>5444.6494140625</v>
      </c>
      <c r="N723" s="187">
        <v>846.09539794921875</v>
      </c>
      <c r="O723" t="s">
        <v>1182</v>
      </c>
    </row>
    <row r="724" spans="1:15" hidden="1" x14ac:dyDescent="0.45">
      <c r="A724" s="187">
        <v>2015</v>
      </c>
      <c r="B724" t="s">
        <v>311</v>
      </c>
      <c r="C724" t="s">
        <v>322</v>
      </c>
      <c r="D724" t="s">
        <v>35</v>
      </c>
      <c r="E724" t="s">
        <v>354</v>
      </c>
      <c r="F724" t="s">
        <v>387</v>
      </c>
      <c r="G724" t="s">
        <v>37</v>
      </c>
      <c r="H724" t="s">
        <v>43</v>
      </c>
      <c r="I724" s="187"/>
      <c r="J724" s="187">
        <v>40</v>
      </c>
      <c r="K724" s="187">
        <v>4601.7691699999996</v>
      </c>
      <c r="L724" s="187">
        <v>739</v>
      </c>
      <c r="M724" s="187">
        <v>5380.76904296875</v>
      </c>
      <c r="N724" s="187">
        <v>739</v>
      </c>
      <c r="O724" t="s">
        <v>1185</v>
      </c>
    </row>
    <row r="725" spans="1:15" hidden="1" x14ac:dyDescent="0.45">
      <c r="A725" s="187">
        <v>2015</v>
      </c>
      <c r="B725" t="s">
        <v>310</v>
      </c>
      <c r="C725" t="s">
        <v>322</v>
      </c>
      <c r="D725" t="s">
        <v>35</v>
      </c>
      <c r="E725" t="s">
        <v>354</v>
      </c>
      <c r="F725" t="s">
        <v>387</v>
      </c>
      <c r="G725" t="s">
        <v>37</v>
      </c>
      <c r="H725" t="s">
        <v>43</v>
      </c>
      <c r="I725" s="187"/>
      <c r="J725" s="187">
        <v>68</v>
      </c>
      <c r="K725" s="187">
        <v>3517.2711030325918</v>
      </c>
      <c r="L725" s="187">
        <v>664</v>
      </c>
      <c r="M725" s="187">
        <v>4249.27099609375</v>
      </c>
      <c r="N725" s="187">
        <v>664</v>
      </c>
      <c r="O725" t="s">
        <v>1184</v>
      </c>
    </row>
    <row r="726" spans="1:15" hidden="1" x14ac:dyDescent="0.45">
      <c r="A726" s="187">
        <v>2015</v>
      </c>
      <c r="B726" t="s">
        <v>309</v>
      </c>
      <c r="C726" t="s">
        <v>322</v>
      </c>
      <c r="D726" t="s">
        <v>35</v>
      </c>
      <c r="E726" t="s">
        <v>354</v>
      </c>
      <c r="F726" t="s">
        <v>387</v>
      </c>
      <c r="G726" t="s">
        <v>37</v>
      </c>
      <c r="H726" t="s">
        <v>43</v>
      </c>
      <c r="I726" s="187"/>
      <c r="J726" s="187">
        <v>208.44</v>
      </c>
      <c r="K726" s="187">
        <v>2652.7306406628431</v>
      </c>
      <c r="L726" s="187">
        <v>775</v>
      </c>
      <c r="M726" s="187">
        <v>3636.170654296875</v>
      </c>
      <c r="N726" s="187">
        <v>775</v>
      </c>
      <c r="O726" t="s">
        <v>1183</v>
      </c>
    </row>
    <row r="727" spans="1:15" hidden="1" x14ac:dyDescent="0.45">
      <c r="A727" s="187">
        <v>2015</v>
      </c>
      <c r="B727" t="s">
        <v>309</v>
      </c>
      <c r="C727" t="s">
        <v>322</v>
      </c>
      <c r="D727" t="s">
        <v>35</v>
      </c>
      <c r="E727" t="s">
        <v>17</v>
      </c>
      <c r="F727" t="s">
        <v>17</v>
      </c>
      <c r="G727" t="s">
        <v>36</v>
      </c>
      <c r="H727" t="s">
        <v>43</v>
      </c>
      <c r="I727" s="187"/>
      <c r="J727" s="187">
        <v>34.441812040369328</v>
      </c>
      <c r="K727" s="187">
        <v>4072.6206939027024</v>
      </c>
      <c r="L727" s="187">
        <v>6726.7508284998257</v>
      </c>
      <c r="M727" s="187">
        <v>10833.8134765625</v>
      </c>
      <c r="N727" s="187">
        <v>6726.7509765625</v>
      </c>
      <c r="O727" t="s">
        <v>1187</v>
      </c>
    </row>
    <row r="728" spans="1:15" hidden="1" x14ac:dyDescent="0.45">
      <c r="A728" s="187">
        <v>2015</v>
      </c>
      <c r="B728" t="s">
        <v>310</v>
      </c>
      <c r="C728" t="s">
        <v>322</v>
      </c>
      <c r="D728" t="s">
        <v>35</v>
      </c>
      <c r="E728" t="s">
        <v>17</v>
      </c>
      <c r="F728" t="s">
        <v>17</v>
      </c>
      <c r="G728" t="s">
        <v>36</v>
      </c>
      <c r="H728" t="s">
        <v>43</v>
      </c>
      <c r="I728" s="187"/>
      <c r="J728" s="187">
        <v>52.308832960906223</v>
      </c>
      <c r="K728" s="187">
        <v>3069.5480579642326</v>
      </c>
      <c r="L728" s="187">
        <v>5595.7374059929434</v>
      </c>
      <c r="M728" s="187">
        <v>8717.5947265625</v>
      </c>
      <c r="N728" s="187">
        <v>5595.7373046875</v>
      </c>
      <c r="O728" t="s">
        <v>1186</v>
      </c>
    </row>
    <row r="729" spans="1:15" hidden="1" x14ac:dyDescent="0.45">
      <c r="A729" s="187">
        <v>2015</v>
      </c>
      <c r="B729" t="s">
        <v>311</v>
      </c>
      <c r="C729" t="s">
        <v>322</v>
      </c>
      <c r="D729" t="s">
        <v>35</v>
      </c>
      <c r="E729" t="s">
        <v>17</v>
      </c>
      <c r="F729" t="s">
        <v>17</v>
      </c>
      <c r="G729" t="s">
        <v>36</v>
      </c>
      <c r="H729" t="s">
        <v>43</v>
      </c>
      <c r="I729" s="187"/>
      <c r="J729" s="187">
        <v>40.809411924960131</v>
      </c>
      <c r="K729" s="187">
        <v>2279.5314362539052</v>
      </c>
      <c r="L729" s="187">
        <v>2396.2776564687524</v>
      </c>
      <c r="M729" s="187">
        <v>4716.61865234375</v>
      </c>
      <c r="N729" s="187">
        <v>2396.277587890625</v>
      </c>
      <c r="O729" t="s">
        <v>1188</v>
      </c>
    </row>
    <row r="730" spans="1:15" hidden="1" x14ac:dyDescent="0.45">
      <c r="A730" s="187">
        <v>2015</v>
      </c>
      <c r="B730" t="s">
        <v>309</v>
      </c>
      <c r="C730" t="s">
        <v>322</v>
      </c>
      <c r="D730" t="s">
        <v>35</v>
      </c>
      <c r="E730" t="s">
        <v>17</v>
      </c>
      <c r="F730" t="s">
        <v>17</v>
      </c>
      <c r="G730" t="s">
        <v>37</v>
      </c>
      <c r="H730" t="s">
        <v>43</v>
      </c>
      <c r="I730" s="187"/>
      <c r="J730" s="187">
        <v>27.097200000000001</v>
      </c>
      <c r="K730" s="187">
        <v>3217.447939974506</v>
      </c>
      <c r="L730" s="187">
        <v>5391</v>
      </c>
      <c r="M730" s="187">
        <v>8635.544921875</v>
      </c>
      <c r="N730" s="187">
        <v>5391</v>
      </c>
      <c r="O730" t="s">
        <v>1191</v>
      </c>
    </row>
    <row r="731" spans="1:15" hidden="1" x14ac:dyDescent="0.45">
      <c r="A731" s="187">
        <v>2015</v>
      </c>
      <c r="B731" t="s">
        <v>311</v>
      </c>
      <c r="C731" t="s">
        <v>322</v>
      </c>
      <c r="D731" t="s">
        <v>35</v>
      </c>
      <c r="E731" t="s">
        <v>17</v>
      </c>
      <c r="F731" t="s">
        <v>17</v>
      </c>
      <c r="G731" t="s">
        <v>37</v>
      </c>
      <c r="H731" t="s">
        <v>43</v>
      </c>
      <c r="I731" s="187"/>
      <c r="J731" s="187">
        <v>32</v>
      </c>
      <c r="K731" s="187">
        <v>1787.455454988065</v>
      </c>
      <c r="L731" s="187">
        <v>1879</v>
      </c>
      <c r="M731" s="187">
        <v>3698.45556640625</v>
      </c>
      <c r="N731" s="187">
        <v>1879</v>
      </c>
      <c r="O731" t="s">
        <v>1190</v>
      </c>
    </row>
    <row r="732" spans="1:15" hidden="1" x14ac:dyDescent="0.45">
      <c r="A732" s="187">
        <v>2015</v>
      </c>
      <c r="B732" t="s">
        <v>310</v>
      </c>
      <c r="C732" t="s">
        <v>322</v>
      </c>
      <c r="D732" t="s">
        <v>35</v>
      </c>
      <c r="E732" t="s">
        <v>17</v>
      </c>
      <c r="F732" t="s">
        <v>17</v>
      </c>
      <c r="G732" t="s">
        <v>37</v>
      </c>
      <c r="H732" t="s">
        <v>43</v>
      </c>
      <c r="I732" s="187"/>
      <c r="J732" s="187">
        <v>41</v>
      </c>
      <c r="K732" s="187">
        <v>2393.846311715994</v>
      </c>
      <c r="L732" s="187">
        <v>4394</v>
      </c>
      <c r="M732" s="187">
        <v>6828.84619140625</v>
      </c>
      <c r="N732" s="187">
        <v>4394</v>
      </c>
      <c r="O732" t="s">
        <v>1189</v>
      </c>
    </row>
    <row r="733" spans="1:15" hidden="1" x14ac:dyDescent="0.45">
      <c r="A733" s="187">
        <v>2015</v>
      </c>
      <c r="B733" t="s">
        <v>310</v>
      </c>
      <c r="C733" t="s">
        <v>322</v>
      </c>
      <c r="D733" t="s">
        <v>35</v>
      </c>
      <c r="E733" t="s">
        <v>45</v>
      </c>
      <c r="F733" t="s">
        <v>45</v>
      </c>
      <c r="G733" t="s">
        <v>37</v>
      </c>
      <c r="H733" t="s">
        <v>43</v>
      </c>
      <c r="I733" s="187"/>
      <c r="J733" s="187">
        <v>0</v>
      </c>
      <c r="K733" s="187">
        <v>610.49557769262549</v>
      </c>
      <c r="L733" s="187">
        <v>5633</v>
      </c>
      <c r="M733" s="187">
        <v>6243.49560546875</v>
      </c>
      <c r="N733" s="187">
        <v>5633</v>
      </c>
      <c r="O733" t="s">
        <v>1193</v>
      </c>
    </row>
    <row r="734" spans="1:15" hidden="1" x14ac:dyDescent="0.45">
      <c r="A734" s="187">
        <v>2015</v>
      </c>
      <c r="B734" t="s">
        <v>309</v>
      </c>
      <c r="C734" t="s">
        <v>322</v>
      </c>
      <c r="D734" t="s">
        <v>35</v>
      </c>
      <c r="E734" t="s">
        <v>45</v>
      </c>
      <c r="F734" t="s">
        <v>45</v>
      </c>
      <c r="G734" t="s">
        <v>37</v>
      </c>
      <c r="H734" t="s">
        <v>43</v>
      </c>
      <c r="I734" s="187"/>
      <c r="J734" s="187">
        <v>0</v>
      </c>
      <c r="K734" s="187">
        <v>631.94328796826062</v>
      </c>
      <c r="L734" s="187">
        <v>4662</v>
      </c>
      <c r="M734" s="187">
        <v>5293.943359375</v>
      </c>
      <c r="N734" s="187">
        <v>4662</v>
      </c>
      <c r="O734" t="s">
        <v>1192</v>
      </c>
    </row>
    <row r="735" spans="1:15" hidden="1" x14ac:dyDescent="0.45">
      <c r="A735" s="187">
        <v>2015</v>
      </c>
      <c r="B735" t="s">
        <v>311</v>
      </c>
      <c r="C735" t="s">
        <v>322</v>
      </c>
      <c r="D735" t="s">
        <v>35</v>
      </c>
      <c r="E735" t="s">
        <v>45</v>
      </c>
      <c r="F735" t="s">
        <v>45</v>
      </c>
      <c r="G735" t="s">
        <v>37</v>
      </c>
      <c r="H735" t="s">
        <v>43</v>
      </c>
      <c r="I735" s="187"/>
      <c r="J735" s="187">
        <v>0</v>
      </c>
      <c r="K735" s="187">
        <v>619.14363538525095</v>
      </c>
      <c r="L735" s="187">
        <v>5004</v>
      </c>
      <c r="M735" s="187">
        <v>5623.1435546875</v>
      </c>
      <c r="N735" s="187">
        <v>5004</v>
      </c>
      <c r="O735" t="s">
        <v>1194</v>
      </c>
    </row>
    <row r="736" spans="1:15" hidden="1" x14ac:dyDescent="0.45">
      <c r="A736" s="187">
        <v>2015</v>
      </c>
      <c r="B736" t="s">
        <v>310</v>
      </c>
      <c r="C736" t="s">
        <v>322</v>
      </c>
      <c r="D736" t="s">
        <v>35</v>
      </c>
      <c r="E736" t="s">
        <v>355</v>
      </c>
      <c r="F736" t="s">
        <v>355</v>
      </c>
      <c r="G736" t="s">
        <v>37</v>
      </c>
      <c r="H736" t="s">
        <v>43</v>
      </c>
      <c r="I736" s="187"/>
      <c r="J736" s="187">
        <v>782</v>
      </c>
      <c r="K736" s="187">
        <v>13996.409345042641</v>
      </c>
      <c r="L736" s="187">
        <v>30886.95622087672</v>
      </c>
      <c r="M736" s="187">
        <v>45665.3671875</v>
      </c>
      <c r="N736" s="187">
        <v>30886.95703125</v>
      </c>
      <c r="O736" t="s">
        <v>1196</v>
      </c>
    </row>
    <row r="737" spans="1:15" hidden="1" x14ac:dyDescent="0.45">
      <c r="A737" s="187">
        <v>2015</v>
      </c>
      <c r="B737" t="s">
        <v>309</v>
      </c>
      <c r="C737" t="s">
        <v>322</v>
      </c>
      <c r="D737" t="s">
        <v>35</v>
      </c>
      <c r="E737" t="s">
        <v>355</v>
      </c>
      <c r="F737" t="s">
        <v>355</v>
      </c>
      <c r="G737" t="s">
        <v>37</v>
      </c>
      <c r="H737" t="s">
        <v>43</v>
      </c>
      <c r="I737" s="187"/>
      <c r="J737" s="187">
        <v>720.16020000000003</v>
      </c>
      <c r="K737" s="187">
        <v>12582.1407422393</v>
      </c>
      <c r="L737" s="187">
        <v>23107</v>
      </c>
      <c r="M737" s="187">
        <v>36409.30078125</v>
      </c>
      <c r="N737" s="187">
        <v>23107</v>
      </c>
      <c r="O737" t="s">
        <v>1195</v>
      </c>
    </row>
    <row r="738" spans="1:15" hidden="1" x14ac:dyDescent="0.45">
      <c r="A738" s="187">
        <v>2015</v>
      </c>
      <c r="B738" t="s">
        <v>311</v>
      </c>
      <c r="C738" t="s">
        <v>322</v>
      </c>
      <c r="D738" t="s">
        <v>35</v>
      </c>
      <c r="E738" t="s">
        <v>356</v>
      </c>
      <c r="F738" t="s">
        <v>356</v>
      </c>
      <c r="G738" t="s">
        <v>37</v>
      </c>
      <c r="H738" t="s">
        <v>43</v>
      </c>
      <c r="I738" s="187"/>
      <c r="J738" s="187">
        <v>0</v>
      </c>
      <c r="K738" s="187">
        <v>0</v>
      </c>
      <c r="L738" s="187">
        <v>0</v>
      </c>
      <c r="M738" s="187">
        <v>0</v>
      </c>
      <c r="N738" s="187">
        <v>0</v>
      </c>
      <c r="O738" t="s">
        <v>1197</v>
      </c>
    </row>
    <row r="739" spans="1:15" hidden="1" x14ac:dyDescent="0.45">
      <c r="A739" s="187">
        <v>2015</v>
      </c>
      <c r="B739" t="s">
        <v>309</v>
      </c>
      <c r="C739" t="s">
        <v>322</v>
      </c>
      <c r="D739" t="s">
        <v>35</v>
      </c>
      <c r="E739" t="s">
        <v>356</v>
      </c>
      <c r="F739" t="s">
        <v>356</v>
      </c>
      <c r="G739" t="s">
        <v>37</v>
      </c>
      <c r="H739" t="s">
        <v>43</v>
      </c>
      <c r="I739" s="187"/>
      <c r="J739" s="187">
        <v>0</v>
      </c>
      <c r="K739" s="187">
        <v>0</v>
      </c>
      <c r="L739" s="187">
        <v>0</v>
      </c>
      <c r="M739" s="187">
        <v>0</v>
      </c>
      <c r="N739" s="187">
        <v>0</v>
      </c>
      <c r="O739" t="s">
        <v>1198</v>
      </c>
    </row>
    <row r="740" spans="1:15" hidden="1" x14ac:dyDescent="0.45">
      <c r="A740" s="187">
        <v>2015</v>
      </c>
      <c r="B740" t="s">
        <v>310</v>
      </c>
      <c r="C740" t="s">
        <v>322</v>
      </c>
      <c r="D740" t="s">
        <v>35</v>
      </c>
      <c r="E740" t="s">
        <v>356</v>
      </c>
      <c r="F740" t="s">
        <v>356</v>
      </c>
      <c r="G740" t="s">
        <v>37</v>
      </c>
      <c r="H740" t="s">
        <v>43</v>
      </c>
      <c r="I740" s="187"/>
      <c r="J740" s="187">
        <v>0</v>
      </c>
      <c r="K740" s="187">
        <v>0</v>
      </c>
      <c r="L740" s="187">
        <v>0</v>
      </c>
      <c r="M740" s="187">
        <v>0</v>
      </c>
      <c r="N740" s="187">
        <v>0</v>
      </c>
      <c r="O740" t="s">
        <v>1199</v>
      </c>
    </row>
    <row r="741" spans="1:15" hidden="1" x14ac:dyDescent="0.45">
      <c r="A741" s="187">
        <v>2015</v>
      </c>
      <c r="B741" t="s">
        <v>309</v>
      </c>
      <c r="C741" t="s">
        <v>323</v>
      </c>
      <c r="D741" t="s">
        <v>35</v>
      </c>
      <c r="E741" t="s">
        <v>349</v>
      </c>
      <c r="F741" t="s">
        <v>388</v>
      </c>
      <c r="G741" t="s">
        <v>36</v>
      </c>
      <c r="H741" t="s">
        <v>43</v>
      </c>
      <c r="I741" s="187"/>
      <c r="J741" s="187">
        <v>384.15867275796563</v>
      </c>
      <c r="K741" s="187">
        <v>3767.7355344546336</v>
      </c>
      <c r="L741" s="187">
        <v>5398.0916947886544</v>
      </c>
      <c r="M741" s="187">
        <v>9549.9853515625</v>
      </c>
      <c r="N741" s="187">
        <v>5398.091796875</v>
      </c>
      <c r="O741" t="s">
        <v>1201</v>
      </c>
    </row>
    <row r="742" spans="1:15" hidden="1" x14ac:dyDescent="0.45">
      <c r="A742" s="187">
        <v>2015</v>
      </c>
      <c r="B742" t="s">
        <v>310</v>
      </c>
      <c r="C742" t="s">
        <v>323</v>
      </c>
      <c r="D742" t="s">
        <v>35</v>
      </c>
      <c r="E742" t="s">
        <v>349</v>
      </c>
      <c r="F742" t="s">
        <v>388</v>
      </c>
      <c r="G742" t="s">
        <v>36</v>
      </c>
      <c r="H742" t="s">
        <v>43</v>
      </c>
      <c r="I742" s="187"/>
      <c r="J742" s="187">
        <v>519.16516713699423</v>
      </c>
      <c r="K742" s="187">
        <v>3248.2703468737113</v>
      </c>
      <c r="L742" s="187">
        <v>6454.9099873758278</v>
      </c>
      <c r="M742" s="187">
        <v>10222.345703125</v>
      </c>
      <c r="N742" s="187">
        <v>6454.91015625</v>
      </c>
      <c r="O742" t="s">
        <v>1202</v>
      </c>
    </row>
    <row r="743" spans="1:15" hidden="1" x14ac:dyDescent="0.45">
      <c r="A743" s="187">
        <v>2015</v>
      </c>
      <c r="B743" t="s">
        <v>311</v>
      </c>
      <c r="C743" t="s">
        <v>323</v>
      </c>
      <c r="D743" t="s">
        <v>35</v>
      </c>
      <c r="E743" t="s">
        <v>349</v>
      </c>
      <c r="F743" t="s">
        <v>388</v>
      </c>
      <c r="G743" t="s">
        <v>36</v>
      </c>
      <c r="H743" t="s">
        <v>43</v>
      </c>
      <c r="I743" s="187"/>
      <c r="J743" s="187">
        <v>348.15529548481607</v>
      </c>
      <c r="K743" s="187">
        <v>3801.219340150516</v>
      </c>
      <c r="L743" s="187">
        <v>7538.2635590137288</v>
      </c>
      <c r="M743" s="187">
        <v>11687.6376953125</v>
      </c>
      <c r="N743" s="187">
        <v>7538.263671875</v>
      </c>
      <c r="O743" t="s">
        <v>1200</v>
      </c>
    </row>
    <row r="744" spans="1:15" hidden="1" x14ac:dyDescent="0.45">
      <c r="A744" s="187">
        <v>2015</v>
      </c>
      <c r="B744" t="s">
        <v>310</v>
      </c>
      <c r="C744" t="s">
        <v>323</v>
      </c>
      <c r="D744" t="s">
        <v>35</v>
      </c>
      <c r="E744" t="s">
        <v>349</v>
      </c>
      <c r="F744" t="s">
        <v>389</v>
      </c>
      <c r="G744" t="s">
        <v>36</v>
      </c>
      <c r="H744" t="s">
        <v>43</v>
      </c>
      <c r="I744" s="187"/>
      <c r="J744" s="187">
        <v>0</v>
      </c>
      <c r="K744" s="187">
        <v>0</v>
      </c>
      <c r="L744" s="187">
        <v>0</v>
      </c>
      <c r="M744" s="187">
        <v>0</v>
      </c>
      <c r="N744" s="187">
        <v>0</v>
      </c>
      <c r="O744" t="s">
        <v>1203</v>
      </c>
    </row>
    <row r="745" spans="1:15" hidden="1" x14ac:dyDescent="0.45">
      <c r="A745" s="187">
        <v>2015</v>
      </c>
      <c r="B745" t="s">
        <v>309</v>
      </c>
      <c r="C745" t="s">
        <v>323</v>
      </c>
      <c r="D745" t="s">
        <v>35</v>
      </c>
      <c r="E745" t="s">
        <v>349</v>
      </c>
      <c r="F745" t="s">
        <v>389</v>
      </c>
      <c r="G745" t="s">
        <v>36</v>
      </c>
      <c r="H745" t="s">
        <v>43</v>
      </c>
      <c r="I745" s="187"/>
      <c r="J745" s="187"/>
      <c r="K745" s="187">
        <v>0</v>
      </c>
      <c r="L745" s="187">
        <v>0</v>
      </c>
      <c r="M745" s="187">
        <v>0</v>
      </c>
      <c r="N745" s="187">
        <v>0</v>
      </c>
      <c r="O745" t="s">
        <v>1204</v>
      </c>
    </row>
    <row r="746" spans="1:15" hidden="1" x14ac:dyDescent="0.45">
      <c r="A746" s="187">
        <v>2015</v>
      </c>
      <c r="B746" t="s">
        <v>311</v>
      </c>
      <c r="C746" t="s">
        <v>323</v>
      </c>
      <c r="D746" t="s">
        <v>35</v>
      </c>
      <c r="E746" t="s">
        <v>349</v>
      </c>
      <c r="F746" t="s">
        <v>389</v>
      </c>
      <c r="G746" t="s">
        <v>36</v>
      </c>
      <c r="H746" t="s">
        <v>43</v>
      </c>
      <c r="I746" s="187"/>
      <c r="J746" s="187">
        <v>0</v>
      </c>
      <c r="K746" s="187">
        <v>0</v>
      </c>
      <c r="L746" s="187">
        <v>0</v>
      </c>
      <c r="M746" s="187">
        <v>0</v>
      </c>
      <c r="N746" s="187">
        <v>0</v>
      </c>
      <c r="O746" t="s">
        <v>1205</v>
      </c>
    </row>
    <row r="747" spans="1:15" hidden="1" x14ac:dyDescent="0.45">
      <c r="A747" s="187">
        <v>2015</v>
      </c>
      <c r="B747" t="s">
        <v>309</v>
      </c>
      <c r="C747" t="s">
        <v>323</v>
      </c>
      <c r="D747" t="s">
        <v>35</v>
      </c>
      <c r="E747" t="s">
        <v>349</v>
      </c>
      <c r="F747" t="s">
        <v>390</v>
      </c>
      <c r="G747" t="s">
        <v>36</v>
      </c>
      <c r="H747" t="s">
        <v>43</v>
      </c>
      <c r="I747" s="187"/>
      <c r="J747" s="187">
        <v>384.15867275796563</v>
      </c>
      <c r="K747" s="187">
        <v>3767.7355344546336</v>
      </c>
      <c r="L747" s="187">
        <v>5398.0916947886544</v>
      </c>
      <c r="M747" s="187">
        <v>9549.9853515625</v>
      </c>
      <c r="N747" s="187">
        <v>5398.091796875</v>
      </c>
      <c r="O747" t="s">
        <v>1208</v>
      </c>
    </row>
    <row r="748" spans="1:15" hidden="1" x14ac:dyDescent="0.45">
      <c r="A748" s="187">
        <v>2015</v>
      </c>
      <c r="B748" t="s">
        <v>311</v>
      </c>
      <c r="C748" t="s">
        <v>323</v>
      </c>
      <c r="D748" t="s">
        <v>35</v>
      </c>
      <c r="E748" t="s">
        <v>349</v>
      </c>
      <c r="F748" t="s">
        <v>390</v>
      </c>
      <c r="G748" t="s">
        <v>36</v>
      </c>
      <c r="H748" t="s">
        <v>43</v>
      </c>
      <c r="I748" s="187"/>
      <c r="J748" s="187">
        <v>348.15529548481607</v>
      </c>
      <c r="K748" s="187">
        <v>3801.219340150516</v>
      </c>
      <c r="L748" s="187">
        <v>7538.2635590137288</v>
      </c>
      <c r="M748" s="187">
        <v>11687.6376953125</v>
      </c>
      <c r="N748" s="187">
        <v>7538.263671875</v>
      </c>
      <c r="O748" t="s">
        <v>1207</v>
      </c>
    </row>
    <row r="749" spans="1:15" hidden="1" x14ac:dyDescent="0.45">
      <c r="A749" s="187">
        <v>2015</v>
      </c>
      <c r="B749" t="s">
        <v>310</v>
      </c>
      <c r="C749" t="s">
        <v>323</v>
      </c>
      <c r="D749" t="s">
        <v>35</v>
      </c>
      <c r="E749" t="s">
        <v>349</v>
      </c>
      <c r="F749" t="s">
        <v>390</v>
      </c>
      <c r="G749" t="s">
        <v>36</v>
      </c>
      <c r="H749" t="s">
        <v>43</v>
      </c>
      <c r="I749" s="187"/>
      <c r="J749" s="187">
        <v>519.16516713699423</v>
      </c>
      <c r="K749" s="187">
        <v>3248.2703468737113</v>
      </c>
      <c r="L749" s="187">
        <v>6454.9099873758278</v>
      </c>
      <c r="M749" s="187">
        <v>10222.345703125</v>
      </c>
      <c r="N749" s="187">
        <v>6454.91015625</v>
      </c>
      <c r="O749" t="s">
        <v>1206</v>
      </c>
    </row>
    <row r="750" spans="1:15" hidden="1" x14ac:dyDescent="0.45">
      <c r="A750" s="187">
        <v>2015</v>
      </c>
      <c r="B750" t="s">
        <v>310</v>
      </c>
      <c r="C750" t="s">
        <v>323</v>
      </c>
      <c r="D750" t="s">
        <v>35</v>
      </c>
      <c r="E750" t="s">
        <v>349</v>
      </c>
      <c r="F750" t="s">
        <v>391</v>
      </c>
      <c r="G750" t="s">
        <v>36</v>
      </c>
      <c r="H750" t="s">
        <v>43</v>
      </c>
      <c r="I750" s="187"/>
      <c r="J750" s="187">
        <v>0</v>
      </c>
      <c r="K750" s="187">
        <v>1485.3853380415794</v>
      </c>
      <c r="L750" s="187">
        <v>1409.7230482964226</v>
      </c>
      <c r="M750" s="187">
        <v>2895.1083984375</v>
      </c>
      <c r="N750" s="187">
        <v>1409.7230224609375</v>
      </c>
      <c r="O750" t="s">
        <v>1210</v>
      </c>
    </row>
    <row r="751" spans="1:15" hidden="1" x14ac:dyDescent="0.45">
      <c r="A751" s="187">
        <v>2015</v>
      </c>
      <c r="B751" t="s">
        <v>311</v>
      </c>
      <c r="C751" t="s">
        <v>323</v>
      </c>
      <c r="D751" t="s">
        <v>35</v>
      </c>
      <c r="E751" t="s">
        <v>349</v>
      </c>
      <c r="F751" t="s">
        <v>391</v>
      </c>
      <c r="G751" t="s">
        <v>36</v>
      </c>
      <c r="H751" t="s">
        <v>43</v>
      </c>
      <c r="I751" s="187"/>
      <c r="J751" s="187">
        <v>0</v>
      </c>
      <c r="K751" s="187">
        <v>133.11013638679086</v>
      </c>
      <c r="L751" s="187">
        <v>2906.3953055307538</v>
      </c>
      <c r="M751" s="187">
        <v>3039.50537109375</v>
      </c>
      <c r="N751" s="187">
        <v>2906.395263671875</v>
      </c>
      <c r="O751" t="s">
        <v>1211</v>
      </c>
    </row>
    <row r="752" spans="1:15" hidden="1" x14ac:dyDescent="0.45">
      <c r="A752" s="187">
        <v>2015</v>
      </c>
      <c r="B752" t="s">
        <v>309</v>
      </c>
      <c r="C752" t="s">
        <v>323</v>
      </c>
      <c r="D752" t="s">
        <v>35</v>
      </c>
      <c r="E752" t="s">
        <v>349</v>
      </c>
      <c r="F752" t="s">
        <v>391</v>
      </c>
      <c r="G752" t="s">
        <v>36</v>
      </c>
      <c r="H752" t="s">
        <v>43</v>
      </c>
      <c r="I752" s="187"/>
      <c r="J752" s="187">
        <v>0</v>
      </c>
      <c r="K752" s="187">
        <v>88.589487936085575</v>
      </c>
      <c r="L752" s="187">
        <v>944.50046095320511</v>
      </c>
      <c r="M752" s="187">
        <v>1033.0899658203125</v>
      </c>
      <c r="N752" s="187">
        <v>944.50048828125</v>
      </c>
      <c r="O752" t="s">
        <v>1209</v>
      </c>
    </row>
    <row r="753" spans="1:15" hidden="1" x14ac:dyDescent="0.45">
      <c r="A753" s="187">
        <v>2015</v>
      </c>
      <c r="B753" t="s">
        <v>309</v>
      </c>
      <c r="C753" t="s">
        <v>323</v>
      </c>
      <c r="D753" t="s">
        <v>35</v>
      </c>
      <c r="E753" t="s">
        <v>349</v>
      </c>
      <c r="F753" t="s">
        <v>392</v>
      </c>
      <c r="G753" t="s">
        <v>36</v>
      </c>
      <c r="H753" t="s">
        <v>43</v>
      </c>
      <c r="I753" s="187"/>
      <c r="J753" s="187">
        <v>0</v>
      </c>
      <c r="K753" s="187">
        <v>0.96960806380018882</v>
      </c>
      <c r="L753" s="187">
        <v>0</v>
      </c>
      <c r="M753" s="187">
        <v>0.96960806846618652</v>
      </c>
      <c r="N753" s="187">
        <v>0</v>
      </c>
      <c r="O753" t="s">
        <v>1213</v>
      </c>
    </row>
    <row r="754" spans="1:15" hidden="1" x14ac:dyDescent="0.45">
      <c r="A754" s="187">
        <v>2015</v>
      </c>
      <c r="B754" t="s">
        <v>310</v>
      </c>
      <c r="C754" t="s">
        <v>323</v>
      </c>
      <c r="D754" t="s">
        <v>35</v>
      </c>
      <c r="E754" t="s">
        <v>349</v>
      </c>
      <c r="F754" t="s">
        <v>392</v>
      </c>
      <c r="G754" t="s">
        <v>36</v>
      </c>
      <c r="H754" t="s">
        <v>43</v>
      </c>
      <c r="I754" s="187"/>
      <c r="J754" s="187">
        <v>0</v>
      </c>
      <c r="K754" s="187">
        <v>687.51215790140861</v>
      </c>
      <c r="L754" s="187">
        <v>0</v>
      </c>
      <c r="M754" s="187">
        <v>687.51214599609375</v>
      </c>
      <c r="N754" s="187">
        <v>0</v>
      </c>
      <c r="O754" t="s">
        <v>1212</v>
      </c>
    </row>
    <row r="755" spans="1:15" hidden="1" x14ac:dyDescent="0.45">
      <c r="A755" s="187">
        <v>2015</v>
      </c>
      <c r="B755" t="s">
        <v>311</v>
      </c>
      <c r="C755" t="s">
        <v>323</v>
      </c>
      <c r="D755" t="s">
        <v>35</v>
      </c>
      <c r="E755" t="s">
        <v>349</v>
      </c>
      <c r="F755" t="s">
        <v>392</v>
      </c>
      <c r="G755" t="s">
        <v>36</v>
      </c>
      <c r="H755" t="s">
        <v>43</v>
      </c>
      <c r="I755" s="187"/>
      <c r="J755" s="187">
        <v>0</v>
      </c>
      <c r="K755" s="187">
        <v>12.140109024762278</v>
      </c>
      <c r="L755" s="187">
        <v>762.62588534769236</v>
      </c>
      <c r="M755" s="187">
        <v>774.7659912109375</v>
      </c>
      <c r="N755" s="187">
        <v>762.62591552734375</v>
      </c>
      <c r="O755" t="s">
        <v>1214</v>
      </c>
    </row>
    <row r="756" spans="1:15" hidden="1" x14ac:dyDescent="0.45">
      <c r="A756" s="187">
        <v>2015</v>
      </c>
      <c r="B756" t="s">
        <v>309</v>
      </c>
      <c r="C756" t="s">
        <v>323</v>
      </c>
      <c r="D756" t="s">
        <v>35</v>
      </c>
      <c r="E756" t="s">
        <v>349</v>
      </c>
      <c r="F756" t="s">
        <v>393</v>
      </c>
      <c r="G756" t="s">
        <v>36</v>
      </c>
      <c r="H756" t="s">
        <v>43</v>
      </c>
      <c r="I756" s="187"/>
      <c r="J756" s="187">
        <v>0</v>
      </c>
      <c r="K756" s="187">
        <v>61.70657799668065</v>
      </c>
      <c r="L756" s="187">
        <v>13.246850784757434</v>
      </c>
      <c r="M756" s="187">
        <v>74.95343017578125</v>
      </c>
      <c r="N756" s="187">
        <v>13.246850967407227</v>
      </c>
      <c r="O756" t="s">
        <v>1216</v>
      </c>
    </row>
    <row r="757" spans="1:15" hidden="1" x14ac:dyDescent="0.45">
      <c r="A757" s="187">
        <v>2015</v>
      </c>
      <c r="B757" t="s">
        <v>311</v>
      </c>
      <c r="C757" t="s">
        <v>323</v>
      </c>
      <c r="D757" t="s">
        <v>35</v>
      </c>
      <c r="E757" t="s">
        <v>349</v>
      </c>
      <c r="F757" t="s">
        <v>393</v>
      </c>
      <c r="G757" t="s">
        <v>36</v>
      </c>
      <c r="H757" t="s">
        <v>43</v>
      </c>
      <c r="I757" s="187"/>
      <c r="J757" s="187">
        <v>0</v>
      </c>
      <c r="K757" s="187">
        <v>84.328358580115022</v>
      </c>
      <c r="L757" s="187">
        <v>0</v>
      </c>
      <c r="M757" s="187">
        <v>84.328361511230469</v>
      </c>
      <c r="N757" s="187">
        <v>0</v>
      </c>
      <c r="O757" t="s">
        <v>1215</v>
      </c>
    </row>
    <row r="758" spans="1:15" hidden="1" x14ac:dyDescent="0.45">
      <c r="A758" s="187">
        <v>2015</v>
      </c>
      <c r="B758" t="s">
        <v>310</v>
      </c>
      <c r="C758" t="s">
        <v>323</v>
      </c>
      <c r="D758" t="s">
        <v>35</v>
      </c>
      <c r="E758" t="s">
        <v>349</v>
      </c>
      <c r="F758" t="s">
        <v>393</v>
      </c>
      <c r="G758" t="s">
        <v>36</v>
      </c>
      <c r="H758" t="s">
        <v>43</v>
      </c>
      <c r="I758" s="187"/>
      <c r="J758" s="187">
        <v>0</v>
      </c>
      <c r="K758" s="187">
        <v>30.553887049352149</v>
      </c>
      <c r="L758" s="187">
        <v>13.077208240226556</v>
      </c>
      <c r="M758" s="187">
        <v>43.631095886230469</v>
      </c>
      <c r="N758" s="187">
        <v>13.077208518981934</v>
      </c>
      <c r="O758" t="s">
        <v>1217</v>
      </c>
    </row>
    <row r="759" spans="1:15" hidden="1" x14ac:dyDescent="0.45">
      <c r="A759" s="187">
        <v>2015</v>
      </c>
      <c r="B759" t="s">
        <v>310</v>
      </c>
      <c r="C759" t="s">
        <v>323</v>
      </c>
      <c r="D759" t="s">
        <v>35</v>
      </c>
      <c r="E759" t="s">
        <v>349</v>
      </c>
      <c r="F759" t="s">
        <v>394</v>
      </c>
      <c r="G759" t="s">
        <v>36</v>
      </c>
      <c r="H759" t="s">
        <v>43</v>
      </c>
      <c r="I759" s="187"/>
      <c r="J759" s="187">
        <v>0</v>
      </c>
      <c r="K759" s="187">
        <v>12.806607790679434</v>
      </c>
      <c r="L759" s="187">
        <v>0</v>
      </c>
      <c r="M759" s="187">
        <v>12.806608200073242</v>
      </c>
      <c r="N759" s="187">
        <v>0</v>
      </c>
      <c r="O759" t="s">
        <v>1218</v>
      </c>
    </row>
    <row r="760" spans="1:15" hidden="1" x14ac:dyDescent="0.45">
      <c r="A760" s="187">
        <v>2015</v>
      </c>
      <c r="B760" t="s">
        <v>309</v>
      </c>
      <c r="C760" t="s">
        <v>323</v>
      </c>
      <c r="D760" t="s">
        <v>35</v>
      </c>
      <c r="E760" t="s">
        <v>349</v>
      </c>
      <c r="F760" t="s">
        <v>394</v>
      </c>
      <c r="G760" t="s">
        <v>36</v>
      </c>
      <c r="H760" t="s">
        <v>43</v>
      </c>
      <c r="I760" s="187"/>
      <c r="J760" s="187">
        <v>0</v>
      </c>
      <c r="K760" s="187">
        <v>25.8642031775533</v>
      </c>
      <c r="L760" s="187">
        <v>0</v>
      </c>
      <c r="M760" s="187">
        <v>25.864202499389648</v>
      </c>
      <c r="N760" s="187">
        <v>0</v>
      </c>
      <c r="O760" t="s">
        <v>1220</v>
      </c>
    </row>
    <row r="761" spans="1:15" hidden="1" x14ac:dyDescent="0.45">
      <c r="A761" s="187">
        <v>2015</v>
      </c>
      <c r="B761" t="s">
        <v>311</v>
      </c>
      <c r="C761" t="s">
        <v>323</v>
      </c>
      <c r="D761" t="s">
        <v>35</v>
      </c>
      <c r="E761" t="s">
        <v>349</v>
      </c>
      <c r="F761" t="s">
        <v>394</v>
      </c>
      <c r="G761" t="s">
        <v>36</v>
      </c>
      <c r="H761" t="s">
        <v>43</v>
      </c>
      <c r="I761" s="187"/>
      <c r="J761" s="187">
        <v>0</v>
      </c>
      <c r="K761" s="187">
        <v>36.510302082677264</v>
      </c>
      <c r="L761" s="187">
        <v>0</v>
      </c>
      <c r="M761" s="187">
        <v>36.510303497314453</v>
      </c>
      <c r="N761" s="187">
        <v>0</v>
      </c>
      <c r="O761" t="s">
        <v>1219</v>
      </c>
    </row>
    <row r="762" spans="1:15" hidden="1" x14ac:dyDescent="0.45">
      <c r="A762" s="187">
        <v>2015</v>
      </c>
      <c r="B762" t="s">
        <v>309</v>
      </c>
      <c r="C762" t="s">
        <v>323</v>
      </c>
      <c r="D762" t="s">
        <v>35</v>
      </c>
      <c r="E762" t="s">
        <v>349</v>
      </c>
      <c r="F762" t="s">
        <v>395</v>
      </c>
      <c r="G762" t="s">
        <v>36</v>
      </c>
      <c r="H762" t="s">
        <v>43</v>
      </c>
      <c r="I762" s="187"/>
      <c r="J762" s="187">
        <v>0</v>
      </c>
      <c r="K762" s="187">
        <v>4.909869805143903E-2</v>
      </c>
      <c r="L762" s="187">
        <v>127.16976753367138</v>
      </c>
      <c r="M762" s="187">
        <v>127.21886444091797</v>
      </c>
      <c r="N762" s="187">
        <v>127.16976928710938</v>
      </c>
      <c r="O762" t="s">
        <v>1222</v>
      </c>
    </row>
    <row r="763" spans="1:15" hidden="1" x14ac:dyDescent="0.45">
      <c r="A763" s="187">
        <v>2015</v>
      </c>
      <c r="B763" t="s">
        <v>311</v>
      </c>
      <c r="C763" t="s">
        <v>323</v>
      </c>
      <c r="D763" t="s">
        <v>35</v>
      </c>
      <c r="E763" t="s">
        <v>349</v>
      </c>
      <c r="F763" t="s">
        <v>395</v>
      </c>
      <c r="G763" t="s">
        <v>36</v>
      </c>
      <c r="H763" t="s">
        <v>43</v>
      </c>
      <c r="I763" s="187"/>
      <c r="J763" s="187">
        <v>0</v>
      </c>
      <c r="K763" s="187">
        <v>0.13136669923625829</v>
      </c>
      <c r="L763" s="187">
        <v>479.51059011828147</v>
      </c>
      <c r="M763" s="187">
        <v>479.6419677734375</v>
      </c>
      <c r="N763" s="187">
        <v>479.51058959960938</v>
      </c>
      <c r="O763" t="s">
        <v>1223</v>
      </c>
    </row>
    <row r="764" spans="1:15" hidden="1" x14ac:dyDescent="0.45">
      <c r="A764" s="187">
        <v>2015</v>
      </c>
      <c r="B764" t="s">
        <v>310</v>
      </c>
      <c r="C764" t="s">
        <v>323</v>
      </c>
      <c r="D764" t="s">
        <v>35</v>
      </c>
      <c r="E764" t="s">
        <v>349</v>
      </c>
      <c r="F764" t="s">
        <v>395</v>
      </c>
      <c r="G764" t="s">
        <v>36</v>
      </c>
      <c r="H764" t="s">
        <v>43</v>
      </c>
      <c r="I764" s="187"/>
      <c r="J764" s="187">
        <v>0</v>
      </c>
      <c r="K764" s="187">
        <v>339.15502932630949</v>
      </c>
      <c r="L764" s="187">
        <v>444.62508016770289</v>
      </c>
      <c r="M764" s="187">
        <v>783.78009033203125</v>
      </c>
      <c r="N764" s="187">
        <v>444.62509155273438</v>
      </c>
      <c r="O764" t="s">
        <v>1221</v>
      </c>
    </row>
    <row r="765" spans="1:15" hidden="1" x14ac:dyDescent="0.45">
      <c r="A765" s="187">
        <v>2015</v>
      </c>
      <c r="B765" t="s">
        <v>309</v>
      </c>
      <c r="C765" t="s">
        <v>323</v>
      </c>
      <c r="D765" t="s">
        <v>35</v>
      </c>
      <c r="E765" t="s">
        <v>349</v>
      </c>
      <c r="F765" t="s">
        <v>396</v>
      </c>
      <c r="G765" t="s">
        <v>36</v>
      </c>
      <c r="H765" t="s">
        <v>43</v>
      </c>
      <c r="I765" s="187"/>
      <c r="J765" s="187">
        <v>0</v>
      </c>
      <c r="K765" s="187">
        <v>0</v>
      </c>
      <c r="L765" s="187">
        <v>804.08384263477626</v>
      </c>
      <c r="M765" s="187">
        <v>804.0838623046875</v>
      </c>
      <c r="N765" s="187">
        <v>804.0838623046875</v>
      </c>
      <c r="O765" t="s">
        <v>1225</v>
      </c>
    </row>
    <row r="766" spans="1:15" hidden="1" x14ac:dyDescent="0.45">
      <c r="A766" s="187">
        <v>2015</v>
      </c>
      <c r="B766" t="s">
        <v>310</v>
      </c>
      <c r="C766" t="s">
        <v>323</v>
      </c>
      <c r="D766" t="s">
        <v>35</v>
      </c>
      <c r="E766" t="s">
        <v>349</v>
      </c>
      <c r="F766" t="s">
        <v>396</v>
      </c>
      <c r="G766" t="s">
        <v>36</v>
      </c>
      <c r="H766" t="s">
        <v>43</v>
      </c>
      <c r="I766" s="187"/>
      <c r="J766" s="187">
        <v>0</v>
      </c>
      <c r="K766" s="187">
        <v>415.35765597382954</v>
      </c>
      <c r="L766" s="187">
        <v>952.02075988849322</v>
      </c>
      <c r="M766" s="187">
        <v>1367.37841796875</v>
      </c>
      <c r="N766" s="187">
        <v>952.020751953125</v>
      </c>
      <c r="O766" t="s">
        <v>1224</v>
      </c>
    </row>
    <row r="767" spans="1:15" hidden="1" x14ac:dyDescent="0.45">
      <c r="A767" s="187">
        <v>2015</v>
      </c>
      <c r="B767" t="s">
        <v>311</v>
      </c>
      <c r="C767" t="s">
        <v>323</v>
      </c>
      <c r="D767" t="s">
        <v>35</v>
      </c>
      <c r="E767" t="s">
        <v>349</v>
      </c>
      <c r="F767" t="s">
        <v>396</v>
      </c>
      <c r="G767" t="s">
        <v>36</v>
      </c>
      <c r="H767" t="s">
        <v>43</v>
      </c>
      <c r="I767" s="187"/>
      <c r="J767" s="187">
        <v>0</v>
      </c>
      <c r="K767" s="187">
        <v>0</v>
      </c>
      <c r="L767" s="187">
        <v>1664.2588300647801</v>
      </c>
      <c r="M767" s="187">
        <v>1664.2587890625</v>
      </c>
      <c r="N767" s="187">
        <v>1664.2587890625</v>
      </c>
      <c r="O767" t="s">
        <v>1226</v>
      </c>
    </row>
    <row r="768" spans="1:15" hidden="1" x14ac:dyDescent="0.45">
      <c r="A768" s="187">
        <v>2015</v>
      </c>
      <c r="B768" t="s">
        <v>311</v>
      </c>
      <c r="C768" t="s">
        <v>323</v>
      </c>
      <c r="D768" t="s">
        <v>35</v>
      </c>
      <c r="E768" t="s">
        <v>349</v>
      </c>
      <c r="F768" t="s">
        <v>397</v>
      </c>
      <c r="G768" t="s">
        <v>36</v>
      </c>
      <c r="H768" t="s">
        <v>43</v>
      </c>
      <c r="I768" s="187"/>
      <c r="J768" s="187">
        <v>0</v>
      </c>
      <c r="K768" s="187">
        <v>0.20090856435463245</v>
      </c>
      <c r="L768" s="187">
        <v>0</v>
      </c>
      <c r="M768" s="187">
        <v>0.20090857148170471</v>
      </c>
      <c r="N768" s="187">
        <v>0</v>
      </c>
      <c r="O768" t="s">
        <v>1227</v>
      </c>
    </row>
    <row r="769" spans="1:15" hidden="1" x14ac:dyDescent="0.45">
      <c r="A769" s="187">
        <v>2015</v>
      </c>
      <c r="B769" t="s">
        <v>310</v>
      </c>
      <c r="C769" t="s">
        <v>323</v>
      </c>
      <c r="D769" t="s">
        <v>35</v>
      </c>
      <c r="E769" t="s">
        <v>349</v>
      </c>
      <c r="F769" t="s">
        <v>397</v>
      </c>
      <c r="G769" t="s">
        <v>36</v>
      </c>
      <c r="H769" t="s">
        <v>43</v>
      </c>
      <c r="I769" s="187"/>
      <c r="J769" s="187">
        <v>0</v>
      </c>
      <c r="K769" s="187">
        <v>0.12089684078219357</v>
      </c>
      <c r="L769" s="187">
        <v>0</v>
      </c>
      <c r="M769" s="187">
        <v>0.1208968386054039</v>
      </c>
      <c r="N769" s="187">
        <v>0</v>
      </c>
      <c r="O769" t="s">
        <v>1229</v>
      </c>
    </row>
    <row r="770" spans="1:15" hidden="1" x14ac:dyDescent="0.45">
      <c r="A770" s="187">
        <v>2015</v>
      </c>
      <c r="B770" t="s">
        <v>309</v>
      </c>
      <c r="C770" t="s">
        <v>323</v>
      </c>
      <c r="D770" t="s">
        <v>35</v>
      </c>
      <c r="E770" t="s">
        <v>349</v>
      </c>
      <c r="F770" t="s">
        <v>397</v>
      </c>
      <c r="G770" t="s">
        <v>36</v>
      </c>
      <c r="H770" t="s">
        <v>43</v>
      </c>
      <c r="I770" s="187"/>
      <c r="J770" s="187"/>
      <c r="K770" s="187">
        <v>0.24416305274771533</v>
      </c>
      <c r="L770" s="187">
        <v>0</v>
      </c>
      <c r="M770" s="187">
        <v>0.24416305124759674</v>
      </c>
      <c r="N770" s="187">
        <v>0</v>
      </c>
      <c r="O770" t="s">
        <v>1228</v>
      </c>
    </row>
    <row r="771" spans="1:15" hidden="1" x14ac:dyDescent="0.45">
      <c r="A771" s="187">
        <v>2015</v>
      </c>
      <c r="B771" t="s">
        <v>311</v>
      </c>
      <c r="C771" t="s">
        <v>323</v>
      </c>
      <c r="D771" t="s">
        <v>35</v>
      </c>
      <c r="E771" t="s">
        <v>349</v>
      </c>
      <c r="F771" t="s">
        <v>398</v>
      </c>
      <c r="G771" t="s">
        <v>36</v>
      </c>
      <c r="H771" t="s">
        <v>43</v>
      </c>
      <c r="I771" s="187"/>
      <c r="J771" s="187">
        <v>344.32941311685107</v>
      </c>
      <c r="K771" s="187">
        <v>389.05132623951056</v>
      </c>
      <c r="L771" s="187">
        <v>1757.3553010185956</v>
      </c>
      <c r="M771" s="187">
        <v>2490.736083984375</v>
      </c>
      <c r="N771" s="187">
        <v>1757.3553466796875</v>
      </c>
      <c r="O771" t="s">
        <v>1231</v>
      </c>
    </row>
    <row r="772" spans="1:15" hidden="1" x14ac:dyDescent="0.45">
      <c r="A772" s="187">
        <v>2015</v>
      </c>
      <c r="B772" t="s">
        <v>310</v>
      </c>
      <c r="C772" t="s">
        <v>323</v>
      </c>
      <c r="D772" t="s">
        <v>35</v>
      </c>
      <c r="E772" t="s">
        <v>349</v>
      </c>
      <c r="F772" t="s">
        <v>398</v>
      </c>
      <c r="G772" t="s">
        <v>36</v>
      </c>
      <c r="H772" t="s">
        <v>43</v>
      </c>
      <c r="I772" s="187"/>
      <c r="J772" s="187">
        <v>506.0879588967677</v>
      </c>
      <c r="K772" s="187">
        <v>11.045895365193745</v>
      </c>
      <c r="L772" s="187">
        <v>2050.5062520675237</v>
      </c>
      <c r="M772" s="187">
        <v>2567.64013671875</v>
      </c>
      <c r="N772" s="187">
        <v>2050.50634765625</v>
      </c>
      <c r="O772" t="s">
        <v>1230</v>
      </c>
    </row>
    <row r="773" spans="1:15" hidden="1" x14ac:dyDescent="0.45">
      <c r="A773" s="187">
        <v>2015</v>
      </c>
      <c r="B773" t="s">
        <v>309</v>
      </c>
      <c r="C773" t="s">
        <v>323</v>
      </c>
      <c r="D773" t="s">
        <v>35</v>
      </c>
      <c r="E773" t="s">
        <v>349</v>
      </c>
      <c r="F773" t="s">
        <v>398</v>
      </c>
      <c r="G773" t="s">
        <v>36</v>
      </c>
      <c r="H773" t="s">
        <v>43</v>
      </c>
      <c r="I773" s="187"/>
      <c r="J773" s="187">
        <v>384.15867275796563</v>
      </c>
      <c r="K773" s="187">
        <v>22.308271376225882</v>
      </c>
      <c r="L773" s="187">
        <v>2063.8593522652086</v>
      </c>
      <c r="M773" s="187">
        <v>2470.326171875</v>
      </c>
      <c r="N773" s="187">
        <v>2063.859375</v>
      </c>
      <c r="O773" t="s">
        <v>1232</v>
      </c>
    </row>
    <row r="774" spans="1:15" hidden="1" x14ac:dyDescent="0.45">
      <c r="A774" s="187">
        <v>2015</v>
      </c>
      <c r="B774" t="s">
        <v>310</v>
      </c>
      <c r="C774" t="s">
        <v>323</v>
      </c>
      <c r="D774" t="s">
        <v>35</v>
      </c>
      <c r="E774" t="s">
        <v>349</v>
      </c>
      <c r="F774" t="s">
        <v>399</v>
      </c>
      <c r="G774" t="s">
        <v>36</v>
      </c>
      <c r="H774" t="s">
        <v>43</v>
      </c>
      <c r="I774" s="187"/>
      <c r="J774" s="187">
        <v>340.00741424589046</v>
      </c>
      <c r="K774" s="187">
        <v>7.6939648233124069</v>
      </c>
      <c r="L774" s="187">
        <v>1397.9535608802187</v>
      </c>
      <c r="M774" s="187">
        <v>1745.6549072265625</v>
      </c>
      <c r="N774" s="187">
        <v>1397.95361328125</v>
      </c>
      <c r="O774" t="s">
        <v>1233</v>
      </c>
    </row>
    <row r="775" spans="1:15" hidden="1" x14ac:dyDescent="0.45">
      <c r="A775" s="187">
        <v>2015</v>
      </c>
      <c r="B775" t="s">
        <v>309</v>
      </c>
      <c r="C775" t="s">
        <v>323</v>
      </c>
      <c r="D775" t="s">
        <v>35</v>
      </c>
      <c r="E775" t="s">
        <v>349</v>
      </c>
      <c r="F775" t="s">
        <v>399</v>
      </c>
      <c r="G775" t="s">
        <v>36</v>
      </c>
      <c r="H775" t="s">
        <v>43</v>
      </c>
      <c r="I775" s="187"/>
      <c r="J775" s="187">
        <v>198.70276177136154</v>
      </c>
      <c r="K775" s="187">
        <v>15.538718190146312</v>
      </c>
      <c r="L775" s="187">
        <v>1406.8155533412396</v>
      </c>
      <c r="M775" s="187">
        <v>1621.0570068359375</v>
      </c>
      <c r="N775" s="187">
        <v>1406.8155517578125</v>
      </c>
      <c r="O775" t="s">
        <v>1235</v>
      </c>
    </row>
    <row r="776" spans="1:15" hidden="1" x14ac:dyDescent="0.45">
      <c r="A776" s="187">
        <v>2015</v>
      </c>
      <c r="B776" t="s">
        <v>311</v>
      </c>
      <c r="C776" t="s">
        <v>323</v>
      </c>
      <c r="D776" t="s">
        <v>35</v>
      </c>
      <c r="E776" t="s">
        <v>349</v>
      </c>
      <c r="F776" t="s">
        <v>399</v>
      </c>
      <c r="G776" t="s">
        <v>36</v>
      </c>
      <c r="H776" t="s">
        <v>43</v>
      </c>
      <c r="I776" s="187"/>
      <c r="J776" s="187">
        <v>191.29411839825059</v>
      </c>
      <c r="K776" s="187">
        <v>20.234187345923125</v>
      </c>
      <c r="L776" s="187">
        <v>1757.3553010185956</v>
      </c>
      <c r="M776" s="187">
        <v>1968.8836669921875</v>
      </c>
      <c r="N776" s="187">
        <v>1757.3553466796875</v>
      </c>
      <c r="O776" t="s">
        <v>1234</v>
      </c>
    </row>
    <row r="777" spans="1:15" hidden="1" x14ac:dyDescent="0.45">
      <c r="A777" s="187">
        <v>2015</v>
      </c>
      <c r="B777" t="s">
        <v>310</v>
      </c>
      <c r="C777" t="s">
        <v>323</v>
      </c>
      <c r="D777" t="s">
        <v>35</v>
      </c>
      <c r="E777" t="s">
        <v>349</v>
      </c>
      <c r="F777" t="s">
        <v>400</v>
      </c>
      <c r="G777" t="s">
        <v>36</v>
      </c>
      <c r="H777" t="s">
        <v>43</v>
      </c>
      <c r="I777" s="187"/>
      <c r="J777" s="187">
        <v>166.08054465087724</v>
      </c>
      <c r="K777" s="187">
        <v>3.2249117661621849</v>
      </c>
      <c r="L777" s="187">
        <v>652.55269118730507</v>
      </c>
      <c r="M777" s="187">
        <v>821.858154296875</v>
      </c>
      <c r="N777" s="187">
        <v>652.55267333984375</v>
      </c>
      <c r="O777" t="s">
        <v>1238</v>
      </c>
    </row>
    <row r="778" spans="1:15" hidden="1" x14ac:dyDescent="0.45">
      <c r="A778" s="187">
        <v>2015</v>
      </c>
      <c r="B778" t="s">
        <v>309</v>
      </c>
      <c r="C778" t="s">
        <v>323</v>
      </c>
      <c r="D778" t="s">
        <v>35</v>
      </c>
      <c r="E778" t="s">
        <v>349</v>
      </c>
      <c r="F778" t="s">
        <v>400</v>
      </c>
      <c r="G778" t="s">
        <v>36</v>
      </c>
      <c r="H778" t="s">
        <v>43</v>
      </c>
      <c r="I778" s="187"/>
      <c r="J778" s="187">
        <v>172.20906020184665</v>
      </c>
      <c r="K778" s="187">
        <v>6.5130262840098947</v>
      </c>
      <c r="L778" s="187">
        <v>657.04379892396878</v>
      </c>
      <c r="M778" s="187">
        <v>835.765869140625</v>
      </c>
      <c r="N778" s="187">
        <v>657.0438232421875</v>
      </c>
      <c r="O778" t="s">
        <v>1236</v>
      </c>
    </row>
    <row r="779" spans="1:15" hidden="1" x14ac:dyDescent="0.45">
      <c r="A779" s="187">
        <v>2015</v>
      </c>
      <c r="B779" t="s">
        <v>311</v>
      </c>
      <c r="C779" t="s">
        <v>323</v>
      </c>
      <c r="D779" t="s">
        <v>35</v>
      </c>
      <c r="E779" t="s">
        <v>349</v>
      </c>
      <c r="F779" t="s">
        <v>400</v>
      </c>
      <c r="G779" t="s">
        <v>36</v>
      </c>
      <c r="H779" t="s">
        <v>43</v>
      </c>
      <c r="I779" s="187"/>
      <c r="J779" s="187">
        <v>153.03529471860048</v>
      </c>
      <c r="K779" s="187">
        <v>368.58470951644659</v>
      </c>
      <c r="L779" s="187">
        <v>0</v>
      </c>
      <c r="M779" s="187">
        <v>521.6199951171875</v>
      </c>
      <c r="N779" s="187">
        <v>0</v>
      </c>
      <c r="O779" t="s">
        <v>1237</v>
      </c>
    </row>
    <row r="780" spans="1:15" hidden="1" x14ac:dyDescent="0.45">
      <c r="A780" s="187">
        <v>2015</v>
      </c>
      <c r="B780" t="s">
        <v>311</v>
      </c>
      <c r="C780" t="s">
        <v>323</v>
      </c>
      <c r="D780" t="s">
        <v>35</v>
      </c>
      <c r="E780" t="s">
        <v>349</v>
      </c>
      <c r="F780" t="s">
        <v>401</v>
      </c>
      <c r="G780" t="s">
        <v>36</v>
      </c>
      <c r="H780" t="s">
        <v>43</v>
      </c>
      <c r="I780" s="187"/>
      <c r="J780" s="187">
        <v>0</v>
      </c>
      <c r="K780" s="187">
        <v>3.1520812786088939E-2</v>
      </c>
      <c r="L780" s="187">
        <v>0</v>
      </c>
      <c r="M780" s="187">
        <v>3.1520813703536987E-2</v>
      </c>
      <c r="N780" s="187">
        <v>0</v>
      </c>
      <c r="O780" t="s">
        <v>1239</v>
      </c>
    </row>
    <row r="781" spans="1:15" hidden="1" x14ac:dyDescent="0.45">
      <c r="A781" s="187">
        <v>2015</v>
      </c>
      <c r="B781" t="s">
        <v>309</v>
      </c>
      <c r="C781" t="s">
        <v>323</v>
      </c>
      <c r="D781" t="s">
        <v>35</v>
      </c>
      <c r="E781" t="s">
        <v>349</v>
      </c>
      <c r="F781" t="s">
        <v>401</v>
      </c>
      <c r="G781" t="s">
        <v>36</v>
      </c>
      <c r="H781" t="s">
        <v>43</v>
      </c>
      <c r="I781" s="187"/>
      <c r="J781" s="187">
        <v>13.246850784757434</v>
      </c>
      <c r="K781" s="187">
        <v>1.2363849321954603E-2</v>
      </c>
      <c r="L781" s="187">
        <v>0</v>
      </c>
      <c r="M781" s="187">
        <v>13.259214401245117</v>
      </c>
      <c r="N781" s="187">
        <v>0</v>
      </c>
      <c r="O781" t="s">
        <v>1241</v>
      </c>
    </row>
    <row r="782" spans="1:15" hidden="1" x14ac:dyDescent="0.45">
      <c r="A782" s="187">
        <v>2015</v>
      </c>
      <c r="B782" t="s">
        <v>310</v>
      </c>
      <c r="C782" t="s">
        <v>323</v>
      </c>
      <c r="D782" t="s">
        <v>35</v>
      </c>
      <c r="E782" t="s">
        <v>349</v>
      </c>
      <c r="F782" t="s">
        <v>401</v>
      </c>
      <c r="G782" t="s">
        <v>36</v>
      </c>
      <c r="H782" t="s">
        <v>43</v>
      </c>
      <c r="I782" s="187"/>
      <c r="J782" s="187">
        <v>0</v>
      </c>
      <c r="K782" s="187">
        <v>6.1219349369613244E-3</v>
      </c>
      <c r="L782" s="187">
        <v>0</v>
      </c>
      <c r="M782" s="187">
        <v>6.1219348572194576E-3</v>
      </c>
      <c r="N782" s="187">
        <v>0</v>
      </c>
      <c r="O782" t="s">
        <v>1240</v>
      </c>
    </row>
    <row r="783" spans="1:15" hidden="1" x14ac:dyDescent="0.45">
      <c r="A783" s="187">
        <v>2015</v>
      </c>
      <c r="B783" t="s">
        <v>309</v>
      </c>
      <c r="C783" t="s">
        <v>323</v>
      </c>
      <c r="D783" t="s">
        <v>35</v>
      </c>
      <c r="E783" t="s">
        <v>349</v>
      </c>
      <c r="F783" t="s">
        <v>402</v>
      </c>
      <c r="G783" t="s">
        <v>36</v>
      </c>
      <c r="H783" t="s">
        <v>43</v>
      </c>
      <c r="I783" s="187"/>
      <c r="J783" s="187">
        <v>0</v>
      </c>
      <c r="K783" s="187">
        <v>35.07540517958649</v>
      </c>
      <c r="L783" s="187">
        <v>206.650872242216</v>
      </c>
      <c r="M783" s="187">
        <v>241.72627258300781</v>
      </c>
      <c r="N783" s="187">
        <v>206.65087890625</v>
      </c>
      <c r="O783" t="s">
        <v>1244</v>
      </c>
    </row>
    <row r="784" spans="1:15" hidden="1" x14ac:dyDescent="0.45">
      <c r="A784" s="187">
        <v>2015</v>
      </c>
      <c r="B784" t="s">
        <v>310</v>
      </c>
      <c r="C784" t="s">
        <v>323</v>
      </c>
      <c r="D784" t="s">
        <v>35</v>
      </c>
      <c r="E784" t="s">
        <v>349</v>
      </c>
      <c r="F784" t="s">
        <v>402</v>
      </c>
      <c r="G784" t="s">
        <v>36</v>
      </c>
      <c r="H784" t="s">
        <v>43</v>
      </c>
      <c r="I784" s="187"/>
      <c r="J784" s="187">
        <v>0</v>
      </c>
      <c r="K784" s="187">
        <v>9.2000102937988881</v>
      </c>
      <c r="L784" s="187">
        <v>0</v>
      </c>
      <c r="M784" s="187">
        <v>9.2000102996826172</v>
      </c>
      <c r="N784" s="187">
        <v>0</v>
      </c>
      <c r="O784" t="s">
        <v>1242</v>
      </c>
    </row>
    <row r="785" spans="1:15" hidden="1" x14ac:dyDescent="0.45">
      <c r="A785" s="187">
        <v>2015</v>
      </c>
      <c r="B785" t="s">
        <v>311</v>
      </c>
      <c r="C785" t="s">
        <v>323</v>
      </c>
      <c r="D785" t="s">
        <v>35</v>
      </c>
      <c r="E785" t="s">
        <v>349</v>
      </c>
      <c r="F785" t="s">
        <v>402</v>
      </c>
      <c r="G785" t="s">
        <v>36</v>
      </c>
      <c r="H785" t="s">
        <v>43</v>
      </c>
      <c r="I785" s="187"/>
      <c r="J785" s="187">
        <v>0</v>
      </c>
      <c r="K785" s="187">
        <v>16.311130704591523</v>
      </c>
      <c r="L785" s="187">
        <v>0</v>
      </c>
      <c r="M785" s="187">
        <v>16.311130523681641</v>
      </c>
      <c r="N785" s="187">
        <v>0</v>
      </c>
      <c r="O785" t="s">
        <v>1243</v>
      </c>
    </row>
    <row r="786" spans="1:15" hidden="1" x14ac:dyDescent="0.45">
      <c r="A786" s="187">
        <v>2015</v>
      </c>
      <c r="B786" t="s">
        <v>310</v>
      </c>
      <c r="C786" t="s">
        <v>323</v>
      </c>
      <c r="D786" t="s">
        <v>35</v>
      </c>
      <c r="E786" t="s">
        <v>349</v>
      </c>
      <c r="F786" t="s">
        <v>403</v>
      </c>
      <c r="G786" t="s">
        <v>36</v>
      </c>
      <c r="H786" t="s">
        <v>43</v>
      </c>
      <c r="I786" s="187"/>
      <c r="J786" s="187">
        <v>0</v>
      </c>
      <c r="K786" s="187">
        <v>869.01255078123756</v>
      </c>
      <c r="L786" s="187">
        <v>1116.7935837153477</v>
      </c>
      <c r="M786" s="187">
        <v>1985.80615234375</v>
      </c>
      <c r="N786" s="187">
        <v>1116.7935791015625</v>
      </c>
      <c r="O786" t="s">
        <v>1246</v>
      </c>
    </row>
    <row r="787" spans="1:15" hidden="1" x14ac:dyDescent="0.45">
      <c r="A787" s="187">
        <v>2015</v>
      </c>
      <c r="B787" t="s">
        <v>309</v>
      </c>
      <c r="C787" t="s">
        <v>323</v>
      </c>
      <c r="D787" t="s">
        <v>35</v>
      </c>
      <c r="E787" t="s">
        <v>349</v>
      </c>
      <c r="F787" t="s">
        <v>403</v>
      </c>
      <c r="G787" t="s">
        <v>36</v>
      </c>
      <c r="H787" t="s">
        <v>43</v>
      </c>
      <c r="I787" s="187"/>
      <c r="J787" s="187">
        <v>0</v>
      </c>
      <c r="K787" s="187">
        <v>2232.2248610396791</v>
      </c>
      <c r="L787" s="187">
        <v>996.16317901375908</v>
      </c>
      <c r="M787" s="187">
        <v>3228.387939453125</v>
      </c>
      <c r="N787" s="187">
        <v>996.1632080078125</v>
      </c>
      <c r="O787" t="s">
        <v>1247</v>
      </c>
    </row>
    <row r="788" spans="1:15" hidden="1" x14ac:dyDescent="0.45">
      <c r="A788" s="187">
        <v>2015</v>
      </c>
      <c r="B788" t="s">
        <v>311</v>
      </c>
      <c r="C788" t="s">
        <v>323</v>
      </c>
      <c r="D788" t="s">
        <v>35</v>
      </c>
      <c r="E788" t="s">
        <v>349</v>
      </c>
      <c r="F788" t="s">
        <v>403</v>
      </c>
      <c r="G788" t="s">
        <v>36</v>
      </c>
      <c r="H788" t="s">
        <v>43</v>
      </c>
      <c r="I788" s="187"/>
      <c r="J788" s="187">
        <v>0</v>
      </c>
      <c r="K788" s="187">
        <v>2114.9817616073051</v>
      </c>
      <c r="L788" s="187">
        <v>1629.8258887530951</v>
      </c>
      <c r="M788" s="187">
        <v>3744.8076171875</v>
      </c>
      <c r="N788" s="187">
        <v>1629.825927734375</v>
      </c>
      <c r="O788" t="s">
        <v>1245</v>
      </c>
    </row>
    <row r="789" spans="1:15" hidden="1" x14ac:dyDescent="0.45">
      <c r="A789" s="187">
        <v>2015</v>
      </c>
      <c r="B789" t="s">
        <v>309</v>
      </c>
      <c r="C789" t="s">
        <v>323</v>
      </c>
      <c r="D789" t="s">
        <v>35</v>
      </c>
      <c r="E789" t="s">
        <v>349</v>
      </c>
      <c r="F789" t="s">
        <v>404</v>
      </c>
      <c r="G789" t="s">
        <v>36</v>
      </c>
      <c r="H789" t="s">
        <v>43</v>
      </c>
      <c r="I789" s="187"/>
      <c r="J789" s="187">
        <v>0</v>
      </c>
      <c r="K789" s="187">
        <v>3204.7095110077648</v>
      </c>
      <c r="L789" s="187">
        <v>1490.2707132852115</v>
      </c>
      <c r="M789" s="187">
        <v>4694.97998046875</v>
      </c>
      <c r="N789" s="187">
        <v>1490.270751953125</v>
      </c>
      <c r="O789" t="s">
        <v>1250</v>
      </c>
    </row>
    <row r="790" spans="1:15" hidden="1" x14ac:dyDescent="0.45">
      <c r="A790" s="187">
        <v>2015</v>
      </c>
      <c r="B790" t="s">
        <v>311</v>
      </c>
      <c r="C790" t="s">
        <v>323</v>
      </c>
      <c r="D790" t="s">
        <v>35</v>
      </c>
      <c r="E790" t="s">
        <v>349</v>
      </c>
      <c r="F790" t="s">
        <v>404</v>
      </c>
      <c r="G790" t="s">
        <v>36</v>
      </c>
      <c r="H790" t="s">
        <v>43</v>
      </c>
      <c r="I790" s="187"/>
      <c r="J790" s="187">
        <v>3.8258823679650118</v>
      </c>
      <c r="K790" s="187">
        <v>3071.1312833975921</v>
      </c>
      <c r="L790" s="187">
        <v>1756.0800068959404</v>
      </c>
      <c r="M790" s="187">
        <v>4831.037109375</v>
      </c>
      <c r="N790" s="187">
        <v>1756.0799560546875</v>
      </c>
      <c r="O790" t="s">
        <v>1248</v>
      </c>
    </row>
    <row r="791" spans="1:15" hidden="1" x14ac:dyDescent="0.45">
      <c r="A791" s="187">
        <v>2015</v>
      </c>
      <c r="B791" t="s">
        <v>310</v>
      </c>
      <c r="C791" t="s">
        <v>323</v>
      </c>
      <c r="D791" t="s">
        <v>35</v>
      </c>
      <c r="E791" t="s">
        <v>349</v>
      </c>
      <c r="F791" t="s">
        <v>404</v>
      </c>
      <c r="G791" t="s">
        <v>36</v>
      </c>
      <c r="H791" t="s">
        <v>43</v>
      </c>
      <c r="I791" s="187"/>
      <c r="J791" s="187">
        <v>13.077208240226556</v>
      </c>
      <c r="K791" s="187">
        <v>1527.9687196990335</v>
      </c>
      <c r="L791" s="187">
        <v>1180.871904092458</v>
      </c>
      <c r="M791" s="187">
        <v>2721.917724609375</v>
      </c>
      <c r="N791" s="187">
        <v>1180.8719482421875</v>
      </c>
      <c r="O791" t="s">
        <v>1249</v>
      </c>
    </row>
    <row r="792" spans="1:15" hidden="1" x14ac:dyDescent="0.45">
      <c r="A792" s="187">
        <v>2015</v>
      </c>
      <c r="B792" t="s">
        <v>309</v>
      </c>
      <c r="C792" t="s">
        <v>323</v>
      </c>
      <c r="D792" t="s">
        <v>35</v>
      </c>
      <c r="E792" t="s">
        <v>349</v>
      </c>
      <c r="F792" t="s">
        <v>405</v>
      </c>
      <c r="G792" t="s">
        <v>36</v>
      </c>
      <c r="H792" t="s">
        <v>43</v>
      </c>
      <c r="I792" s="187"/>
      <c r="J792" s="187">
        <v>0</v>
      </c>
      <c r="K792" s="187">
        <v>935.63310781909911</v>
      </c>
      <c r="L792" s="187">
        <v>95.377325650253539</v>
      </c>
      <c r="M792" s="187">
        <v>1031.010498046875</v>
      </c>
      <c r="N792" s="187">
        <v>95.377326965332031</v>
      </c>
      <c r="O792" t="s">
        <v>1252</v>
      </c>
    </row>
    <row r="793" spans="1:15" hidden="1" x14ac:dyDescent="0.45">
      <c r="A793" s="187">
        <v>2015</v>
      </c>
      <c r="B793" t="s">
        <v>310</v>
      </c>
      <c r="C793" t="s">
        <v>323</v>
      </c>
      <c r="D793" t="s">
        <v>35</v>
      </c>
      <c r="E793" t="s">
        <v>349</v>
      </c>
      <c r="F793" t="s">
        <v>405</v>
      </c>
      <c r="G793" t="s">
        <v>36</v>
      </c>
      <c r="H793" t="s">
        <v>43</v>
      </c>
      <c r="I793" s="187"/>
      <c r="J793" s="187">
        <v>0</v>
      </c>
      <c r="K793" s="187">
        <v>649.29029149236953</v>
      </c>
      <c r="L793" s="187">
        <v>0</v>
      </c>
      <c r="M793" s="187">
        <v>649.290283203125</v>
      </c>
      <c r="N793" s="187">
        <v>0</v>
      </c>
      <c r="O793" t="s">
        <v>1251</v>
      </c>
    </row>
    <row r="794" spans="1:15" hidden="1" x14ac:dyDescent="0.45">
      <c r="A794" s="187">
        <v>2015</v>
      </c>
      <c r="B794" t="s">
        <v>311</v>
      </c>
      <c r="C794" t="s">
        <v>323</v>
      </c>
      <c r="D794" t="s">
        <v>35</v>
      </c>
      <c r="E794" t="s">
        <v>349</v>
      </c>
      <c r="F794" t="s">
        <v>405</v>
      </c>
      <c r="G794" t="s">
        <v>36</v>
      </c>
      <c r="H794" t="s">
        <v>43</v>
      </c>
      <c r="I794" s="187"/>
      <c r="J794" s="187">
        <v>0</v>
      </c>
      <c r="K794" s="187">
        <v>915.68986181884588</v>
      </c>
      <c r="L794" s="187">
        <v>59.938823764785184</v>
      </c>
      <c r="M794" s="187">
        <v>975.62872314453125</v>
      </c>
      <c r="N794" s="187">
        <v>59.938823699951172</v>
      </c>
      <c r="O794" t="s">
        <v>1253</v>
      </c>
    </row>
    <row r="795" spans="1:15" hidden="1" x14ac:dyDescent="0.45">
      <c r="A795" s="187">
        <v>2015</v>
      </c>
      <c r="B795" t="s">
        <v>310</v>
      </c>
      <c r="C795" t="s">
        <v>323</v>
      </c>
      <c r="D795" t="s">
        <v>35</v>
      </c>
      <c r="E795" t="s">
        <v>349</v>
      </c>
      <c r="F795" t="s">
        <v>406</v>
      </c>
      <c r="G795" t="s">
        <v>36</v>
      </c>
      <c r="H795" t="s">
        <v>43</v>
      </c>
      <c r="I795" s="187"/>
      <c r="J795" s="187">
        <v>0</v>
      </c>
      <c r="K795" s="187">
        <v>0.4658671316273707</v>
      </c>
      <c r="L795" s="187">
        <v>0</v>
      </c>
      <c r="M795" s="187">
        <v>0.46586713194847107</v>
      </c>
      <c r="N795" s="187">
        <v>0</v>
      </c>
      <c r="O795" t="s">
        <v>1255</v>
      </c>
    </row>
    <row r="796" spans="1:15" hidden="1" x14ac:dyDescent="0.45">
      <c r="A796" s="187">
        <v>2015</v>
      </c>
      <c r="B796" t="s">
        <v>311</v>
      </c>
      <c r="C796" t="s">
        <v>323</v>
      </c>
      <c r="D796" t="s">
        <v>35</v>
      </c>
      <c r="E796" t="s">
        <v>349</v>
      </c>
      <c r="F796" t="s">
        <v>406</v>
      </c>
      <c r="G796" t="s">
        <v>36</v>
      </c>
      <c r="H796" t="s">
        <v>43</v>
      </c>
      <c r="I796" s="187"/>
      <c r="J796" s="187">
        <v>0</v>
      </c>
      <c r="K796" s="187">
        <v>24.148529266849028</v>
      </c>
      <c r="L796" s="187">
        <v>0</v>
      </c>
      <c r="M796" s="187">
        <v>24.148529052734375</v>
      </c>
      <c r="N796" s="187">
        <v>0</v>
      </c>
      <c r="O796" t="s">
        <v>1256</v>
      </c>
    </row>
    <row r="797" spans="1:15" hidden="1" x14ac:dyDescent="0.45">
      <c r="A797" s="187">
        <v>2015</v>
      </c>
      <c r="B797" t="s">
        <v>309</v>
      </c>
      <c r="C797" t="s">
        <v>323</v>
      </c>
      <c r="D797" t="s">
        <v>35</v>
      </c>
      <c r="E797" t="s">
        <v>349</v>
      </c>
      <c r="F797" t="s">
        <v>406</v>
      </c>
      <c r="G797" t="s">
        <v>36</v>
      </c>
      <c r="H797" t="s">
        <v>43</v>
      </c>
      <c r="I797" s="187"/>
      <c r="J797" s="187">
        <v>0</v>
      </c>
      <c r="K797" s="187">
        <v>1.7761369694005447</v>
      </c>
      <c r="L797" s="187">
        <v>0</v>
      </c>
      <c r="M797" s="187">
        <v>1.7761369943618774</v>
      </c>
      <c r="N797" s="187">
        <v>0</v>
      </c>
      <c r="O797" t="s">
        <v>1254</v>
      </c>
    </row>
    <row r="798" spans="1:15" hidden="1" x14ac:dyDescent="0.45">
      <c r="A798" s="187">
        <v>2015</v>
      </c>
      <c r="B798" t="s">
        <v>310</v>
      </c>
      <c r="C798" t="s">
        <v>323</v>
      </c>
      <c r="D798" t="s">
        <v>35</v>
      </c>
      <c r="E798" t="s">
        <v>349</v>
      </c>
      <c r="F798" t="s">
        <v>407</v>
      </c>
      <c r="G798" t="s">
        <v>36</v>
      </c>
      <c r="H798" t="s">
        <v>43</v>
      </c>
      <c r="I798" s="187"/>
      <c r="J798" s="187">
        <v>13.077208240226556</v>
      </c>
      <c r="K798" s="187">
        <v>0</v>
      </c>
      <c r="L798" s="187">
        <v>64.078320377110117</v>
      </c>
      <c r="M798" s="187">
        <v>77.155525207519531</v>
      </c>
      <c r="N798" s="187">
        <v>64.078323364257813</v>
      </c>
      <c r="O798" t="s">
        <v>1258</v>
      </c>
    </row>
    <row r="799" spans="1:15" hidden="1" x14ac:dyDescent="0.45">
      <c r="A799" s="187">
        <v>2015</v>
      </c>
      <c r="B799" t="s">
        <v>311</v>
      </c>
      <c r="C799" t="s">
        <v>323</v>
      </c>
      <c r="D799" t="s">
        <v>35</v>
      </c>
      <c r="E799" t="s">
        <v>349</v>
      </c>
      <c r="F799" t="s">
        <v>407</v>
      </c>
      <c r="G799" t="s">
        <v>36</v>
      </c>
      <c r="H799" t="s">
        <v>43</v>
      </c>
      <c r="I799" s="187"/>
      <c r="J799" s="187">
        <v>3.8258823679650118</v>
      </c>
      <c r="K799" s="187">
        <v>0</v>
      </c>
      <c r="L799" s="187">
        <v>66.315294378060202</v>
      </c>
      <c r="M799" s="187">
        <v>70.14117431640625</v>
      </c>
      <c r="N799" s="187">
        <v>66.315292358398438</v>
      </c>
      <c r="O799" t="s">
        <v>1259</v>
      </c>
    </row>
    <row r="800" spans="1:15" hidden="1" x14ac:dyDescent="0.45">
      <c r="A800" s="187">
        <v>2015</v>
      </c>
      <c r="B800" t="s">
        <v>309</v>
      </c>
      <c r="C800" t="s">
        <v>323</v>
      </c>
      <c r="D800" t="s">
        <v>35</v>
      </c>
      <c r="E800" t="s">
        <v>349</v>
      </c>
      <c r="F800" t="s">
        <v>407</v>
      </c>
      <c r="G800" t="s">
        <v>36</v>
      </c>
      <c r="H800" t="s">
        <v>43</v>
      </c>
      <c r="I800" s="187"/>
      <c r="J800" s="187">
        <v>0</v>
      </c>
      <c r="K800" s="187">
        <v>0</v>
      </c>
      <c r="L800" s="187">
        <v>192.07933637898282</v>
      </c>
      <c r="M800" s="187">
        <v>192.07933044433594</v>
      </c>
      <c r="N800" s="187">
        <v>192.07933044433594</v>
      </c>
      <c r="O800" t="s">
        <v>1257</v>
      </c>
    </row>
    <row r="801" spans="1:15" hidden="1" x14ac:dyDescent="0.45">
      <c r="A801" s="187">
        <v>2015</v>
      </c>
      <c r="B801" t="s">
        <v>309</v>
      </c>
      <c r="C801" t="s">
        <v>323</v>
      </c>
      <c r="D801" t="s">
        <v>35</v>
      </c>
      <c r="E801" t="s">
        <v>349</v>
      </c>
      <c r="F801" t="s">
        <v>408</v>
      </c>
      <c r="G801" t="s">
        <v>36</v>
      </c>
      <c r="H801" t="s">
        <v>43</v>
      </c>
      <c r="I801" s="187"/>
      <c r="J801" s="187"/>
      <c r="K801" s="187">
        <v>452.12826413455599</v>
      </c>
      <c r="L801" s="187">
        <v>842.49970991057285</v>
      </c>
      <c r="M801" s="187">
        <v>1294.6279296875</v>
      </c>
      <c r="N801" s="187">
        <v>842.49969482421875</v>
      </c>
      <c r="O801" t="s">
        <v>1261</v>
      </c>
    </row>
    <row r="802" spans="1:15" hidden="1" x14ac:dyDescent="0.45">
      <c r="A802" s="187">
        <v>2015</v>
      </c>
      <c r="B802" t="s">
        <v>310</v>
      </c>
      <c r="C802" t="s">
        <v>323</v>
      </c>
      <c r="D802" t="s">
        <v>35</v>
      </c>
      <c r="E802" t="s">
        <v>349</v>
      </c>
      <c r="F802" t="s">
        <v>408</v>
      </c>
      <c r="G802" t="s">
        <v>36</v>
      </c>
      <c r="H802" t="s">
        <v>43</v>
      </c>
      <c r="I802" s="187"/>
      <c r="J802" s="187">
        <v>0</v>
      </c>
      <c r="K802" s="187">
        <v>223.8703937679056</v>
      </c>
      <c r="L802" s="187">
        <v>919.32773928792687</v>
      </c>
      <c r="M802" s="187">
        <v>1143.1981201171875</v>
      </c>
      <c r="N802" s="187">
        <v>919.3277587890625</v>
      </c>
      <c r="O802" t="s">
        <v>1260</v>
      </c>
    </row>
    <row r="803" spans="1:15" hidden="1" x14ac:dyDescent="0.45">
      <c r="A803" s="187">
        <v>2015</v>
      </c>
      <c r="B803" t="s">
        <v>309</v>
      </c>
      <c r="C803" t="s">
        <v>323</v>
      </c>
      <c r="D803" t="s">
        <v>35</v>
      </c>
      <c r="E803" t="s">
        <v>349</v>
      </c>
      <c r="F803" t="s">
        <v>409</v>
      </c>
      <c r="G803" t="s">
        <v>36</v>
      </c>
      <c r="H803" t="s">
        <v>43</v>
      </c>
      <c r="I803" s="187"/>
      <c r="J803" s="187"/>
      <c r="K803" s="187">
        <v>0</v>
      </c>
      <c r="L803" s="187">
        <v>31.792441883417844</v>
      </c>
      <c r="M803" s="187">
        <v>31.792442321777344</v>
      </c>
      <c r="N803" s="187">
        <v>31.792442321777344</v>
      </c>
      <c r="O803" t="s">
        <v>1263</v>
      </c>
    </row>
    <row r="804" spans="1:15" hidden="1" x14ac:dyDescent="0.45">
      <c r="A804" s="187">
        <v>2015</v>
      </c>
      <c r="B804" t="s">
        <v>310</v>
      </c>
      <c r="C804" t="s">
        <v>323</v>
      </c>
      <c r="D804" t="s">
        <v>35</v>
      </c>
      <c r="E804" t="s">
        <v>349</v>
      </c>
      <c r="F804" t="s">
        <v>409</v>
      </c>
      <c r="G804" t="s">
        <v>36</v>
      </c>
      <c r="H804" t="s">
        <v>43</v>
      </c>
      <c r="I804" s="187"/>
      <c r="J804" s="187">
        <v>0</v>
      </c>
      <c r="K804" s="187">
        <v>0</v>
      </c>
      <c r="L804" s="187">
        <v>31.385299776543732</v>
      </c>
      <c r="M804" s="187">
        <v>31.385299682617188</v>
      </c>
      <c r="N804" s="187">
        <v>31.385299682617188</v>
      </c>
      <c r="O804" t="s">
        <v>1262</v>
      </c>
    </row>
    <row r="805" spans="1:15" hidden="1" x14ac:dyDescent="0.45">
      <c r="A805" s="187">
        <v>2015</v>
      </c>
      <c r="B805" t="s">
        <v>310</v>
      </c>
      <c r="C805" t="s">
        <v>323</v>
      </c>
      <c r="D805" t="s">
        <v>35</v>
      </c>
      <c r="E805" t="s">
        <v>349</v>
      </c>
      <c r="F805" t="s">
        <v>410</v>
      </c>
      <c r="G805" t="s">
        <v>36</v>
      </c>
      <c r="H805" t="s">
        <v>43</v>
      </c>
      <c r="I805" s="187"/>
      <c r="J805" s="187">
        <v>0</v>
      </c>
      <c r="K805" s="187">
        <v>0</v>
      </c>
      <c r="L805" s="187">
        <v>863.09574385495262</v>
      </c>
      <c r="M805" s="187">
        <v>863.09576416015625</v>
      </c>
      <c r="N805" s="187">
        <v>863.09576416015625</v>
      </c>
      <c r="O805" t="s">
        <v>1264</v>
      </c>
    </row>
    <row r="806" spans="1:15" hidden="1" x14ac:dyDescent="0.45">
      <c r="A806" s="187">
        <v>2015</v>
      </c>
      <c r="B806" t="s">
        <v>309</v>
      </c>
      <c r="C806" t="s">
        <v>323</v>
      </c>
      <c r="D806" t="s">
        <v>35</v>
      </c>
      <c r="E806" t="s">
        <v>349</v>
      </c>
      <c r="F806" t="s">
        <v>410</v>
      </c>
      <c r="G806" t="s">
        <v>36</v>
      </c>
      <c r="H806" t="s">
        <v>43</v>
      </c>
      <c r="I806" s="187"/>
      <c r="J806" s="187"/>
      <c r="K806" s="187">
        <v>0</v>
      </c>
      <c r="L806" s="187">
        <v>25.169016491039127</v>
      </c>
      <c r="M806" s="187">
        <v>25.169015884399414</v>
      </c>
      <c r="N806" s="187">
        <v>25.169015884399414</v>
      </c>
      <c r="O806" t="s">
        <v>1265</v>
      </c>
    </row>
    <row r="807" spans="1:15" hidden="1" x14ac:dyDescent="0.45">
      <c r="A807" s="187">
        <v>2015</v>
      </c>
      <c r="B807" t="s">
        <v>309</v>
      </c>
      <c r="C807" t="s">
        <v>323</v>
      </c>
      <c r="D807" t="s">
        <v>35</v>
      </c>
      <c r="E807" t="s">
        <v>349</v>
      </c>
      <c r="F807" t="s">
        <v>411</v>
      </c>
      <c r="G807" t="s">
        <v>36</v>
      </c>
      <c r="H807" t="s">
        <v>43</v>
      </c>
      <c r="I807" s="187"/>
      <c r="J807" s="187">
        <v>0</v>
      </c>
      <c r="K807" s="187">
        <v>452.12826413455599</v>
      </c>
      <c r="L807" s="187">
        <v>899.46116828502988</v>
      </c>
      <c r="M807" s="187">
        <v>1351.5894775390625</v>
      </c>
      <c r="N807" s="187">
        <v>899.461181640625</v>
      </c>
      <c r="O807" t="s">
        <v>1267</v>
      </c>
    </row>
    <row r="808" spans="1:15" hidden="1" x14ac:dyDescent="0.45">
      <c r="A808" s="187">
        <v>2015</v>
      </c>
      <c r="B808" t="s">
        <v>310</v>
      </c>
      <c r="C808" t="s">
        <v>323</v>
      </c>
      <c r="D808" t="s">
        <v>35</v>
      </c>
      <c r="E808" t="s">
        <v>349</v>
      </c>
      <c r="F808" t="s">
        <v>411</v>
      </c>
      <c r="G808" t="s">
        <v>36</v>
      </c>
      <c r="H808" t="s">
        <v>43</v>
      </c>
      <c r="I808" s="187"/>
      <c r="J808" s="187">
        <v>0</v>
      </c>
      <c r="K808" s="187">
        <v>223.8703937679056</v>
      </c>
      <c r="L808" s="187">
        <v>1813.8087829194233</v>
      </c>
      <c r="M808" s="187">
        <v>2037.67919921875</v>
      </c>
      <c r="N808" s="187">
        <v>1813.808837890625</v>
      </c>
      <c r="O808" t="s">
        <v>1266</v>
      </c>
    </row>
    <row r="809" spans="1:15" hidden="1" x14ac:dyDescent="0.45">
      <c r="A809" s="187">
        <v>2015</v>
      </c>
      <c r="B809" t="s">
        <v>311</v>
      </c>
      <c r="C809" t="s">
        <v>323</v>
      </c>
      <c r="D809" t="s">
        <v>35</v>
      </c>
      <c r="E809" t="s">
        <v>349</v>
      </c>
      <c r="F809" t="s">
        <v>423</v>
      </c>
      <c r="G809" t="s">
        <v>36</v>
      </c>
      <c r="H809" t="s">
        <v>43</v>
      </c>
      <c r="I809" s="187"/>
      <c r="J809" s="187">
        <v>0</v>
      </c>
      <c r="K809" s="187">
        <v>207.9265941266234</v>
      </c>
      <c r="L809" s="187">
        <v>932.24000366080793</v>
      </c>
      <c r="M809" s="187">
        <v>1140.1666259765625</v>
      </c>
      <c r="N809" s="187">
        <v>932.239990234375</v>
      </c>
      <c r="O809" t="s">
        <v>1268</v>
      </c>
    </row>
    <row r="810" spans="1:15" hidden="1" x14ac:dyDescent="0.45">
      <c r="A810" s="187">
        <v>2015</v>
      </c>
      <c r="B810" t="s">
        <v>311</v>
      </c>
      <c r="C810" t="s">
        <v>323</v>
      </c>
      <c r="D810" t="s">
        <v>35</v>
      </c>
      <c r="E810" t="s">
        <v>349</v>
      </c>
      <c r="F810" t="s">
        <v>424</v>
      </c>
      <c r="G810" t="s">
        <v>36</v>
      </c>
      <c r="H810" t="s">
        <v>43</v>
      </c>
      <c r="I810" s="187"/>
      <c r="J810" s="187">
        <v>0</v>
      </c>
      <c r="K810" s="187">
        <v>0</v>
      </c>
      <c r="L810" s="187">
        <v>11.477647103895036</v>
      </c>
      <c r="M810" s="187">
        <v>11.477646827697754</v>
      </c>
      <c r="N810" s="187">
        <v>11.477646827697754</v>
      </c>
      <c r="O810" t="s">
        <v>1269</v>
      </c>
    </row>
    <row r="811" spans="1:15" hidden="1" x14ac:dyDescent="0.45">
      <c r="A811" s="187">
        <v>2015</v>
      </c>
      <c r="B811" t="s">
        <v>311</v>
      </c>
      <c r="C811" t="s">
        <v>323</v>
      </c>
      <c r="D811" t="s">
        <v>35</v>
      </c>
      <c r="E811" t="s">
        <v>349</v>
      </c>
      <c r="F811" t="s">
        <v>446</v>
      </c>
      <c r="G811" t="s">
        <v>36</v>
      </c>
      <c r="H811" t="s">
        <v>43</v>
      </c>
      <c r="I811" s="187"/>
      <c r="J811" s="187">
        <v>0</v>
      </c>
      <c r="K811" s="187">
        <v>0</v>
      </c>
      <c r="L811" s="187">
        <v>174.71529480373553</v>
      </c>
      <c r="M811" s="187">
        <v>174.71530151367188</v>
      </c>
      <c r="N811" s="187">
        <v>174.71530151367188</v>
      </c>
      <c r="O811" t="s">
        <v>1270</v>
      </c>
    </row>
    <row r="812" spans="1:15" hidden="1" x14ac:dyDescent="0.45">
      <c r="A812" s="187">
        <v>2015</v>
      </c>
      <c r="B812" t="s">
        <v>311</v>
      </c>
      <c r="C812" t="s">
        <v>323</v>
      </c>
      <c r="D812" t="s">
        <v>35</v>
      </c>
      <c r="E812" t="s">
        <v>349</v>
      </c>
      <c r="F812" t="s">
        <v>447</v>
      </c>
      <c r="G812" t="s">
        <v>36</v>
      </c>
      <c r="H812" t="s">
        <v>43</v>
      </c>
      <c r="I812" s="187"/>
      <c r="J812" s="187">
        <v>0</v>
      </c>
      <c r="K812" s="187">
        <v>207.9265941266234</v>
      </c>
      <c r="L812" s="187">
        <v>1118.4329455684385</v>
      </c>
      <c r="M812" s="187">
        <v>1326.3594970703125</v>
      </c>
      <c r="N812" s="187">
        <v>1118.4329833984375</v>
      </c>
      <c r="O812" t="s">
        <v>1271</v>
      </c>
    </row>
    <row r="813" spans="1:15" hidden="1" x14ac:dyDescent="0.45">
      <c r="A813" s="187">
        <v>2015</v>
      </c>
      <c r="B813" t="s">
        <v>34</v>
      </c>
      <c r="C813" t="s">
        <v>324</v>
      </c>
      <c r="D813" t="s">
        <v>35</v>
      </c>
      <c r="E813" t="s">
        <v>348</v>
      </c>
      <c r="F813" t="s">
        <v>382</v>
      </c>
      <c r="G813" t="s">
        <v>36</v>
      </c>
      <c r="H813" t="s">
        <v>43</v>
      </c>
      <c r="I813" s="187"/>
      <c r="J813" s="187">
        <v>896.53173828125</v>
      </c>
      <c r="K813" s="187">
        <v>18348.71875</v>
      </c>
      <c r="L813" s="187">
        <v>32653.90625</v>
      </c>
      <c r="M813" s="187">
        <v>51899.15625</v>
      </c>
      <c r="N813" s="187">
        <v>32653.90625</v>
      </c>
      <c r="O813" t="s">
        <v>1272</v>
      </c>
    </row>
    <row r="814" spans="1:15" hidden="1" x14ac:dyDescent="0.45">
      <c r="A814" s="187">
        <v>2015</v>
      </c>
      <c r="B814" t="s">
        <v>34</v>
      </c>
      <c r="C814" t="s">
        <v>324</v>
      </c>
      <c r="D814" t="s">
        <v>35</v>
      </c>
      <c r="E814" t="s">
        <v>348</v>
      </c>
      <c r="F814" t="s">
        <v>382</v>
      </c>
      <c r="G814" t="s">
        <v>37</v>
      </c>
      <c r="H814" t="s">
        <v>43</v>
      </c>
      <c r="I814" s="187"/>
      <c r="J814" s="187">
        <v>703</v>
      </c>
      <c r="K814" s="187">
        <v>14387.833322539631</v>
      </c>
      <c r="L814" s="187">
        <v>25605</v>
      </c>
      <c r="M814" s="187">
        <v>40695.83203125</v>
      </c>
      <c r="N814" s="187">
        <v>25605</v>
      </c>
      <c r="O814" t="s">
        <v>1273</v>
      </c>
    </row>
    <row r="815" spans="1:15" hidden="1" x14ac:dyDescent="0.45">
      <c r="A815" s="187">
        <v>2015</v>
      </c>
      <c r="B815" t="s">
        <v>34</v>
      </c>
      <c r="C815" t="s">
        <v>324</v>
      </c>
      <c r="D815" t="s">
        <v>35</v>
      </c>
      <c r="E815" t="s">
        <v>19</v>
      </c>
      <c r="F815" t="s">
        <v>19</v>
      </c>
      <c r="G815" t="s">
        <v>36</v>
      </c>
      <c r="H815" t="s">
        <v>43</v>
      </c>
      <c r="I815" s="187"/>
      <c r="J815" s="187">
        <v>169.61412048339844</v>
      </c>
      <c r="K815" s="187">
        <v>211.49697875976563</v>
      </c>
      <c r="L815" s="187">
        <v>2666.639892578125</v>
      </c>
      <c r="M815" s="187">
        <v>3047.7509765625</v>
      </c>
      <c r="N815" s="187">
        <v>2666.639892578125</v>
      </c>
      <c r="O815" t="s">
        <v>1274</v>
      </c>
    </row>
    <row r="816" spans="1:15" hidden="1" x14ac:dyDescent="0.45">
      <c r="A816" s="187">
        <v>2015</v>
      </c>
      <c r="B816" t="s">
        <v>34</v>
      </c>
      <c r="C816" t="s">
        <v>324</v>
      </c>
      <c r="D816" t="s">
        <v>35</v>
      </c>
      <c r="E816" t="s">
        <v>19</v>
      </c>
      <c r="F816" t="s">
        <v>19</v>
      </c>
      <c r="G816" t="s">
        <v>37</v>
      </c>
      <c r="H816" t="s">
        <v>43</v>
      </c>
      <c r="I816" s="187"/>
      <c r="J816" s="187">
        <v>133</v>
      </c>
      <c r="K816" s="187">
        <v>165.84173000000001</v>
      </c>
      <c r="L816" s="187">
        <v>2091</v>
      </c>
      <c r="M816" s="187">
        <v>2389.841796875</v>
      </c>
      <c r="N816" s="187">
        <v>2091</v>
      </c>
      <c r="O816" t="s">
        <v>1275</v>
      </c>
    </row>
    <row r="817" spans="1:15" hidden="1" x14ac:dyDescent="0.45">
      <c r="A817" s="187">
        <v>2015</v>
      </c>
      <c r="B817" t="s">
        <v>34</v>
      </c>
      <c r="C817" t="s">
        <v>324</v>
      </c>
      <c r="D817" t="s">
        <v>35</v>
      </c>
      <c r="E817" t="s">
        <v>349</v>
      </c>
      <c r="F817" t="s">
        <v>349</v>
      </c>
      <c r="G817" t="s">
        <v>36</v>
      </c>
      <c r="H817" t="s">
        <v>43</v>
      </c>
      <c r="I817" s="187"/>
      <c r="J817" s="187">
        <v>354.53176879882813</v>
      </c>
      <c r="K817" s="187">
        <v>3366.473388671875</v>
      </c>
      <c r="L817" s="187">
        <v>6694.01904296875</v>
      </c>
      <c r="M817" s="187">
        <v>10415.0244140625</v>
      </c>
      <c r="N817" s="187">
        <v>6694.01904296875</v>
      </c>
      <c r="O817" t="s">
        <v>1276</v>
      </c>
    </row>
    <row r="818" spans="1:15" hidden="1" x14ac:dyDescent="0.45">
      <c r="A818" s="187">
        <v>2015</v>
      </c>
      <c r="B818" t="s">
        <v>34</v>
      </c>
      <c r="C818" t="s">
        <v>324</v>
      </c>
      <c r="D818" t="s">
        <v>35</v>
      </c>
      <c r="E818" t="s">
        <v>349</v>
      </c>
      <c r="F818" t="s">
        <v>349</v>
      </c>
      <c r="G818" t="s">
        <v>37</v>
      </c>
      <c r="H818" t="s">
        <v>43</v>
      </c>
      <c r="I818" s="187"/>
      <c r="J818" s="187">
        <v>278</v>
      </c>
      <c r="K818" s="187">
        <v>2639.76242</v>
      </c>
      <c r="L818" s="187">
        <v>5249</v>
      </c>
      <c r="M818" s="187">
        <v>8166.7626953125</v>
      </c>
      <c r="N818" s="187">
        <v>5249</v>
      </c>
      <c r="O818" t="s">
        <v>1277</v>
      </c>
    </row>
    <row r="819" spans="1:15" hidden="1" x14ac:dyDescent="0.45">
      <c r="A819" s="187">
        <v>2015</v>
      </c>
      <c r="B819" t="s">
        <v>34</v>
      </c>
      <c r="C819" t="s">
        <v>324</v>
      </c>
      <c r="D819" t="s">
        <v>35</v>
      </c>
      <c r="E819" t="s">
        <v>14</v>
      </c>
      <c r="F819" t="s">
        <v>14</v>
      </c>
      <c r="G819" t="s">
        <v>36</v>
      </c>
      <c r="H819" t="s">
        <v>43</v>
      </c>
      <c r="I819" s="187"/>
      <c r="J819" s="187">
        <v>896.53173828125</v>
      </c>
      <c r="K819" s="187">
        <v>17764.68359375</v>
      </c>
      <c r="L819" s="187">
        <v>27454.53125</v>
      </c>
      <c r="M819" s="187">
        <v>46115.74609375</v>
      </c>
      <c r="N819" s="187">
        <v>27454.53125</v>
      </c>
      <c r="O819" t="s">
        <v>1278</v>
      </c>
    </row>
    <row r="820" spans="1:15" hidden="1" x14ac:dyDescent="0.45">
      <c r="A820" s="187">
        <v>2015</v>
      </c>
      <c r="B820" t="s">
        <v>34</v>
      </c>
      <c r="C820" t="s">
        <v>324</v>
      </c>
      <c r="D820" t="s">
        <v>35</v>
      </c>
      <c r="E820" t="s">
        <v>14</v>
      </c>
      <c r="F820" t="s">
        <v>14</v>
      </c>
      <c r="G820" t="s">
        <v>37</v>
      </c>
      <c r="H820" t="s">
        <v>43</v>
      </c>
      <c r="I820" s="187"/>
      <c r="J820" s="187">
        <v>703</v>
      </c>
      <c r="K820" s="187">
        <v>13929.871482539629</v>
      </c>
      <c r="L820" s="187">
        <v>21528</v>
      </c>
      <c r="M820" s="187">
        <v>36160.87109375</v>
      </c>
      <c r="N820" s="187">
        <v>21528</v>
      </c>
      <c r="O820" t="s">
        <v>1279</v>
      </c>
    </row>
    <row r="821" spans="1:15" hidden="1" x14ac:dyDescent="0.45">
      <c r="A821" s="187">
        <v>2015</v>
      </c>
      <c r="B821" t="s">
        <v>34</v>
      </c>
      <c r="C821" t="s">
        <v>324</v>
      </c>
      <c r="D821" t="s">
        <v>35</v>
      </c>
      <c r="E821" t="s">
        <v>16</v>
      </c>
      <c r="F821" t="s">
        <v>16</v>
      </c>
      <c r="G821" t="s">
        <v>36</v>
      </c>
      <c r="H821" t="s">
        <v>43</v>
      </c>
      <c r="I821" s="187"/>
      <c r="J821" s="187">
        <v>165.78823852539063</v>
      </c>
      <c r="K821" s="187">
        <v>5613.41064453125</v>
      </c>
      <c r="L821" s="187">
        <v>19385.74609375</v>
      </c>
      <c r="M821" s="187">
        <v>25164.9453125</v>
      </c>
      <c r="N821" s="187">
        <v>19385.74609375</v>
      </c>
      <c r="O821" t="s">
        <v>1280</v>
      </c>
    </row>
    <row r="822" spans="1:15" hidden="1" x14ac:dyDescent="0.45">
      <c r="A822" s="187">
        <v>2015</v>
      </c>
      <c r="B822" t="s">
        <v>34</v>
      </c>
      <c r="C822" t="s">
        <v>324</v>
      </c>
      <c r="D822" t="s">
        <v>35</v>
      </c>
      <c r="E822" t="s">
        <v>16</v>
      </c>
      <c r="F822" t="s">
        <v>16</v>
      </c>
      <c r="G822" t="s">
        <v>37</v>
      </c>
      <c r="H822" t="s">
        <v>43</v>
      </c>
      <c r="I822" s="187"/>
      <c r="J822" s="187">
        <v>130</v>
      </c>
      <c r="K822" s="187">
        <v>4401.6597099999999</v>
      </c>
      <c r="L822" s="187">
        <v>15201</v>
      </c>
      <c r="M822" s="187">
        <v>19732.66015625</v>
      </c>
      <c r="N822" s="187">
        <v>15201</v>
      </c>
      <c r="O822" t="s">
        <v>1281</v>
      </c>
    </row>
    <row r="823" spans="1:15" hidden="1" x14ac:dyDescent="0.45">
      <c r="A823" s="187">
        <v>2015</v>
      </c>
      <c r="B823" t="s">
        <v>34</v>
      </c>
      <c r="C823" t="s">
        <v>324</v>
      </c>
      <c r="D823" t="s">
        <v>35</v>
      </c>
      <c r="E823" t="s">
        <v>351</v>
      </c>
      <c r="F823" t="s">
        <v>351</v>
      </c>
      <c r="G823" t="s">
        <v>36</v>
      </c>
      <c r="H823" t="s">
        <v>43</v>
      </c>
      <c r="I823" s="187"/>
      <c r="J823" s="187">
        <v>0</v>
      </c>
      <c r="K823" s="187">
        <v>166.93641662597656</v>
      </c>
      <c r="L823" s="187">
        <v>584.084716796875</v>
      </c>
      <c r="M823" s="187">
        <v>751.0211181640625</v>
      </c>
      <c r="N823" s="187">
        <v>584.084716796875</v>
      </c>
      <c r="O823" t="s">
        <v>1282</v>
      </c>
    </row>
    <row r="824" spans="1:15" hidden="1" x14ac:dyDescent="0.45">
      <c r="A824" s="187">
        <v>2015</v>
      </c>
      <c r="B824" t="s">
        <v>34</v>
      </c>
      <c r="C824" t="s">
        <v>324</v>
      </c>
      <c r="D824" t="s">
        <v>35</v>
      </c>
      <c r="E824" t="s">
        <v>351</v>
      </c>
      <c r="F824" t="s">
        <v>351</v>
      </c>
      <c r="G824" t="s">
        <v>37</v>
      </c>
      <c r="H824" t="s">
        <v>43</v>
      </c>
      <c r="I824" s="187"/>
      <c r="J824" s="187">
        <v>0</v>
      </c>
      <c r="K824" s="187">
        <v>130.90033</v>
      </c>
      <c r="L824" s="187">
        <v>458</v>
      </c>
      <c r="M824" s="187">
        <v>588.90032958984375</v>
      </c>
      <c r="N824" s="187">
        <v>458</v>
      </c>
      <c r="O824" t="s">
        <v>1283</v>
      </c>
    </row>
    <row r="825" spans="1:15" hidden="1" x14ac:dyDescent="0.45">
      <c r="A825" s="187">
        <v>2015</v>
      </c>
      <c r="B825" t="s">
        <v>34</v>
      </c>
      <c r="C825" t="s">
        <v>324</v>
      </c>
      <c r="D825" t="s">
        <v>35</v>
      </c>
      <c r="E825" t="s">
        <v>353</v>
      </c>
      <c r="F825" t="s">
        <v>383</v>
      </c>
      <c r="G825" t="s">
        <v>36</v>
      </c>
      <c r="H825" t="s">
        <v>43</v>
      </c>
      <c r="I825" s="187"/>
      <c r="J825" s="187">
        <v>756.2493896484375</v>
      </c>
      <c r="K825" s="187">
        <v>17326.064453125</v>
      </c>
      <c r="L825" s="187">
        <v>30962.865234375</v>
      </c>
      <c r="M825" s="187">
        <v>49045.1796875</v>
      </c>
      <c r="N825" s="187">
        <v>30962.865234375</v>
      </c>
      <c r="O825" t="s">
        <v>1284</v>
      </c>
    </row>
    <row r="826" spans="1:15" hidden="1" x14ac:dyDescent="0.45">
      <c r="A826" s="187">
        <v>2015</v>
      </c>
      <c r="B826" t="s">
        <v>34</v>
      </c>
      <c r="C826" t="s">
        <v>324</v>
      </c>
      <c r="D826" t="s">
        <v>35</v>
      </c>
      <c r="E826" t="s">
        <v>353</v>
      </c>
      <c r="F826" t="s">
        <v>383</v>
      </c>
      <c r="G826" t="s">
        <v>37</v>
      </c>
      <c r="H826" t="s">
        <v>43</v>
      </c>
      <c r="I826" s="187"/>
      <c r="J826" s="187">
        <v>593</v>
      </c>
      <c r="K826" s="187">
        <v>13585.9357</v>
      </c>
      <c r="L826" s="187">
        <v>24279</v>
      </c>
      <c r="M826" s="187">
        <v>38457.9375</v>
      </c>
      <c r="N826" s="187">
        <v>24279</v>
      </c>
      <c r="O826" t="s">
        <v>1285</v>
      </c>
    </row>
    <row r="827" spans="1:15" hidden="1" x14ac:dyDescent="0.45">
      <c r="A827" s="187">
        <v>2015</v>
      </c>
      <c r="B827" t="s">
        <v>34</v>
      </c>
      <c r="C827" t="s">
        <v>324</v>
      </c>
      <c r="D827" t="s">
        <v>35</v>
      </c>
      <c r="E827" t="s">
        <v>38</v>
      </c>
      <c r="F827" t="s">
        <v>38</v>
      </c>
      <c r="G827" t="s">
        <v>36</v>
      </c>
      <c r="H827" t="s">
        <v>43</v>
      </c>
      <c r="I827" s="187"/>
      <c r="J827" s="187">
        <v>140.2823486328125</v>
      </c>
      <c r="K827" s="187">
        <v>1022.6553344726563</v>
      </c>
      <c r="L827" s="187">
        <v>1691.0400390625</v>
      </c>
      <c r="M827" s="187">
        <v>2853.977783203125</v>
      </c>
      <c r="N827" s="187">
        <v>1691.0400390625</v>
      </c>
      <c r="O827" t="s">
        <v>1286</v>
      </c>
    </row>
    <row r="828" spans="1:15" hidden="1" x14ac:dyDescent="0.45">
      <c r="A828" s="187">
        <v>2015</v>
      </c>
      <c r="B828" t="s">
        <v>34</v>
      </c>
      <c r="C828" t="s">
        <v>324</v>
      </c>
      <c r="D828" t="s">
        <v>35</v>
      </c>
      <c r="E828" t="s">
        <v>38</v>
      </c>
      <c r="F828" t="s">
        <v>38</v>
      </c>
      <c r="G828" t="s">
        <v>37</v>
      </c>
      <c r="H828" t="s">
        <v>43</v>
      </c>
      <c r="I828" s="187"/>
      <c r="J828" s="187">
        <v>110</v>
      </c>
      <c r="K828" s="187">
        <v>801.89762253962658</v>
      </c>
      <c r="L828" s="187">
        <v>1326</v>
      </c>
      <c r="M828" s="187">
        <v>2237.897705078125</v>
      </c>
      <c r="N828" s="187">
        <v>1326</v>
      </c>
      <c r="O828" t="s">
        <v>1287</v>
      </c>
    </row>
    <row r="829" spans="1:15" hidden="1" x14ac:dyDescent="0.45">
      <c r="A829" s="187">
        <v>2015</v>
      </c>
      <c r="B829" t="s">
        <v>34</v>
      </c>
      <c r="C829" t="s">
        <v>324</v>
      </c>
      <c r="D829" t="s">
        <v>35</v>
      </c>
      <c r="E829" t="s">
        <v>354</v>
      </c>
      <c r="F829" t="s">
        <v>384</v>
      </c>
      <c r="G829" t="s">
        <v>36</v>
      </c>
      <c r="H829" t="s">
        <v>43</v>
      </c>
      <c r="I829" s="187"/>
      <c r="J829" s="187">
        <v>0</v>
      </c>
      <c r="K829" s="187">
        <v>0</v>
      </c>
      <c r="L829" s="187">
        <v>0</v>
      </c>
      <c r="M829" s="187">
        <v>0</v>
      </c>
      <c r="N829" s="187">
        <v>0</v>
      </c>
      <c r="O829" t="s">
        <v>1288</v>
      </c>
    </row>
    <row r="830" spans="1:15" hidden="1" x14ac:dyDescent="0.45">
      <c r="A830" s="187">
        <v>2015</v>
      </c>
      <c r="B830" t="s">
        <v>34</v>
      </c>
      <c r="C830" t="s">
        <v>324</v>
      </c>
      <c r="D830" t="s">
        <v>35</v>
      </c>
      <c r="E830" t="s">
        <v>354</v>
      </c>
      <c r="F830" t="s">
        <v>384</v>
      </c>
      <c r="G830" t="s">
        <v>37</v>
      </c>
      <c r="H830" t="s">
        <v>43</v>
      </c>
      <c r="I830" s="187"/>
      <c r="J830" s="187">
        <v>0</v>
      </c>
      <c r="K830" s="187">
        <v>0</v>
      </c>
      <c r="L830" s="187">
        <v>0</v>
      </c>
      <c r="M830" s="187">
        <v>0</v>
      </c>
      <c r="N830" s="187">
        <v>0</v>
      </c>
      <c r="O830" t="s">
        <v>1289</v>
      </c>
    </row>
    <row r="831" spans="1:15" hidden="1" x14ac:dyDescent="0.45">
      <c r="A831" s="187">
        <v>2015</v>
      </c>
      <c r="B831" t="s">
        <v>34</v>
      </c>
      <c r="C831" t="s">
        <v>324</v>
      </c>
      <c r="D831" t="s">
        <v>35</v>
      </c>
      <c r="E831" t="s">
        <v>354</v>
      </c>
      <c r="F831" t="s">
        <v>385</v>
      </c>
      <c r="G831" t="s">
        <v>36</v>
      </c>
      <c r="H831" t="s">
        <v>43</v>
      </c>
      <c r="I831" s="187"/>
      <c r="J831" s="187">
        <v>1.2752940654754639</v>
      </c>
      <c r="K831" s="187">
        <v>4078.362548828125</v>
      </c>
      <c r="L831" s="187">
        <v>105.84941101074219</v>
      </c>
      <c r="M831" s="187">
        <v>4185.4873046875</v>
      </c>
      <c r="N831" s="187">
        <v>105.84941101074219</v>
      </c>
      <c r="O831" t="s">
        <v>1290</v>
      </c>
    </row>
    <row r="832" spans="1:15" hidden="1" x14ac:dyDescent="0.45">
      <c r="A832" s="187">
        <v>2015</v>
      </c>
      <c r="B832" t="s">
        <v>34</v>
      </c>
      <c r="C832" t="s">
        <v>324</v>
      </c>
      <c r="D832" t="s">
        <v>35</v>
      </c>
      <c r="E832" t="s">
        <v>354</v>
      </c>
      <c r="F832" t="s">
        <v>385</v>
      </c>
      <c r="G832" t="s">
        <v>37</v>
      </c>
      <c r="H832" t="s">
        <v>43</v>
      </c>
      <c r="I832" s="187"/>
      <c r="J832" s="187">
        <v>1</v>
      </c>
      <c r="K832" s="187">
        <v>3197.9780299999989</v>
      </c>
      <c r="L832" s="187">
        <v>83</v>
      </c>
      <c r="M832" s="187">
        <v>3281.97802734375</v>
      </c>
      <c r="N832" s="187">
        <v>83</v>
      </c>
      <c r="O832" t="s">
        <v>1291</v>
      </c>
    </row>
    <row r="833" spans="1:15" hidden="1" x14ac:dyDescent="0.45">
      <c r="A833" s="187">
        <v>2015</v>
      </c>
      <c r="B833" t="s">
        <v>34</v>
      </c>
      <c r="C833" t="s">
        <v>324</v>
      </c>
      <c r="D833" t="s">
        <v>35</v>
      </c>
      <c r="E833" t="s">
        <v>354</v>
      </c>
      <c r="F833" t="s">
        <v>386</v>
      </c>
      <c r="G833" t="s">
        <v>36</v>
      </c>
      <c r="H833" t="s">
        <v>43</v>
      </c>
      <c r="I833" s="187"/>
      <c r="J833" s="187">
        <v>29.331764221191406</v>
      </c>
      <c r="K833" s="187">
        <v>2437.9521484375</v>
      </c>
      <c r="L833" s="187">
        <v>93.096473693847656</v>
      </c>
      <c r="M833" s="187">
        <v>2560.38037109375</v>
      </c>
      <c r="N833" s="187">
        <v>93.096473693847656</v>
      </c>
      <c r="O833" t="s">
        <v>1292</v>
      </c>
    </row>
    <row r="834" spans="1:15" hidden="1" x14ac:dyDescent="0.45">
      <c r="A834" s="187">
        <v>2015</v>
      </c>
      <c r="B834" t="s">
        <v>34</v>
      </c>
      <c r="C834" t="s">
        <v>324</v>
      </c>
      <c r="D834" t="s">
        <v>35</v>
      </c>
      <c r="E834" t="s">
        <v>354</v>
      </c>
      <c r="F834" t="s">
        <v>386</v>
      </c>
      <c r="G834" t="s">
        <v>37</v>
      </c>
      <c r="H834" t="s">
        <v>43</v>
      </c>
      <c r="I834" s="187"/>
      <c r="J834" s="187">
        <v>23</v>
      </c>
      <c r="K834" s="187">
        <v>1911.678260000001</v>
      </c>
      <c r="L834" s="187">
        <v>73</v>
      </c>
      <c r="M834" s="187">
        <v>2007.67822265625</v>
      </c>
      <c r="N834" s="187">
        <v>73</v>
      </c>
      <c r="O834" t="s">
        <v>1293</v>
      </c>
    </row>
    <row r="835" spans="1:15" hidden="1" x14ac:dyDescent="0.45">
      <c r="A835" s="187">
        <v>2015</v>
      </c>
      <c r="B835" t="s">
        <v>34</v>
      </c>
      <c r="C835" t="s">
        <v>324</v>
      </c>
      <c r="D835" t="s">
        <v>35</v>
      </c>
      <c r="E835" t="s">
        <v>354</v>
      </c>
      <c r="F835" t="s">
        <v>387</v>
      </c>
      <c r="G835" t="s">
        <v>36</v>
      </c>
      <c r="H835" t="s">
        <v>43</v>
      </c>
      <c r="I835" s="187"/>
      <c r="J835" s="187">
        <v>30.607059478759766</v>
      </c>
      <c r="K835" s="187">
        <v>6516.314453125</v>
      </c>
      <c r="L835" s="187">
        <v>198.94587707519531</v>
      </c>
      <c r="M835" s="187">
        <v>6745.8671875</v>
      </c>
      <c r="N835" s="187">
        <v>198.94587707519531</v>
      </c>
      <c r="O835" t="s">
        <v>1294</v>
      </c>
    </row>
    <row r="836" spans="1:15" hidden="1" x14ac:dyDescent="0.45">
      <c r="A836" s="187">
        <v>2015</v>
      </c>
      <c r="B836" t="s">
        <v>34</v>
      </c>
      <c r="C836" t="s">
        <v>324</v>
      </c>
      <c r="D836" t="s">
        <v>35</v>
      </c>
      <c r="E836" t="s">
        <v>354</v>
      </c>
      <c r="F836" t="s">
        <v>387</v>
      </c>
      <c r="G836" t="s">
        <v>37</v>
      </c>
      <c r="H836" t="s">
        <v>43</v>
      </c>
      <c r="I836" s="187"/>
      <c r="J836" s="187">
        <v>24</v>
      </c>
      <c r="K836" s="187">
        <v>5109.6562899999999</v>
      </c>
      <c r="L836" s="187">
        <v>156</v>
      </c>
      <c r="M836" s="187">
        <v>5289.65625</v>
      </c>
      <c r="N836" s="187">
        <v>156</v>
      </c>
      <c r="O836" t="s">
        <v>1295</v>
      </c>
    </row>
    <row r="837" spans="1:15" hidden="1" x14ac:dyDescent="0.45">
      <c r="A837" s="187">
        <v>2015</v>
      </c>
      <c r="B837" t="s">
        <v>34</v>
      </c>
      <c r="C837" t="s">
        <v>324</v>
      </c>
      <c r="D837" t="s">
        <v>35</v>
      </c>
      <c r="E837" t="s">
        <v>17</v>
      </c>
      <c r="F837" t="s">
        <v>17</v>
      </c>
      <c r="G837" t="s">
        <v>36</v>
      </c>
      <c r="H837" t="s">
        <v>43</v>
      </c>
      <c r="I837" s="187"/>
      <c r="J837" s="187">
        <v>35.708236694335938</v>
      </c>
      <c r="K837" s="187">
        <v>1618.3680419921875</v>
      </c>
      <c r="L837" s="187">
        <v>2017.5152587890625</v>
      </c>
      <c r="M837" s="187">
        <v>3671.591552734375</v>
      </c>
      <c r="N837" s="187">
        <v>2017.5152587890625</v>
      </c>
      <c r="O837" t="s">
        <v>1296</v>
      </c>
    </row>
    <row r="838" spans="1:15" hidden="1" x14ac:dyDescent="0.45">
      <c r="A838" s="187">
        <v>2015</v>
      </c>
      <c r="B838" t="s">
        <v>34</v>
      </c>
      <c r="C838" t="s">
        <v>324</v>
      </c>
      <c r="D838" t="s">
        <v>35</v>
      </c>
      <c r="E838" t="s">
        <v>17</v>
      </c>
      <c r="F838" t="s">
        <v>17</v>
      </c>
      <c r="G838" t="s">
        <v>37</v>
      </c>
      <c r="H838" t="s">
        <v>43</v>
      </c>
      <c r="I838" s="187"/>
      <c r="J838" s="187">
        <v>28</v>
      </c>
      <c r="K838" s="187">
        <v>1269.0155500000001</v>
      </c>
      <c r="L838" s="187">
        <v>1582</v>
      </c>
      <c r="M838" s="187">
        <v>2879.015625</v>
      </c>
      <c r="N838" s="187">
        <v>1582</v>
      </c>
      <c r="O838" t="s">
        <v>1297</v>
      </c>
    </row>
    <row r="839" spans="1:15" hidden="1" x14ac:dyDescent="0.45">
      <c r="A839" s="187">
        <v>2015</v>
      </c>
      <c r="B839" t="s">
        <v>34</v>
      </c>
      <c r="C839" t="s">
        <v>324</v>
      </c>
      <c r="D839" t="s">
        <v>35</v>
      </c>
      <c r="E839" t="s">
        <v>45</v>
      </c>
      <c r="F839" t="s">
        <v>45</v>
      </c>
      <c r="G839" t="s">
        <v>36</v>
      </c>
      <c r="H839" t="s">
        <v>43</v>
      </c>
      <c r="I839" s="187"/>
      <c r="J839" s="187">
        <v>0</v>
      </c>
      <c r="K839" s="187">
        <v>750.97247314453125</v>
      </c>
      <c r="L839" s="187">
        <v>5783.458984375</v>
      </c>
      <c r="M839" s="187">
        <v>6534.431640625</v>
      </c>
      <c r="N839" s="187">
        <v>5783.458984375</v>
      </c>
      <c r="O839" t="s">
        <v>1298</v>
      </c>
    </row>
    <row r="840" spans="1:15" hidden="1" x14ac:dyDescent="0.45">
      <c r="A840" s="187">
        <v>2015</v>
      </c>
      <c r="B840" t="s">
        <v>34</v>
      </c>
      <c r="C840" t="s">
        <v>324</v>
      </c>
      <c r="D840" t="s">
        <v>35</v>
      </c>
      <c r="E840" t="s">
        <v>45</v>
      </c>
      <c r="F840" t="s">
        <v>45</v>
      </c>
      <c r="G840" t="s">
        <v>37</v>
      </c>
      <c r="H840" t="s">
        <v>43</v>
      </c>
      <c r="I840" s="187"/>
      <c r="J840" s="187">
        <v>0</v>
      </c>
      <c r="K840" s="187">
        <v>588.86216999999988</v>
      </c>
      <c r="L840" s="187">
        <v>4535</v>
      </c>
      <c r="M840" s="187">
        <v>5123.8623046875</v>
      </c>
      <c r="N840" s="187">
        <v>4535</v>
      </c>
      <c r="O840" t="s">
        <v>1299</v>
      </c>
    </row>
    <row r="841" spans="1:15" hidden="1" x14ac:dyDescent="0.45">
      <c r="A841" s="187">
        <v>2015</v>
      </c>
      <c r="B841" t="s">
        <v>34</v>
      </c>
      <c r="C841" t="s">
        <v>324</v>
      </c>
      <c r="D841" t="s">
        <v>35</v>
      </c>
      <c r="E841" t="s">
        <v>356</v>
      </c>
      <c r="F841" t="s">
        <v>356</v>
      </c>
      <c r="G841" t="s">
        <v>36</v>
      </c>
      <c r="H841" t="s">
        <v>43</v>
      </c>
      <c r="I841" s="187"/>
      <c r="J841" s="187">
        <v>0</v>
      </c>
      <c r="K841" s="187">
        <v>0</v>
      </c>
      <c r="L841" s="187">
        <v>0</v>
      </c>
      <c r="M841" s="187">
        <v>0</v>
      </c>
      <c r="N841" s="187">
        <v>0</v>
      </c>
      <c r="O841" t="s">
        <v>1300</v>
      </c>
    </row>
    <row r="842" spans="1:15" hidden="1" x14ac:dyDescent="0.45">
      <c r="A842" s="187">
        <v>2015</v>
      </c>
      <c r="B842" t="s">
        <v>34</v>
      </c>
      <c r="C842" t="s">
        <v>324</v>
      </c>
      <c r="D842" t="s">
        <v>35</v>
      </c>
      <c r="E842" t="s">
        <v>356</v>
      </c>
      <c r="F842" t="s">
        <v>356</v>
      </c>
      <c r="G842" t="s">
        <v>37</v>
      </c>
      <c r="H842" t="s">
        <v>43</v>
      </c>
      <c r="I842" s="187"/>
      <c r="J842" s="187">
        <v>0</v>
      </c>
      <c r="K842" s="187">
        <v>0</v>
      </c>
      <c r="L842" s="187">
        <v>0</v>
      </c>
      <c r="M842" s="187">
        <v>0</v>
      </c>
      <c r="N842" s="187">
        <v>0</v>
      </c>
      <c r="O842" t="s">
        <v>1301</v>
      </c>
    </row>
    <row r="843" spans="1:15" hidden="1" x14ac:dyDescent="0.45">
      <c r="A843" s="187">
        <v>2015</v>
      </c>
      <c r="B843" t="s">
        <v>34</v>
      </c>
      <c r="C843" t="s">
        <v>325</v>
      </c>
      <c r="D843" t="s">
        <v>35</v>
      </c>
      <c r="E843" t="s">
        <v>357</v>
      </c>
      <c r="F843" t="s">
        <v>412</v>
      </c>
      <c r="G843" t="s">
        <v>36</v>
      </c>
      <c r="H843" t="s">
        <v>43</v>
      </c>
      <c r="I843" s="187"/>
      <c r="J843" s="187">
        <v>354.53176879882813</v>
      </c>
      <c r="K843" s="187">
        <v>3366.473388671875</v>
      </c>
      <c r="L843" s="187">
        <v>6694.01904296875</v>
      </c>
      <c r="M843" s="187">
        <v>10415.0244140625</v>
      </c>
      <c r="N843" s="187">
        <v>6694.01904296875</v>
      </c>
      <c r="O843" t="s">
        <v>1302</v>
      </c>
    </row>
    <row r="844" spans="1:15" hidden="1" x14ac:dyDescent="0.45">
      <c r="A844" s="187">
        <v>2015</v>
      </c>
      <c r="B844" t="s">
        <v>34</v>
      </c>
      <c r="C844" t="s">
        <v>325</v>
      </c>
      <c r="D844" t="s">
        <v>35</v>
      </c>
      <c r="E844" t="s">
        <v>357</v>
      </c>
      <c r="F844" t="s">
        <v>412</v>
      </c>
      <c r="G844" t="s">
        <v>37</v>
      </c>
      <c r="H844" t="s">
        <v>43</v>
      </c>
      <c r="I844" s="187"/>
      <c r="J844" s="187">
        <v>278</v>
      </c>
      <c r="K844" s="187">
        <v>2639.76242</v>
      </c>
      <c r="L844" s="187">
        <v>5249</v>
      </c>
      <c r="M844" s="187">
        <v>8166.7626953125</v>
      </c>
      <c r="N844" s="187">
        <v>5249</v>
      </c>
      <c r="O844" t="s">
        <v>1303</v>
      </c>
    </row>
    <row r="845" spans="1:15" hidden="1" x14ac:dyDescent="0.45">
      <c r="A845" s="187">
        <v>2015</v>
      </c>
      <c r="B845" t="s">
        <v>34</v>
      </c>
      <c r="C845" t="s">
        <v>325</v>
      </c>
      <c r="D845" t="s">
        <v>35</v>
      </c>
      <c r="E845" t="s">
        <v>357</v>
      </c>
      <c r="F845" t="s">
        <v>413</v>
      </c>
      <c r="G845" t="s">
        <v>36</v>
      </c>
      <c r="H845" t="s">
        <v>43</v>
      </c>
      <c r="I845" s="187"/>
      <c r="J845" s="187">
        <v>354.53176879882813</v>
      </c>
      <c r="K845" s="187">
        <v>3366.473388671875</v>
      </c>
      <c r="L845" s="187">
        <v>6632.8046875</v>
      </c>
      <c r="M845" s="187">
        <v>10353.8095703125</v>
      </c>
      <c r="N845" s="187">
        <v>6632.8046875</v>
      </c>
      <c r="O845" t="s">
        <v>1304</v>
      </c>
    </row>
    <row r="846" spans="1:15" hidden="1" x14ac:dyDescent="0.45">
      <c r="A846" s="187">
        <v>2015</v>
      </c>
      <c r="B846" t="s">
        <v>34</v>
      </c>
      <c r="C846" t="s">
        <v>325</v>
      </c>
      <c r="D846" t="s">
        <v>35</v>
      </c>
      <c r="E846" t="s">
        <v>357</v>
      </c>
      <c r="F846" t="s">
        <v>413</v>
      </c>
      <c r="G846" t="s">
        <v>37</v>
      </c>
      <c r="H846" t="s">
        <v>43</v>
      </c>
      <c r="I846" s="187"/>
      <c r="J846" s="187">
        <v>278</v>
      </c>
      <c r="K846" s="187">
        <v>2639.76242</v>
      </c>
      <c r="L846" s="187">
        <v>5201</v>
      </c>
      <c r="M846" s="187">
        <v>8118.7626953125</v>
      </c>
      <c r="N846" s="187">
        <v>5201</v>
      </c>
      <c r="O846" t="s">
        <v>1305</v>
      </c>
    </row>
    <row r="847" spans="1:15" hidden="1" x14ac:dyDescent="0.45">
      <c r="A847" s="187">
        <v>2015</v>
      </c>
      <c r="B847" t="s">
        <v>34</v>
      </c>
      <c r="C847" t="s">
        <v>325</v>
      </c>
      <c r="D847" t="s">
        <v>35</v>
      </c>
      <c r="E847" t="s">
        <v>357</v>
      </c>
      <c r="F847" t="s">
        <v>414</v>
      </c>
      <c r="G847" t="s">
        <v>36</v>
      </c>
      <c r="H847" t="s">
        <v>43</v>
      </c>
      <c r="I847" s="187"/>
      <c r="J847" s="187">
        <v>0</v>
      </c>
      <c r="K847" s="187">
        <v>0</v>
      </c>
      <c r="L847" s="187">
        <v>61.214118957519531</v>
      </c>
      <c r="M847" s="187">
        <v>61.214118957519531</v>
      </c>
      <c r="N847" s="187">
        <v>61.214118957519531</v>
      </c>
      <c r="O847" t="s">
        <v>1306</v>
      </c>
    </row>
    <row r="848" spans="1:15" hidden="1" x14ac:dyDescent="0.45">
      <c r="A848" s="187">
        <v>2015</v>
      </c>
      <c r="B848" t="s">
        <v>34</v>
      </c>
      <c r="C848" t="s">
        <v>325</v>
      </c>
      <c r="D848" t="s">
        <v>35</v>
      </c>
      <c r="E848" t="s">
        <v>357</v>
      </c>
      <c r="F848" t="s">
        <v>414</v>
      </c>
      <c r="G848" t="s">
        <v>37</v>
      </c>
      <c r="H848" t="s">
        <v>43</v>
      </c>
      <c r="I848" s="187"/>
      <c r="J848" s="187">
        <v>0</v>
      </c>
      <c r="K848" s="187">
        <v>0</v>
      </c>
      <c r="L848" s="187">
        <v>48</v>
      </c>
      <c r="M848" s="187">
        <v>48</v>
      </c>
      <c r="N848" s="187">
        <v>48</v>
      </c>
      <c r="O848" t="s">
        <v>1307</v>
      </c>
    </row>
    <row r="849" spans="1:15" hidden="1" x14ac:dyDescent="0.45">
      <c r="A849" s="187">
        <v>2015</v>
      </c>
      <c r="B849" t="s">
        <v>34</v>
      </c>
      <c r="C849" t="s">
        <v>325</v>
      </c>
      <c r="D849" t="s">
        <v>35</v>
      </c>
      <c r="E849" t="s">
        <v>357</v>
      </c>
      <c r="F849" t="s">
        <v>392</v>
      </c>
      <c r="G849" t="s">
        <v>36</v>
      </c>
      <c r="H849" t="s">
        <v>43</v>
      </c>
      <c r="I849" s="187"/>
      <c r="J849" s="187">
        <v>0</v>
      </c>
      <c r="K849" s="187">
        <v>585.5740966796875</v>
      </c>
      <c r="L849" s="187">
        <v>452.72940063476563</v>
      </c>
      <c r="M849" s="187">
        <v>1038.303466796875</v>
      </c>
      <c r="N849" s="187">
        <v>452.72940063476563</v>
      </c>
      <c r="O849" t="s">
        <v>1308</v>
      </c>
    </row>
    <row r="850" spans="1:15" hidden="1" x14ac:dyDescent="0.45">
      <c r="A850" s="187">
        <v>2015</v>
      </c>
      <c r="B850" t="s">
        <v>34</v>
      </c>
      <c r="C850" t="s">
        <v>325</v>
      </c>
      <c r="D850" t="s">
        <v>35</v>
      </c>
      <c r="E850" t="s">
        <v>357</v>
      </c>
      <c r="F850" t="s">
        <v>392</v>
      </c>
      <c r="G850" t="s">
        <v>37</v>
      </c>
      <c r="H850" t="s">
        <v>43</v>
      </c>
      <c r="I850" s="187"/>
      <c r="J850" s="187">
        <v>0</v>
      </c>
      <c r="K850" s="187">
        <v>459.16788000000003</v>
      </c>
      <c r="L850" s="187">
        <v>355</v>
      </c>
      <c r="M850" s="187">
        <v>814.1678466796875</v>
      </c>
      <c r="N850" s="187">
        <v>355</v>
      </c>
      <c r="O850" t="s">
        <v>1309</v>
      </c>
    </row>
    <row r="851" spans="1:15" hidden="1" x14ac:dyDescent="0.45">
      <c r="A851" s="187">
        <v>2015</v>
      </c>
      <c r="B851" t="s">
        <v>34</v>
      </c>
      <c r="C851" t="s">
        <v>325</v>
      </c>
      <c r="D851" t="s">
        <v>35</v>
      </c>
      <c r="E851" t="s">
        <v>357</v>
      </c>
      <c r="F851" t="s">
        <v>393</v>
      </c>
      <c r="G851" t="s">
        <v>36</v>
      </c>
      <c r="H851" t="s">
        <v>43</v>
      </c>
      <c r="I851" s="187"/>
      <c r="J851" s="187">
        <v>0</v>
      </c>
      <c r="K851" s="187">
        <v>0</v>
      </c>
      <c r="L851" s="187">
        <v>0</v>
      </c>
      <c r="M851" s="187">
        <v>0</v>
      </c>
      <c r="N851" s="187">
        <v>0</v>
      </c>
      <c r="O851" t="s">
        <v>1310</v>
      </c>
    </row>
    <row r="852" spans="1:15" hidden="1" x14ac:dyDescent="0.45">
      <c r="A852" s="187">
        <v>2015</v>
      </c>
      <c r="B852" t="s">
        <v>34</v>
      </c>
      <c r="C852" t="s">
        <v>325</v>
      </c>
      <c r="D852" t="s">
        <v>35</v>
      </c>
      <c r="E852" t="s">
        <v>357</v>
      </c>
      <c r="F852" t="s">
        <v>393</v>
      </c>
      <c r="G852" t="s">
        <v>37</v>
      </c>
      <c r="H852" t="s">
        <v>43</v>
      </c>
      <c r="I852" s="187"/>
      <c r="J852" s="187">
        <v>0</v>
      </c>
      <c r="K852" s="187">
        <v>0</v>
      </c>
      <c r="L852" s="187">
        <v>0</v>
      </c>
      <c r="M852" s="187">
        <v>0</v>
      </c>
      <c r="N852" s="187">
        <v>0</v>
      </c>
      <c r="O852" t="s">
        <v>1311</v>
      </c>
    </row>
    <row r="853" spans="1:15" hidden="1" x14ac:dyDescent="0.45">
      <c r="A853" s="187">
        <v>2015</v>
      </c>
      <c r="B853" t="s">
        <v>34</v>
      </c>
      <c r="C853" t="s">
        <v>325</v>
      </c>
      <c r="D853" t="s">
        <v>35</v>
      </c>
      <c r="E853" t="s">
        <v>357</v>
      </c>
      <c r="F853" t="s">
        <v>394</v>
      </c>
      <c r="G853" t="s">
        <v>36</v>
      </c>
      <c r="H853" t="s">
        <v>43</v>
      </c>
      <c r="I853" s="187"/>
      <c r="J853" s="187">
        <v>0</v>
      </c>
      <c r="K853" s="187">
        <v>0</v>
      </c>
      <c r="L853" s="187">
        <v>0</v>
      </c>
      <c r="M853" s="187">
        <v>0</v>
      </c>
      <c r="N853" s="187">
        <v>0</v>
      </c>
      <c r="O853" t="s">
        <v>1312</v>
      </c>
    </row>
    <row r="854" spans="1:15" hidden="1" x14ac:dyDescent="0.45">
      <c r="A854" s="187">
        <v>2015</v>
      </c>
      <c r="B854" t="s">
        <v>34</v>
      </c>
      <c r="C854" t="s">
        <v>325</v>
      </c>
      <c r="D854" t="s">
        <v>35</v>
      </c>
      <c r="E854" t="s">
        <v>357</v>
      </c>
      <c r="F854" t="s">
        <v>394</v>
      </c>
      <c r="G854" t="s">
        <v>37</v>
      </c>
      <c r="H854" t="s">
        <v>43</v>
      </c>
      <c r="I854" s="187"/>
      <c r="J854" s="187">
        <v>0</v>
      </c>
      <c r="K854" s="187">
        <v>0</v>
      </c>
      <c r="L854" s="187">
        <v>0</v>
      </c>
      <c r="M854" s="187">
        <v>0</v>
      </c>
      <c r="N854" s="187">
        <v>0</v>
      </c>
      <c r="O854" t="s">
        <v>1313</v>
      </c>
    </row>
    <row r="855" spans="1:15" hidden="1" x14ac:dyDescent="0.45">
      <c r="A855" s="187">
        <v>2015</v>
      </c>
      <c r="B855" t="s">
        <v>34</v>
      </c>
      <c r="C855" t="s">
        <v>325</v>
      </c>
      <c r="D855" t="s">
        <v>35</v>
      </c>
      <c r="E855" t="s">
        <v>357</v>
      </c>
      <c r="F855" t="s">
        <v>395</v>
      </c>
      <c r="G855" t="s">
        <v>36</v>
      </c>
      <c r="H855" t="s">
        <v>43</v>
      </c>
      <c r="I855" s="187"/>
      <c r="J855" s="187">
        <v>0</v>
      </c>
      <c r="K855" s="187">
        <v>521.47882080078125</v>
      </c>
      <c r="L855" s="187">
        <v>311.1717529296875</v>
      </c>
      <c r="M855" s="187">
        <v>832.65057373046875</v>
      </c>
      <c r="N855" s="187">
        <v>311.1717529296875</v>
      </c>
      <c r="O855" t="s">
        <v>1314</v>
      </c>
    </row>
    <row r="856" spans="1:15" hidden="1" x14ac:dyDescent="0.45">
      <c r="A856" s="187">
        <v>2015</v>
      </c>
      <c r="B856" t="s">
        <v>34</v>
      </c>
      <c r="C856" t="s">
        <v>325</v>
      </c>
      <c r="D856" t="s">
        <v>35</v>
      </c>
      <c r="E856" t="s">
        <v>357</v>
      </c>
      <c r="F856" t="s">
        <v>395</v>
      </c>
      <c r="G856" t="s">
        <v>37</v>
      </c>
      <c r="H856" t="s">
        <v>43</v>
      </c>
      <c r="I856" s="187"/>
      <c r="J856" s="187">
        <v>0</v>
      </c>
      <c r="K856" s="187">
        <v>408.90867999999989</v>
      </c>
      <c r="L856" s="187">
        <v>244</v>
      </c>
      <c r="M856" s="187">
        <v>652.90869140625</v>
      </c>
      <c r="N856" s="187">
        <v>244</v>
      </c>
      <c r="O856" t="s">
        <v>1315</v>
      </c>
    </row>
    <row r="857" spans="1:15" hidden="1" x14ac:dyDescent="0.45">
      <c r="A857" s="187">
        <v>2015</v>
      </c>
      <c r="B857" t="s">
        <v>34</v>
      </c>
      <c r="C857" t="s">
        <v>325</v>
      </c>
      <c r="D857" t="s">
        <v>35</v>
      </c>
      <c r="E857" t="s">
        <v>357</v>
      </c>
      <c r="F857" t="s">
        <v>396</v>
      </c>
      <c r="G857" t="s">
        <v>36</v>
      </c>
      <c r="H857" t="s">
        <v>43</v>
      </c>
      <c r="I857" s="187"/>
      <c r="J857" s="187">
        <v>0</v>
      </c>
      <c r="K857" s="187">
        <v>384.98794555664063</v>
      </c>
      <c r="L857" s="187">
        <v>1274.018798828125</v>
      </c>
      <c r="M857" s="187">
        <v>1659.0067138671875</v>
      </c>
      <c r="N857" s="187">
        <v>1274.018798828125</v>
      </c>
      <c r="O857" t="s">
        <v>1316</v>
      </c>
    </row>
    <row r="858" spans="1:15" hidden="1" x14ac:dyDescent="0.45">
      <c r="A858" s="187">
        <v>2015</v>
      </c>
      <c r="B858" t="s">
        <v>34</v>
      </c>
      <c r="C858" t="s">
        <v>325</v>
      </c>
      <c r="D858" t="s">
        <v>35</v>
      </c>
      <c r="E858" t="s">
        <v>357</v>
      </c>
      <c r="F858" t="s">
        <v>396</v>
      </c>
      <c r="G858" t="s">
        <v>37</v>
      </c>
      <c r="H858" t="s">
        <v>43</v>
      </c>
      <c r="I858" s="187"/>
      <c r="J858" s="187">
        <v>0</v>
      </c>
      <c r="K858" s="187">
        <v>301.88170000000002</v>
      </c>
      <c r="L858" s="187">
        <v>999</v>
      </c>
      <c r="M858" s="187">
        <v>1300.8817138671875</v>
      </c>
      <c r="N858" s="187">
        <v>999</v>
      </c>
      <c r="O858" t="s">
        <v>1317</v>
      </c>
    </row>
    <row r="859" spans="1:15" hidden="1" x14ac:dyDescent="0.45">
      <c r="A859" s="187">
        <v>2015</v>
      </c>
      <c r="B859" t="s">
        <v>34</v>
      </c>
      <c r="C859" t="s">
        <v>325</v>
      </c>
      <c r="D859" t="s">
        <v>35</v>
      </c>
      <c r="E859" t="s">
        <v>357</v>
      </c>
      <c r="F859" t="s">
        <v>415</v>
      </c>
      <c r="G859" t="s">
        <v>36</v>
      </c>
      <c r="H859" t="s">
        <v>43</v>
      </c>
      <c r="I859" s="187"/>
      <c r="J859" s="187">
        <v>0</v>
      </c>
      <c r="K859" s="187">
        <v>1492.0408935546875</v>
      </c>
      <c r="L859" s="187">
        <v>2037.9200439453125</v>
      </c>
      <c r="M859" s="187">
        <v>3529.9609375</v>
      </c>
      <c r="N859" s="187">
        <v>2037.9200439453125</v>
      </c>
      <c r="O859" t="s">
        <v>1318</v>
      </c>
    </row>
    <row r="860" spans="1:15" hidden="1" x14ac:dyDescent="0.45">
      <c r="A860" s="187">
        <v>2015</v>
      </c>
      <c r="B860" t="s">
        <v>34</v>
      </c>
      <c r="C860" t="s">
        <v>325</v>
      </c>
      <c r="D860" t="s">
        <v>35</v>
      </c>
      <c r="E860" t="s">
        <v>357</v>
      </c>
      <c r="F860" t="s">
        <v>415</v>
      </c>
      <c r="G860" t="s">
        <v>37</v>
      </c>
      <c r="H860" t="s">
        <v>43</v>
      </c>
      <c r="I860" s="187"/>
      <c r="J860" s="187">
        <v>0</v>
      </c>
      <c r="K860" s="187">
        <v>1169.9582600000001</v>
      </c>
      <c r="L860" s="187">
        <v>1598</v>
      </c>
      <c r="M860" s="187">
        <v>2767.958251953125</v>
      </c>
      <c r="N860" s="187">
        <v>1598</v>
      </c>
      <c r="O860" t="s">
        <v>1319</v>
      </c>
    </row>
    <row r="861" spans="1:15" hidden="1" x14ac:dyDescent="0.45">
      <c r="A861" s="187">
        <v>2015</v>
      </c>
      <c r="B861" t="s">
        <v>34</v>
      </c>
      <c r="C861" t="s">
        <v>325</v>
      </c>
      <c r="D861" t="s">
        <v>35</v>
      </c>
      <c r="E861" t="s">
        <v>357</v>
      </c>
      <c r="F861" t="s">
        <v>416</v>
      </c>
      <c r="G861" t="s">
        <v>36</v>
      </c>
      <c r="H861" t="s">
        <v>43</v>
      </c>
      <c r="I861" s="187"/>
      <c r="J861" s="187">
        <v>12.752941131591797</v>
      </c>
      <c r="K861" s="187">
        <v>0</v>
      </c>
      <c r="L861" s="187"/>
      <c r="M861" s="187">
        <v>12.752941131591797</v>
      </c>
      <c r="N861" s="187">
        <v>0</v>
      </c>
      <c r="O861" t="s">
        <v>1320</v>
      </c>
    </row>
    <row r="862" spans="1:15" hidden="1" x14ac:dyDescent="0.45">
      <c r="A862" s="187">
        <v>2015</v>
      </c>
      <c r="B862" t="s">
        <v>34</v>
      </c>
      <c r="C862" t="s">
        <v>325</v>
      </c>
      <c r="D862" t="s">
        <v>35</v>
      </c>
      <c r="E862" t="s">
        <v>357</v>
      </c>
      <c r="F862" t="s">
        <v>416</v>
      </c>
      <c r="G862" t="s">
        <v>37</v>
      </c>
      <c r="H862" t="s">
        <v>43</v>
      </c>
      <c r="I862" s="187"/>
      <c r="J862" s="187">
        <v>10</v>
      </c>
      <c r="K862" s="187">
        <v>0</v>
      </c>
      <c r="L862" s="187"/>
      <c r="M862" s="187">
        <v>10</v>
      </c>
      <c r="N862" s="187">
        <v>0</v>
      </c>
      <c r="O862" t="s">
        <v>1321</v>
      </c>
    </row>
    <row r="863" spans="1:15" hidden="1" x14ac:dyDescent="0.45">
      <c r="A863" s="187">
        <v>2015</v>
      </c>
      <c r="B863" t="s">
        <v>34</v>
      </c>
      <c r="C863" t="s">
        <v>325</v>
      </c>
      <c r="D863" t="s">
        <v>35</v>
      </c>
      <c r="E863" t="s">
        <v>357</v>
      </c>
      <c r="F863" t="s">
        <v>417</v>
      </c>
      <c r="G863" t="s">
        <v>36</v>
      </c>
      <c r="H863" t="s">
        <v>43</v>
      </c>
      <c r="I863" s="187"/>
      <c r="J863" s="187">
        <v>155.58587646484375</v>
      </c>
      <c r="K863" s="187">
        <v>280.0299072265625</v>
      </c>
      <c r="L863" s="187">
        <v>1756.0799560546875</v>
      </c>
      <c r="M863" s="187">
        <v>2191.69580078125</v>
      </c>
      <c r="N863" s="187">
        <v>1756.0799560546875</v>
      </c>
      <c r="O863" t="s">
        <v>1322</v>
      </c>
    </row>
    <row r="864" spans="1:15" hidden="1" x14ac:dyDescent="0.45">
      <c r="A864" s="187">
        <v>2015</v>
      </c>
      <c r="B864" t="s">
        <v>34</v>
      </c>
      <c r="C864" t="s">
        <v>325</v>
      </c>
      <c r="D864" t="s">
        <v>35</v>
      </c>
      <c r="E864" t="s">
        <v>357</v>
      </c>
      <c r="F864" t="s">
        <v>417</v>
      </c>
      <c r="G864" t="s">
        <v>37</v>
      </c>
      <c r="H864" t="s">
        <v>43</v>
      </c>
      <c r="I864" s="187"/>
      <c r="J864" s="187">
        <v>122</v>
      </c>
      <c r="K864" s="187">
        <v>219.58063999999999</v>
      </c>
      <c r="L864" s="187">
        <v>1377</v>
      </c>
      <c r="M864" s="187">
        <v>1718.58056640625</v>
      </c>
      <c r="N864" s="187">
        <v>1377</v>
      </c>
      <c r="O864" t="s">
        <v>1323</v>
      </c>
    </row>
    <row r="865" spans="1:15" hidden="1" x14ac:dyDescent="0.45">
      <c r="A865" s="187">
        <v>2015</v>
      </c>
      <c r="B865" t="s">
        <v>34</v>
      </c>
      <c r="C865" t="s">
        <v>325</v>
      </c>
      <c r="D865" t="s">
        <v>35</v>
      </c>
      <c r="E865" t="s">
        <v>357</v>
      </c>
      <c r="F865" t="s">
        <v>418</v>
      </c>
      <c r="G865" t="s">
        <v>36</v>
      </c>
      <c r="H865" t="s">
        <v>43</v>
      </c>
      <c r="I865" s="187"/>
      <c r="J865" s="187">
        <v>121.15293884277344</v>
      </c>
      <c r="K865" s="187">
        <v>897.07232666015625</v>
      </c>
      <c r="L865" s="187"/>
      <c r="M865" s="187">
        <v>1018.2252807617188</v>
      </c>
      <c r="N865" s="187">
        <v>0</v>
      </c>
      <c r="O865" t="s">
        <v>1324</v>
      </c>
    </row>
    <row r="866" spans="1:15" hidden="1" x14ac:dyDescent="0.45">
      <c r="A866" s="187">
        <v>2015</v>
      </c>
      <c r="B866" t="s">
        <v>34</v>
      </c>
      <c r="C866" t="s">
        <v>325</v>
      </c>
      <c r="D866" t="s">
        <v>35</v>
      </c>
      <c r="E866" t="s">
        <v>357</v>
      </c>
      <c r="F866" t="s">
        <v>418</v>
      </c>
      <c r="G866" t="s">
        <v>37</v>
      </c>
      <c r="H866" t="s">
        <v>43</v>
      </c>
      <c r="I866" s="187"/>
      <c r="J866" s="187">
        <v>95</v>
      </c>
      <c r="K866" s="187">
        <v>703.42385000000002</v>
      </c>
      <c r="L866" s="187"/>
      <c r="M866" s="187">
        <v>798.423828125</v>
      </c>
      <c r="N866" s="187">
        <v>0</v>
      </c>
      <c r="O866" t="s">
        <v>1325</v>
      </c>
    </row>
    <row r="867" spans="1:15" hidden="1" x14ac:dyDescent="0.45">
      <c r="A867" s="187">
        <v>2015</v>
      </c>
      <c r="B867" t="s">
        <v>34</v>
      </c>
      <c r="C867" t="s">
        <v>325</v>
      </c>
      <c r="D867" t="s">
        <v>35</v>
      </c>
      <c r="E867" t="s">
        <v>357</v>
      </c>
      <c r="F867" t="s">
        <v>419</v>
      </c>
      <c r="G867" t="s">
        <v>36</v>
      </c>
      <c r="H867" t="s">
        <v>43</v>
      </c>
      <c r="I867" s="187"/>
      <c r="J867" s="187">
        <v>0</v>
      </c>
      <c r="K867" s="187">
        <v>0</v>
      </c>
      <c r="L867" s="187"/>
      <c r="M867" s="187">
        <v>0</v>
      </c>
      <c r="N867" s="187">
        <v>0</v>
      </c>
      <c r="O867" t="s">
        <v>1326</v>
      </c>
    </row>
    <row r="868" spans="1:15" hidden="1" x14ac:dyDescent="0.45">
      <c r="A868" s="187">
        <v>2015</v>
      </c>
      <c r="B868" t="s">
        <v>34</v>
      </c>
      <c r="C868" t="s">
        <v>325</v>
      </c>
      <c r="D868" t="s">
        <v>35</v>
      </c>
      <c r="E868" t="s">
        <v>357</v>
      </c>
      <c r="F868" t="s">
        <v>419</v>
      </c>
      <c r="G868" t="s">
        <v>37</v>
      </c>
      <c r="H868" t="s">
        <v>43</v>
      </c>
      <c r="I868" s="187"/>
      <c r="J868" s="187">
        <v>0</v>
      </c>
      <c r="K868" s="187">
        <v>0</v>
      </c>
      <c r="L868" s="187"/>
      <c r="M868" s="187">
        <v>0</v>
      </c>
      <c r="N868" s="187">
        <v>0</v>
      </c>
      <c r="O868" t="s">
        <v>1327</v>
      </c>
    </row>
    <row r="869" spans="1:15" hidden="1" x14ac:dyDescent="0.45">
      <c r="A869" s="187">
        <v>2015</v>
      </c>
      <c r="B869" t="s">
        <v>34</v>
      </c>
      <c r="C869" t="s">
        <v>325</v>
      </c>
      <c r="D869" t="s">
        <v>35</v>
      </c>
      <c r="E869" t="s">
        <v>357</v>
      </c>
      <c r="F869" t="s">
        <v>420</v>
      </c>
      <c r="G869" t="s">
        <v>36</v>
      </c>
      <c r="H869" t="s">
        <v>43</v>
      </c>
      <c r="I869" s="187"/>
      <c r="J869" s="187">
        <v>289.49176025390625</v>
      </c>
      <c r="K869" s="187">
        <v>1177.1021728515625</v>
      </c>
      <c r="L869" s="187">
        <v>1756.0799560546875</v>
      </c>
      <c r="M869" s="187">
        <v>3222.673828125</v>
      </c>
      <c r="N869" s="187">
        <v>1756.0799560546875</v>
      </c>
      <c r="O869" t="s">
        <v>1328</v>
      </c>
    </row>
    <row r="870" spans="1:15" hidden="1" x14ac:dyDescent="0.45">
      <c r="A870" s="187">
        <v>2015</v>
      </c>
      <c r="B870" t="s">
        <v>34</v>
      </c>
      <c r="C870" t="s">
        <v>325</v>
      </c>
      <c r="D870" t="s">
        <v>35</v>
      </c>
      <c r="E870" t="s">
        <v>357</v>
      </c>
      <c r="F870" t="s">
        <v>420</v>
      </c>
      <c r="G870" t="s">
        <v>37</v>
      </c>
      <c r="H870" t="s">
        <v>43</v>
      </c>
      <c r="I870" s="187"/>
      <c r="J870" s="187">
        <v>227</v>
      </c>
      <c r="K870" s="187">
        <v>923.00449000000003</v>
      </c>
      <c r="L870" s="187">
        <v>1377</v>
      </c>
      <c r="M870" s="187">
        <v>2527.00439453125</v>
      </c>
      <c r="N870" s="187">
        <v>1377</v>
      </c>
      <c r="O870" t="s">
        <v>1329</v>
      </c>
    </row>
    <row r="871" spans="1:15" hidden="1" x14ac:dyDescent="0.45">
      <c r="A871" s="187">
        <v>2015</v>
      </c>
      <c r="B871" t="s">
        <v>34</v>
      </c>
      <c r="C871" t="s">
        <v>325</v>
      </c>
      <c r="D871" t="s">
        <v>35</v>
      </c>
      <c r="E871" t="s">
        <v>357</v>
      </c>
      <c r="F871" t="s">
        <v>402</v>
      </c>
      <c r="G871" t="s">
        <v>36</v>
      </c>
      <c r="H871" t="s">
        <v>43</v>
      </c>
      <c r="I871" s="187"/>
      <c r="J871" s="187">
        <v>0</v>
      </c>
      <c r="K871" s="187">
        <v>0</v>
      </c>
      <c r="L871" s="187">
        <v>0</v>
      </c>
      <c r="M871" s="187">
        <v>0</v>
      </c>
      <c r="N871" s="187">
        <v>0</v>
      </c>
      <c r="O871" t="s">
        <v>1330</v>
      </c>
    </row>
    <row r="872" spans="1:15" hidden="1" x14ac:dyDescent="0.45">
      <c r="A872" s="187">
        <v>2015</v>
      </c>
      <c r="B872" t="s">
        <v>34</v>
      </c>
      <c r="C872" t="s">
        <v>325</v>
      </c>
      <c r="D872" t="s">
        <v>35</v>
      </c>
      <c r="E872" t="s">
        <v>357</v>
      </c>
      <c r="F872" t="s">
        <v>402</v>
      </c>
      <c r="G872" t="s">
        <v>37</v>
      </c>
      <c r="H872" t="s">
        <v>43</v>
      </c>
      <c r="I872" s="187"/>
      <c r="J872" s="187">
        <v>0</v>
      </c>
      <c r="K872" s="187">
        <v>0</v>
      </c>
      <c r="L872" s="187">
        <v>0</v>
      </c>
      <c r="M872" s="187">
        <v>0</v>
      </c>
      <c r="N872" s="187">
        <v>0</v>
      </c>
      <c r="O872" t="s">
        <v>1331</v>
      </c>
    </row>
    <row r="873" spans="1:15" hidden="1" x14ac:dyDescent="0.45">
      <c r="A873" s="187">
        <v>2015</v>
      </c>
      <c r="B873" t="s">
        <v>34</v>
      </c>
      <c r="C873" t="s">
        <v>325</v>
      </c>
      <c r="D873" t="s">
        <v>35</v>
      </c>
      <c r="E873" t="s">
        <v>357</v>
      </c>
      <c r="F873" t="s">
        <v>403</v>
      </c>
      <c r="G873" t="s">
        <v>36</v>
      </c>
      <c r="H873" t="s">
        <v>43</v>
      </c>
      <c r="I873" s="187"/>
      <c r="J873" s="187">
        <v>29.331764221191406</v>
      </c>
      <c r="K873" s="187">
        <v>843.657470703125</v>
      </c>
      <c r="L873" s="187">
        <v>1610.696533203125</v>
      </c>
      <c r="M873" s="187">
        <v>2483.685791015625</v>
      </c>
      <c r="N873" s="187">
        <v>1610.696533203125</v>
      </c>
      <c r="O873" t="s">
        <v>1332</v>
      </c>
    </row>
    <row r="874" spans="1:15" hidden="1" x14ac:dyDescent="0.45">
      <c r="A874" s="187">
        <v>2015</v>
      </c>
      <c r="B874" t="s">
        <v>34</v>
      </c>
      <c r="C874" t="s">
        <v>325</v>
      </c>
      <c r="D874" t="s">
        <v>35</v>
      </c>
      <c r="E874" t="s">
        <v>357</v>
      </c>
      <c r="F874" t="s">
        <v>403</v>
      </c>
      <c r="G874" t="s">
        <v>37</v>
      </c>
      <c r="H874" t="s">
        <v>43</v>
      </c>
      <c r="I874" s="187"/>
      <c r="J874" s="187">
        <v>23</v>
      </c>
      <c r="K874" s="187">
        <v>661.53952999999979</v>
      </c>
      <c r="L874" s="187">
        <v>1263</v>
      </c>
      <c r="M874" s="187">
        <v>1947.53955078125</v>
      </c>
      <c r="N874" s="187">
        <v>1263</v>
      </c>
      <c r="O874" t="s">
        <v>1333</v>
      </c>
    </row>
    <row r="875" spans="1:15" hidden="1" x14ac:dyDescent="0.45">
      <c r="A875" s="187">
        <v>2015</v>
      </c>
      <c r="B875" t="s">
        <v>34</v>
      </c>
      <c r="C875" t="s">
        <v>325</v>
      </c>
      <c r="D875" t="s">
        <v>35</v>
      </c>
      <c r="E875" t="s">
        <v>357</v>
      </c>
      <c r="F875" t="s">
        <v>405</v>
      </c>
      <c r="G875" t="s">
        <v>36</v>
      </c>
      <c r="H875" t="s">
        <v>43</v>
      </c>
      <c r="I875" s="187"/>
      <c r="J875" s="187">
        <v>29.331764221191406</v>
      </c>
      <c r="K875" s="187">
        <v>0</v>
      </c>
      <c r="L875" s="187">
        <v>59.938823699951172</v>
      </c>
      <c r="M875" s="187">
        <v>89.270584106445313</v>
      </c>
      <c r="N875" s="187">
        <v>59.938823699951172</v>
      </c>
      <c r="O875" t="s">
        <v>1334</v>
      </c>
    </row>
    <row r="876" spans="1:15" hidden="1" x14ac:dyDescent="0.45">
      <c r="A876" s="187">
        <v>2015</v>
      </c>
      <c r="B876" t="s">
        <v>34</v>
      </c>
      <c r="C876" t="s">
        <v>325</v>
      </c>
      <c r="D876" t="s">
        <v>35</v>
      </c>
      <c r="E876" t="s">
        <v>357</v>
      </c>
      <c r="F876" t="s">
        <v>405</v>
      </c>
      <c r="G876" t="s">
        <v>37</v>
      </c>
      <c r="H876" t="s">
        <v>43</v>
      </c>
      <c r="I876" s="187"/>
      <c r="J876" s="187">
        <v>23</v>
      </c>
      <c r="K876" s="187">
        <v>0</v>
      </c>
      <c r="L876" s="187">
        <v>47</v>
      </c>
      <c r="M876" s="187">
        <v>70</v>
      </c>
      <c r="N876" s="187">
        <v>47</v>
      </c>
      <c r="O876" t="s">
        <v>1335</v>
      </c>
    </row>
    <row r="877" spans="1:15" hidden="1" x14ac:dyDescent="0.45">
      <c r="A877" s="187">
        <v>2015</v>
      </c>
      <c r="B877" t="s">
        <v>34</v>
      </c>
      <c r="C877" t="s">
        <v>325</v>
      </c>
      <c r="D877" t="s">
        <v>35</v>
      </c>
      <c r="E877" t="s">
        <v>357</v>
      </c>
      <c r="F877" t="s">
        <v>406</v>
      </c>
      <c r="G877" t="s">
        <v>36</v>
      </c>
      <c r="H877" t="s">
        <v>43</v>
      </c>
      <c r="I877" s="187"/>
      <c r="J877" s="187">
        <v>0</v>
      </c>
      <c r="K877" s="187">
        <v>0</v>
      </c>
      <c r="L877" s="187">
        <v>0</v>
      </c>
      <c r="M877" s="187">
        <v>0</v>
      </c>
      <c r="N877" s="187">
        <v>0</v>
      </c>
      <c r="O877" t="s">
        <v>1336</v>
      </c>
    </row>
    <row r="878" spans="1:15" hidden="1" x14ac:dyDescent="0.45">
      <c r="A878" s="187">
        <v>2015</v>
      </c>
      <c r="B878" t="s">
        <v>34</v>
      </c>
      <c r="C878" t="s">
        <v>325</v>
      </c>
      <c r="D878" t="s">
        <v>35</v>
      </c>
      <c r="E878" t="s">
        <v>357</v>
      </c>
      <c r="F878" t="s">
        <v>406</v>
      </c>
      <c r="G878" t="s">
        <v>37</v>
      </c>
      <c r="H878" t="s">
        <v>43</v>
      </c>
      <c r="I878" s="187"/>
      <c r="J878" s="187">
        <v>0</v>
      </c>
      <c r="K878" s="187">
        <v>0</v>
      </c>
      <c r="L878" s="187">
        <v>0</v>
      </c>
      <c r="M878" s="187">
        <v>0</v>
      </c>
      <c r="N878" s="187">
        <v>0</v>
      </c>
      <c r="O878" t="s">
        <v>1337</v>
      </c>
    </row>
    <row r="879" spans="1:15" hidden="1" x14ac:dyDescent="0.45">
      <c r="A879" s="187">
        <v>2015</v>
      </c>
      <c r="B879" t="s">
        <v>34</v>
      </c>
      <c r="C879" t="s">
        <v>325</v>
      </c>
      <c r="D879" t="s">
        <v>35</v>
      </c>
      <c r="E879" t="s">
        <v>357</v>
      </c>
      <c r="F879" t="s">
        <v>421</v>
      </c>
      <c r="G879" t="s">
        <v>36</v>
      </c>
      <c r="H879" t="s">
        <v>43</v>
      </c>
      <c r="I879" s="187"/>
      <c r="J879" s="187">
        <v>3.8258824348449707</v>
      </c>
      <c r="K879" s="187">
        <v>25.250619888305664</v>
      </c>
      <c r="L879" s="187">
        <v>44.635295867919922</v>
      </c>
      <c r="M879" s="187">
        <v>73.711799621582031</v>
      </c>
      <c r="N879" s="187">
        <v>44.635295867919922</v>
      </c>
      <c r="O879" t="s">
        <v>1338</v>
      </c>
    </row>
    <row r="880" spans="1:15" hidden="1" x14ac:dyDescent="0.45">
      <c r="A880" s="187">
        <v>2015</v>
      </c>
      <c r="B880" t="s">
        <v>34</v>
      </c>
      <c r="C880" t="s">
        <v>325</v>
      </c>
      <c r="D880" t="s">
        <v>35</v>
      </c>
      <c r="E880" t="s">
        <v>357</v>
      </c>
      <c r="F880" t="s">
        <v>421</v>
      </c>
      <c r="G880" t="s">
        <v>37</v>
      </c>
      <c r="H880" t="s">
        <v>43</v>
      </c>
      <c r="I880" s="187"/>
      <c r="J880" s="187">
        <v>3</v>
      </c>
      <c r="K880" s="187">
        <v>19.79984</v>
      </c>
      <c r="L880" s="187">
        <v>35</v>
      </c>
      <c r="M880" s="187">
        <v>57.799842834472656</v>
      </c>
      <c r="N880" s="187">
        <v>35</v>
      </c>
      <c r="O880" t="s">
        <v>1339</v>
      </c>
    </row>
    <row r="881" spans="1:15" hidden="1" x14ac:dyDescent="0.45">
      <c r="A881" s="187">
        <v>2015</v>
      </c>
      <c r="B881" t="s">
        <v>34</v>
      </c>
      <c r="C881" t="s">
        <v>325</v>
      </c>
      <c r="D881" t="s">
        <v>35</v>
      </c>
      <c r="E881" t="s">
        <v>357</v>
      </c>
      <c r="F881" t="s">
        <v>422</v>
      </c>
      <c r="G881" t="s">
        <v>36</v>
      </c>
      <c r="H881" t="s">
        <v>43</v>
      </c>
      <c r="I881" s="187"/>
      <c r="J881" s="187">
        <v>62.489410400390625</v>
      </c>
      <c r="K881" s="187">
        <v>868.9080810546875</v>
      </c>
      <c r="L881" s="187">
        <v>1715.2706298828125</v>
      </c>
      <c r="M881" s="187">
        <v>2646.66796875</v>
      </c>
      <c r="N881" s="187">
        <v>1715.2706298828125</v>
      </c>
      <c r="O881" t="s">
        <v>1340</v>
      </c>
    </row>
    <row r="882" spans="1:15" hidden="1" x14ac:dyDescent="0.45">
      <c r="A882" s="187">
        <v>2015</v>
      </c>
      <c r="B882" t="s">
        <v>34</v>
      </c>
      <c r="C882" t="s">
        <v>325</v>
      </c>
      <c r="D882" t="s">
        <v>35</v>
      </c>
      <c r="E882" t="s">
        <v>357</v>
      </c>
      <c r="F882" t="s">
        <v>422</v>
      </c>
      <c r="G882" t="s">
        <v>37</v>
      </c>
      <c r="H882" t="s">
        <v>43</v>
      </c>
      <c r="I882" s="187"/>
      <c r="J882" s="187">
        <v>49</v>
      </c>
      <c r="K882" s="187">
        <v>681.3393699999998</v>
      </c>
      <c r="L882" s="187">
        <v>1345</v>
      </c>
      <c r="M882" s="187">
        <v>2075.33935546875</v>
      </c>
      <c r="N882" s="187">
        <v>1345</v>
      </c>
      <c r="O882" t="s">
        <v>1341</v>
      </c>
    </row>
    <row r="883" spans="1:15" hidden="1" x14ac:dyDescent="0.45">
      <c r="A883" s="187">
        <v>2015</v>
      </c>
      <c r="B883" t="s">
        <v>34</v>
      </c>
      <c r="C883" t="s">
        <v>325</v>
      </c>
      <c r="D883" t="s">
        <v>35</v>
      </c>
      <c r="E883" t="s">
        <v>357</v>
      </c>
      <c r="F883" t="s">
        <v>423</v>
      </c>
      <c r="G883" t="s">
        <v>36</v>
      </c>
      <c r="H883" t="s">
        <v>43</v>
      </c>
      <c r="I883" s="187"/>
      <c r="J883" s="187">
        <v>2.5505881309509277</v>
      </c>
      <c r="K883" s="187">
        <v>-62.776035308837891</v>
      </c>
      <c r="L883" s="187">
        <v>734.56939697265625</v>
      </c>
      <c r="M883" s="187">
        <v>674.34393310546875</v>
      </c>
      <c r="N883" s="187">
        <v>734.56939697265625</v>
      </c>
      <c r="O883" t="s">
        <v>1342</v>
      </c>
    </row>
    <row r="884" spans="1:15" hidden="1" x14ac:dyDescent="0.45">
      <c r="A884" s="187">
        <v>2015</v>
      </c>
      <c r="B884" t="s">
        <v>34</v>
      </c>
      <c r="C884" t="s">
        <v>325</v>
      </c>
      <c r="D884" t="s">
        <v>35</v>
      </c>
      <c r="E884" t="s">
        <v>357</v>
      </c>
      <c r="F884" t="s">
        <v>423</v>
      </c>
      <c r="G884" t="s">
        <v>37</v>
      </c>
      <c r="H884" t="s">
        <v>43</v>
      </c>
      <c r="I884" s="187"/>
      <c r="J884" s="187">
        <v>2</v>
      </c>
      <c r="K884" s="187">
        <v>-49.22475</v>
      </c>
      <c r="L884" s="187">
        <v>576</v>
      </c>
      <c r="M884" s="187">
        <v>528.7752685546875</v>
      </c>
      <c r="N884" s="187">
        <v>576</v>
      </c>
      <c r="O884" t="s">
        <v>1343</v>
      </c>
    </row>
    <row r="885" spans="1:15" hidden="1" x14ac:dyDescent="0.45">
      <c r="A885" s="187">
        <v>2015</v>
      </c>
      <c r="B885" t="s">
        <v>34</v>
      </c>
      <c r="C885" t="s">
        <v>325</v>
      </c>
      <c r="D885" t="s">
        <v>35</v>
      </c>
      <c r="E885" t="s">
        <v>357</v>
      </c>
      <c r="F885" t="s">
        <v>424</v>
      </c>
      <c r="G885" t="s">
        <v>36</v>
      </c>
      <c r="H885" t="s">
        <v>43</v>
      </c>
      <c r="I885" s="187"/>
      <c r="J885" s="187">
        <v>0</v>
      </c>
      <c r="K885" s="187">
        <v>0</v>
      </c>
      <c r="L885" s="187">
        <v>5.1011762619018555</v>
      </c>
      <c r="M885" s="187">
        <v>5.1011762619018555</v>
      </c>
      <c r="N885" s="187">
        <v>5.1011762619018555</v>
      </c>
      <c r="O885" t="s">
        <v>1344</v>
      </c>
    </row>
    <row r="886" spans="1:15" hidden="1" x14ac:dyDescent="0.45">
      <c r="A886" s="187">
        <v>2015</v>
      </c>
      <c r="B886" t="s">
        <v>34</v>
      </c>
      <c r="C886" t="s">
        <v>325</v>
      </c>
      <c r="D886" t="s">
        <v>35</v>
      </c>
      <c r="E886" t="s">
        <v>357</v>
      </c>
      <c r="F886" t="s">
        <v>424</v>
      </c>
      <c r="G886" t="s">
        <v>37</v>
      </c>
      <c r="H886" t="s">
        <v>43</v>
      </c>
      <c r="I886" s="187"/>
      <c r="J886" s="187">
        <v>0</v>
      </c>
      <c r="K886" s="187">
        <v>0</v>
      </c>
      <c r="L886" s="187">
        <v>4</v>
      </c>
      <c r="M886" s="187">
        <v>4</v>
      </c>
      <c r="N886" s="187">
        <v>4</v>
      </c>
      <c r="O886" t="s">
        <v>1345</v>
      </c>
    </row>
    <row r="887" spans="1:15" hidden="1" x14ac:dyDescent="0.45">
      <c r="A887" s="187">
        <v>2015</v>
      </c>
      <c r="B887" t="s">
        <v>34</v>
      </c>
      <c r="C887" t="s">
        <v>325</v>
      </c>
      <c r="D887" t="s">
        <v>35</v>
      </c>
      <c r="E887" t="s">
        <v>357</v>
      </c>
      <c r="F887" t="s">
        <v>446</v>
      </c>
      <c r="G887" t="s">
        <v>36</v>
      </c>
      <c r="H887" t="s">
        <v>43</v>
      </c>
      <c r="I887" s="187"/>
      <c r="J887" s="187">
        <v>0</v>
      </c>
      <c r="K887" s="187">
        <v>-108.80165100097656</v>
      </c>
      <c r="L887" s="187">
        <v>445.07763671875</v>
      </c>
      <c r="M887" s="187">
        <v>336.2760009765625</v>
      </c>
      <c r="N887" s="187">
        <v>445.07763671875</v>
      </c>
      <c r="O887" t="s">
        <v>1346</v>
      </c>
    </row>
    <row r="888" spans="1:15" hidden="1" x14ac:dyDescent="0.45">
      <c r="A888" s="187">
        <v>2015</v>
      </c>
      <c r="B888" t="s">
        <v>34</v>
      </c>
      <c r="C888" t="s">
        <v>325</v>
      </c>
      <c r="D888" t="s">
        <v>35</v>
      </c>
      <c r="E888" t="s">
        <v>357</v>
      </c>
      <c r="F888" t="s">
        <v>446</v>
      </c>
      <c r="G888" t="s">
        <v>37</v>
      </c>
      <c r="H888" t="s">
        <v>43</v>
      </c>
      <c r="I888" s="187"/>
      <c r="J888" s="187">
        <v>0</v>
      </c>
      <c r="K888" s="187">
        <v>-85.314949999999996</v>
      </c>
      <c r="L888" s="187">
        <v>349</v>
      </c>
      <c r="M888" s="187">
        <v>263.68505859375</v>
      </c>
      <c r="N888" s="187">
        <v>349</v>
      </c>
      <c r="O888" t="s">
        <v>1347</v>
      </c>
    </row>
    <row r="889" spans="1:15" hidden="1" x14ac:dyDescent="0.45">
      <c r="A889" s="187">
        <v>2015</v>
      </c>
      <c r="B889" t="s">
        <v>34</v>
      </c>
      <c r="C889" t="s">
        <v>325</v>
      </c>
      <c r="D889" t="s">
        <v>35</v>
      </c>
      <c r="E889" t="s">
        <v>357</v>
      </c>
      <c r="F889" t="s">
        <v>426</v>
      </c>
      <c r="G889" t="s">
        <v>36</v>
      </c>
      <c r="H889" t="s">
        <v>43</v>
      </c>
      <c r="I889" s="187"/>
      <c r="J889" s="187">
        <v>2.5505881309509277</v>
      </c>
      <c r="K889" s="187">
        <v>-171.57768249511719</v>
      </c>
      <c r="L889" s="187">
        <v>1184.748291015625</v>
      </c>
      <c r="M889" s="187">
        <v>1015.72119140625</v>
      </c>
      <c r="N889" s="187">
        <v>1184.748291015625</v>
      </c>
      <c r="O889" t="s">
        <v>1348</v>
      </c>
    </row>
    <row r="890" spans="1:15" hidden="1" x14ac:dyDescent="0.45">
      <c r="A890" s="187">
        <v>2015</v>
      </c>
      <c r="B890" t="s">
        <v>34</v>
      </c>
      <c r="C890" t="s">
        <v>325</v>
      </c>
      <c r="D890" t="s">
        <v>35</v>
      </c>
      <c r="E890" t="s">
        <v>357</v>
      </c>
      <c r="F890" t="s">
        <v>426</v>
      </c>
      <c r="G890" t="s">
        <v>37</v>
      </c>
      <c r="H890" t="s">
        <v>43</v>
      </c>
      <c r="I890" s="187"/>
      <c r="J890" s="187">
        <v>2</v>
      </c>
      <c r="K890" s="187">
        <v>-134.53970000000001</v>
      </c>
      <c r="L890" s="187">
        <v>929</v>
      </c>
      <c r="M890" s="187">
        <v>796.4603271484375</v>
      </c>
      <c r="N890" s="187">
        <v>929</v>
      </c>
      <c r="O890" t="s">
        <v>1349</v>
      </c>
    </row>
    <row r="891" spans="1:15" hidden="1" x14ac:dyDescent="0.45">
      <c r="A891" s="187">
        <v>2015</v>
      </c>
      <c r="B891" t="s">
        <v>34</v>
      </c>
      <c r="C891" t="s">
        <v>325</v>
      </c>
      <c r="D891" t="s">
        <v>35</v>
      </c>
      <c r="E891" t="s">
        <v>358</v>
      </c>
      <c r="F891" t="s">
        <v>427</v>
      </c>
      <c r="G891" t="s">
        <v>36</v>
      </c>
      <c r="H891" t="s">
        <v>43</v>
      </c>
      <c r="I891" s="187"/>
      <c r="J891" s="187">
        <v>0</v>
      </c>
      <c r="K891" s="187">
        <v>0</v>
      </c>
      <c r="L891" s="187"/>
      <c r="M891" s="187">
        <v>0</v>
      </c>
      <c r="N891" s="187">
        <v>0</v>
      </c>
      <c r="O891" t="s">
        <v>1350</v>
      </c>
    </row>
    <row r="892" spans="1:15" hidden="1" x14ac:dyDescent="0.45">
      <c r="A892" s="187">
        <v>2015</v>
      </c>
      <c r="B892" t="s">
        <v>34</v>
      </c>
      <c r="C892" t="s">
        <v>325</v>
      </c>
      <c r="D892" t="s">
        <v>35</v>
      </c>
      <c r="E892" t="s">
        <v>358</v>
      </c>
      <c r="F892" t="s">
        <v>427</v>
      </c>
      <c r="G892" t="s">
        <v>37</v>
      </c>
      <c r="H892" t="s">
        <v>43</v>
      </c>
      <c r="I892" s="187"/>
      <c r="J892" s="187">
        <v>0</v>
      </c>
      <c r="K892" s="187">
        <v>0</v>
      </c>
      <c r="L892" s="187"/>
      <c r="M892" s="187">
        <v>0</v>
      </c>
      <c r="N892" s="187">
        <v>0</v>
      </c>
      <c r="O892" t="s">
        <v>1351</v>
      </c>
    </row>
    <row r="893" spans="1:15" hidden="1" x14ac:dyDescent="0.45">
      <c r="A893" s="187">
        <v>2015</v>
      </c>
      <c r="B893" t="s">
        <v>34</v>
      </c>
      <c r="C893" t="s">
        <v>325</v>
      </c>
      <c r="D893" t="s">
        <v>35</v>
      </c>
      <c r="E893" t="s">
        <v>358</v>
      </c>
      <c r="F893" t="s">
        <v>392</v>
      </c>
      <c r="G893" t="s">
        <v>36</v>
      </c>
      <c r="H893" t="s">
        <v>43</v>
      </c>
      <c r="I893" s="187"/>
      <c r="J893" s="187">
        <v>0</v>
      </c>
      <c r="K893" s="187">
        <v>0</v>
      </c>
      <c r="L893" s="187">
        <v>8.9270591735839844</v>
      </c>
      <c r="M893" s="187">
        <v>8.9270591735839844</v>
      </c>
      <c r="N893" s="187">
        <v>8.9270591735839844</v>
      </c>
      <c r="O893" t="s">
        <v>1352</v>
      </c>
    </row>
    <row r="894" spans="1:15" hidden="1" x14ac:dyDescent="0.45">
      <c r="A894" s="187">
        <v>2015</v>
      </c>
      <c r="B894" t="s">
        <v>34</v>
      </c>
      <c r="C894" t="s">
        <v>325</v>
      </c>
      <c r="D894" t="s">
        <v>35</v>
      </c>
      <c r="E894" t="s">
        <v>358</v>
      </c>
      <c r="F894" t="s">
        <v>392</v>
      </c>
      <c r="G894" t="s">
        <v>37</v>
      </c>
      <c r="H894" t="s">
        <v>43</v>
      </c>
      <c r="I894" s="187"/>
      <c r="J894" s="187">
        <v>0</v>
      </c>
      <c r="K894" s="187">
        <v>0</v>
      </c>
      <c r="L894" s="187">
        <v>7</v>
      </c>
      <c r="M894" s="187">
        <v>7</v>
      </c>
      <c r="N894" s="187">
        <v>7</v>
      </c>
      <c r="O894" t="s">
        <v>1353</v>
      </c>
    </row>
    <row r="895" spans="1:15" hidden="1" x14ac:dyDescent="0.45">
      <c r="A895" s="187">
        <v>2015</v>
      </c>
      <c r="B895" t="s">
        <v>34</v>
      </c>
      <c r="C895" t="s">
        <v>325</v>
      </c>
      <c r="D895" t="s">
        <v>35</v>
      </c>
      <c r="E895" t="s">
        <v>358</v>
      </c>
      <c r="F895" t="s">
        <v>393</v>
      </c>
      <c r="G895" t="s">
        <v>36</v>
      </c>
      <c r="H895" t="s">
        <v>43</v>
      </c>
      <c r="I895" s="187"/>
      <c r="J895" s="187">
        <v>0</v>
      </c>
      <c r="K895" s="187">
        <v>0</v>
      </c>
      <c r="L895" s="187">
        <v>0</v>
      </c>
      <c r="M895" s="187">
        <v>0</v>
      </c>
      <c r="N895" s="187">
        <v>0</v>
      </c>
      <c r="O895" t="s">
        <v>1354</v>
      </c>
    </row>
    <row r="896" spans="1:15" hidden="1" x14ac:dyDescent="0.45">
      <c r="A896" s="187">
        <v>2015</v>
      </c>
      <c r="B896" t="s">
        <v>34</v>
      </c>
      <c r="C896" t="s">
        <v>325</v>
      </c>
      <c r="D896" t="s">
        <v>35</v>
      </c>
      <c r="E896" t="s">
        <v>358</v>
      </c>
      <c r="F896" t="s">
        <v>393</v>
      </c>
      <c r="G896" t="s">
        <v>37</v>
      </c>
      <c r="H896" t="s">
        <v>43</v>
      </c>
      <c r="I896" s="187"/>
      <c r="J896" s="187">
        <v>0</v>
      </c>
      <c r="K896" s="187">
        <v>0</v>
      </c>
      <c r="L896" s="187">
        <v>0</v>
      </c>
      <c r="M896" s="187">
        <v>0</v>
      </c>
      <c r="N896" s="187">
        <v>0</v>
      </c>
      <c r="O896" t="s">
        <v>1355</v>
      </c>
    </row>
    <row r="897" spans="1:15" hidden="1" x14ac:dyDescent="0.45">
      <c r="A897" s="187">
        <v>2015</v>
      </c>
      <c r="B897" t="s">
        <v>34</v>
      </c>
      <c r="C897" t="s">
        <v>325</v>
      </c>
      <c r="D897" t="s">
        <v>35</v>
      </c>
      <c r="E897" t="s">
        <v>358</v>
      </c>
      <c r="F897" t="s">
        <v>394</v>
      </c>
      <c r="G897" t="s">
        <v>36</v>
      </c>
      <c r="H897" t="s">
        <v>43</v>
      </c>
      <c r="I897" s="187"/>
      <c r="J897" s="187">
        <v>0</v>
      </c>
      <c r="K897" s="187">
        <v>0</v>
      </c>
      <c r="L897" s="187">
        <v>0</v>
      </c>
      <c r="M897" s="187">
        <v>0</v>
      </c>
      <c r="N897" s="187">
        <v>0</v>
      </c>
      <c r="O897" t="s">
        <v>1356</v>
      </c>
    </row>
    <row r="898" spans="1:15" hidden="1" x14ac:dyDescent="0.45">
      <c r="A898" s="187">
        <v>2015</v>
      </c>
      <c r="B898" t="s">
        <v>34</v>
      </c>
      <c r="C898" t="s">
        <v>325</v>
      </c>
      <c r="D898" t="s">
        <v>35</v>
      </c>
      <c r="E898" t="s">
        <v>358</v>
      </c>
      <c r="F898" t="s">
        <v>394</v>
      </c>
      <c r="G898" t="s">
        <v>37</v>
      </c>
      <c r="H898" t="s">
        <v>43</v>
      </c>
      <c r="I898" s="187"/>
      <c r="J898" s="187">
        <v>0</v>
      </c>
      <c r="K898" s="187">
        <v>0</v>
      </c>
      <c r="L898" s="187">
        <v>0</v>
      </c>
      <c r="M898" s="187">
        <v>0</v>
      </c>
      <c r="N898" s="187">
        <v>0</v>
      </c>
      <c r="O898" t="s">
        <v>1357</v>
      </c>
    </row>
    <row r="899" spans="1:15" hidden="1" x14ac:dyDescent="0.45">
      <c r="A899" s="187">
        <v>2015</v>
      </c>
      <c r="B899" t="s">
        <v>34</v>
      </c>
      <c r="C899" t="s">
        <v>325</v>
      </c>
      <c r="D899" t="s">
        <v>35</v>
      </c>
      <c r="E899" t="s">
        <v>358</v>
      </c>
      <c r="F899" t="s">
        <v>395</v>
      </c>
      <c r="G899" t="s">
        <v>36</v>
      </c>
      <c r="H899" t="s">
        <v>43</v>
      </c>
      <c r="I899" s="187"/>
      <c r="J899" s="187">
        <v>0</v>
      </c>
      <c r="K899" s="187">
        <v>0</v>
      </c>
      <c r="L899" s="187">
        <v>0</v>
      </c>
      <c r="M899" s="187">
        <v>0</v>
      </c>
      <c r="N899" s="187">
        <v>0</v>
      </c>
      <c r="O899" t="s">
        <v>1358</v>
      </c>
    </row>
    <row r="900" spans="1:15" hidden="1" x14ac:dyDescent="0.45">
      <c r="A900" s="187">
        <v>2015</v>
      </c>
      <c r="B900" t="s">
        <v>34</v>
      </c>
      <c r="C900" t="s">
        <v>325</v>
      </c>
      <c r="D900" t="s">
        <v>35</v>
      </c>
      <c r="E900" t="s">
        <v>358</v>
      </c>
      <c r="F900" t="s">
        <v>395</v>
      </c>
      <c r="G900" t="s">
        <v>37</v>
      </c>
      <c r="H900" t="s">
        <v>43</v>
      </c>
      <c r="I900" s="187"/>
      <c r="J900" s="187">
        <v>0</v>
      </c>
      <c r="K900" s="187">
        <v>0</v>
      </c>
      <c r="L900" s="187">
        <v>0</v>
      </c>
      <c r="M900" s="187">
        <v>0</v>
      </c>
      <c r="N900" s="187">
        <v>0</v>
      </c>
      <c r="O900" t="s">
        <v>1359</v>
      </c>
    </row>
    <row r="901" spans="1:15" hidden="1" x14ac:dyDescent="0.45">
      <c r="A901" s="187">
        <v>2015</v>
      </c>
      <c r="B901" t="s">
        <v>34</v>
      </c>
      <c r="C901" t="s">
        <v>325</v>
      </c>
      <c r="D901" t="s">
        <v>35</v>
      </c>
      <c r="E901" t="s">
        <v>358</v>
      </c>
      <c r="F901" t="s">
        <v>396</v>
      </c>
      <c r="G901" t="s">
        <v>36</v>
      </c>
      <c r="H901" t="s">
        <v>43</v>
      </c>
      <c r="I901" s="187"/>
      <c r="J901" s="187">
        <v>0</v>
      </c>
      <c r="K901" s="187">
        <v>-92.755058288574219</v>
      </c>
      <c r="L901" s="187">
        <v>1300.800048828125</v>
      </c>
      <c r="M901" s="187">
        <v>1208.0450439453125</v>
      </c>
      <c r="N901" s="187">
        <v>1300.800048828125</v>
      </c>
      <c r="O901" t="s">
        <v>1360</v>
      </c>
    </row>
    <row r="902" spans="1:15" hidden="1" x14ac:dyDescent="0.45">
      <c r="A902" s="187">
        <v>2015</v>
      </c>
      <c r="B902" t="s">
        <v>34</v>
      </c>
      <c r="C902" t="s">
        <v>325</v>
      </c>
      <c r="D902" t="s">
        <v>35</v>
      </c>
      <c r="E902" t="s">
        <v>358</v>
      </c>
      <c r="F902" t="s">
        <v>396</v>
      </c>
      <c r="G902" t="s">
        <v>37</v>
      </c>
      <c r="H902" t="s">
        <v>43</v>
      </c>
      <c r="I902" s="187"/>
      <c r="J902" s="187">
        <v>0</v>
      </c>
      <c r="K902" s="187">
        <v>-72.732290000000006</v>
      </c>
      <c r="L902" s="187">
        <v>1020</v>
      </c>
      <c r="M902" s="187">
        <v>947.2677001953125</v>
      </c>
      <c r="N902" s="187">
        <v>1020</v>
      </c>
      <c r="O902" t="s">
        <v>1361</v>
      </c>
    </row>
    <row r="903" spans="1:15" hidden="1" x14ac:dyDescent="0.45">
      <c r="A903" s="187">
        <v>2015</v>
      </c>
      <c r="B903" t="s">
        <v>34</v>
      </c>
      <c r="C903" t="s">
        <v>325</v>
      </c>
      <c r="D903" t="s">
        <v>35</v>
      </c>
      <c r="E903" t="s">
        <v>358</v>
      </c>
      <c r="F903" t="s">
        <v>415</v>
      </c>
      <c r="G903" t="s">
        <v>36</v>
      </c>
      <c r="H903" t="s">
        <v>43</v>
      </c>
      <c r="I903" s="187"/>
      <c r="J903" s="187">
        <v>0</v>
      </c>
      <c r="K903" s="187">
        <v>-92.755058288574219</v>
      </c>
      <c r="L903" s="187">
        <v>1309.72705078125</v>
      </c>
      <c r="M903" s="187">
        <v>1216.9720458984375</v>
      </c>
      <c r="N903" s="187">
        <v>1309.72705078125</v>
      </c>
      <c r="O903" t="s">
        <v>1362</v>
      </c>
    </row>
    <row r="904" spans="1:15" hidden="1" x14ac:dyDescent="0.45">
      <c r="A904" s="187">
        <v>2015</v>
      </c>
      <c r="B904" t="s">
        <v>34</v>
      </c>
      <c r="C904" t="s">
        <v>325</v>
      </c>
      <c r="D904" t="s">
        <v>35</v>
      </c>
      <c r="E904" t="s">
        <v>358</v>
      </c>
      <c r="F904" t="s">
        <v>415</v>
      </c>
      <c r="G904" t="s">
        <v>37</v>
      </c>
      <c r="H904" t="s">
        <v>43</v>
      </c>
      <c r="I904" s="187"/>
      <c r="J904" s="187">
        <v>0</v>
      </c>
      <c r="K904" s="187">
        <v>-72.732290000000006</v>
      </c>
      <c r="L904" s="187">
        <v>1027</v>
      </c>
      <c r="M904" s="187">
        <v>954.2677001953125</v>
      </c>
      <c r="N904" s="187">
        <v>1027</v>
      </c>
      <c r="O904" t="s">
        <v>1363</v>
      </c>
    </row>
    <row r="905" spans="1:15" hidden="1" x14ac:dyDescent="0.45">
      <c r="A905" s="187">
        <v>2015</v>
      </c>
      <c r="B905" t="s">
        <v>34</v>
      </c>
      <c r="C905" t="s">
        <v>325</v>
      </c>
      <c r="D905" t="s">
        <v>35</v>
      </c>
      <c r="E905" t="s">
        <v>358</v>
      </c>
      <c r="F905" t="s">
        <v>416</v>
      </c>
      <c r="G905" t="s">
        <v>36</v>
      </c>
      <c r="H905" t="s">
        <v>43</v>
      </c>
      <c r="I905" s="187"/>
      <c r="J905" s="187">
        <v>0</v>
      </c>
      <c r="K905" s="187">
        <v>0</v>
      </c>
      <c r="L905" s="187"/>
      <c r="M905" s="187">
        <v>0</v>
      </c>
      <c r="N905" s="187">
        <v>0</v>
      </c>
      <c r="O905" t="s">
        <v>1364</v>
      </c>
    </row>
    <row r="906" spans="1:15" hidden="1" x14ac:dyDescent="0.45">
      <c r="A906" s="187">
        <v>2015</v>
      </c>
      <c r="B906" t="s">
        <v>34</v>
      </c>
      <c r="C906" t="s">
        <v>325</v>
      </c>
      <c r="D906" t="s">
        <v>35</v>
      </c>
      <c r="E906" t="s">
        <v>358</v>
      </c>
      <c r="F906" t="s">
        <v>416</v>
      </c>
      <c r="G906" t="s">
        <v>37</v>
      </c>
      <c r="H906" t="s">
        <v>43</v>
      </c>
      <c r="I906" s="187"/>
      <c r="J906" s="187">
        <v>0</v>
      </c>
      <c r="K906" s="187">
        <v>0</v>
      </c>
      <c r="L906" s="187"/>
      <c r="M906" s="187">
        <v>0</v>
      </c>
      <c r="N906" s="187">
        <v>0</v>
      </c>
      <c r="O906" t="s">
        <v>1365</v>
      </c>
    </row>
    <row r="907" spans="1:15" hidden="1" x14ac:dyDescent="0.45">
      <c r="A907" s="187">
        <v>2015</v>
      </c>
      <c r="B907" t="s">
        <v>34</v>
      </c>
      <c r="C907" t="s">
        <v>325</v>
      </c>
      <c r="D907" t="s">
        <v>35</v>
      </c>
      <c r="E907" t="s">
        <v>358</v>
      </c>
      <c r="F907" t="s">
        <v>417</v>
      </c>
      <c r="G907" t="s">
        <v>36</v>
      </c>
      <c r="H907" t="s">
        <v>43</v>
      </c>
      <c r="I907" s="187"/>
      <c r="J907" s="187">
        <v>17.854118347167969</v>
      </c>
      <c r="K907" s="187">
        <v>0</v>
      </c>
      <c r="L907" s="187">
        <v>0</v>
      </c>
      <c r="M907" s="187">
        <v>17.854118347167969</v>
      </c>
      <c r="N907" s="187">
        <v>0</v>
      </c>
      <c r="O907" t="s">
        <v>1366</v>
      </c>
    </row>
    <row r="908" spans="1:15" hidden="1" x14ac:dyDescent="0.45">
      <c r="A908" s="187">
        <v>2015</v>
      </c>
      <c r="B908" t="s">
        <v>34</v>
      </c>
      <c r="C908" t="s">
        <v>325</v>
      </c>
      <c r="D908" t="s">
        <v>35</v>
      </c>
      <c r="E908" t="s">
        <v>358</v>
      </c>
      <c r="F908" t="s">
        <v>417</v>
      </c>
      <c r="G908" t="s">
        <v>37</v>
      </c>
      <c r="H908" t="s">
        <v>43</v>
      </c>
      <c r="I908" s="187"/>
      <c r="J908" s="187">
        <v>14</v>
      </c>
      <c r="K908" s="187">
        <v>0</v>
      </c>
      <c r="L908" s="187">
        <v>0</v>
      </c>
      <c r="M908" s="187">
        <v>14</v>
      </c>
      <c r="N908" s="187">
        <v>0</v>
      </c>
      <c r="O908" t="s">
        <v>1367</v>
      </c>
    </row>
    <row r="909" spans="1:15" hidden="1" x14ac:dyDescent="0.45">
      <c r="A909" s="187">
        <v>2015</v>
      </c>
      <c r="B909" t="s">
        <v>34</v>
      </c>
      <c r="C909" t="s">
        <v>325</v>
      </c>
      <c r="D909" t="s">
        <v>35</v>
      </c>
      <c r="E909" t="s">
        <v>358</v>
      </c>
      <c r="F909" t="s">
        <v>418</v>
      </c>
      <c r="G909" t="s">
        <v>36</v>
      </c>
      <c r="H909" t="s">
        <v>43</v>
      </c>
      <c r="I909" s="187"/>
      <c r="J909" s="187">
        <v>0</v>
      </c>
      <c r="K909" s="187">
        <v>0</v>
      </c>
      <c r="L909" s="187"/>
      <c r="M909" s="187">
        <v>0</v>
      </c>
      <c r="N909" s="187">
        <v>0</v>
      </c>
      <c r="O909" t="s">
        <v>1368</v>
      </c>
    </row>
    <row r="910" spans="1:15" hidden="1" x14ac:dyDescent="0.45">
      <c r="A910" s="187">
        <v>2015</v>
      </c>
      <c r="B910" t="s">
        <v>34</v>
      </c>
      <c r="C910" t="s">
        <v>325</v>
      </c>
      <c r="D910" t="s">
        <v>35</v>
      </c>
      <c r="E910" t="s">
        <v>358</v>
      </c>
      <c r="F910" t="s">
        <v>418</v>
      </c>
      <c r="G910" t="s">
        <v>37</v>
      </c>
      <c r="H910" t="s">
        <v>43</v>
      </c>
      <c r="I910" s="187"/>
      <c r="J910" s="187">
        <v>0</v>
      </c>
      <c r="K910" s="187">
        <v>0</v>
      </c>
      <c r="L910" s="187"/>
      <c r="M910" s="187">
        <v>0</v>
      </c>
      <c r="N910" s="187">
        <v>0</v>
      </c>
      <c r="O910" t="s">
        <v>1369</v>
      </c>
    </row>
    <row r="911" spans="1:15" hidden="1" x14ac:dyDescent="0.45">
      <c r="A911" s="187">
        <v>2015</v>
      </c>
      <c r="B911" t="s">
        <v>34</v>
      </c>
      <c r="C911" t="s">
        <v>325</v>
      </c>
      <c r="D911" t="s">
        <v>35</v>
      </c>
      <c r="E911" t="s">
        <v>358</v>
      </c>
      <c r="F911" t="s">
        <v>419</v>
      </c>
      <c r="G911" t="s">
        <v>36</v>
      </c>
      <c r="H911" t="s">
        <v>43</v>
      </c>
      <c r="I911" s="187"/>
      <c r="J911" s="187">
        <v>0</v>
      </c>
      <c r="K911" s="187">
        <v>0</v>
      </c>
      <c r="L911" s="187"/>
      <c r="M911" s="187">
        <v>0</v>
      </c>
      <c r="N911" s="187">
        <v>0</v>
      </c>
      <c r="O911" t="s">
        <v>1370</v>
      </c>
    </row>
    <row r="912" spans="1:15" hidden="1" x14ac:dyDescent="0.45">
      <c r="A912" s="187">
        <v>2015</v>
      </c>
      <c r="B912" t="s">
        <v>34</v>
      </c>
      <c r="C912" t="s">
        <v>325</v>
      </c>
      <c r="D912" t="s">
        <v>35</v>
      </c>
      <c r="E912" t="s">
        <v>358</v>
      </c>
      <c r="F912" t="s">
        <v>419</v>
      </c>
      <c r="G912" t="s">
        <v>37</v>
      </c>
      <c r="H912" t="s">
        <v>43</v>
      </c>
      <c r="I912" s="187"/>
      <c r="J912" s="187">
        <v>0</v>
      </c>
      <c r="K912" s="187">
        <v>0</v>
      </c>
      <c r="L912" s="187"/>
      <c r="M912" s="187">
        <v>0</v>
      </c>
      <c r="N912" s="187">
        <v>0</v>
      </c>
      <c r="O912" t="s">
        <v>1371</v>
      </c>
    </row>
    <row r="913" spans="1:15" hidden="1" x14ac:dyDescent="0.45">
      <c r="A913" s="187">
        <v>2015</v>
      </c>
      <c r="B913" t="s">
        <v>34</v>
      </c>
      <c r="C913" t="s">
        <v>325</v>
      </c>
      <c r="D913" t="s">
        <v>35</v>
      </c>
      <c r="E913" t="s">
        <v>358</v>
      </c>
      <c r="F913" t="s">
        <v>420</v>
      </c>
      <c r="G913" t="s">
        <v>36</v>
      </c>
      <c r="H913" t="s">
        <v>43</v>
      </c>
      <c r="I913" s="187"/>
      <c r="J913" s="187">
        <v>17.854118347167969</v>
      </c>
      <c r="K913" s="187">
        <v>0</v>
      </c>
      <c r="L913" s="187">
        <v>0</v>
      </c>
      <c r="M913" s="187">
        <v>17.854118347167969</v>
      </c>
      <c r="N913" s="187">
        <v>0</v>
      </c>
      <c r="O913" t="s">
        <v>1372</v>
      </c>
    </row>
    <row r="914" spans="1:15" hidden="1" x14ac:dyDescent="0.45">
      <c r="A914" s="187">
        <v>2015</v>
      </c>
      <c r="B914" t="s">
        <v>34</v>
      </c>
      <c r="C914" t="s">
        <v>325</v>
      </c>
      <c r="D914" t="s">
        <v>35</v>
      </c>
      <c r="E914" t="s">
        <v>358</v>
      </c>
      <c r="F914" t="s">
        <v>420</v>
      </c>
      <c r="G914" t="s">
        <v>37</v>
      </c>
      <c r="H914" t="s">
        <v>43</v>
      </c>
      <c r="I914" s="187"/>
      <c r="J914" s="187">
        <v>14</v>
      </c>
      <c r="K914" s="187">
        <v>0</v>
      </c>
      <c r="L914" s="187">
        <v>0</v>
      </c>
      <c r="M914" s="187">
        <v>14</v>
      </c>
      <c r="N914" s="187">
        <v>0</v>
      </c>
      <c r="O914" t="s">
        <v>1373</v>
      </c>
    </row>
    <row r="915" spans="1:15" hidden="1" x14ac:dyDescent="0.45">
      <c r="A915" s="187">
        <v>2015</v>
      </c>
      <c r="B915" t="s">
        <v>34</v>
      </c>
      <c r="C915" t="s">
        <v>325</v>
      </c>
      <c r="D915" t="s">
        <v>35</v>
      </c>
      <c r="E915" t="s">
        <v>358</v>
      </c>
      <c r="F915" t="s">
        <v>402</v>
      </c>
      <c r="G915" t="s">
        <v>36</v>
      </c>
      <c r="H915" t="s">
        <v>43</v>
      </c>
      <c r="I915" s="187"/>
      <c r="J915" s="187">
        <v>1.2752940654754639</v>
      </c>
      <c r="K915" s="187">
        <v>2.7498528957366943</v>
      </c>
      <c r="L915" s="187">
        <v>0</v>
      </c>
      <c r="M915" s="187">
        <v>4.0251469612121582</v>
      </c>
      <c r="N915" s="187">
        <v>0</v>
      </c>
      <c r="O915" t="s">
        <v>1374</v>
      </c>
    </row>
    <row r="916" spans="1:15" hidden="1" x14ac:dyDescent="0.45">
      <c r="A916" s="187">
        <v>2015</v>
      </c>
      <c r="B916" t="s">
        <v>34</v>
      </c>
      <c r="C916" t="s">
        <v>325</v>
      </c>
      <c r="D916" t="s">
        <v>35</v>
      </c>
      <c r="E916" t="s">
        <v>358</v>
      </c>
      <c r="F916" t="s">
        <v>402</v>
      </c>
      <c r="G916" t="s">
        <v>37</v>
      </c>
      <c r="H916" t="s">
        <v>43</v>
      </c>
      <c r="I916" s="187"/>
      <c r="J916" s="187">
        <v>1</v>
      </c>
      <c r="K916" s="187">
        <v>2.15625</v>
      </c>
      <c r="L916" s="187">
        <v>0</v>
      </c>
      <c r="M916" s="187">
        <v>3.15625</v>
      </c>
      <c r="N916" s="187">
        <v>0</v>
      </c>
      <c r="O916" t="s">
        <v>1375</v>
      </c>
    </row>
    <row r="917" spans="1:15" hidden="1" x14ac:dyDescent="0.45">
      <c r="A917" s="187">
        <v>2015</v>
      </c>
      <c r="B917" t="s">
        <v>34</v>
      </c>
      <c r="C917" t="s">
        <v>325</v>
      </c>
      <c r="D917" t="s">
        <v>35</v>
      </c>
      <c r="E917" t="s">
        <v>358</v>
      </c>
      <c r="F917" t="s">
        <v>403</v>
      </c>
      <c r="G917" t="s">
        <v>36</v>
      </c>
      <c r="H917" t="s">
        <v>43</v>
      </c>
      <c r="I917" s="187"/>
      <c r="J917" s="187">
        <v>16.578823089599609</v>
      </c>
      <c r="K917" s="187">
        <v>1852.0430908203125</v>
      </c>
      <c r="L917" s="187">
        <v>707.7882080078125</v>
      </c>
      <c r="M917" s="187">
        <v>2576.41015625</v>
      </c>
      <c r="N917" s="187">
        <v>707.7882080078125</v>
      </c>
      <c r="O917" t="s">
        <v>1376</v>
      </c>
    </row>
    <row r="918" spans="1:15" hidden="1" x14ac:dyDescent="0.45">
      <c r="A918" s="187">
        <v>2015</v>
      </c>
      <c r="B918" t="s">
        <v>34</v>
      </c>
      <c r="C918" t="s">
        <v>325</v>
      </c>
      <c r="D918" t="s">
        <v>35</v>
      </c>
      <c r="E918" t="s">
        <v>358</v>
      </c>
      <c r="F918" t="s">
        <v>403</v>
      </c>
      <c r="G918" t="s">
        <v>37</v>
      </c>
      <c r="H918" t="s">
        <v>43</v>
      </c>
      <c r="I918" s="187"/>
      <c r="J918" s="187">
        <v>13</v>
      </c>
      <c r="K918" s="187">
        <v>1452.2477799999999</v>
      </c>
      <c r="L918" s="187">
        <v>555</v>
      </c>
      <c r="M918" s="187">
        <v>2020.247802734375</v>
      </c>
      <c r="N918" s="187">
        <v>555</v>
      </c>
      <c r="O918" t="s">
        <v>1377</v>
      </c>
    </row>
    <row r="919" spans="1:15" hidden="1" x14ac:dyDescent="0.45">
      <c r="A919" s="187">
        <v>2015</v>
      </c>
      <c r="B919" t="s">
        <v>34</v>
      </c>
      <c r="C919" t="s">
        <v>325</v>
      </c>
      <c r="D919" t="s">
        <v>35</v>
      </c>
      <c r="E919" t="s">
        <v>358</v>
      </c>
      <c r="F919" t="s">
        <v>405</v>
      </c>
      <c r="G919" t="s">
        <v>36</v>
      </c>
      <c r="H919" t="s">
        <v>43</v>
      </c>
      <c r="I919" s="187"/>
      <c r="J919" s="187">
        <v>0</v>
      </c>
      <c r="K919" s="187">
        <v>0</v>
      </c>
      <c r="L919" s="187">
        <v>0</v>
      </c>
      <c r="M919" s="187">
        <v>0</v>
      </c>
      <c r="N919" s="187">
        <v>0</v>
      </c>
      <c r="O919" t="s">
        <v>1378</v>
      </c>
    </row>
    <row r="920" spans="1:15" hidden="1" x14ac:dyDescent="0.45">
      <c r="A920" s="187">
        <v>2015</v>
      </c>
      <c r="B920" t="s">
        <v>34</v>
      </c>
      <c r="C920" t="s">
        <v>325</v>
      </c>
      <c r="D920" t="s">
        <v>35</v>
      </c>
      <c r="E920" t="s">
        <v>358</v>
      </c>
      <c r="F920" t="s">
        <v>405</v>
      </c>
      <c r="G920" t="s">
        <v>37</v>
      </c>
      <c r="H920" t="s">
        <v>43</v>
      </c>
      <c r="I920" s="187"/>
      <c r="J920" s="187">
        <v>0</v>
      </c>
      <c r="K920" s="187">
        <v>0</v>
      </c>
      <c r="L920" s="187">
        <v>0</v>
      </c>
      <c r="M920" s="187">
        <v>0</v>
      </c>
      <c r="N920" s="187">
        <v>0</v>
      </c>
      <c r="O920" t="s">
        <v>1379</v>
      </c>
    </row>
    <row r="921" spans="1:15" hidden="1" x14ac:dyDescent="0.45">
      <c r="A921" s="187">
        <v>2015</v>
      </c>
      <c r="B921" t="s">
        <v>34</v>
      </c>
      <c r="C921" t="s">
        <v>325</v>
      </c>
      <c r="D921" t="s">
        <v>35</v>
      </c>
      <c r="E921" t="s">
        <v>358</v>
      </c>
      <c r="F921" t="s">
        <v>406</v>
      </c>
      <c r="G921" t="s">
        <v>36</v>
      </c>
      <c r="H921" t="s">
        <v>43</v>
      </c>
      <c r="I921" s="187"/>
      <c r="J921" s="187">
        <v>0</v>
      </c>
      <c r="K921" s="187">
        <v>0</v>
      </c>
      <c r="L921" s="187">
        <v>0</v>
      </c>
      <c r="M921" s="187">
        <v>0</v>
      </c>
      <c r="N921" s="187">
        <v>0</v>
      </c>
      <c r="O921" t="s">
        <v>1380</v>
      </c>
    </row>
    <row r="922" spans="1:15" hidden="1" x14ac:dyDescent="0.45">
      <c r="A922" s="187">
        <v>2015</v>
      </c>
      <c r="B922" t="s">
        <v>34</v>
      </c>
      <c r="C922" t="s">
        <v>325</v>
      </c>
      <c r="D922" t="s">
        <v>35</v>
      </c>
      <c r="E922" t="s">
        <v>358</v>
      </c>
      <c r="F922" t="s">
        <v>406</v>
      </c>
      <c r="G922" t="s">
        <v>37</v>
      </c>
      <c r="H922" t="s">
        <v>43</v>
      </c>
      <c r="I922" s="187"/>
      <c r="J922" s="187">
        <v>0</v>
      </c>
      <c r="K922" s="187">
        <v>0</v>
      </c>
      <c r="L922" s="187">
        <v>0</v>
      </c>
      <c r="M922" s="187">
        <v>0</v>
      </c>
      <c r="N922" s="187">
        <v>0</v>
      </c>
      <c r="O922" t="s">
        <v>1381</v>
      </c>
    </row>
    <row r="923" spans="1:15" hidden="1" x14ac:dyDescent="0.45">
      <c r="A923" s="187">
        <v>2015</v>
      </c>
      <c r="B923" t="s">
        <v>34</v>
      </c>
      <c r="C923" t="s">
        <v>325</v>
      </c>
      <c r="D923" t="s">
        <v>35</v>
      </c>
      <c r="E923" t="s">
        <v>358</v>
      </c>
      <c r="F923" t="s">
        <v>421</v>
      </c>
      <c r="G923" t="s">
        <v>36</v>
      </c>
      <c r="H923" t="s">
        <v>43</v>
      </c>
      <c r="I923" s="187"/>
      <c r="J923" s="187">
        <v>0</v>
      </c>
      <c r="K923" s="187">
        <v>0</v>
      </c>
      <c r="L923" s="187">
        <v>0</v>
      </c>
      <c r="M923" s="187">
        <v>0</v>
      </c>
      <c r="N923" s="187">
        <v>0</v>
      </c>
      <c r="O923" t="s">
        <v>1382</v>
      </c>
    </row>
    <row r="924" spans="1:15" hidden="1" x14ac:dyDescent="0.45">
      <c r="A924" s="187">
        <v>2015</v>
      </c>
      <c r="B924" t="s">
        <v>34</v>
      </c>
      <c r="C924" t="s">
        <v>325</v>
      </c>
      <c r="D924" t="s">
        <v>35</v>
      </c>
      <c r="E924" t="s">
        <v>358</v>
      </c>
      <c r="F924" t="s">
        <v>421</v>
      </c>
      <c r="G924" t="s">
        <v>37</v>
      </c>
      <c r="H924" t="s">
        <v>43</v>
      </c>
      <c r="I924" s="187"/>
      <c r="J924" s="187">
        <v>0</v>
      </c>
      <c r="K924" s="187">
        <v>0</v>
      </c>
      <c r="L924" s="187">
        <v>0</v>
      </c>
      <c r="M924" s="187">
        <v>0</v>
      </c>
      <c r="N924" s="187">
        <v>0</v>
      </c>
      <c r="O924" t="s">
        <v>1383</v>
      </c>
    </row>
    <row r="925" spans="1:15" hidden="1" x14ac:dyDescent="0.45">
      <c r="A925" s="187">
        <v>2015</v>
      </c>
      <c r="B925" t="s">
        <v>34</v>
      </c>
      <c r="C925" t="s">
        <v>325</v>
      </c>
      <c r="D925" t="s">
        <v>35</v>
      </c>
      <c r="E925" t="s">
        <v>358</v>
      </c>
      <c r="F925" t="s">
        <v>422</v>
      </c>
      <c r="G925" t="s">
        <v>36</v>
      </c>
      <c r="H925" t="s">
        <v>43</v>
      </c>
      <c r="I925" s="187"/>
      <c r="J925" s="187">
        <v>17.854118347167969</v>
      </c>
      <c r="K925" s="187">
        <v>1854.79296875</v>
      </c>
      <c r="L925" s="187">
        <v>707.7882080078125</v>
      </c>
      <c r="M925" s="187">
        <v>2580.435302734375</v>
      </c>
      <c r="N925" s="187">
        <v>707.7882080078125</v>
      </c>
      <c r="O925" t="s">
        <v>1384</v>
      </c>
    </row>
    <row r="926" spans="1:15" hidden="1" x14ac:dyDescent="0.45">
      <c r="A926" s="187">
        <v>2015</v>
      </c>
      <c r="B926" t="s">
        <v>34</v>
      </c>
      <c r="C926" t="s">
        <v>325</v>
      </c>
      <c r="D926" t="s">
        <v>35</v>
      </c>
      <c r="E926" t="s">
        <v>358</v>
      </c>
      <c r="F926" t="s">
        <v>422</v>
      </c>
      <c r="G926" t="s">
        <v>37</v>
      </c>
      <c r="H926" t="s">
        <v>43</v>
      </c>
      <c r="I926" s="187"/>
      <c r="J926" s="187">
        <v>14</v>
      </c>
      <c r="K926" s="187">
        <v>1454.4040299999999</v>
      </c>
      <c r="L926" s="187">
        <v>555</v>
      </c>
      <c r="M926" s="187">
        <v>2023.404052734375</v>
      </c>
      <c r="N926" s="187">
        <v>555</v>
      </c>
      <c r="O926" t="s">
        <v>1385</v>
      </c>
    </row>
    <row r="927" spans="1:15" hidden="1" x14ac:dyDescent="0.45">
      <c r="A927" s="187">
        <v>2015</v>
      </c>
      <c r="B927" t="s">
        <v>34</v>
      </c>
      <c r="C927" t="s">
        <v>325</v>
      </c>
      <c r="D927" t="s">
        <v>35</v>
      </c>
      <c r="E927" t="s">
        <v>358</v>
      </c>
      <c r="F927" t="s">
        <v>423</v>
      </c>
      <c r="G927" t="s">
        <v>36</v>
      </c>
      <c r="H927" t="s">
        <v>43</v>
      </c>
      <c r="I927" s="187"/>
      <c r="J927" s="187">
        <v>0</v>
      </c>
      <c r="K927" s="187">
        <v>-165.44252014160156</v>
      </c>
      <c r="L927" s="187">
        <v>0</v>
      </c>
      <c r="M927" s="187">
        <v>-165.44252014160156</v>
      </c>
      <c r="N927" s="187">
        <v>0</v>
      </c>
      <c r="O927" t="s">
        <v>1386</v>
      </c>
    </row>
    <row r="928" spans="1:15" hidden="1" x14ac:dyDescent="0.45">
      <c r="A928" s="187">
        <v>2015</v>
      </c>
      <c r="B928" t="s">
        <v>34</v>
      </c>
      <c r="C928" t="s">
        <v>325</v>
      </c>
      <c r="D928" t="s">
        <v>35</v>
      </c>
      <c r="E928" t="s">
        <v>358</v>
      </c>
      <c r="F928" t="s">
        <v>423</v>
      </c>
      <c r="G928" t="s">
        <v>37</v>
      </c>
      <c r="H928" t="s">
        <v>43</v>
      </c>
      <c r="I928" s="187"/>
      <c r="J928" s="187">
        <v>0</v>
      </c>
      <c r="K928" s="187">
        <v>-129.72891000000001</v>
      </c>
      <c r="L928" s="187">
        <v>0</v>
      </c>
      <c r="M928" s="187">
        <v>-129.72891235351563</v>
      </c>
      <c r="N928" s="187">
        <v>0</v>
      </c>
      <c r="O928" t="s">
        <v>1387</v>
      </c>
    </row>
    <row r="929" spans="1:15" hidden="1" x14ac:dyDescent="0.45">
      <c r="A929" s="187">
        <v>2015</v>
      </c>
      <c r="B929" t="s">
        <v>34</v>
      </c>
      <c r="C929" t="s">
        <v>325</v>
      </c>
      <c r="D929" t="s">
        <v>35</v>
      </c>
      <c r="E929" t="s">
        <v>358</v>
      </c>
      <c r="F929" t="s">
        <v>424</v>
      </c>
      <c r="G929" t="s">
        <v>36</v>
      </c>
      <c r="H929" t="s">
        <v>43</v>
      </c>
      <c r="I929" s="187"/>
      <c r="J929" s="187">
        <v>0</v>
      </c>
      <c r="K929" s="187">
        <v>0</v>
      </c>
      <c r="L929" s="187">
        <v>0</v>
      </c>
      <c r="M929" s="187">
        <v>0</v>
      </c>
      <c r="N929" s="187">
        <v>0</v>
      </c>
      <c r="O929" t="s">
        <v>1388</v>
      </c>
    </row>
    <row r="930" spans="1:15" hidden="1" x14ac:dyDescent="0.45">
      <c r="A930" s="187">
        <v>2015</v>
      </c>
      <c r="B930" t="s">
        <v>34</v>
      </c>
      <c r="C930" t="s">
        <v>325</v>
      </c>
      <c r="D930" t="s">
        <v>35</v>
      </c>
      <c r="E930" t="s">
        <v>358</v>
      </c>
      <c r="F930" t="s">
        <v>424</v>
      </c>
      <c r="G930" t="s">
        <v>37</v>
      </c>
      <c r="H930" t="s">
        <v>43</v>
      </c>
      <c r="I930" s="187"/>
      <c r="J930" s="187">
        <v>0</v>
      </c>
      <c r="K930" s="187">
        <v>0</v>
      </c>
      <c r="L930" s="187">
        <v>0</v>
      </c>
      <c r="M930" s="187">
        <v>0</v>
      </c>
      <c r="N930" s="187">
        <v>0</v>
      </c>
      <c r="O930" t="s">
        <v>1389</v>
      </c>
    </row>
    <row r="931" spans="1:15" hidden="1" x14ac:dyDescent="0.45">
      <c r="A931" s="187">
        <v>2015</v>
      </c>
      <c r="B931" t="s">
        <v>34</v>
      </c>
      <c r="C931" t="s">
        <v>325</v>
      </c>
      <c r="D931" t="s">
        <v>35</v>
      </c>
      <c r="E931" t="s">
        <v>358</v>
      </c>
      <c r="F931" t="s">
        <v>446</v>
      </c>
      <c r="G931" t="s">
        <v>36</v>
      </c>
      <c r="H931" t="s">
        <v>43</v>
      </c>
      <c r="I931" s="187"/>
      <c r="J931" s="187">
        <v>0</v>
      </c>
      <c r="K931" s="187">
        <v>21.772739410400391</v>
      </c>
      <c r="L931" s="187">
        <v>0</v>
      </c>
      <c r="M931" s="187">
        <v>21.772739410400391</v>
      </c>
      <c r="N931" s="187">
        <v>0</v>
      </c>
      <c r="O931" t="s">
        <v>1390</v>
      </c>
    </row>
    <row r="932" spans="1:15" hidden="1" x14ac:dyDescent="0.45">
      <c r="A932" s="187">
        <v>2015</v>
      </c>
      <c r="B932" t="s">
        <v>34</v>
      </c>
      <c r="C932" t="s">
        <v>325</v>
      </c>
      <c r="D932" t="s">
        <v>35</v>
      </c>
      <c r="E932" t="s">
        <v>358</v>
      </c>
      <c r="F932" t="s">
        <v>446</v>
      </c>
      <c r="G932" t="s">
        <v>37</v>
      </c>
      <c r="H932" t="s">
        <v>43</v>
      </c>
      <c r="I932" s="187"/>
      <c r="J932" s="187">
        <v>0</v>
      </c>
      <c r="K932" s="187">
        <v>17.07272</v>
      </c>
      <c r="L932" s="187">
        <v>0</v>
      </c>
      <c r="M932" s="187">
        <v>17.072719573974609</v>
      </c>
      <c r="N932" s="187">
        <v>0</v>
      </c>
      <c r="O932" t="s">
        <v>1391</v>
      </c>
    </row>
    <row r="933" spans="1:15" hidden="1" x14ac:dyDescent="0.45">
      <c r="A933" s="187">
        <v>2015</v>
      </c>
      <c r="B933" t="s">
        <v>34</v>
      </c>
      <c r="C933" t="s">
        <v>325</v>
      </c>
      <c r="D933" t="s">
        <v>35</v>
      </c>
      <c r="E933" t="s">
        <v>358</v>
      </c>
      <c r="F933" t="s">
        <v>426</v>
      </c>
      <c r="G933" t="s">
        <v>36</v>
      </c>
      <c r="H933" t="s">
        <v>43</v>
      </c>
      <c r="I933" s="187"/>
      <c r="J933" s="187">
        <v>0</v>
      </c>
      <c r="K933" s="187">
        <v>-143.66978454589844</v>
      </c>
      <c r="L933" s="187">
        <v>0</v>
      </c>
      <c r="M933" s="187">
        <v>-143.66978454589844</v>
      </c>
      <c r="N933" s="187">
        <v>0</v>
      </c>
      <c r="O933" t="s">
        <v>1392</v>
      </c>
    </row>
    <row r="934" spans="1:15" hidden="1" x14ac:dyDescent="0.45">
      <c r="A934" s="187">
        <v>2015</v>
      </c>
      <c r="B934" t="s">
        <v>34</v>
      </c>
      <c r="C934" t="s">
        <v>325</v>
      </c>
      <c r="D934" t="s">
        <v>35</v>
      </c>
      <c r="E934" t="s">
        <v>358</v>
      </c>
      <c r="F934" t="s">
        <v>426</v>
      </c>
      <c r="G934" t="s">
        <v>37</v>
      </c>
      <c r="H934" t="s">
        <v>43</v>
      </c>
      <c r="I934" s="187"/>
      <c r="J934" s="187">
        <v>0</v>
      </c>
      <c r="K934" s="187">
        <v>-112.65619</v>
      </c>
      <c r="L934" s="187">
        <v>0</v>
      </c>
      <c r="M934" s="187">
        <v>-112.65618896484375</v>
      </c>
      <c r="N934" s="187">
        <v>0</v>
      </c>
      <c r="O934" t="s">
        <v>1393</v>
      </c>
    </row>
    <row r="935" spans="1:15" hidden="1" x14ac:dyDescent="0.45">
      <c r="A935" s="187">
        <v>2015</v>
      </c>
      <c r="B935" t="s">
        <v>34</v>
      </c>
      <c r="C935" t="s">
        <v>325</v>
      </c>
      <c r="D935" t="s">
        <v>35</v>
      </c>
      <c r="E935" t="s">
        <v>358</v>
      </c>
      <c r="F935" t="s">
        <v>428</v>
      </c>
      <c r="G935" t="s">
        <v>36</v>
      </c>
      <c r="H935" t="s">
        <v>43</v>
      </c>
      <c r="I935" s="187"/>
      <c r="J935" s="187">
        <v>35.708236694335938</v>
      </c>
      <c r="K935" s="187">
        <v>1618.3680419921875</v>
      </c>
      <c r="L935" s="187">
        <v>2017.5152587890625</v>
      </c>
      <c r="M935" s="187">
        <v>3671.591552734375</v>
      </c>
      <c r="N935" s="187">
        <v>2017.5152587890625</v>
      </c>
      <c r="O935" t="s">
        <v>1394</v>
      </c>
    </row>
    <row r="936" spans="1:15" hidden="1" x14ac:dyDescent="0.45">
      <c r="A936" s="187">
        <v>2015</v>
      </c>
      <c r="B936" t="s">
        <v>34</v>
      </c>
      <c r="C936" t="s">
        <v>325</v>
      </c>
      <c r="D936" t="s">
        <v>35</v>
      </c>
      <c r="E936" t="s">
        <v>358</v>
      </c>
      <c r="F936" t="s">
        <v>428</v>
      </c>
      <c r="G936" t="s">
        <v>37</v>
      </c>
      <c r="H936" t="s">
        <v>43</v>
      </c>
      <c r="I936" s="187"/>
      <c r="J936" s="187">
        <v>28</v>
      </c>
      <c r="K936" s="187">
        <v>1269.0155500000001</v>
      </c>
      <c r="L936" s="187">
        <v>1582</v>
      </c>
      <c r="M936" s="187">
        <v>2879.015625</v>
      </c>
      <c r="N936" s="187">
        <v>1582</v>
      </c>
      <c r="O936" t="s">
        <v>1395</v>
      </c>
    </row>
    <row r="937" spans="1:15" hidden="1" x14ac:dyDescent="0.45">
      <c r="A937" s="187">
        <v>2015</v>
      </c>
      <c r="B937" t="s">
        <v>34</v>
      </c>
      <c r="C937" t="s">
        <v>325</v>
      </c>
      <c r="D937" t="s">
        <v>35</v>
      </c>
      <c r="E937" t="s">
        <v>358</v>
      </c>
      <c r="F937" t="s">
        <v>429</v>
      </c>
      <c r="G937" t="s">
        <v>36</v>
      </c>
      <c r="H937" t="s">
        <v>43</v>
      </c>
      <c r="I937" s="187"/>
      <c r="J937" s="187">
        <v>35.708236694335938</v>
      </c>
      <c r="K937" s="187">
        <v>1618.3680419921875</v>
      </c>
      <c r="L937" s="187">
        <v>2017.5152587890625</v>
      </c>
      <c r="M937" s="187">
        <v>3671.591552734375</v>
      </c>
      <c r="N937" s="187">
        <v>2017.5152587890625</v>
      </c>
      <c r="O937" t="s">
        <v>1396</v>
      </c>
    </row>
    <row r="938" spans="1:15" hidden="1" x14ac:dyDescent="0.45">
      <c r="A938" s="187">
        <v>2015</v>
      </c>
      <c r="B938" t="s">
        <v>34</v>
      </c>
      <c r="C938" t="s">
        <v>325</v>
      </c>
      <c r="D938" t="s">
        <v>35</v>
      </c>
      <c r="E938" t="s">
        <v>358</v>
      </c>
      <c r="F938" t="s">
        <v>429</v>
      </c>
      <c r="G938" t="s">
        <v>37</v>
      </c>
      <c r="H938" t="s">
        <v>43</v>
      </c>
      <c r="I938" s="187"/>
      <c r="J938" s="187">
        <v>28</v>
      </c>
      <c r="K938" s="187">
        <v>1269.0155500000001</v>
      </c>
      <c r="L938" s="187">
        <v>1582</v>
      </c>
      <c r="M938" s="187">
        <v>2879.015625</v>
      </c>
      <c r="N938" s="187">
        <v>1582</v>
      </c>
      <c r="O938" t="s">
        <v>1397</v>
      </c>
    </row>
    <row r="939" spans="1:15" hidden="1" x14ac:dyDescent="0.45">
      <c r="A939" s="187">
        <v>2015</v>
      </c>
      <c r="B939" t="s">
        <v>34</v>
      </c>
      <c r="C939" t="s">
        <v>326</v>
      </c>
      <c r="D939" t="s">
        <v>337</v>
      </c>
      <c r="E939" t="s">
        <v>155</v>
      </c>
      <c r="F939" t="s">
        <v>155</v>
      </c>
      <c r="G939" t="s">
        <v>453</v>
      </c>
      <c r="H939" t="s">
        <v>455</v>
      </c>
      <c r="I939" s="187"/>
      <c r="J939" s="187">
        <v>659</v>
      </c>
      <c r="K939" s="187">
        <v>5815.15</v>
      </c>
      <c r="L939" s="187">
        <v>10770.59</v>
      </c>
      <c r="M939" s="187">
        <v>17244.740234375</v>
      </c>
      <c r="N939" s="187">
        <v>10770.58984375</v>
      </c>
      <c r="O939" t="s">
        <v>1398</v>
      </c>
    </row>
    <row r="940" spans="1:15" hidden="1" x14ac:dyDescent="0.45">
      <c r="A940" s="187">
        <v>2015</v>
      </c>
      <c r="B940" t="s">
        <v>34</v>
      </c>
      <c r="C940" t="s">
        <v>327</v>
      </c>
      <c r="D940" t="s">
        <v>337</v>
      </c>
      <c r="E940" t="s">
        <v>359</v>
      </c>
      <c r="F940" t="s">
        <v>430</v>
      </c>
      <c r="G940" t="s">
        <v>453</v>
      </c>
      <c r="H940" t="s">
        <v>456</v>
      </c>
      <c r="I940" s="187"/>
      <c r="J940" s="187">
        <v>9887</v>
      </c>
      <c r="K940" s="187">
        <v>104380</v>
      </c>
      <c r="L940" s="187">
        <v>163243</v>
      </c>
      <c r="M940" s="187">
        <v>277510</v>
      </c>
      <c r="N940" s="187">
        <v>163243</v>
      </c>
      <c r="O940" t="s">
        <v>1399</v>
      </c>
    </row>
    <row r="941" spans="1:15" hidden="1" x14ac:dyDescent="0.45">
      <c r="A941" s="187">
        <v>2015</v>
      </c>
      <c r="B941" t="s">
        <v>34</v>
      </c>
      <c r="C941" t="s">
        <v>327</v>
      </c>
      <c r="D941" t="s">
        <v>337</v>
      </c>
      <c r="E941" t="s">
        <v>360</v>
      </c>
      <c r="F941" t="s">
        <v>151</v>
      </c>
      <c r="G941" t="s">
        <v>453</v>
      </c>
      <c r="H941" t="s">
        <v>457</v>
      </c>
      <c r="I941" s="187"/>
      <c r="J941" s="187">
        <v>3079.8216651538351</v>
      </c>
      <c r="K941" s="187">
        <v>25031.256947945221</v>
      </c>
      <c r="L941" s="187">
        <v>62433.885408219161</v>
      </c>
      <c r="M941" s="187">
        <v>90544.9609375</v>
      </c>
      <c r="N941" s="187">
        <v>62433.88671875</v>
      </c>
      <c r="O941" t="s">
        <v>1400</v>
      </c>
    </row>
    <row r="942" spans="1:15" hidden="1" x14ac:dyDescent="0.45">
      <c r="A942" s="187">
        <v>2015</v>
      </c>
      <c r="B942" t="s">
        <v>34</v>
      </c>
      <c r="C942" t="s">
        <v>327</v>
      </c>
      <c r="D942" t="s">
        <v>337</v>
      </c>
      <c r="E942" t="s">
        <v>360</v>
      </c>
      <c r="F942" t="s">
        <v>6</v>
      </c>
      <c r="G942" t="s">
        <v>453</v>
      </c>
      <c r="H942" t="s">
        <v>454</v>
      </c>
      <c r="I942" s="187"/>
      <c r="J942" s="187">
        <v>0.8473124065329467</v>
      </c>
      <c r="K942" s="187">
        <v>0.72585812398379046</v>
      </c>
      <c r="L942" s="187">
        <v>0.8143965121407285</v>
      </c>
      <c r="M942" s="187">
        <v>0.79585570096969604</v>
      </c>
      <c r="N942" s="187">
        <v>0.27146551012992859</v>
      </c>
      <c r="O942" t="s">
        <v>1401</v>
      </c>
    </row>
    <row r="943" spans="1:15" hidden="1" x14ac:dyDescent="0.45">
      <c r="A943" s="187">
        <v>2015</v>
      </c>
      <c r="B943" t="s">
        <v>34</v>
      </c>
      <c r="C943" t="s">
        <v>327</v>
      </c>
      <c r="D943" t="s">
        <v>337</v>
      </c>
      <c r="E943" t="s">
        <v>360</v>
      </c>
      <c r="F943" t="s">
        <v>152</v>
      </c>
      <c r="G943" t="s">
        <v>453</v>
      </c>
      <c r="H943" t="s">
        <v>457</v>
      </c>
      <c r="I943" s="187"/>
      <c r="J943" s="187">
        <v>4569.0109571217172</v>
      </c>
      <c r="K943" s="187">
        <v>43749.485999999997</v>
      </c>
      <c r="L943" s="187">
        <v>89762.856</v>
      </c>
      <c r="M943" s="187">
        <v>138081.359375</v>
      </c>
      <c r="N943" s="187">
        <v>89762.859375</v>
      </c>
      <c r="O943" t="s">
        <v>1402</v>
      </c>
    </row>
    <row r="944" spans="1:15" hidden="1" x14ac:dyDescent="0.45">
      <c r="A944" s="187">
        <v>2015</v>
      </c>
      <c r="B944" t="s">
        <v>34</v>
      </c>
      <c r="C944" t="s">
        <v>327</v>
      </c>
      <c r="D944" t="s">
        <v>337</v>
      </c>
      <c r="E944" t="s">
        <v>360</v>
      </c>
      <c r="F944" t="s">
        <v>153</v>
      </c>
      <c r="G944" t="s">
        <v>453</v>
      </c>
      <c r="H944" t="s">
        <v>458</v>
      </c>
      <c r="I944" s="187"/>
      <c r="J944" s="187">
        <v>110558.878</v>
      </c>
      <c r="K944" s="187">
        <v>1048920.4069999999</v>
      </c>
      <c r="L944" s="187">
        <v>2331825.656</v>
      </c>
      <c r="M944" s="187">
        <v>3491305</v>
      </c>
      <c r="N944" s="187">
        <v>2331825.75</v>
      </c>
      <c r="O944" t="s">
        <v>1403</v>
      </c>
    </row>
    <row r="945" spans="1:15" hidden="1" x14ac:dyDescent="0.45">
      <c r="A945" s="187">
        <v>2015</v>
      </c>
      <c r="B945" t="s">
        <v>34</v>
      </c>
      <c r="C945" t="s">
        <v>327</v>
      </c>
      <c r="D945" t="s">
        <v>337</v>
      </c>
      <c r="E945" t="s">
        <v>360</v>
      </c>
      <c r="F945" t="s">
        <v>432</v>
      </c>
      <c r="G945" t="s">
        <v>453</v>
      </c>
      <c r="H945" t="s">
        <v>456</v>
      </c>
      <c r="I945" s="187"/>
      <c r="J945" s="187">
        <v>0</v>
      </c>
      <c r="K945" s="187">
        <v>0</v>
      </c>
      <c r="L945" s="187">
        <v>1</v>
      </c>
      <c r="M945" s="187">
        <v>1</v>
      </c>
      <c r="N945" s="187">
        <v>1</v>
      </c>
      <c r="O945" t="s">
        <v>1404</v>
      </c>
    </row>
    <row r="946" spans="1:15" hidden="1" x14ac:dyDescent="0.45">
      <c r="A946" s="187">
        <v>2015</v>
      </c>
      <c r="B946" t="s">
        <v>34</v>
      </c>
      <c r="C946" t="s">
        <v>327</v>
      </c>
      <c r="D946" t="s">
        <v>337</v>
      </c>
      <c r="E946" t="s">
        <v>360</v>
      </c>
      <c r="F946" t="s">
        <v>154</v>
      </c>
      <c r="G946" t="s">
        <v>453</v>
      </c>
      <c r="H946" t="s">
        <v>459</v>
      </c>
      <c r="I946" s="187"/>
      <c r="J946" s="187">
        <v>1124134.90778115</v>
      </c>
      <c r="K946" s="187">
        <v>9136408.7860000078</v>
      </c>
      <c r="L946" s="187">
        <v>22788368.173999991</v>
      </c>
      <c r="M946" s="187">
        <v>33048912</v>
      </c>
      <c r="N946" s="187">
        <v>22788368</v>
      </c>
      <c r="O946" t="s">
        <v>1405</v>
      </c>
    </row>
    <row r="947" spans="1:15" hidden="1" x14ac:dyDescent="0.45">
      <c r="A947" s="187">
        <v>2015</v>
      </c>
      <c r="B947" t="s">
        <v>311</v>
      </c>
      <c r="C947" t="s">
        <v>328</v>
      </c>
      <c r="D947" t="s">
        <v>39</v>
      </c>
      <c r="E947" t="s">
        <v>349</v>
      </c>
      <c r="F947" t="s">
        <v>349</v>
      </c>
      <c r="G947" t="s">
        <v>36</v>
      </c>
      <c r="H947" t="s">
        <v>43</v>
      </c>
      <c r="I947" s="187"/>
      <c r="J947" s="187">
        <v>0</v>
      </c>
      <c r="K947" s="187">
        <v>3100.4849985330038</v>
      </c>
      <c r="L947" s="187">
        <v>0</v>
      </c>
      <c r="M947" s="187">
        <v>3100.485107421875</v>
      </c>
      <c r="N947" s="187">
        <v>0</v>
      </c>
      <c r="O947" t="s">
        <v>1408</v>
      </c>
    </row>
    <row r="948" spans="1:15" hidden="1" x14ac:dyDescent="0.45">
      <c r="A948" s="187">
        <v>2015</v>
      </c>
      <c r="B948" t="s">
        <v>309</v>
      </c>
      <c r="C948" t="s">
        <v>328</v>
      </c>
      <c r="D948" t="s">
        <v>39</v>
      </c>
      <c r="E948" t="s">
        <v>349</v>
      </c>
      <c r="F948" t="s">
        <v>349</v>
      </c>
      <c r="G948" t="s">
        <v>36</v>
      </c>
      <c r="H948" t="s">
        <v>43</v>
      </c>
      <c r="I948" s="187"/>
      <c r="J948" s="187">
        <v>0</v>
      </c>
      <c r="K948" s="187">
        <v>3308.3695715770214</v>
      </c>
      <c r="L948" s="187">
        <v>0</v>
      </c>
      <c r="M948" s="187">
        <v>3308.36962890625</v>
      </c>
      <c r="N948" s="187">
        <v>0</v>
      </c>
      <c r="O948" t="s">
        <v>1407</v>
      </c>
    </row>
    <row r="949" spans="1:15" hidden="1" x14ac:dyDescent="0.45">
      <c r="A949" s="187">
        <v>2015</v>
      </c>
      <c r="B949" t="s">
        <v>310</v>
      </c>
      <c r="C949" t="s">
        <v>328</v>
      </c>
      <c r="D949" t="s">
        <v>39</v>
      </c>
      <c r="E949" t="s">
        <v>349</v>
      </c>
      <c r="F949" t="s">
        <v>349</v>
      </c>
      <c r="G949" t="s">
        <v>36</v>
      </c>
      <c r="H949" t="s">
        <v>43</v>
      </c>
      <c r="I949" s="187"/>
      <c r="J949" s="187">
        <v>0</v>
      </c>
      <c r="K949" s="187">
        <v>3473.6197819512759</v>
      </c>
      <c r="L949" s="187">
        <v>0</v>
      </c>
      <c r="M949" s="187">
        <v>3473.619873046875</v>
      </c>
      <c r="N949" s="187">
        <v>0</v>
      </c>
      <c r="O949" t="s">
        <v>1406</v>
      </c>
    </row>
    <row r="950" spans="1:15" hidden="1" x14ac:dyDescent="0.45">
      <c r="A950" s="187">
        <v>2015</v>
      </c>
      <c r="B950" t="s">
        <v>311</v>
      </c>
      <c r="C950" t="s">
        <v>328</v>
      </c>
      <c r="D950" t="s">
        <v>39</v>
      </c>
      <c r="E950" t="s">
        <v>349</v>
      </c>
      <c r="F950" t="s">
        <v>349</v>
      </c>
      <c r="G950" t="s">
        <v>37</v>
      </c>
      <c r="H950" t="s">
        <v>43</v>
      </c>
      <c r="I950" s="187"/>
      <c r="J950" s="187">
        <v>0</v>
      </c>
      <c r="K950" s="187">
        <v>2661.2149300000001</v>
      </c>
      <c r="L950" s="187">
        <v>0</v>
      </c>
      <c r="M950" s="187">
        <v>2661.21484375</v>
      </c>
      <c r="N950" s="187">
        <v>0</v>
      </c>
      <c r="O950" t="s">
        <v>1409</v>
      </c>
    </row>
    <row r="951" spans="1:15" hidden="1" x14ac:dyDescent="0.45">
      <c r="A951" s="187">
        <v>2015</v>
      </c>
      <c r="B951" t="s">
        <v>310</v>
      </c>
      <c r="C951" t="s">
        <v>328</v>
      </c>
      <c r="D951" t="s">
        <v>39</v>
      </c>
      <c r="E951" t="s">
        <v>349</v>
      </c>
      <c r="F951" t="s">
        <v>349</v>
      </c>
      <c r="G951" t="s">
        <v>37</v>
      </c>
      <c r="H951" t="s">
        <v>43</v>
      </c>
      <c r="I951" s="187"/>
      <c r="J951" s="187">
        <v>0</v>
      </c>
      <c r="K951" s="187">
        <v>3030.0007273274782</v>
      </c>
      <c r="L951" s="187">
        <v>0</v>
      </c>
      <c r="M951" s="187">
        <v>3030.000732421875</v>
      </c>
      <c r="N951" s="187">
        <v>0</v>
      </c>
      <c r="O951" t="s">
        <v>1410</v>
      </c>
    </row>
    <row r="952" spans="1:15" hidden="1" x14ac:dyDescent="0.45">
      <c r="A952" s="187">
        <v>2015</v>
      </c>
      <c r="B952" t="s">
        <v>309</v>
      </c>
      <c r="C952" t="s">
        <v>328</v>
      </c>
      <c r="D952" t="s">
        <v>39</v>
      </c>
      <c r="E952" t="s">
        <v>349</v>
      </c>
      <c r="F952" t="s">
        <v>349</v>
      </c>
      <c r="G952" t="s">
        <v>37</v>
      </c>
      <c r="H952" t="s">
        <v>43</v>
      </c>
      <c r="I952" s="187"/>
      <c r="J952" s="187">
        <v>0</v>
      </c>
      <c r="K952" s="187">
        <v>2906.7991634799232</v>
      </c>
      <c r="L952" s="187">
        <v>0</v>
      </c>
      <c r="M952" s="187">
        <v>2906.799072265625</v>
      </c>
      <c r="N952" s="187">
        <v>0</v>
      </c>
      <c r="O952" t="s">
        <v>1411</v>
      </c>
    </row>
    <row r="953" spans="1:15" hidden="1" x14ac:dyDescent="0.45">
      <c r="A953" s="187">
        <v>2015</v>
      </c>
      <c r="B953" t="s">
        <v>311</v>
      </c>
      <c r="C953" t="s">
        <v>328</v>
      </c>
      <c r="D953" t="s">
        <v>39</v>
      </c>
      <c r="E953" t="s">
        <v>21</v>
      </c>
      <c r="F953" t="s">
        <v>21</v>
      </c>
      <c r="G953" t="s">
        <v>36</v>
      </c>
      <c r="H953" t="s">
        <v>43</v>
      </c>
      <c r="I953" s="187"/>
      <c r="J953" s="187">
        <v>891.27375513324205</v>
      </c>
      <c r="K953" s="187">
        <v>7889.7132916256051</v>
      </c>
      <c r="L953" s="187">
        <v>647.77543510337591</v>
      </c>
      <c r="M953" s="187">
        <v>9428.7626953125</v>
      </c>
      <c r="N953" s="187">
        <v>647.77545166015625</v>
      </c>
      <c r="O953" t="s">
        <v>1412</v>
      </c>
    </row>
    <row r="954" spans="1:15" hidden="1" x14ac:dyDescent="0.45">
      <c r="A954" s="187">
        <v>2015</v>
      </c>
      <c r="B954" t="s">
        <v>310</v>
      </c>
      <c r="C954" t="s">
        <v>328</v>
      </c>
      <c r="D954" t="s">
        <v>39</v>
      </c>
      <c r="E954" t="s">
        <v>21</v>
      </c>
      <c r="F954" t="s">
        <v>21</v>
      </c>
      <c r="G954" t="s">
        <v>36</v>
      </c>
      <c r="H954" t="s">
        <v>43</v>
      </c>
      <c r="I954" s="187"/>
      <c r="J954" s="187">
        <v>1098.7399488535862</v>
      </c>
      <c r="K954" s="187">
        <v>8148.6057288542179</v>
      </c>
      <c r="L954" s="187">
        <v>9421.6878950891751</v>
      </c>
      <c r="M954" s="187">
        <v>18669.033203125</v>
      </c>
      <c r="N954" s="187">
        <v>9421.6875</v>
      </c>
      <c r="O954" t="s">
        <v>1413</v>
      </c>
    </row>
    <row r="955" spans="1:15" hidden="1" x14ac:dyDescent="0.45">
      <c r="A955" s="187">
        <v>2015</v>
      </c>
      <c r="B955" t="s">
        <v>309</v>
      </c>
      <c r="C955" t="s">
        <v>328</v>
      </c>
      <c r="D955" t="s">
        <v>39</v>
      </c>
      <c r="E955" t="s">
        <v>21</v>
      </c>
      <c r="F955" t="s">
        <v>21</v>
      </c>
      <c r="G955" t="s">
        <v>36</v>
      </c>
      <c r="H955" t="s">
        <v>43</v>
      </c>
      <c r="I955" s="187"/>
      <c r="J955" s="187">
        <v>1033.8771229798922</v>
      </c>
      <c r="K955" s="187">
        <v>7666.8073478283477</v>
      </c>
      <c r="L955" s="187">
        <v>10187.50118991592</v>
      </c>
      <c r="M955" s="187">
        <v>18888.185546875</v>
      </c>
      <c r="N955" s="187">
        <v>10187.5009765625</v>
      </c>
      <c r="O955" t="s">
        <v>1414</v>
      </c>
    </row>
    <row r="956" spans="1:15" hidden="1" x14ac:dyDescent="0.45">
      <c r="A956" s="187">
        <v>2015</v>
      </c>
      <c r="B956" t="s">
        <v>310</v>
      </c>
      <c r="C956" t="s">
        <v>328</v>
      </c>
      <c r="D956" t="s">
        <v>39</v>
      </c>
      <c r="E956" t="s">
        <v>21</v>
      </c>
      <c r="F956" t="s">
        <v>21</v>
      </c>
      <c r="G956" t="s">
        <v>37</v>
      </c>
      <c r="H956" t="s">
        <v>43</v>
      </c>
      <c r="I956" s="187"/>
      <c r="J956" s="187">
        <v>961</v>
      </c>
      <c r="K956" s="187">
        <v>7107.9400841227307</v>
      </c>
      <c r="L956" s="187">
        <v>8277</v>
      </c>
      <c r="M956" s="187">
        <v>16345.939453125</v>
      </c>
      <c r="N956" s="187">
        <v>8277</v>
      </c>
      <c r="O956" t="s">
        <v>1417</v>
      </c>
    </row>
    <row r="957" spans="1:15" hidden="1" x14ac:dyDescent="0.45">
      <c r="A957" s="187">
        <v>2015</v>
      </c>
      <c r="B957" t="s">
        <v>309</v>
      </c>
      <c r="C957" t="s">
        <v>328</v>
      </c>
      <c r="D957" t="s">
        <v>39</v>
      </c>
      <c r="E957" t="s">
        <v>21</v>
      </c>
      <c r="F957" t="s">
        <v>21</v>
      </c>
      <c r="G957" t="s">
        <v>37</v>
      </c>
      <c r="H957" t="s">
        <v>43</v>
      </c>
      <c r="I957" s="187"/>
      <c r="J957" s="187">
        <v>904.62959999999998</v>
      </c>
      <c r="K957" s="187">
        <v>6736.2090912370531</v>
      </c>
      <c r="L957" s="187">
        <v>9080</v>
      </c>
      <c r="M957" s="187">
        <v>16720.83984375</v>
      </c>
      <c r="N957" s="187">
        <v>9080</v>
      </c>
      <c r="O957" t="s">
        <v>1415</v>
      </c>
    </row>
    <row r="958" spans="1:15" hidden="1" x14ac:dyDescent="0.45">
      <c r="A958" s="187">
        <v>2015</v>
      </c>
      <c r="B958" t="s">
        <v>311</v>
      </c>
      <c r="C958" t="s">
        <v>328</v>
      </c>
      <c r="D958" t="s">
        <v>39</v>
      </c>
      <c r="E958" t="s">
        <v>21</v>
      </c>
      <c r="F958" t="s">
        <v>21</v>
      </c>
      <c r="G958" t="s">
        <v>37</v>
      </c>
      <c r="H958" t="s">
        <v>43</v>
      </c>
      <c r="I958" s="187"/>
      <c r="J958" s="187">
        <v>765</v>
      </c>
      <c r="K958" s="187">
        <v>6771.9156244999986</v>
      </c>
      <c r="L958" s="187">
        <v>556</v>
      </c>
      <c r="M958" s="187">
        <v>8092.91552734375</v>
      </c>
      <c r="N958" s="187">
        <v>556</v>
      </c>
      <c r="O958" t="s">
        <v>1416</v>
      </c>
    </row>
    <row r="959" spans="1:15" hidden="1" x14ac:dyDescent="0.45">
      <c r="A959" s="187">
        <v>2015</v>
      </c>
      <c r="B959" t="s">
        <v>310</v>
      </c>
      <c r="C959" t="s">
        <v>328</v>
      </c>
      <c r="D959" t="s">
        <v>39</v>
      </c>
      <c r="E959" t="s">
        <v>352</v>
      </c>
      <c r="F959" t="s">
        <v>433</v>
      </c>
      <c r="G959" t="s">
        <v>36</v>
      </c>
      <c r="H959" t="s">
        <v>43</v>
      </c>
      <c r="I959" s="187"/>
      <c r="J959" s="187">
        <v>230.28194979312252</v>
      </c>
      <c r="K959" s="187">
        <v>337.3805906055382</v>
      </c>
      <c r="L959" s="187">
        <v>310.93907941609439</v>
      </c>
      <c r="M959" s="187">
        <v>878.60162353515625</v>
      </c>
      <c r="N959" s="187">
        <v>310.9390869140625</v>
      </c>
      <c r="O959" t="s">
        <v>1418</v>
      </c>
    </row>
    <row r="960" spans="1:15" hidden="1" x14ac:dyDescent="0.45">
      <c r="A960" s="187">
        <v>2015</v>
      </c>
      <c r="B960" t="s">
        <v>309</v>
      </c>
      <c r="C960" t="s">
        <v>328</v>
      </c>
      <c r="D960" t="s">
        <v>39</v>
      </c>
      <c r="E960" t="s">
        <v>352</v>
      </c>
      <c r="F960" t="s">
        <v>433</v>
      </c>
      <c r="G960" t="s">
        <v>36</v>
      </c>
      <c r="H960" t="s">
        <v>43</v>
      </c>
      <c r="I960" s="187"/>
      <c r="J960" s="187">
        <v>178.66540143661732</v>
      </c>
      <c r="K960" s="187">
        <v>364.24331004032717</v>
      </c>
      <c r="L960" s="187">
        <v>302.54007976600531</v>
      </c>
      <c r="M960" s="187">
        <v>845.44879150390625</v>
      </c>
      <c r="N960" s="187">
        <v>302.54006958007813</v>
      </c>
      <c r="O960" t="s">
        <v>1420</v>
      </c>
    </row>
    <row r="961" spans="1:15" hidden="1" x14ac:dyDescent="0.45">
      <c r="A961" s="187">
        <v>2015</v>
      </c>
      <c r="B961" t="s">
        <v>311</v>
      </c>
      <c r="C961" t="s">
        <v>328</v>
      </c>
      <c r="D961" t="s">
        <v>39</v>
      </c>
      <c r="E961" t="s">
        <v>352</v>
      </c>
      <c r="F961" t="s">
        <v>433</v>
      </c>
      <c r="G961" t="s">
        <v>36</v>
      </c>
      <c r="H961" t="s">
        <v>43</v>
      </c>
      <c r="I961" s="187"/>
      <c r="J961" s="187">
        <v>229.51755524346234</v>
      </c>
      <c r="K961" s="187">
        <v>145.70287034897157</v>
      </c>
      <c r="L961" s="187">
        <v>259.80921228067058</v>
      </c>
      <c r="M961" s="187">
        <v>635.0296630859375</v>
      </c>
      <c r="N961" s="187">
        <v>259.8092041015625</v>
      </c>
      <c r="O961" t="s">
        <v>1419</v>
      </c>
    </row>
    <row r="962" spans="1:15" hidden="1" x14ac:dyDescent="0.45">
      <c r="A962" s="187">
        <v>2015</v>
      </c>
      <c r="B962" t="s">
        <v>310</v>
      </c>
      <c r="C962" t="s">
        <v>328</v>
      </c>
      <c r="D962" t="s">
        <v>39</v>
      </c>
      <c r="E962" t="s">
        <v>352</v>
      </c>
      <c r="F962" t="s">
        <v>361</v>
      </c>
      <c r="G962" t="s">
        <v>36</v>
      </c>
      <c r="H962" t="s">
        <v>43</v>
      </c>
      <c r="I962" s="187"/>
      <c r="J962" s="187">
        <v>0</v>
      </c>
      <c r="K962" s="187">
        <v>0</v>
      </c>
      <c r="L962" s="187"/>
      <c r="M962" s="187">
        <v>0</v>
      </c>
      <c r="N962" s="187">
        <v>0</v>
      </c>
      <c r="O962" t="s">
        <v>1421</v>
      </c>
    </row>
    <row r="963" spans="1:15" hidden="1" x14ac:dyDescent="0.45">
      <c r="A963" s="187">
        <v>2015</v>
      </c>
      <c r="B963" t="s">
        <v>311</v>
      </c>
      <c r="C963" t="s">
        <v>328</v>
      </c>
      <c r="D963" t="s">
        <v>39</v>
      </c>
      <c r="E963" t="s">
        <v>352</v>
      </c>
      <c r="F963" t="s">
        <v>361</v>
      </c>
      <c r="G963" t="s">
        <v>36</v>
      </c>
      <c r="H963" t="s">
        <v>43</v>
      </c>
      <c r="I963" s="187"/>
      <c r="J963" s="187"/>
      <c r="K963" s="187">
        <v>0</v>
      </c>
      <c r="L963" s="187">
        <v>0</v>
      </c>
      <c r="M963" s="187">
        <v>0</v>
      </c>
      <c r="N963" s="187">
        <v>0</v>
      </c>
      <c r="O963" t="s">
        <v>1422</v>
      </c>
    </row>
    <row r="964" spans="1:15" hidden="1" x14ac:dyDescent="0.45">
      <c r="A964" s="187">
        <v>2015</v>
      </c>
      <c r="B964" t="s">
        <v>309</v>
      </c>
      <c r="C964" t="s">
        <v>328</v>
      </c>
      <c r="D964" t="s">
        <v>39</v>
      </c>
      <c r="E964" t="s">
        <v>352</v>
      </c>
      <c r="F964" t="s">
        <v>361</v>
      </c>
      <c r="G964" t="s">
        <v>36</v>
      </c>
      <c r="H964" t="s">
        <v>43</v>
      </c>
      <c r="I964" s="187"/>
      <c r="J964" s="187"/>
      <c r="K964" s="187">
        <v>0</v>
      </c>
      <c r="L964" s="187"/>
      <c r="M964" s="187">
        <v>0</v>
      </c>
      <c r="N964" s="187">
        <v>0</v>
      </c>
      <c r="O964" t="s">
        <v>1423</v>
      </c>
    </row>
    <row r="965" spans="1:15" hidden="1" x14ac:dyDescent="0.45">
      <c r="A965" s="187">
        <v>2015</v>
      </c>
      <c r="B965" t="s">
        <v>310</v>
      </c>
      <c r="C965" t="s">
        <v>328</v>
      </c>
      <c r="D965" t="s">
        <v>39</v>
      </c>
      <c r="E965" t="s">
        <v>40</v>
      </c>
      <c r="F965" t="s">
        <v>40</v>
      </c>
      <c r="G965" t="s">
        <v>36</v>
      </c>
      <c r="H965" t="s">
        <v>43</v>
      </c>
      <c r="I965" s="187"/>
      <c r="J965" s="187">
        <v>140.27326890951625</v>
      </c>
      <c r="K965" s="187">
        <v>6008.4884737342891</v>
      </c>
      <c r="L965" s="187">
        <v>9628.5909667307114</v>
      </c>
      <c r="M965" s="187">
        <v>15777.3525390625</v>
      </c>
      <c r="N965" s="187">
        <v>9628.5908203125</v>
      </c>
      <c r="O965" t="s">
        <v>1426</v>
      </c>
    </row>
    <row r="966" spans="1:15" hidden="1" x14ac:dyDescent="0.45">
      <c r="A966" s="187">
        <v>2015</v>
      </c>
      <c r="B966" t="s">
        <v>309</v>
      </c>
      <c r="C966" t="s">
        <v>328</v>
      </c>
      <c r="D966" t="s">
        <v>39</v>
      </c>
      <c r="E966" t="s">
        <v>40</v>
      </c>
      <c r="F966" t="s">
        <v>40</v>
      </c>
      <c r="G966" t="s">
        <v>36</v>
      </c>
      <c r="H966" t="s">
        <v>43</v>
      </c>
      <c r="I966" s="187"/>
      <c r="J966" s="187">
        <v>624.13780235191655</v>
      </c>
      <c r="K966" s="187">
        <v>6454.3282732766256</v>
      </c>
      <c r="L966" s="187">
        <v>10214.896551469534</v>
      </c>
      <c r="M966" s="187">
        <v>17293.36328125</v>
      </c>
      <c r="N966" s="187">
        <v>10214.896484375</v>
      </c>
      <c r="O966" t="s">
        <v>1424</v>
      </c>
    </row>
    <row r="967" spans="1:15" hidden="1" x14ac:dyDescent="0.45">
      <c r="A967" s="187">
        <v>2015</v>
      </c>
      <c r="B967" t="s">
        <v>311</v>
      </c>
      <c r="C967" t="s">
        <v>328</v>
      </c>
      <c r="D967" t="s">
        <v>39</v>
      </c>
      <c r="E967" t="s">
        <v>40</v>
      </c>
      <c r="F967" t="s">
        <v>40</v>
      </c>
      <c r="G967" t="s">
        <v>36</v>
      </c>
      <c r="H967" t="s">
        <v>43</v>
      </c>
      <c r="I967" s="187"/>
      <c r="J967" s="187">
        <v>168.93424116904589</v>
      </c>
      <c r="K967" s="187">
        <v>6010.3921106298549</v>
      </c>
      <c r="L967" s="187">
        <v>9423.0354660361591</v>
      </c>
      <c r="M967" s="187">
        <v>15602.361328125</v>
      </c>
      <c r="N967" s="187">
        <v>9423.03515625</v>
      </c>
      <c r="O967" t="s">
        <v>1425</v>
      </c>
    </row>
    <row r="968" spans="1:15" hidden="1" x14ac:dyDescent="0.45">
      <c r="A968" s="187">
        <v>2015</v>
      </c>
      <c r="B968" t="s">
        <v>309</v>
      </c>
      <c r="C968" t="s">
        <v>328</v>
      </c>
      <c r="D968" t="s">
        <v>39</v>
      </c>
      <c r="E968" t="s">
        <v>40</v>
      </c>
      <c r="F968" t="s">
        <v>40</v>
      </c>
      <c r="G968" t="s">
        <v>37</v>
      </c>
      <c r="H968" t="s">
        <v>43</v>
      </c>
      <c r="I968" s="187"/>
      <c r="J968" s="187">
        <v>546.11279999999999</v>
      </c>
      <c r="K968" s="187">
        <v>5670.9009134799226</v>
      </c>
      <c r="L968" s="187">
        <v>9104</v>
      </c>
      <c r="M968" s="187">
        <v>15321.013671875</v>
      </c>
      <c r="N968" s="187">
        <v>9104</v>
      </c>
      <c r="O968" t="s">
        <v>1427</v>
      </c>
    </row>
    <row r="969" spans="1:15" hidden="1" x14ac:dyDescent="0.45">
      <c r="A969" s="187">
        <v>2015</v>
      </c>
      <c r="B969" t="s">
        <v>310</v>
      </c>
      <c r="C969" t="s">
        <v>328</v>
      </c>
      <c r="D969" t="s">
        <v>39</v>
      </c>
      <c r="E969" t="s">
        <v>40</v>
      </c>
      <c r="F969" t="s">
        <v>40</v>
      </c>
      <c r="G969" t="s">
        <v>37</v>
      </c>
      <c r="H969" t="s">
        <v>43</v>
      </c>
      <c r="I969" s="187"/>
      <c r="J969" s="187">
        <v>123</v>
      </c>
      <c r="K969" s="187">
        <v>5241.1390964979919</v>
      </c>
      <c r="L969" s="187">
        <v>8458</v>
      </c>
      <c r="M969" s="187">
        <v>13822.138671875</v>
      </c>
      <c r="N969" s="187">
        <v>8458</v>
      </c>
      <c r="O969" t="s">
        <v>1428</v>
      </c>
    </row>
    <row r="970" spans="1:15" hidden="1" x14ac:dyDescent="0.45">
      <c r="A970" s="187">
        <v>2015</v>
      </c>
      <c r="B970" t="s">
        <v>311</v>
      </c>
      <c r="C970" t="s">
        <v>328</v>
      </c>
      <c r="D970" t="s">
        <v>39</v>
      </c>
      <c r="E970" t="s">
        <v>40</v>
      </c>
      <c r="F970" t="s">
        <v>40</v>
      </c>
      <c r="G970" t="s">
        <v>37</v>
      </c>
      <c r="H970" t="s">
        <v>43</v>
      </c>
      <c r="I970" s="187"/>
      <c r="J970" s="187">
        <v>145</v>
      </c>
      <c r="K970" s="187">
        <v>5158.8526399999992</v>
      </c>
      <c r="L970" s="187">
        <v>8088</v>
      </c>
      <c r="M970" s="187">
        <v>13391.8525390625</v>
      </c>
      <c r="N970" s="187">
        <v>8088</v>
      </c>
      <c r="O970" t="s">
        <v>1429</v>
      </c>
    </row>
    <row r="971" spans="1:15" hidden="1" x14ac:dyDescent="0.45">
      <c r="A971" s="187">
        <v>2015</v>
      </c>
      <c r="B971" t="s">
        <v>310</v>
      </c>
      <c r="C971" t="s">
        <v>328</v>
      </c>
      <c r="D971" t="s">
        <v>39</v>
      </c>
      <c r="E971" t="s">
        <v>41</v>
      </c>
      <c r="F971" t="s">
        <v>41</v>
      </c>
      <c r="G971" t="s">
        <v>36</v>
      </c>
      <c r="H971" t="s">
        <v>43</v>
      </c>
      <c r="I971" s="187"/>
      <c r="J971" s="187">
        <v>1870.2429278559262</v>
      </c>
      <c r="K971" s="187">
        <v>12292.55496265056</v>
      </c>
      <c r="L971" s="187">
        <v>14030.833722674362</v>
      </c>
      <c r="M971" s="187">
        <v>28193.630859375</v>
      </c>
      <c r="N971" s="187">
        <v>14030.833984375</v>
      </c>
      <c r="O971" t="s">
        <v>1431</v>
      </c>
    </row>
    <row r="972" spans="1:15" hidden="1" x14ac:dyDescent="0.45">
      <c r="A972" s="187">
        <v>2015</v>
      </c>
      <c r="B972" t="s">
        <v>309</v>
      </c>
      <c r="C972" t="s">
        <v>328</v>
      </c>
      <c r="D972" t="s">
        <v>39</v>
      </c>
      <c r="E972" t="s">
        <v>41</v>
      </c>
      <c r="F972" t="s">
        <v>41</v>
      </c>
      <c r="G972" t="s">
        <v>36</v>
      </c>
      <c r="H972" t="s">
        <v>43</v>
      </c>
      <c r="I972" s="187"/>
      <c r="J972" s="187">
        <v>1057.6991765047746</v>
      </c>
      <c r="K972" s="187">
        <v>12533.818606784969</v>
      </c>
      <c r="L972" s="187">
        <v>15328.300340585522</v>
      </c>
      <c r="M972" s="187">
        <v>28919.818359375</v>
      </c>
      <c r="N972" s="187">
        <v>15328.30078125</v>
      </c>
      <c r="O972" t="s">
        <v>1430</v>
      </c>
    </row>
    <row r="973" spans="1:15" hidden="1" x14ac:dyDescent="0.45">
      <c r="A973" s="187">
        <v>2015</v>
      </c>
      <c r="B973" t="s">
        <v>311</v>
      </c>
      <c r="C973" t="s">
        <v>328</v>
      </c>
      <c r="D973" t="s">
        <v>39</v>
      </c>
      <c r="E973" t="s">
        <v>41</v>
      </c>
      <c r="F973" t="s">
        <v>41</v>
      </c>
      <c r="G973" t="s">
        <v>36</v>
      </c>
      <c r="H973" t="s">
        <v>43</v>
      </c>
      <c r="I973" s="187"/>
      <c r="J973" s="187">
        <v>1683.5170930294573</v>
      </c>
      <c r="K973" s="187">
        <v>11512.774042593943</v>
      </c>
      <c r="L973" s="187">
        <v>12219.188423316918</v>
      </c>
      <c r="M973" s="187">
        <v>25415.478515625</v>
      </c>
      <c r="N973" s="187">
        <v>12219.1884765625</v>
      </c>
      <c r="O973" t="s">
        <v>1432</v>
      </c>
    </row>
    <row r="974" spans="1:15" hidden="1" x14ac:dyDescent="0.45">
      <c r="A974" s="187">
        <v>2015</v>
      </c>
      <c r="B974" t="s">
        <v>311</v>
      </c>
      <c r="C974" t="s">
        <v>328</v>
      </c>
      <c r="D974" t="s">
        <v>39</v>
      </c>
      <c r="E974" t="s">
        <v>41</v>
      </c>
      <c r="F974" t="s">
        <v>41</v>
      </c>
      <c r="G974" t="s">
        <v>37</v>
      </c>
      <c r="H974" t="s">
        <v>43</v>
      </c>
      <c r="I974" s="187"/>
      <c r="J974" s="187">
        <v>1445</v>
      </c>
      <c r="K974" s="187">
        <v>9881.6688944999987</v>
      </c>
      <c r="L974" s="187">
        <v>10488</v>
      </c>
      <c r="M974" s="187">
        <v>21814.66796875</v>
      </c>
      <c r="N974" s="187">
        <v>10488</v>
      </c>
      <c r="O974" t="s">
        <v>1434</v>
      </c>
    </row>
    <row r="975" spans="1:15" hidden="1" x14ac:dyDescent="0.45">
      <c r="A975" s="187">
        <v>2015</v>
      </c>
      <c r="B975" t="s">
        <v>309</v>
      </c>
      <c r="C975" t="s">
        <v>328</v>
      </c>
      <c r="D975" t="s">
        <v>39</v>
      </c>
      <c r="E975" t="s">
        <v>41</v>
      </c>
      <c r="F975" t="s">
        <v>41</v>
      </c>
      <c r="G975" t="s">
        <v>37</v>
      </c>
      <c r="H975" t="s">
        <v>43</v>
      </c>
      <c r="I975" s="187"/>
      <c r="J975" s="187">
        <v>925.47360000000003</v>
      </c>
      <c r="K975" s="187">
        <v>11012.461774046829</v>
      </c>
      <c r="L975" s="187">
        <v>13662</v>
      </c>
      <c r="M975" s="187">
        <v>25599.935546875</v>
      </c>
      <c r="N975" s="187">
        <v>13662</v>
      </c>
      <c r="O975" t="s">
        <v>1433</v>
      </c>
    </row>
    <row r="976" spans="1:15" hidden="1" x14ac:dyDescent="0.45">
      <c r="A976" s="187">
        <v>2015</v>
      </c>
      <c r="B976" t="s">
        <v>310</v>
      </c>
      <c r="C976" t="s">
        <v>328</v>
      </c>
      <c r="D976" t="s">
        <v>39</v>
      </c>
      <c r="E976" t="s">
        <v>41</v>
      </c>
      <c r="F976" t="s">
        <v>41</v>
      </c>
      <c r="G976" t="s">
        <v>37</v>
      </c>
      <c r="H976" t="s">
        <v>43</v>
      </c>
      <c r="I976" s="187"/>
      <c r="J976" s="187">
        <v>1636</v>
      </c>
      <c r="K976" s="187">
        <v>10722.66189612189</v>
      </c>
      <c r="L976" s="187">
        <v>12325</v>
      </c>
      <c r="M976" s="187">
        <v>24683.662109375</v>
      </c>
      <c r="N976" s="187">
        <v>12325</v>
      </c>
      <c r="O976" t="s">
        <v>1435</v>
      </c>
    </row>
    <row r="977" spans="1:15" hidden="1" x14ac:dyDescent="0.45">
      <c r="A977" s="187">
        <v>2015</v>
      </c>
      <c r="B977" t="s">
        <v>309</v>
      </c>
      <c r="C977" t="s">
        <v>328</v>
      </c>
      <c r="D977" t="s">
        <v>39</v>
      </c>
      <c r="E977" t="s">
        <v>361</v>
      </c>
      <c r="F977" t="s">
        <v>361</v>
      </c>
      <c r="G977" t="s">
        <v>36</v>
      </c>
      <c r="H977" t="s">
        <v>43</v>
      </c>
      <c r="I977" s="187"/>
      <c r="J977" s="187">
        <v>0</v>
      </c>
      <c r="K977" s="187"/>
      <c r="L977" s="187">
        <v>0</v>
      </c>
      <c r="M977" s="187">
        <v>0</v>
      </c>
      <c r="N977" s="187">
        <v>0</v>
      </c>
      <c r="O977" t="s">
        <v>1437</v>
      </c>
    </row>
    <row r="978" spans="1:15" hidden="1" x14ac:dyDescent="0.45">
      <c r="A978" s="187">
        <v>2015</v>
      </c>
      <c r="B978" t="s">
        <v>311</v>
      </c>
      <c r="C978" t="s">
        <v>328</v>
      </c>
      <c r="D978" t="s">
        <v>39</v>
      </c>
      <c r="E978" t="s">
        <v>361</v>
      </c>
      <c r="F978" t="s">
        <v>361</v>
      </c>
      <c r="G978" t="s">
        <v>36</v>
      </c>
      <c r="H978" t="s">
        <v>43</v>
      </c>
      <c r="I978" s="187"/>
      <c r="J978" s="187">
        <v>0</v>
      </c>
      <c r="K978" s="187"/>
      <c r="L978" s="187"/>
      <c r="M978" s="187">
        <v>0</v>
      </c>
      <c r="N978" s="187">
        <v>0</v>
      </c>
      <c r="O978" t="s">
        <v>1436</v>
      </c>
    </row>
    <row r="979" spans="1:15" hidden="1" x14ac:dyDescent="0.45">
      <c r="A979" s="187">
        <v>2015</v>
      </c>
      <c r="B979" t="s">
        <v>310</v>
      </c>
      <c r="C979" t="s">
        <v>328</v>
      </c>
      <c r="D979" t="s">
        <v>39</v>
      </c>
      <c r="E979" t="s">
        <v>361</v>
      </c>
      <c r="F979" t="s">
        <v>361</v>
      </c>
      <c r="G979" t="s">
        <v>36</v>
      </c>
      <c r="H979" t="s">
        <v>43</v>
      </c>
      <c r="I979" s="187"/>
      <c r="J979" s="187"/>
      <c r="K979" s="187"/>
      <c r="L979" s="187"/>
      <c r="M979" s="187">
        <v>0</v>
      </c>
      <c r="N979" s="187">
        <v>0</v>
      </c>
      <c r="O979" t="s">
        <v>1438</v>
      </c>
    </row>
    <row r="980" spans="1:15" hidden="1" x14ac:dyDescent="0.45">
      <c r="A980" s="187">
        <v>2015</v>
      </c>
      <c r="B980" t="s">
        <v>311</v>
      </c>
      <c r="C980" t="s">
        <v>328</v>
      </c>
      <c r="D980" t="s">
        <v>39</v>
      </c>
      <c r="E980" t="s">
        <v>362</v>
      </c>
      <c r="F980" t="s">
        <v>362</v>
      </c>
      <c r="G980" t="s">
        <v>36</v>
      </c>
      <c r="H980" t="s">
        <v>43</v>
      </c>
      <c r="I980" s="187"/>
      <c r="J980" s="187">
        <v>99.030417237026896</v>
      </c>
      <c r="K980" s="187">
        <v>2468.9550373518696</v>
      </c>
      <c r="L980" s="187">
        <v>4866.4712094007218</v>
      </c>
      <c r="M980" s="187">
        <v>7434.45654296875</v>
      </c>
      <c r="N980" s="187">
        <v>4866.47119140625</v>
      </c>
      <c r="O980" t="s">
        <v>1439</v>
      </c>
    </row>
    <row r="981" spans="1:15" hidden="1" x14ac:dyDescent="0.45">
      <c r="A981" s="187">
        <v>2015</v>
      </c>
      <c r="B981" t="s">
        <v>309</v>
      </c>
      <c r="C981" t="s">
        <v>328</v>
      </c>
      <c r="D981" t="s">
        <v>39</v>
      </c>
      <c r="E981" t="s">
        <v>362</v>
      </c>
      <c r="F981" t="s">
        <v>362</v>
      </c>
      <c r="G981" t="s">
        <v>36</v>
      </c>
      <c r="H981" t="s">
        <v>43</v>
      </c>
      <c r="I981" s="187"/>
      <c r="J981" s="187">
        <v>612.22677558947532</v>
      </c>
      <c r="K981" s="187">
        <v>2736.9239183046261</v>
      </c>
      <c r="L981" s="187">
        <v>5433.8104090256547</v>
      </c>
      <c r="M981" s="187">
        <v>8782.9609375</v>
      </c>
      <c r="N981" s="187">
        <v>5433.810546875</v>
      </c>
      <c r="O981" t="s">
        <v>1440</v>
      </c>
    </row>
    <row r="982" spans="1:15" hidden="1" x14ac:dyDescent="0.45">
      <c r="A982" s="187">
        <v>2015</v>
      </c>
      <c r="B982" t="s">
        <v>310</v>
      </c>
      <c r="C982" t="s">
        <v>328</v>
      </c>
      <c r="D982" t="s">
        <v>39</v>
      </c>
      <c r="E982" t="s">
        <v>362</v>
      </c>
      <c r="F982" t="s">
        <v>362</v>
      </c>
      <c r="G982" t="s">
        <v>36</v>
      </c>
      <c r="H982" t="s">
        <v>43</v>
      </c>
      <c r="I982" s="187"/>
      <c r="J982" s="187">
        <v>93.515512606344174</v>
      </c>
      <c r="K982" s="187">
        <v>2125.1377445385515</v>
      </c>
      <c r="L982" s="187">
        <v>5184.2662301142045</v>
      </c>
      <c r="M982" s="187">
        <v>7402.91943359375</v>
      </c>
      <c r="N982" s="187">
        <v>5184.26611328125</v>
      </c>
      <c r="O982" t="s">
        <v>1441</v>
      </c>
    </row>
    <row r="983" spans="1:15" hidden="1" x14ac:dyDescent="0.45">
      <c r="A983" s="187">
        <v>2015</v>
      </c>
      <c r="B983" t="s">
        <v>309</v>
      </c>
      <c r="C983" t="s">
        <v>328</v>
      </c>
      <c r="D983" t="s">
        <v>39</v>
      </c>
      <c r="E983" t="s">
        <v>362</v>
      </c>
      <c r="F983" t="s">
        <v>362</v>
      </c>
      <c r="G983" t="s">
        <v>37</v>
      </c>
      <c r="H983" t="s">
        <v>43</v>
      </c>
      <c r="I983" s="187"/>
      <c r="J983" s="187">
        <v>535.69079999999997</v>
      </c>
      <c r="K983" s="187">
        <v>2404.7156716061181</v>
      </c>
      <c r="L983" s="187">
        <v>4843</v>
      </c>
      <c r="M983" s="187">
        <v>7783.40625</v>
      </c>
      <c r="N983" s="187">
        <v>4843</v>
      </c>
      <c r="O983" t="s">
        <v>1442</v>
      </c>
    </row>
    <row r="984" spans="1:15" hidden="1" x14ac:dyDescent="0.45">
      <c r="A984" s="187">
        <v>2015</v>
      </c>
      <c r="B984" t="s">
        <v>311</v>
      </c>
      <c r="C984" t="s">
        <v>328</v>
      </c>
      <c r="D984" t="s">
        <v>39</v>
      </c>
      <c r="E984" t="s">
        <v>362</v>
      </c>
      <c r="F984" t="s">
        <v>362</v>
      </c>
      <c r="G984" t="s">
        <v>37</v>
      </c>
      <c r="H984" t="s">
        <v>43</v>
      </c>
      <c r="I984" s="187"/>
      <c r="J984" s="187">
        <v>85</v>
      </c>
      <c r="K984" s="187">
        <v>2119.1587800000002</v>
      </c>
      <c r="L984" s="187">
        <v>4177</v>
      </c>
      <c r="M984" s="187">
        <v>6381.15869140625</v>
      </c>
      <c r="N984" s="187">
        <v>4177</v>
      </c>
      <c r="O984" t="s">
        <v>1444</v>
      </c>
    </row>
    <row r="985" spans="1:15" hidden="1" x14ac:dyDescent="0.45">
      <c r="A985" s="187">
        <v>2015</v>
      </c>
      <c r="B985" t="s">
        <v>310</v>
      </c>
      <c r="C985" t="s">
        <v>328</v>
      </c>
      <c r="D985" t="s">
        <v>39</v>
      </c>
      <c r="E985" t="s">
        <v>362</v>
      </c>
      <c r="F985" t="s">
        <v>362</v>
      </c>
      <c r="G985" t="s">
        <v>37</v>
      </c>
      <c r="H985" t="s">
        <v>43</v>
      </c>
      <c r="I985" s="187"/>
      <c r="J985" s="187">
        <v>82</v>
      </c>
      <c r="K985" s="187">
        <v>1853.734523588457</v>
      </c>
      <c r="L985" s="187">
        <v>4554</v>
      </c>
      <c r="M985" s="187">
        <v>6489.734375</v>
      </c>
      <c r="N985" s="187">
        <v>4554</v>
      </c>
      <c r="O985" t="s">
        <v>1443</v>
      </c>
    </row>
    <row r="986" spans="1:15" hidden="1" x14ac:dyDescent="0.45">
      <c r="A986" s="187">
        <v>2015</v>
      </c>
      <c r="B986" t="s">
        <v>311</v>
      </c>
      <c r="C986" t="s">
        <v>328</v>
      </c>
      <c r="D986" t="s">
        <v>39</v>
      </c>
      <c r="E986" t="s">
        <v>363</v>
      </c>
      <c r="F986" t="s">
        <v>363</v>
      </c>
      <c r="G986" t="s">
        <v>36</v>
      </c>
      <c r="H986" t="s">
        <v>43</v>
      </c>
      <c r="I986" s="187"/>
      <c r="J986" s="187">
        <v>69.90382393201898</v>
      </c>
      <c r="K986" s="187">
        <v>440.95207474498233</v>
      </c>
      <c r="L986" s="187">
        <v>4556.5642566354372</v>
      </c>
      <c r="M986" s="187">
        <v>5067.419921875</v>
      </c>
      <c r="N986" s="187">
        <v>4556.564453125</v>
      </c>
      <c r="O986" t="s">
        <v>1446</v>
      </c>
    </row>
    <row r="987" spans="1:15" hidden="1" x14ac:dyDescent="0.45">
      <c r="A987" s="187">
        <v>2015</v>
      </c>
      <c r="B987" t="s">
        <v>309</v>
      </c>
      <c r="C987" t="s">
        <v>328</v>
      </c>
      <c r="D987" t="s">
        <v>39</v>
      </c>
      <c r="E987" t="s">
        <v>363</v>
      </c>
      <c r="F987" t="s">
        <v>363</v>
      </c>
      <c r="G987" t="s">
        <v>36</v>
      </c>
      <c r="H987" t="s">
        <v>43</v>
      </c>
      <c r="I987" s="187"/>
      <c r="J987" s="187">
        <v>11.911026762441155</v>
      </c>
      <c r="K987" s="187">
        <v>409.03478339497718</v>
      </c>
      <c r="L987" s="187">
        <v>4781.0861424438799</v>
      </c>
      <c r="M987" s="187">
        <v>5202.03173828125</v>
      </c>
      <c r="N987" s="187">
        <v>4781.0859375</v>
      </c>
      <c r="O987" t="s">
        <v>1447</v>
      </c>
    </row>
    <row r="988" spans="1:15" hidden="1" x14ac:dyDescent="0.45">
      <c r="A988" s="187">
        <v>2015</v>
      </c>
      <c r="B988" t="s">
        <v>310</v>
      </c>
      <c r="C988" t="s">
        <v>328</v>
      </c>
      <c r="D988" t="s">
        <v>39</v>
      </c>
      <c r="E988" t="s">
        <v>363</v>
      </c>
      <c r="F988" t="s">
        <v>363</v>
      </c>
      <c r="G988" t="s">
        <v>36</v>
      </c>
      <c r="H988" t="s">
        <v>43</v>
      </c>
      <c r="I988" s="187"/>
      <c r="J988" s="187">
        <v>46.757756303172087</v>
      </c>
      <c r="K988" s="187">
        <v>409.73094724446145</v>
      </c>
      <c r="L988" s="187">
        <v>4444.3247366165069</v>
      </c>
      <c r="M988" s="187">
        <v>4900.8134765625</v>
      </c>
      <c r="N988" s="187">
        <v>4444.32470703125</v>
      </c>
      <c r="O988" t="s">
        <v>1445</v>
      </c>
    </row>
    <row r="989" spans="1:15" hidden="1" x14ac:dyDescent="0.45">
      <c r="A989" s="187">
        <v>2015</v>
      </c>
      <c r="B989" t="s">
        <v>309</v>
      </c>
      <c r="C989" t="s">
        <v>328</v>
      </c>
      <c r="D989" t="s">
        <v>39</v>
      </c>
      <c r="E989" t="s">
        <v>363</v>
      </c>
      <c r="F989" t="s">
        <v>363</v>
      </c>
      <c r="G989" t="s">
        <v>37</v>
      </c>
      <c r="H989" t="s">
        <v>43</v>
      </c>
      <c r="I989" s="187"/>
      <c r="J989" s="187">
        <v>10.422000000000001</v>
      </c>
      <c r="K989" s="187">
        <v>359.38607839388141</v>
      </c>
      <c r="L989" s="187">
        <v>4261</v>
      </c>
      <c r="M989" s="187">
        <v>4630.80810546875</v>
      </c>
      <c r="N989" s="187">
        <v>4261</v>
      </c>
      <c r="O989" t="s">
        <v>1450</v>
      </c>
    </row>
    <row r="990" spans="1:15" hidden="1" x14ac:dyDescent="0.45">
      <c r="A990" s="187">
        <v>2015</v>
      </c>
      <c r="B990" t="s">
        <v>311</v>
      </c>
      <c r="C990" t="s">
        <v>328</v>
      </c>
      <c r="D990" t="s">
        <v>39</v>
      </c>
      <c r="E990" t="s">
        <v>363</v>
      </c>
      <c r="F990" t="s">
        <v>363</v>
      </c>
      <c r="G990" t="s">
        <v>37</v>
      </c>
      <c r="H990" t="s">
        <v>43</v>
      </c>
      <c r="I990" s="187"/>
      <c r="J990" s="187">
        <v>60</v>
      </c>
      <c r="K990" s="187">
        <v>378.47892999999999</v>
      </c>
      <c r="L990" s="187">
        <v>3911</v>
      </c>
      <c r="M990" s="187">
        <v>4349.47900390625</v>
      </c>
      <c r="N990" s="187">
        <v>3911</v>
      </c>
      <c r="O990" t="s">
        <v>1448</v>
      </c>
    </row>
    <row r="991" spans="1:15" hidden="1" x14ac:dyDescent="0.45">
      <c r="A991" s="187">
        <v>2015</v>
      </c>
      <c r="B991" t="s">
        <v>310</v>
      </c>
      <c r="C991" t="s">
        <v>328</v>
      </c>
      <c r="D991" t="s">
        <v>39</v>
      </c>
      <c r="E991" t="s">
        <v>363</v>
      </c>
      <c r="F991" t="s">
        <v>363</v>
      </c>
      <c r="G991" t="s">
        <v>37</v>
      </c>
      <c r="H991" t="s">
        <v>43</v>
      </c>
      <c r="I991" s="187"/>
      <c r="J991" s="187">
        <v>41</v>
      </c>
      <c r="K991" s="187">
        <v>357.40384558205773</v>
      </c>
      <c r="L991" s="187">
        <v>3904</v>
      </c>
      <c r="M991" s="187">
        <v>4302.40380859375</v>
      </c>
      <c r="N991" s="187">
        <v>3904</v>
      </c>
      <c r="O991" t="s">
        <v>1449</v>
      </c>
    </row>
    <row r="992" spans="1:15" hidden="1" x14ac:dyDescent="0.45">
      <c r="A992" s="187">
        <v>2015</v>
      </c>
      <c r="B992" t="s">
        <v>309</v>
      </c>
      <c r="C992" t="s">
        <v>328</v>
      </c>
      <c r="D992" t="s">
        <v>39</v>
      </c>
      <c r="E992" t="s">
        <v>364</v>
      </c>
      <c r="F992" t="s">
        <v>364</v>
      </c>
      <c r="G992" t="s">
        <v>36</v>
      </c>
      <c r="H992" t="s">
        <v>43</v>
      </c>
      <c r="I992" s="187"/>
      <c r="J992" s="187">
        <v>23.82205352488231</v>
      </c>
      <c r="K992" s="187">
        <v>4867.0112589566243</v>
      </c>
      <c r="L992" s="187">
        <v>5140.7991506696026</v>
      </c>
      <c r="M992" s="187">
        <v>10031.6328125</v>
      </c>
      <c r="N992" s="187">
        <v>5140.79931640625</v>
      </c>
      <c r="O992" t="s">
        <v>1453</v>
      </c>
    </row>
    <row r="993" spans="1:15" hidden="1" x14ac:dyDescent="0.45">
      <c r="A993" s="187">
        <v>2015</v>
      </c>
      <c r="B993" t="s">
        <v>310</v>
      </c>
      <c r="C993" t="s">
        <v>328</v>
      </c>
      <c r="D993" t="s">
        <v>39</v>
      </c>
      <c r="E993" t="s">
        <v>364</v>
      </c>
      <c r="F993" t="s">
        <v>364</v>
      </c>
      <c r="G993" t="s">
        <v>36</v>
      </c>
      <c r="H993" t="s">
        <v>43</v>
      </c>
      <c r="I993" s="187"/>
      <c r="J993" s="187">
        <v>771.50297900233943</v>
      </c>
      <c r="K993" s="187">
        <v>4143.9492337963393</v>
      </c>
      <c r="L993" s="187">
        <v>4609.1458275851883</v>
      </c>
      <c r="M993" s="187">
        <v>9524.59765625</v>
      </c>
      <c r="N993" s="187">
        <v>4609.14599609375</v>
      </c>
      <c r="O993" t="s">
        <v>1451</v>
      </c>
    </row>
    <row r="994" spans="1:15" hidden="1" x14ac:dyDescent="0.45">
      <c r="A994" s="187">
        <v>2015</v>
      </c>
      <c r="B994" t="s">
        <v>311</v>
      </c>
      <c r="C994" t="s">
        <v>328</v>
      </c>
      <c r="D994" t="s">
        <v>39</v>
      </c>
      <c r="E994" t="s">
        <v>364</v>
      </c>
      <c r="F994" t="s">
        <v>364</v>
      </c>
      <c r="G994" t="s">
        <v>36</v>
      </c>
      <c r="H994" t="s">
        <v>43</v>
      </c>
      <c r="I994" s="187"/>
      <c r="J994" s="187">
        <v>792.24333789621517</v>
      </c>
      <c r="K994" s="187">
        <v>3623.0607509683396</v>
      </c>
      <c r="L994" s="187">
        <v>11571.412988213542</v>
      </c>
      <c r="M994" s="187">
        <v>15986.716796875</v>
      </c>
      <c r="N994" s="187">
        <v>11571.4130859375</v>
      </c>
      <c r="O994" t="s">
        <v>1452</v>
      </c>
    </row>
    <row r="995" spans="1:15" hidden="1" x14ac:dyDescent="0.45">
      <c r="A995" s="187">
        <v>2015</v>
      </c>
      <c r="B995" t="s">
        <v>311</v>
      </c>
      <c r="C995" t="s">
        <v>328</v>
      </c>
      <c r="D995" t="s">
        <v>39</v>
      </c>
      <c r="E995" t="s">
        <v>364</v>
      </c>
      <c r="F995" t="s">
        <v>364</v>
      </c>
      <c r="G995" t="s">
        <v>37</v>
      </c>
      <c r="H995" t="s">
        <v>43</v>
      </c>
      <c r="I995" s="187"/>
      <c r="J995" s="187">
        <v>680</v>
      </c>
      <c r="K995" s="187">
        <v>3109.7532700000011</v>
      </c>
      <c r="L995" s="187">
        <v>9932</v>
      </c>
      <c r="M995" s="187">
        <v>13721.7529296875</v>
      </c>
      <c r="N995" s="187">
        <v>9932</v>
      </c>
      <c r="O995" t="s">
        <v>1456</v>
      </c>
    </row>
    <row r="996" spans="1:15" hidden="1" x14ac:dyDescent="0.45">
      <c r="A996" s="187">
        <v>2015</v>
      </c>
      <c r="B996" t="s">
        <v>310</v>
      </c>
      <c r="C996" t="s">
        <v>328</v>
      </c>
      <c r="D996" t="s">
        <v>39</v>
      </c>
      <c r="E996" t="s">
        <v>364</v>
      </c>
      <c r="F996" t="s">
        <v>364</v>
      </c>
      <c r="G996" t="s">
        <v>37</v>
      </c>
      <c r="H996" t="s">
        <v>43</v>
      </c>
      <c r="I996" s="187"/>
      <c r="J996" s="187">
        <v>675</v>
      </c>
      <c r="K996" s="187">
        <v>3614.721811999163</v>
      </c>
      <c r="L996" s="187">
        <v>4048</v>
      </c>
      <c r="M996" s="187">
        <v>8337.7216796875</v>
      </c>
      <c r="N996" s="187">
        <v>4048</v>
      </c>
      <c r="O996" t="s">
        <v>1454</v>
      </c>
    </row>
    <row r="997" spans="1:15" hidden="1" x14ac:dyDescent="0.45">
      <c r="A997" s="187">
        <v>2015</v>
      </c>
      <c r="B997" t="s">
        <v>309</v>
      </c>
      <c r="C997" t="s">
        <v>328</v>
      </c>
      <c r="D997" t="s">
        <v>39</v>
      </c>
      <c r="E997" t="s">
        <v>364</v>
      </c>
      <c r="F997" t="s">
        <v>364</v>
      </c>
      <c r="G997" t="s">
        <v>37</v>
      </c>
      <c r="H997" t="s">
        <v>43</v>
      </c>
      <c r="I997" s="187"/>
      <c r="J997" s="187">
        <v>20.844000000000001</v>
      </c>
      <c r="K997" s="187">
        <v>4276.2526828097807</v>
      </c>
      <c r="L997" s="187">
        <v>4582</v>
      </c>
      <c r="M997" s="187">
        <v>8879.0966796875</v>
      </c>
      <c r="N997" s="187">
        <v>4582</v>
      </c>
      <c r="O997" t="s">
        <v>1455</v>
      </c>
    </row>
    <row r="998" spans="1:15" hidden="1" x14ac:dyDescent="0.45">
      <c r="A998" s="187">
        <v>2015</v>
      </c>
      <c r="B998" t="s">
        <v>311</v>
      </c>
      <c r="C998" t="s">
        <v>328</v>
      </c>
      <c r="D998" t="s">
        <v>39</v>
      </c>
      <c r="E998" t="s">
        <v>365</v>
      </c>
      <c r="F998" t="s">
        <v>375</v>
      </c>
      <c r="G998" t="s">
        <v>36</v>
      </c>
      <c r="H998" t="s">
        <v>43</v>
      </c>
      <c r="I998" s="187"/>
      <c r="J998" s="187">
        <v>1852.4513341985032</v>
      </c>
      <c r="K998" s="187">
        <v>17523.166153223799</v>
      </c>
      <c r="L998" s="187">
        <v>21642.223889353078</v>
      </c>
      <c r="M998" s="187">
        <v>41017.83984375</v>
      </c>
      <c r="N998" s="187">
        <v>21642.224609375</v>
      </c>
      <c r="O998" t="s">
        <v>1458</v>
      </c>
    </row>
    <row r="999" spans="1:15" hidden="1" x14ac:dyDescent="0.45">
      <c r="A999" s="187">
        <v>2015</v>
      </c>
      <c r="B999" t="s">
        <v>310</v>
      </c>
      <c r="C999" t="s">
        <v>328</v>
      </c>
      <c r="D999" t="s">
        <v>39</v>
      </c>
      <c r="E999" t="s">
        <v>365</v>
      </c>
      <c r="F999" t="s">
        <v>375</v>
      </c>
      <c r="G999" t="s">
        <v>36</v>
      </c>
      <c r="H999" t="s">
        <v>43</v>
      </c>
      <c r="I999" s="187"/>
      <c r="J999" s="187">
        <v>2010.5161967654424</v>
      </c>
      <c r="K999" s="187">
        <v>18301.043436384847</v>
      </c>
      <c r="L999" s="187">
        <v>23659.424689405074</v>
      </c>
      <c r="M999" s="187">
        <v>43970.984375</v>
      </c>
      <c r="N999" s="187">
        <v>23659.423828125</v>
      </c>
      <c r="O999" t="s">
        <v>1457</v>
      </c>
    </row>
    <row r="1000" spans="1:15" hidden="1" x14ac:dyDescent="0.45">
      <c r="A1000" s="187">
        <v>2015</v>
      </c>
      <c r="B1000" t="s">
        <v>309</v>
      </c>
      <c r="C1000" t="s">
        <v>328</v>
      </c>
      <c r="D1000" t="s">
        <v>39</v>
      </c>
      <c r="E1000" t="s">
        <v>365</v>
      </c>
      <c r="F1000" t="s">
        <v>375</v>
      </c>
      <c r="G1000" t="s">
        <v>36</v>
      </c>
      <c r="H1000" t="s">
        <v>43</v>
      </c>
      <c r="I1000" s="187"/>
      <c r="J1000" s="187">
        <v>1681.8369788566911</v>
      </c>
      <c r="K1000" s="187">
        <v>18988.146880061595</v>
      </c>
      <c r="L1000" s="187">
        <v>25543.196892055057</v>
      </c>
      <c r="M1000" s="187">
        <v>46213.1796875</v>
      </c>
      <c r="N1000" s="187">
        <v>25543.197265625</v>
      </c>
      <c r="O1000" t="s">
        <v>1459</v>
      </c>
    </row>
    <row r="1001" spans="1:15" hidden="1" x14ac:dyDescent="0.45">
      <c r="A1001" s="187">
        <v>2015</v>
      </c>
      <c r="B1001" t="s">
        <v>310</v>
      </c>
      <c r="C1001" t="s">
        <v>328</v>
      </c>
      <c r="D1001" t="s">
        <v>39</v>
      </c>
      <c r="E1001" t="s">
        <v>365</v>
      </c>
      <c r="F1001" t="s">
        <v>375</v>
      </c>
      <c r="G1001" t="s">
        <v>37</v>
      </c>
      <c r="H1001" t="s">
        <v>43</v>
      </c>
      <c r="I1001" s="187"/>
      <c r="J1001" s="187">
        <v>1759</v>
      </c>
      <c r="K1001" s="187">
        <v>15963.80099261989</v>
      </c>
      <c r="L1001" s="187">
        <v>20783</v>
      </c>
      <c r="M1001" s="187">
        <v>38505.80078125</v>
      </c>
      <c r="N1001" s="187">
        <v>20783</v>
      </c>
      <c r="O1001" t="s">
        <v>1460</v>
      </c>
    </row>
    <row r="1002" spans="1:15" hidden="1" x14ac:dyDescent="0.45">
      <c r="A1002" s="187">
        <v>2015</v>
      </c>
      <c r="B1002" t="s">
        <v>311</v>
      </c>
      <c r="C1002" t="s">
        <v>328</v>
      </c>
      <c r="D1002" t="s">
        <v>39</v>
      </c>
      <c r="E1002" t="s">
        <v>365</v>
      </c>
      <c r="F1002" t="s">
        <v>375</v>
      </c>
      <c r="G1002" t="s">
        <v>37</v>
      </c>
      <c r="H1002" t="s">
        <v>43</v>
      </c>
      <c r="I1002" s="187"/>
      <c r="J1002" s="187">
        <v>1590</v>
      </c>
      <c r="K1002" s="187">
        <v>15040.5215345</v>
      </c>
      <c r="L1002" s="187">
        <v>18576</v>
      </c>
      <c r="M1002" s="187">
        <v>35206.5234375</v>
      </c>
      <c r="N1002" s="187">
        <v>18576</v>
      </c>
      <c r="O1002" t="s">
        <v>1461</v>
      </c>
    </row>
    <row r="1003" spans="1:15" hidden="1" x14ac:dyDescent="0.45">
      <c r="A1003" s="187">
        <v>2015</v>
      </c>
      <c r="B1003" t="s">
        <v>309</v>
      </c>
      <c r="C1003" t="s">
        <v>328</v>
      </c>
      <c r="D1003" t="s">
        <v>39</v>
      </c>
      <c r="E1003" t="s">
        <v>365</v>
      </c>
      <c r="F1003" t="s">
        <v>375</v>
      </c>
      <c r="G1003" t="s">
        <v>37</v>
      </c>
      <c r="H1003" t="s">
        <v>43</v>
      </c>
      <c r="I1003" s="187"/>
      <c r="J1003" s="187">
        <v>1471.5863999999999</v>
      </c>
      <c r="K1003" s="187">
        <v>16683.362687526758</v>
      </c>
      <c r="L1003" s="187">
        <v>22766</v>
      </c>
      <c r="M1003" s="187">
        <v>40920.94921875</v>
      </c>
      <c r="N1003" s="187">
        <v>22766</v>
      </c>
      <c r="O1003" t="s">
        <v>1462</v>
      </c>
    </row>
    <row r="1004" spans="1:15" hidden="1" x14ac:dyDescent="0.45">
      <c r="A1004" s="187">
        <v>2015</v>
      </c>
      <c r="B1004" t="s">
        <v>34</v>
      </c>
      <c r="C1004" t="s">
        <v>329</v>
      </c>
      <c r="D1004" t="s">
        <v>39</v>
      </c>
      <c r="E1004" t="s">
        <v>349</v>
      </c>
      <c r="F1004" t="s">
        <v>349</v>
      </c>
      <c r="G1004" t="s">
        <v>36</v>
      </c>
      <c r="H1004" t="s">
        <v>43</v>
      </c>
      <c r="I1004" s="187"/>
      <c r="J1004" s="187">
        <v>0</v>
      </c>
      <c r="K1004" s="187">
        <v>3321.1806640625</v>
      </c>
      <c r="L1004" s="187">
        <v>0</v>
      </c>
      <c r="M1004" s="187">
        <v>3321.1806640625</v>
      </c>
      <c r="N1004" s="187">
        <v>0</v>
      </c>
      <c r="O1004" t="s">
        <v>1463</v>
      </c>
    </row>
    <row r="1005" spans="1:15" hidden="1" x14ac:dyDescent="0.45">
      <c r="A1005" s="187">
        <v>2015</v>
      </c>
      <c r="B1005" t="s">
        <v>34</v>
      </c>
      <c r="C1005" t="s">
        <v>329</v>
      </c>
      <c r="D1005" t="s">
        <v>39</v>
      </c>
      <c r="E1005" t="s">
        <v>349</v>
      </c>
      <c r="F1005" t="s">
        <v>349</v>
      </c>
      <c r="G1005" t="s">
        <v>37</v>
      </c>
      <c r="H1005" t="s">
        <v>43</v>
      </c>
      <c r="I1005" s="187"/>
      <c r="J1005" s="187">
        <v>0</v>
      </c>
      <c r="K1005" s="187">
        <v>2850.6428700000001</v>
      </c>
      <c r="L1005" s="187">
        <v>0</v>
      </c>
      <c r="M1005" s="187">
        <v>2850.642822265625</v>
      </c>
      <c r="N1005" s="187">
        <v>0</v>
      </c>
      <c r="O1005" t="s">
        <v>1464</v>
      </c>
    </row>
    <row r="1006" spans="1:15" hidden="1" x14ac:dyDescent="0.45">
      <c r="A1006" s="187">
        <v>2015</v>
      </c>
      <c r="B1006" t="s">
        <v>34</v>
      </c>
      <c r="C1006" t="s">
        <v>329</v>
      </c>
      <c r="D1006" t="s">
        <v>39</v>
      </c>
      <c r="E1006" t="s">
        <v>21</v>
      </c>
      <c r="F1006" t="s">
        <v>21</v>
      </c>
      <c r="G1006" t="s">
        <v>36</v>
      </c>
      <c r="H1006" t="s">
        <v>43</v>
      </c>
      <c r="I1006" s="187"/>
      <c r="J1006" s="187">
        <v>871.4676513671875</v>
      </c>
      <c r="K1006" s="187">
        <v>7863.5458984375</v>
      </c>
      <c r="L1006" s="187">
        <v>6432.31689453125</v>
      </c>
      <c r="M1006" s="187">
        <v>15167.330078125</v>
      </c>
      <c r="N1006" s="187">
        <v>6432.31689453125</v>
      </c>
      <c r="O1006" t="s">
        <v>1465</v>
      </c>
    </row>
    <row r="1007" spans="1:15" hidden="1" x14ac:dyDescent="0.45">
      <c r="A1007" s="187">
        <v>2015</v>
      </c>
      <c r="B1007" t="s">
        <v>34</v>
      </c>
      <c r="C1007" t="s">
        <v>329</v>
      </c>
      <c r="D1007" t="s">
        <v>39</v>
      </c>
      <c r="E1007" t="s">
        <v>21</v>
      </c>
      <c r="F1007" t="s">
        <v>21</v>
      </c>
      <c r="G1007" t="s">
        <v>37</v>
      </c>
      <c r="H1007" t="s">
        <v>43</v>
      </c>
      <c r="I1007" s="187"/>
      <c r="J1007" s="187">
        <v>748</v>
      </c>
      <c r="K1007" s="187">
        <v>6749.4554076719814</v>
      </c>
      <c r="L1007" s="187">
        <v>5521</v>
      </c>
      <c r="M1007" s="187">
        <v>13018.455078125</v>
      </c>
      <c r="N1007" s="187">
        <v>5521</v>
      </c>
      <c r="O1007" t="s">
        <v>1466</v>
      </c>
    </row>
    <row r="1008" spans="1:15" hidden="1" x14ac:dyDescent="0.45">
      <c r="A1008" s="187">
        <v>2015</v>
      </c>
      <c r="B1008" t="s">
        <v>34</v>
      </c>
      <c r="C1008" t="s">
        <v>329</v>
      </c>
      <c r="D1008" t="s">
        <v>39</v>
      </c>
      <c r="E1008" t="s">
        <v>40</v>
      </c>
      <c r="F1008" t="s">
        <v>40</v>
      </c>
      <c r="G1008" t="s">
        <v>36</v>
      </c>
      <c r="H1008" t="s">
        <v>43</v>
      </c>
      <c r="I1008" s="187"/>
      <c r="J1008" s="187">
        <v>189.9053955078125</v>
      </c>
      <c r="K1008" s="187">
        <v>6220.505859375</v>
      </c>
      <c r="L1008" s="187">
        <v>9684.009765625</v>
      </c>
      <c r="M1008" s="187">
        <v>16094.4208984375</v>
      </c>
      <c r="N1008" s="187">
        <v>9684.009765625</v>
      </c>
      <c r="O1008" t="s">
        <v>1467</v>
      </c>
    </row>
    <row r="1009" spans="1:15" hidden="1" x14ac:dyDescent="0.45">
      <c r="A1009" s="187">
        <v>2015</v>
      </c>
      <c r="B1009" t="s">
        <v>34</v>
      </c>
      <c r="C1009" t="s">
        <v>329</v>
      </c>
      <c r="D1009" t="s">
        <v>39</v>
      </c>
      <c r="E1009" t="s">
        <v>40</v>
      </c>
      <c r="F1009" t="s">
        <v>40</v>
      </c>
      <c r="G1009" t="s">
        <v>37</v>
      </c>
      <c r="H1009" t="s">
        <v>43</v>
      </c>
      <c r="I1009" s="187"/>
      <c r="J1009" s="187">
        <v>163</v>
      </c>
      <c r="K1009" s="187">
        <v>5339.1979300000003</v>
      </c>
      <c r="L1009" s="187">
        <v>8312</v>
      </c>
      <c r="M1009" s="187">
        <v>13814.197265625</v>
      </c>
      <c r="N1009" s="187">
        <v>8312</v>
      </c>
      <c r="O1009" t="s">
        <v>1468</v>
      </c>
    </row>
    <row r="1010" spans="1:15" hidden="1" x14ac:dyDescent="0.45">
      <c r="A1010" s="187">
        <v>2015</v>
      </c>
      <c r="B1010" t="s">
        <v>34</v>
      </c>
      <c r="C1010" t="s">
        <v>329</v>
      </c>
      <c r="D1010" t="s">
        <v>39</v>
      </c>
      <c r="E1010" t="s">
        <v>41</v>
      </c>
      <c r="F1010" t="s">
        <v>41</v>
      </c>
      <c r="G1010" t="s">
        <v>36</v>
      </c>
      <c r="H1010" t="s">
        <v>43</v>
      </c>
      <c r="I1010" s="187"/>
      <c r="J1010" s="187">
        <v>1649.730224609375</v>
      </c>
      <c r="K1010" s="187">
        <v>11814.4765625</v>
      </c>
      <c r="L1010" s="187">
        <v>10020.712890625</v>
      </c>
      <c r="M1010" s="187">
        <v>23484.919921875</v>
      </c>
      <c r="N1010" s="187">
        <v>10020.712890625</v>
      </c>
      <c r="O1010" t="s">
        <v>1469</v>
      </c>
    </row>
    <row r="1011" spans="1:15" hidden="1" x14ac:dyDescent="0.45">
      <c r="A1011" s="187">
        <v>2015</v>
      </c>
      <c r="B1011" t="s">
        <v>34</v>
      </c>
      <c r="C1011" t="s">
        <v>329</v>
      </c>
      <c r="D1011" t="s">
        <v>39</v>
      </c>
      <c r="E1011" t="s">
        <v>41</v>
      </c>
      <c r="F1011" t="s">
        <v>41</v>
      </c>
      <c r="G1011" t="s">
        <v>37</v>
      </c>
      <c r="H1011" t="s">
        <v>43</v>
      </c>
      <c r="I1011" s="187"/>
      <c r="J1011" s="187">
        <v>1416</v>
      </c>
      <c r="K1011" s="187">
        <v>10140.627016242321</v>
      </c>
      <c r="L1011" s="187">
        <v>8601</v>
      </c>
      <c r="M1011" s="187">
        <v>20157.626953125</v>
      </c>
      <c r="N1011" s="187">
        <v>8601</v>
      </c>
      <c r="O1011" t="s">
        <v>1470</v>
      </c>
    </row>
    <row r="1012" spans="1:15" hidden="1" x14ac:dyDescent="0.45">
      <c r="A1012" s="187">
        <v>2015</v>
      </c>
      <c r="B1012" t="s">
        <v>34</v>
      </c>
      <c r="C1012" t="s">
        <v>329</v>
      </c>
      <c r="D1012" t="s">
        <v>39</v>
      </c>
      <c r="E1012" t="s">
        <v>362</v>
      </c>
      <c r="F1012" t="s">
        <v>362</v>
      </c>
      <c r="G1012" t="s">
        <v>36</v>
      </c>
      <c r="H1012" t="s">
        <v>43</v>
      </c>
      <c r="I1012" s="187"/>
      <c r="J1012" s="187">
        <v>102.52561187744141</v>
      </c>
      <c r="K1012" s="187">
        <v>2464.637451171875</v>
      </c>
      <c r="L1012" s="187">
        <v>5105.30908203125</v>
      </c>
      <c r="M1012" s="187">
        <v>7672.47216796875</v>
      </c>
      <c r="N1012" s="187">
        <v>5105.30908203125</v>
      </c>
      <c r="O1012" t="s">
        <v>1471</v>
      </c>
    </row>
    <row r="1013" spans="1:15" hidden="1" x14ac:dyDescent="0.45">
      <c r="A1013" s="187">
        <v>2015</v>
      </c>
      <c r="B1013" t="s">
        <v>34</v>
      </c>
      <c r="C1013" t="s">
        <v>329</v>
      </c>
      <c r="D1013" t="s">
        <v>39</v>
      </c>
      <c r="E1013" t="s">
        <v>362</v>
      </c>
      <c r="F1013" t="s">
        <v>362</v>
      </c>
      <c r="G1013" t="s">
        <v>37</v>
      </c>
      <c r="H1013" t="s">
        <v>43</v>
      </c>
      <c r="I1013" s="187"/>
      <c r="J1013" s="187">
        <v>88</v>
      </c>
      <c r="K1013" s="187">
        <v>2115.45291</v>
      </c>
      <c r="L1013" s="187">
        <v>4382</v>
      </c>
      <c r="M1013" s="187">
        <v>6585.453125</v>
      </c>
      <c r="N1013" s="187">
        <v>4382</v>
      </c>
      <c r="O1013" t="s">
        <v>1472</v>
      </c>
    </row>
    <row r="1014" spans="1:15" hidden="1" x14ac:dyDescent="0.45">
      <c r="A1014" s="187">
        <v>2015</v>
      </c>
      <c r="B1014" t="s">
        <v>34</v>
      </c>
      <c r="C1014" t="s">
        <v>329</v>
      </c>
      <c r="D1014" t="s">
        <v>39</v>
      </c>
      <c r="E1014" t="s">
        <v>363</v>
      </c>
      <c r="F1014" t="s">
        <v>363</v>
      </c>
      <c r="G1014" t="s">
        <v>36</v>
      </c>
      <c r="H1014" t="s">
        <v>43</v>
      </c>
      <c r="I1014" s="187"/>
      <c r="J1014" s="187">
        <v>87.379783630371094</v>
      </c>
      <c r="K1014" s="187">
        <v>434.68777465820313</v>
      </c>
      <c r="L1014" s="187">
        <v>4578.70068359375</v>
      </c>
      <c r="M1014" s="187">
        <v>5100.76806640625</v>
      </c>
      <c r="N1014" s="187">
        <v>4578.70068359375</v>
      </c>
      <c r="O1014" t="s">
        <v>1473</v>
      </c>
    </row>
    <row r="1015" spans="1:15" hidden="1" x14ac:dyDescent="0.45">
      <c r="A1015" s="187">
        <v>2015</v>
      </c>
      <c r="B1015" t="s">
        <v>34</v>
      </c>
      <c r="C1015" t="s">
        <v>329</v>
      </c>
      <c r="D1015" t="s">
        <v>39</v>
      </c>
      <c r="E1015" t="s">
        <v>363</v>
      </c>
      <c r="F1015" t="s">
        <v>363</v>
      </c>
      <c r="G1015" t="s">
        <v>37</v>
      </c>
      <c r="H1015" t="s">
        <v>43</v>
      </c>
      <c r="I1015" s="187"/>
      <c r="J1015" s="187">
        <v>75</v>
      </c>
      <c r="K1015" s="187">
        <v>373.10215000000011</v>
      </c>
      <c r="L1015" s="187">
        <v>3930</v>
      </c>
      <c r="M1015" s="187">
        <v>4378.10205078125</v>
      </c>
      <c r="N1015" s="187">
        <v>3930</v>
      </c>
      <c r="O1015" t="s">
        <v>1474</v>
      </c>
    </row>
    <row r="1016" spans="1:15" hidden="1" x14ac:dyDescent="0.45">
      <c r="A1016" s="187">
        <v>2015</v>
      </c>
      <c r="B1016" t="s">
        <v>34</v>
      </c>
      <c r="C1016" t="s">
        <v>329</v>
      </c>
      <c r="D1016" t="s">
        <v>39</v>
      </c>
      <c r="E1016" t="s">
        <v>364</v>
      </c>
      <c r="F1016" t="s">
        <v>364</v>
      </c>
      <c r="G1016" t="s">
        <v>36</v>
      </c>
      <c r="H1016" t="s">
        <v>43</v>
      </c>
      <c r="I1016" s="187"/>
      <c r="J1016" s="187">
        <v>778.2625732421875</v>
      </c>
      <c r="K1016" s="187">
        <v>3950.93115234375</v>
      </c>
      <c r="L1016" s="187">
        <v>3588.396240234375</v>
      </c>
      <c r="M1016" s="187">
        <v>8317.58984375</v>
      </c>
      <c r="N1016" s="187">
        <v>3588.396240234375</v>
      </c>
      <c r="O1016" t="s">
        <v>1475</v>
      </c>
    </row>
    <row r="1017" spans="1:15" hidden="1" x14ac:dyDescent="0.45">
      <c r="A1017" s="187">
        <v>2015</v>
      </c>
      <c r="B1017" t="s">
        <v>34</v>
      </c>
      <c r="C1017" t="s">
        <v>329</v>
      </c>
      <c r="D1017" t="s">
        <v>39</v>
      </c>
      <c r="E1017" t="s">
        <v>364</v>
      </c>
      <c r="F1017" t="s">
        <v>364</v>
      </c>
      <c r="G1017" t="s">
        <v>37</v>
      </c>
      <c r="H1017" t="s">
        <v>43</v>
      </c>
      <c r="I1017" s="187"/>
      <c r="J1017" s="187">
        <v>668</v>
      </c>
      <c r="K1017" s="187">
        <v>3391.171608570341</v>
      </c>
      <c r="L1017" s="187">
        <v>3080</v>
      </c>
      <c r="M1017" s="187">
        <v>7139.171875</v>
      </c>
      <c r="N1017" s="187">
        <v>3080</v>
      </c>
      <c r="O1017" t="s">
        <v>1476</v>
      </c>
    </row>
    <row r="1018" spans="1:15" hidden="1" x14ac:dyDescent="0.45">
      <c r="A1018" s="187">
        <v>2015</v>
      </c>
      <c r="B1018" t="s">
        <v>34</v>
      </c>
      <c r="C1018" t="s">
        <v>329</v>
      </c>
      <c r="D1018" t="s">
        <v>39</v>
      </c>
      <c r="E1018" t="s">
        <v>365</v>
      </c>
      <c r="F1018" t="s">
        <v>375</v>
      </c>
      <c r="G1018" t="s">
        <v>36</v>
      </c>
      <c r="H1018" t="s">
        <v>43</v>
      </c>
      <c r="I1018" s="187"/>
      <c r="J1018" s="187">
        <v>1839.6356201171875</v>
      </c>
      <c r="K1018" s="187">
        <v>18034.982421875</v>
      </c>
      <c r="L1018" s="187">
        <v>19704.72265625</v>
      </c>
      <c r="M1018" s="187">
        <v>39579.33984375</v>
      </c>
      <c r="N1018" s="187">
        <v>19704.72265625</v>
      </c>
      <c r="O1018" t="s">
        <v>1477</v>
      </c>
    </row>
    <row r="1019" spans="1:15" hidden="1" x14ac:dyDescent="0.45">
      <c r="A1019" s="187">
        <v>2015</v>
      </c>
      <c r="B1019" t="s">
        <v>34</v>
      </c>
      <c r="C1019" t="s">
        <v>329</v>
      </c>
      <c r="D1019" t="s">
        <v>39</v>
      </c>
      <c r="E1019" t="s">
        <v>365</v>
      </c>
      <c r="F1019" t="s">
        <v>375</v>
      </c>
      <c r="G1019" t="s">
        <v>37</v>
      </c>
      <c r="H1019" t="s">
        <v>43</v>
      </c>
      <c r="I1019" s="187"/>
      <c r="J1019" s="187">
        <v>1579</v>
      </c>
      <c r="K1019" s="187">
        <v>15479.824946242319</v>
      </c>
      <c r="L1019" s="187">
        <v>16913</v>
      </c>
      <c r="M1019" s="187">
        <v>33971.82421875</v>
      </c>
      <c r="N1019" s="187">
        <v>16913</v>
      </c>
      <c r="O1019" t="s">
        <v>1478</v>
      </c>
    </row>
    <row r="1020" spans="1:15" hidden="1" x14ac:dyDescent="0.45">
      <c r="A1020" s="187">
        <v>2015</v>
      </c>
      <c r="B1020" t="s">
        <v>34</v>
      </c>
      <c r="C1020" t="s">
        <v>320</v>
      </c>
      <c r="D1020" t="s">
        <v>336</v>
      </c>
      <c r="E1020" t="s">
        <v>102</v>
      </c>
      <c r="F1020" t="s">
        <v>14</v>
      </c>
      <c r="G1020" t="s">
        <v>36</v>
      </c>
      <c r="H1020" t="s">
        <v>43</v>
      </c>
      <c r="I1020" s="187"/>
      <c r="J1020" s="187">
        <v>77.792938232421875</v>
      </c>
      <c r="K1020" s="187">
        <v>0</v>
      </c>
      <c r="L1020" s="187">
        <v>0</v>
      </c>
      <c r="M1020" s="187">
        <v>77.792938232421875</v>
      </c>
      <c r="N1020" s="187">
        <v>0</v>
      </c>
      <c r="O1020" t="s">
        <v>1479</v>
      </c>
    </row>
    <row r="1021" spans="1:15" hidden="1" x14ac:dyDescent="0.45">
      <c r="A1021" s="187">
        <v>2015</v>
      </c>
      <c r="B1021" t="s">
        <v>34</v>
      </c>
      <c r="C1021" t="s">
        <v>320</v>
      </c>
      <c r="D1021" t="s">
        <v>336</v>
      </c>
      <c r="E1021" t="s">
        <v>102</v>
      </c>
      <c r="F1021" t="s">
        <v>14</v>
      </c>
      <c r="G1021" t="s">
        <v>37</v>
      </c>
      <c r="H1021" t="s">
        <v>43</v>
      </c>
      <c r="I1021" s="187"/>
      <c r="J1021" s="187">
        <v>61</v>
      </c>
      <c r="K1021" s="187">
        <v>0</v>
      </c>
      <c r="L1021" s="187">
        <v>0</v>
      </c>
      <c r="M1021" s="187">
        <v>61</v>
      </c>
      <c r="N1021" s="187">
        <v>0</v>
      </c>
      <c r="O1021" t="s">
        <v>1480</v>
      </c>
    </row>
    <row r="1022" spans="1:15" hidden="1" x14ac:dyDescent="0.45">
      <c r="A1022" s="187">
        <v>2015</v>
      </c>
      <c r="B1022" t="s">
        <v>34</v>
      </c>
      <c r="C1022" t="s">
        <v>320</v>
      </c>
      <c r="D1022" t="s">
        <v>336</v>
      </c>
      <c r="E1022" t="s">
        <v>102</v>
      </c>
      <c r="F1022" t="s">
        <v>374</v>
      </c>
      <c r="G1022" t="s">
        <v>36</v>
      </c>
      <c r="H1022" t="s">
        <v>43</v>
      </c>
      <c r="I1022" s="187"/>
      <c r="J1022" s="187">
        <v>0</v>
      </c>
      <c r="K1022" s="187">
        <v>0</v>
      </c>
      <c r="L1022" s="187">
        <v>0</v>
      </c>
      <c r="M1022" s="187">
        <v>0</v>
      </c>
      <c r="N1022" s="187">
        <v>0</v>
      </c>
      <c r="O1022" t="s">
        <v>1481</v>
      </c>
    </row>
    <row r="1023" spans="1:15" hidden="1" x14ac:dyDescent="0.45">
      <c r="A1023" s="187">
        <v>2015</v>
      </c>
      <c r="B1023" t="s">
        <v>34</v>
      </c>
      <c r="C1023" t="s">
        <v>320</v>
      </c>
      <c r="D1023" t="s">
        <v>336</v>
      </c>
      <c r="E1023" t="s">
        <v>102</v>
      </c>
      <c r="F1023" t="s">
        <v>374</v>
      </c>
      <c r="G1023" t="s">
        <v>37</v>
      </c>
      <c r="H1023" t="s">
        <v>43</v>
      </c>
      <c r="I1023" s="187"/>
      <c r="J1023" s="187">
        <v>0</v>
      </c>
      <c r="K1023" s="187">
        <v>0</v>
      </c>
      <c r="L1023" s="187">
        <v>0</v>
      </c>
      <c r="M1023" s="187">
        <v>0</v>
      </c>
      <c r="N1023" s="187">
        <v>0</v>
      </c>
      <c r="O1023" t="s">
        <v>1482</v>
      </c>
    </row>
    <row r="1024" spans="1:15" hidden="1" x14ac:dyDescent="0.45">
      <c r="A1024" s="187">
        <v>2015</v>
      </c>
      <c r="B1024" t="s">
        <v>34</v>
      </c>
      <c r="C1024" t="s">
        <v>320</v>
      </c>
      <c r="D1024" t="s">
        <v>336</v>
      </c>
      <c r="E1024" t="s">
        <v>102</v>
      </c>
      <c r="F1024" t="s">
        <v>375</v>
      </c>
      <c r="G1024" t="s">
        <v>36</v>
      </c>
      <c r="H1024" t="s">
        <v>43</v>
      </c>
      <c r="I1024" s="187"/>
      <c r="J1024" s="187">
        <v>307.57681274414063</v>
      </c>
      <c r="K1024" s="187">
        <v>0</v>
      </c>
      <c r="L1024" s="187">
        <v>-66.40863037109375</v>
      </c>
      <c r="M1024" s="187">
        <v>241.16818237304688</v>
      </c>
      <c r="N1024" s="187">
        <v>-66.40863037109375</v>
      </c>
      <c r="O1024" t="s">
        <v>1483</v>
      </c>
    </row>
    <row r="1025" spans="1:15" hidden="1" x14ac:dyDescent="0.45">
      <c r="A1025" s="187">
        <v>2015</v>
      </c>
      <c r="B1025" t="s">
        <v>34</v>
      </c>
      <c r="C1025" t="s">
        <v>320</v>
      </c>
      <c r="D1025" t="s">
        <v>336</v>
      </c>
      <c r="E1025" t="s">
        <v>102</v>
      </c>
      <c r="F1025" t="s">
        <v>375</v>
      </c>
      <c r="G1025" t="s">
        <v>37</v>
      </c>
      <c r="H1025" t="s">
        <v>43</v>
      </c>
      <c r="I1025" s="187"/>
      <c r="J1025" s="187">
        <v>264</v>
      </c>
      <c r="K1025" s="187">
        <v>0</v>
      </c>
      <c r="L1025" s="187">
        <v>-57</v>
      </c>
      <c r="M1025" s="187">
        <v>207</v>
      </c>
      <c r="N1025" s="187">
        <v>-57</v>
      </c>
      <c r="O1025" t="s">
        <v>1484</v>
      </c>
    </row>
    <row r="1026" spans="1:15" hidden="1" x14ac:dyDescent="0.45">
      <c r="A1026" s="187">
        <v>2015</v>
      </c>
      <c r="B1026" t="s">
        <v>34</v>
      </c>
      <c r="C1026" t="s">
        <v>320</v>
      </c>
      <c r="D1026" t="s">
        <v>336</v>
      </c>
      <c r="E1026" t="s">
        <v>102</v>
      </c>
      <c r="F1026" t="s">
        <v>376</v>
      </c>
      <c r="G1026" t="s">
        <v>36</v>
      </c>
      <c r="H1026" t="s">
        <v>43</v>
      </c>
      <c r="I1026" s="187"/>
      <c r="J1026" s="187">
        <v>0</v>
      </c>
      <c r="K1026" s="187">
        <v>0</v>
      </c>
      <c r="L1026" s="187">
        <v>0</v>
      </c>
      <c r="M1026" s="187">
        <v>0</v>
      </c>
      <c r="N1026" s="187">
        <v>0</v>
      </c>
      <c r="O1026" t="s">
        <v>1485</v>
      </c>
    </row>
    <row r="1027" spans="1:15" hidden="1" x14ac:dyDescent="0.45">
      <c r="A1027" s="187">
        <v>2015</v>
      </c>
      <c r="B1027" t="s">
        <v>34</v>
      </c>
      <c r="C1027" t="s">
        <v>320</v>
      </c>
      <c r="D1027" t="s">
        <v>336</v>
      </c>
      <c r="E1027" t="s">
        <v>102</v>
      </c>
      <c r="F1027" t="s">
        <v>376</v>
      </c>
      <c r="G1027" t="s">
        <v>37</v>
      </c>
      <c r="H1027" t="s">
        <v>43</v>
      </c>
      <c r="I1027" s="187"/>
      <c r="J1027" s="187">
        <v>0</v>
      </c>
      <c r="K1027" s="187">
        <v>0</v>
      </c>
      <c r="L1027" s="187">
        <v>0</v>
      </c>
      <c r="M1027" s="187">
        <v>0</v>
      </c>
      <c r="N1027" s="187">
        <v>0</v>
      </c>
      <c r="O1027" t="s">
        <v>1486</v>
      </c>
    </row>
    <row r="1028" spans="1:15" hidden="1" x14ac:dyDescent="0.45">
      <c r="A1028" s="187">
        <v>2015</v>
      </c>
      <c r="B1028" t="s">
        <v>34</v>
      </c>
      <c r="C1028" t="s">
        <v>320</v>
      </c>
      <c r="D1028" t="s">
        <v>336</v>
      </c>
      <c r="E1028" t="s">
        <v>102</v>
      </c>
      <c r="F1028" t="s">
        <v>347</v>
      </c>
      <c r="G1028" t="s">
        <v>36</v>
      </c>
      <c r="H1028" t="s">
        <v>43</v>
      </c>
      <c r="I1028" s="187"/>
      <c r="J1028" s="187">
        <v>0</v>
      </c>
      <c r="K1028" s="187">
        <v>0</v>
      </c>
      <c r="L1028" s="187">
        <v>6806.15380859375</v>
      </c>
      <c r="M1028" s="187">
        <v>6806.15380859375</v>
      </c>
      <c r="N1028" s="187">
        <v>6806.15380859375</v>
      </c>
      <c r="O1028" t="s">
        <v>1487</v>
      </c>
    </row>
    <row r="1029" spans="1:15" hidden="1" x14ac:dyDescent="0.45">
      <c r="A1029" s="187">
        <v>2015</v>
      </c>
      <c r="B1029" t="s">
        <v>34</v>
      </c>
      <c r="C1029" t="s">
        <v>320</v>
      </c>
      <c r="D1029" t="s">
        <v>336</v>
      </c>
      <c r="E1029" t="s">
        <v>102</v>
      </c>
      <c r="F1029" t="s">
        <v>347</v>
      </c>
      <c r="G1029" t="s">
        <v>37</v>
      </c>
      <c r="H1029" t="s">
        <v>43</v>
      </c>
      <c r="I1029" s="187"/>
      <c r="J1029" s="187">
        <v>0</v>
      </c>
      <c r="K1029" s="187">
        <v>0</v>
      </c>
      <c r="L1029" s="187">
        <v>5968</v>
      </c>
      <c r="M1029" s="187">
        <v>5968</v>
      </c>
      <c r="N1029" s="187">
        <v>5968</v>
      </c>
      <c r="O1029" t="s">
        <v>1488</v>
      </c>
    </row>
    <row r="1030" spans="1:15" hidden="1" x14ac:dyDescent="0.45">
      <c r="A1030" s="187">
        <v>2015</v>
      </c>
      <c r="B1030" t="s">
        <v>34</v>
      </c>
      <c r="C1030" t="s">
        <v>330</v>
      </c>
      <c r="D1030" t="s">
        <v>338</v>
      </c>
      <c r="E1030" t="s">
        <v>366</v>
      </c>
      <c r="F1030" t="s">
        <v>434</v>
      </c>
      <c r="G1030" t="s">
        <v>36</v>
      </c>
      <c r="H1030" t="s">
        <v>43</v>
      </c>
      <c r="I1030" s="187"/>
      <c r="J1030" s="187">
        <v>2590</v>
      </c>
      <c r="K1030" s="187">
        <v>46673.086743825632</v>
      </c>
      <c r="L1030" s="187">
        <v>63279</v>
      </c>
      <c r="M1030" s="187">
        <v>112542.0859375</v>
      </c>
      <c r="N1030" s="187">
        <v>63279</v>
      </c>
      <c r="O1030" t="s">
        <v>1489</v>
      </c>
    </row>
    <row r="1031" spans="1:15" hidden="1" x14ac:dyDescent="0.45">
      <c r="A1031" s="187">
        <v>2015</v>
      </c>
      <c r="B1031" t="s">
        <v>34</v>
      </c>
      <c r="C1031" t="s">
        <v>330</v>
      </c>
      <c r="D1031" t="s">
        <v>338</v>
      </c>
      <c r="E1031" t="s">
        <v>366</v>
      </c>
      <c r="F1031" t="s">
        <v>435</v>
      </c>
      <c r="G1031" t="s">
        <v>36</v>
      </c>
      <c r="H1031" t="s">
        <v>43</v>
      </c>
      <c r="I1031" s="187"/>
      <c r="J1031" s="187">
        <v>133</v>
      </c>
      <c r="K1031" s="187">
        <v>2376.8549097223759</v>
      </c>
      <c r="L1031" s="187">
        <v>4803</v>
      </c>
      <c r="M1031" s="187">
        <v>7312.85498046875</v>
      </c>
      <c r="N1031" s="187">
        <v>4803</v>
      </c>
      <c r="O1031" t="s">
        <v>1490</v>
      </c>
    </row>
    <row r="1032" spans="1:15" hidden="1" x14ac:dyDescent="0.45">
      <c r="A1032" s="187">
        <v>2015</v>
      </c>
      <c r="B1032" t="s">
        <v>34</v>
      </c>
      <c r="C1032" t="s">
        <v>330</v>
      </c>
      <c r="D1032" t="s">
        <v>338</v>
      </c>
      <c r="E1032" t="s">
        <v>366</v>
      </c>
      <c r="F1032" t="s">
        <v>436</v>
      </c>
      <c r="G1032" t="s">
        <v>36</v>
      </c>
      <c r="H1032" t="s">
        <v>43</v>
      </c>
      <c r="I1032" s="187"/>
      <c r="J1032" s="187">
        <v>6909</v>
      </c>
      <c r="K1032" s="187">
        <v>4540.630299224893</v>
      </c>
      <c r="L1032" s="187">
        <v>11720</v>
      </c>
      <c r="M1032" s="187">
        <v>23169.62890625</v>
      </c>
      <c r="N1032" s="187">
        <v>11720</v>
      </c>
      <c r="O1032" t="s">
        <v>1491</v>
      </c>
    </row>
    <row r="1033" spans="1:15" hidden="1" x14ac:dyDescent="0.45">
      <c r="A1033" s="187">
        <v>2015</v>
      </c>
      <c r="B1033" t="s">
        <v>34</v>
      </c>
      <c r="C1033" t="s">
        <v>330</v>
      </c>
      <c r="D1033" t="s">
        <v>338</v>
      </c>
      <c r="E1033" t="s">
        <v>366</v>
      </c>
      <c r="F1033" t="s">
        <v>437</v>
      </c>
      <c r="G1033" t="s">
        <v>36</v>
      </c>
      <c r="H1033" t="s">
        <v>43</v>
      </c>
      <c r="I1033" s="187"/>
      <c r="J1033" s="187">
        <v>5566</v>
      </c>
      <c r="K1033" s="187">
        <v>168772.76182799871</v>
      </c>
      <c r="L1033" s="187">
        <v>314762</v>
      </c>
      <c r="M1033" s="187">
        <v>489100.75</v>
      </c>
      <c r="N1033" s="187">
        <v>314762</v>
      </c>
      <c r="O1033" t="s">
        <v>1492</v>
      </c>
    </row>
    <row r="1034" spans="1:15" hidden="1" x14ac:dyDescent="0.45">
      <c r="A1034" s="187">
        <v>2015</v>
      </c>
      <c r="B1034" t="s">
        <v>34</v>
      </c>
      <c r="C1034" t="s">
        <v>330</v>
      </c>
      <c r="D1034" t="s">
        <v>338</v>
      </c>
      <c r="E1034" t="s">
        <v>366</v>
      </c>
      <c r="F1034" t="s">
        <v>44</v>
      </c>
      <c r="G1034" t="s">
        <v>36</v>
      </c>
      <c r="H1034" t="s">
        <v>43</v>
      </c>
      <c r="I1034" s="187"/>
      <c r="J1034" s="187">
        <v>256</v>
      </c>
      <c r="K1034" s="187">
        <v>12559.34592015116</v>
      </c>
      <c r="L1034" s="187">
        <v>11945</v>
      </c>
      <c r="M1034" s="187">
        <v>24760.345703125</v>
      </c>
      <c r="N1034" s="187">
        <v>11945</v>
      </c>
      <c r="O1034" t="s">
        <v>1493</v>
      </c>
    </row>
    <row r="1035" spans="1:15" hidden="1" x14ac:dyDescent="0.45">
      <c r="A1035" s="187">
        <v>2015</v>
      </c>
      <c r="B1035" t="s">
        <v>34</v>
      </c>
      <c r="C1035" t="s">
        <v>330</v>
      </c>
      <c r="D1035" t="s">
        <v>338</v>
      </c>
      <c r="E1035" t="s">
        <v>366</v>
      </c>
      <c r="F1035" t="s">
        <v>438</v>
      </c>
      <c r="G1035" t="s">
        <v>36</v>
      </c>
      <c r="H1035" t="s">
        <v>43</v>
      </c>
      <c r="I1035" s="187"/>
      <c r="J1035" s="187">
        <v>6565</v>
      </c>
      <c r="K1035" s="187">
        <v>94939.729157156631</v>
      </c>
      <c r="L1035" s="187">
        <v>73173</v>
      </c>
      <c r="M1035" s="187">
        <v>174677.71875</v>
      </c>
      <c r="N1035" s="187">
        <v>73173</v>
      </c>
      <c r="O1035" t="s">
        <v>1494</v>
      </c>
    </row>
    <row r="1036" spans="1:15" hidden="1" x14ac:dyDescent="0.45">
      <c r="A1036" s="187">
        <v>2015</v>
      </c>
      <c r="B1036" t="s">
        <v>34</v>
      </c>
      <c r="C1036" t="s">
        <v>330</v>
      </c>
      <c r="D1036" t="s">
        <v>338</v>
      </c>
      <c r="E1036" t="s">
        <v>366</v>
      </c>
      <c r="F1036" t="s">
        <v>439</v>
      </c>
      <c r="G1036" t="s">
        <v>36</v>
      </c>
      <c r="H1036" t="s">
        <v>43</v>
      </c>
      <c r="I1036" s="187"/>
      <c r="J1036" s="187">
        <v>466</v>
      </c>
      <c r="K1036" s="187">
        <v>367.58377462685809</v>
      </c>
      <c r="L1036" s="187">
        <v>4627</v>
      </c>
      <c r="M1036" s="187">
        <v>5460.583984375</v>
      </c>
      <c r="N1036" s="187">
        <v>4627</v>
      </c>
      <c r="O1036" t="s">
        <v>1495</v>
      </c>
    </row>
    <row r="1037" spans="1:15" hidden="1" x14ac:dyDescent="0.45">
      <c r="A1037" s="187">
        <v>2015</v>
      </c>
      <c r="B1037" t="s">
        <v>34</v>
      </c>
      <c r="C1037" t="s">
        <v>330</v>
      </c>
      <c r="D1037" t="s">
        <v>338</v>
      </c>
      <c r="E1037" t="s">
        <v>366</v>
      </c>
      <c r="F1037" t="s">
        <v>440</v>
      </c>
      <c r="G1037" t="s">
        <v>36</v>
      </c>
      <c r="H1037" t="s">
        <v>43</v>
      </c>
      <c r="I1037" s="187"/>
      <c r="J1037" s="187">
        <v>202</v>
      </c>
      <c r="K1037" s="187">
        <v>5456.7890072177552</v>
      </c>
      <c r="L1037" s="187">
        <v>7795</v>
      </c>
      <c r="M1037" s="187">
        <v>13453.7890625</v>
      </c>
      <c r="N1037" s="187">
        <v>7795</v>
      </c>
      <c r="O1037" t="s">
        <v>1496</v>
      </c>
    </row>
    <row r="1038" spans="1:15" hidden="1" x14ac:dyDescent="0.45">
      <c r="A1038" s="187">
        <v>2015</v>
      </c>
      <c r="B1038" t="s">
        <v>34</v>
      </c>
      <c r="C1038" t="s">
        <v>330</v>
      </c>
      <c r="D1038" t="s">
        <v>338</v>
      </c>
      <c r="E1038" t="s">
        <v>366</v>
      </c>
      <c r="F1038" t="s">
        <v>441</v>
      </c>
      <c r="G1038" t="s">
        <v>36</v>
      </c>
      <c r="H1038" t="s">
        <v>43</v>
      </c>
      <c r="I1038" s="187"/>
      <c r="J1038" s="187">
        <v>23020</v>
      </c>
      <c r="K1038" s="187">
        <v>348395.10209014261</v>
      </c>
      <c r="L1038" s="187">
        <v>496747.38400000002</v>
      </c>
      <c r="M1038" s="187">
        <v>868162.5</v>
      </c>
      <c r="N1038" s="187">
        <v>496747.375</v>
      </c>
      <c r="O1038" t="s">
        <v>1497</v>
      </c>
    </row>
    <row r="1039" spans="1:15" hidden="1" x14ac:dyDescent="0.45">
      <c r="A1039" s="187">
        <v>2015</v>
      </c>
      <c r="B1039" t="s">
        <v>34</v>
      </c>
      <c r="C1039" t="s">
        <v>331</v>
      </c>
      <c r="D1039" t="s">
        <v>339</v>
      </c>
      <c r="E1039" t="s">
        <v>7</v>
      </c>
      <c r="F1039" t="s">
        <v>442</v>
      </c>
      <c r="G1039" t="s">
        <v>453</v>
      </c>
      <c r="H1039" t="s">
        <v>456</v>
      </c>
      <c r="I1039" s="187"/>
      <c r="J1039" s="187">
        <v>17.450682852807279</v>
      </c>
      <c r="K1039" s="187">
        <v>20.240234559727611</v>
      </c>
      <c r="L1039" s="187">
        <v>13.75040735929972</v>
      </c>
      <c r="M1039" s="187">
        <v>51.441326141357422</v>
      </c>
      <c r="N1039" s="187">
        <v>13.750407218933105</v>
      </c>
      <c r="O1039" t="s">
        <v>1498</v>
      </c>
    </row>
    <row r="1040" spans="1:15" hidden="1" x14ac:dyDescent="0.45">
      <c r="A1040" s="187">
        <v>2015</v>
      </c>
      <c r="B1040" t="s">
        <v>34</v>
      </c>
      <c r="C1040" t="s">
        <v>332</v>
      </c>
      <c r="D1040" t="s">
        <v>339</v>
      </c>
      <c r="E1040" t="s">
        <v>110</v>
      </c>
      <c r="F1040" t="s">
        <v>443</v>
      </c>
      <c r="G1040" t="s">
        <v>453</v>
      </c>
      <c r="H1040" t="s">
        <v>456</v>
      </c>
      <c r="I1040" s="187"/>
      <c r="J1040" s="187">
        <v>65</v>
      </c>
      <c r="K1040" s="187">
        <v>199</v>
      </c>
      <c r="L1040" s="187">
        <v>870</v>
      </c>
      <c r="M1040" s="187">
        <v>1134</v>
      </c>
      <c r="N1040" s="187">
        <v>870</v>
      </c>
      <c r="O1040" t="s">
        <v>1499</v>
      </c>
    </row>
    <row r="1041" spans="1:15" hidden="1" x14ac:dyDescent="0.45">
      <c r="A1041" s="187">
        <v>2015</v>
      </c>
      <c r="B1041" t="s">
        <v>34</v>
      </c>
      <c r="C1041" t="s">
        <v>332</v>
      </c>
      <c r="D1041" t="s">
        <v>339</v>
      </c>
      <c r="E1041" t="s">
        <v>110</v>
      </c>
      <c r="F1041" t="s">
        <v>444</v>
      </c>
      <c r="G1041" t="s">
        <v>453</v>
      </c>
      <c r="H1041" t="s">
        <v>456</v>
      </c>
      <c r="I1041" s="187"/>
      <c r="J1041" s="187">
        <v>32</v>
      </c>
      <c r="K1041" s="187">
        <v>728</v>
      </c>
      <c r="L1041" s="187">
        <v>161</v>
      </c>
      <c r="M1041" s="187">
        <v>921</v>
      </c>
      <c r="N1041" s="187">
        <v>161</v>
      </c>
      <c r="O1041" t="s">
        <v>1500</v>
      </c>
    </row>
    <row r="1042" spans="1:15" hidden="1" x14ac:dyDescent="0.45">
      <c r="A1042" s="187">
        <v>2015</v>
      </c>
      <c r="B1042" t="s">
        <v>34</v>
      </c>
      <c r="C1042" t="s">
        <v>333</v>
      </c>
      <c r="D1042" t="s">
        <v>339</v>
      </c>
      <c r="E1042" t="s">
        <v>111</v>
      </c>
      <c r="F1042" t="s">
        <v>188</v>
      </c>
      <c r="G1042" t="s">
        <v>453</v>
      </c>
      <c r="H1042" t="s">
        <v>460</v>
      </c>
      <c r="I1042" s="187"/>
      <c r="J1042" s="187">
        <v>143.6333333333333</v>
      </c>
      <c r="K1042" s="187">
        <v>82.19695613249776</v>
      </c>
      <c r="L1042" s="187">
        <v>149</v>
      </c>
      <c r="M1042" s="187">
        <v>124.94342803955078</v>
      </c>
      <c r="N1042" s="187">
        <v>49.666667938232422</v>
      </c>
      <c r="O1042" t="s">
        <v>1501</v>
      </c>
    </row>
    <row r="1043" spans="1:15" hidden="1" x14ac:dyDescent="0.45">
      <c r="A1043" s="187">
        <v>2015</v>
      </c>
      <c r="B1043" t="s">
        <v>34</v>
      </c>
      <c r="C1043" t="s">
        <v>333</v>
      </c>
      <c r="D1043" t="s">
        <v>339</v>
      </c>
      <c r="E1043" t="s">
        <v>111</v>
      </c>
      <c r="F1043" t="s">
        <v>445</v>
      </c>
      <c r="G1043" t="s">
        <v>453</v>
      </c>
      <c r="H1043" t="s">
        <v>460</v>
      </c>
      <c r="I1043" s="187"/>
      <c r="J1043" s="187">
        <v>95.142857142857153</v>
      </c>
      <c r="K1043" s="187">
        <v>59.531007751937977</v>
      </c>
      <c r="L1043" s="187">
        <v>246</v>
      </c>
      <c r="M1043" s="187">
        <v>133.55796813964844</v>
      </c>
      <c r="N1043" s="187">
        <v>82</v>
      </c>
      <c r="O1043" t="s">
        <v>1502</v>
      </c>
    </row>
    <row r="1044" spans="1:15" hidden="1" x14ac:dyDescent="0.45">
      <c r="A1044" s="187">
        <v>2015</v>
      </c>
      <c r="B1044" t="s">
        <v>34</v>
      </c>
      <c r="C1044" t="s">
        <v>333</v>
      </c>
      <c r="D1044" t="s">
        <v>339</v>
      </c>
      <c r="E1044" t="s">
        <v>0</v>
      </c>
      <c r="F1044" t="s">
        <v>188</v>
      </c>
      <c r="G1044" t="s">
        <v>453</v>
      </c>
      <c r="H1044" t="s">
        <v>460</v>
      </c>
      <c r="I1044" s="187"/>
      <c r="J1044" s="187">
        <v>1.2927</v>
      </c>
      <c r="K1044" s="187">
        <v>883.94034793826836</v>
      </c>
      <c r="L1044" s="187">
        <v>1670</v>
      </c>
      <c r="M1044" s="187">
        <v>851.74432373046875</v>
      </c>
      <c r="N1044" s="187">
        <v>556.66668701171875</v>
      </c>
      <c r="O1044" t="s">
        <v>1503</v>
      </c>
    </row>
    <row r="1045" spans="1:15" hidden="1" x14ac:dyDescent="0.45">
      <c r="A1045" s="187">
        <v>2015</v>
      </c>
      <c r="B1045" t="s">
        <v>34</v>
      </c>
      <c r="C1045" t="s">
        <v>333</v>
      </c>
      <c r="D1045" t="s">
        <v>339</v>
      </c>
      <c r="E1045" t="s">
        <v>0</v>
      </c>
      <c r="F1045" t="s">
        <v>445</v>
      </c>
      <c r="G1045" t="s">
        <v>453</v>
      </c>
      <c r="H1045" t="s">
        <v>460</v>
      </c>
      <c r="I1045" s="187"/>
      <c r="J1045" s="187">
        <v>0.13320000000000001</v>
      </c>
      <c r="K1045" s="187">
        <v>147.86895031241269</v>
      </c>
      <c r="L1045" s="187">
        <v>901</v>
      </c>
      <c r="M1045" s="187">
        <v>349.66738891601563</v>
      </c>
      <c r="N1045" s="187">
        <v>300.33334350585938</v>
      </c>
      <c r="O1045" t="s">
        <v>1504</v>
      </c>
    </row>
    <row r="1046" spans="1:15" hidden="1" x14ac:dyDescent="0.45">
      <c r="A1046" s="187">
        <v>2015</v>
      </c>
      <c r="B1046" t="s">
        <v>34</v>
      </c>
      <c r="C1046" t="s">
        <v>333</v>
      </c>
      <c r="D1046" t="s">
        <v>339</v>
      </c>
      <c r="E1046" t="s">
        <v>42</v>
      </c>
      <c r="F1046" t="s">
        <v>188</v>
      </c>
      <c r="G1046" t="s">
        <v>453</v>
      </c>
      <c r="H1046" t="s">
        <v>460</v>
      </c>
      <c r="I1046" s="187"/>
      <c r="J1046" s="187">
        <v>8.9999999999999993E-3</v>
      </c>
      <c r="K1046" s="187">
        <v>10.75393043160134</v>
      </c>
      <c r="L1046" s="187">
        <v>11.2</v>
      </c>
      <c r="M1046" s="187">
        <v>7.320976734161377</v>
      </c>
      <c r="N1046" s="187">
        <v>3.7333333492279053</v>
      </c>
      <c r="O1046" t="s">
        <v>1505</v>
      </c>
    </row>
    <row r="1047" spans="1:15" hidden="1" x14ac:dyDescent="0.45">
      <c r="A1047" s="187">
        <v>2015</v>
      </c>
      <c r="B1047" t="s">
        <v>34</v>
      </c>
      <c r="C1047" t="s">
        <v>333</v>
      </c>
      <c r="D1047" t="s">
        <v>339</v>
      </c>
      <c r="E1047" t="s">
        <v>42</v>
      </c>
      <c r="F1047" t="s">
        <v>445</v>
      </c>
      <c r="G1047" t="s">
        <v>453</v>
      </c>
      <c r="H1047" t="s">
        <v>460</v>
      </c>
      <c r="I1047" s="187"/>
      <c r="J1047" s="187">
        <v>1.4E-3</v>
      </c>
      <c r="K1047" s="187">
        <v>2.483897986887329</v>
      </c>
      <c r="L1047" s="187">
        <v>3.66</v>
      </c>
      <c r="M1047" s="187">
        <v>2.0484325885772705</v>
      </c>
      <c r="N1047" s="187">
        <v>1.2200000286102295</v>
      </c>
      <c r="O1047" t="s">
        <v>1506</v>
      </c>
    </row>
    <row r="1048" spans="1:15" hidden="1" x14ac:dyDescent="0.45">
      <c r="A1048" s="187">
        <v>2015</v>
      </c>
      <c r="B1048" t="s">
        <v>34</v>
      </c>
      <c r="C1048" t="s">
        <v>319</v>
      </c>
      <c r="D1048" t="s">
        <v>335</v>
      </c>
      <c r="E1048" t="s">
        <v>10</v>
      </c>
      <c r="F1048" t="s">
        <v>372</v>
      </c>
      <c r="G1048" t="s">
        <v>453</v>
      </c>
      <c r="H1048" t="s">
        <v>454</v>
      </c>
      <c r="I1048" s="187"/>
      <c r="J1048" s="187">
        <v>6.7106121551856995E-2</v>
      </c>
      <c r="K1048" s="187">
        <v>5.5349521561012298E-2</v>
      </c>
      <c r="L1048" s="187">
        <v>6.4562159550056494E-2</v>
      </c>
      <c r="M1048" s="187">
        <v>6.2339264899492264E-2</v>
      </c>
      <c r="N1048" s="187">
        <v>2.1520718932151794E-2</v>
      </c>
      <c r="O1048" t="s">
        <v>1507</v>
      </c>
    </row>
    <row r="1049" spans="1:15" hidden="1" x14ac:dyDescent="0.45">
      <c r="A1049" s="187">
        <v>2015</v>
      </c>
      <c r="B1049" t="s">
        <v>34</v>
      </c>
      <c r="C1049" t="s">
        <v>319</v>
      </c>
      <c r="D1049" t="s">
        <v>335</v>
      </c>
      <c r="E1049" t="s">
        <v>10</v>
      </c>
      <c r="F1049" t="s">
        <v>373</v>
      </c>
      <c r="G1049" t="s">
        <v>453</v>
      </c>
      <c r="H1049" t="s">
        <v>454</v>
      </c>
      <c r="I1049" s="187"/>
      <c r="J1049" s="187">
        <v>7.4830761551857E-2</v>
      </c>
      <c r="K1049" s="187">
        <v>6.2766161561012307E-2</v>
      </c>
      <c r="L1049" s="187">
        <v>7.2286799550056499E-2</v>
      </c>
      <c r="M1049" s="187">
        <v>6.9961242377758026E-2</v>
      </c>
      <c r="N1049" s="187">
        <v>2.4095600470900536E-2</v>
      </c>
      <c r="O1049" t="s">
        <v>1508</v>
      </c>
    </row>
    <row r="1050" spans="1:15" hidden="1" x14ac:dyDescent="0.45">
      <c r="A1050" s="187">
        <v>2015</v>
      </c>
      <c r="B1050" t="s">
        <v>34</v>
      </c>
      <c r="C1050" t="s">
        <v>321</v>
      </c>
      <c r="D1050" t="s">
        <v>335</v>
      </c>
      <c r="E1050" t="s">
        <v>341</v>
      </c>
      <c r="F1050" t="s">
        <v>375</v>
      </c>
      <c r="G1050" t="s">
        <v>36</v>
      </c>
      <c r="H1050" t="s">
        <v>43</v>
      </c>
      <c r="I1050" s="187"/>
      <c r="J1050" s="187">
        <v>1800.7568359375</v>
      </c>
      <c r="K1050" s="187">
        <v>17653.83203125</v>
      </c>
      <c r="L1050" s="187">
        <v>19288.28515625</v>
      </c>
      <c r="M1050" s="187">
        <v>38742.875</v>
      </c>
      <c r="N1050" s="187">
        <v>19288.28515625</v>
      </c>
      <c r="O1050" t="s">
        <v>1509</v>
      </c>
    </row>
    <row r="1051" spans="1:15" hidden="1" x14ac:dyDescent="0.45">
      <c r="A1051" s="187">
        <v>2015</v>
      </c>
      <c r="B1051" t="s">
        <v>34</v>
      </c>
      <c r="C1051" t="s">
        <v>321</v>
      </c>
      <c r="D1051" t="s">
        <v>335</v>
      </c>
      <c r="E1051" t="s">
        <v>341</v>
      </c>
      <c r="F1051" t="s">
        <v>375</v>
      </c>
      <c r="G1051" t="s">
        <v>37</v>
      </c>
      <c r="H1051" t="s">
        <v>43</v>
      </c>
      <c r="I1051" s="187"/>
      <c r="J1051" s="187">
        <v>1579</v>
      </c>
      <c r="K1051" s="187">
        <v>15479.8251953125</v>
      </c>
      <c r="L1051" s="187">
        <v>16913</v>
      </c>
      <c r="M1051" s="187">
        <v>33971.82421875</v>
      </c>
      <c r="N1051" s="187">
        <v>16913</v>
      </c>
      <c r="O1051" t="s">
        <v>1510</v>
      </c>
    </row>
    <row r="1052" spans="1:15" hidden="1" x14ac:dyDescent="0.45">
      <c r="A1052" s="187">
        <v>2015</v>
      </c>
      <c r="B1052" t="s">
        <v>34</v>
      </c>
      <c r="C1052" t="s">
        <v>321</v>
      </c>
      <c r="D1052" t="s">
        <v>335</v>
      </c>
      <c r="E1052" t="s">
        <v>341</v>
      </c>
      <c r="F1052" t="s">
        <v>377</v>
      </c>
      <c r="G1052" t="s">
        <v>36</v>
      </c>
      <c r="H1052" t="s">
        <v>43</v>
      </c>
      <c r="I1052" s="187"/>
      <c r="J1052" s="187">
        <v>83.252220153808594</v>
      </c>
      <c r="K1052" s="187">
        <v>2170.12548828125</v>
      </c>
      <c r="L1052" s="187">
        <v>3292.4541015625</v>
      </c>
      <c r="M1052" s="187">
        <v>5545.83203125</v>
      </c>
      <c r="N1052" s="187">
        <v>3292.4541015625</v>
      </c>
      <c r="O1052" t="s">
        <v>1511</v>
      </c>
    </row>
    <row r="1053" spans="1:15" hidden="1" x14ac:dyDescent="0.45">
      <c r="A1053" s="187">
        <v>2015</v>
      </c>
      <c r="B1053" t="s">
        <v>34</v>
      </c>
      <c r="C1053" t="s">
        <v>321</v>
      </c>
      <c r="D1053" t="s">
        <v>335</v>
      </c>
      <c r="E1053" t="s">
        <v>341</v>
      </c>
      <c r="F1053" t="s">
        <v>377</v>
      </c>
      <c r="G1053" t="s">
        <v>37</v>
      </c>
      <c r="H1053" t="s">
        <v>43</v>
      </c>
      <c r="I1053" s="187"/>
      <c r="J1053" s="187">
        <v>73</v>
      </c>
      <c r="K1053" s="187">
        <v>1902.882080078125</v>
      </c>
      <c r="L1053" s="187">
        <v>2887</v>
      </c>
      <c r="M1053" s="187">
        <v>4862.8818359375</v>
      </c>
      <c r="N1053" s="187">
        <v>2887</v>
      </c>
      <c r="O1053" t="s">
        <v>1512</v>
      </c>
    </row>
    <row r="1054" spans="1:15" hidden="1" x14ac:dyDescent="0.45">
      <c r="A1054" s="187">
        <v>2015</v>
      </c>
      <c r="B1054" t="s">
        <v>34</v>
      </c>
      <c r="C1054" t="s">
        <v>321</v>
      </c>
      <c r="D1054" t="s">
        <v>335</v>
      </c>
      <c r="E1054" t="s">
        <v>342</v>
      </c>
      <c r="F1054" t="s">
        <v>342</v>
      </c>
      <c r="G1054" t="s">
        <v>36</v>
      </c>
      <c r="H1054" t="s">
        <v>43</v>
      </c>
      <c r="I1054" s="187"/>
      <c r="J1054" s="187">
        <v>3535.3681640625</v>
      </c>
      <c r="K1054" s="187">
        <v>38552.1640625</v>
      </c>
      <c r="L1054" s="187">
        <v>63573.90234375</v>
      </c>
      <c r="M1054" s="187">
        <v>105661.4375</v>
      </c>
      <c r="N1054" s="187">
        <v>63573.90234375</v>
      </c>
      <c r="O1054" t="s">
        <v>1513</v>
      </c>
    </row>
    <row r="1055" spans="1:15" hidden="1" x14ac:dyDescent="0.45">
      <c r="A1055" s="187">
        <v>2015</v>
      </c>
      <c r="B1055" t="s">
        <v>34</v>
      </c>
      <c r="C1055" t="s">
        <v>321</v>
      </c>
      <c r="D1055" t="s">
        <v>335</v>
      </c>
      <c r="E1055" t="s">
        <v>342</v>
      </c>
      <c r="F1055" t="s">
        <v>342</v>
      </c>
      <c r="G1055" t="s">
        <v>37</v>
      </c>
      <c r="H1055" t="s">
        <v>43</v>
      </c>
      <c r="I1055" s="187"/>
      <c r="J1055" s="187">
        <v>3100</v>
      </c>
      <c r="K1055" s="187">
        <v>33804.6015625</v>
      </c>
      <c r="L1055" s="187">
        <v>55745</v>
      </c>
      <c r="M1055" s="187">
        <v>92649.6015625</v>
      </c>
      <c r="N1055" s="187">
        <v>55745</v>
      </c>
      <c r="O1055" t="s">
        <v>1514</v>
      </c>
    </row>
    <row r="1056" spans="1:15" hidden="1" x14ac:dyDescent="0.45">
      <c r="A1056" s="187">
        <v>2015</v>
      </c>
      <c r="B1056" t="s">
        <v>34</v>
      </c>
      <c r="C1056" t="s">
        <v>321</v>
      </c>
      <c r="D1056" t="s">
        <v>335</v>
      </c>
      <c r="E1056" t="s">
        <v>343</v>
      </c>
      <c r="F1056" t="s">
        <v>343</v>
      </c>
      <c r="G1056" t="s">
        <v>36</v>
      </c>
      <c r="H1056" t="s">
        <v>43</v>
      </c>
      <c r="I1056" s="187"/>
      <c r="J1056" s="187">
        <v>1878.3741455078125</v>
      </c>
      <c r="K1056" s="187">
        <v>22811.7890625</v>
      </c>
      <c r="L1056" s="187">
        <v>37617.875</v>
      </c>
      <c r="M1056" s="187">
        <v>62308.0390625</v>
      </c>
      <c r="N1056" s="187">
        <v>37617.875</v>
      </c>
      <c r="O1056" t="s">
        <v>1515</v>
      </c>
    </row>
    <row r="1057" spans="1:15" hidden="1" x14ac:dyDescent="0.45">
      <c r="A1057" s="187">
        <v>2015</v>
      </c>
      <c r="B1057" t="s">
        <v>34</v>
      </c>
      <c r="C1057" t="s">
        <v>321</v>
      </c>
      <c r="D1057" t="s">
        <v>335</v>
      </c>
      <c r="E1057" t="s">
        <v>343</v>
      </c>
      <c r="F1057" t="s">
        <v>343</v>
      </c>
      <c r="G1057" t="s">
        <v>37</v>
      </c>
      <c r="H1057" t="s">
        <v>43</v>
      </c>
      <c r="I1057" s="187"/>
      <c r="J1057" s="187">
        <v>1647.0589599609375</v>
      </c>
      <c r="K1057" s="187">
        <v>20002.59765625</v>
      </c>
      <c r="L1057" s="187">
        <v>32985.3671875</v>
      </c>
      <c r="M1057" s="187">
        <v>54635.0234375</v>
      </c>
      <c r="N1057" s="187">
        <v>32985.3671875</v>
      </c>
      <c r="O1057" t="s">
        <v>1516</v>
      </c>
    </row>
    <row r="1058" spans="1:15" hidden="1" x14ac:dyDescent="0.45">
      <c r="A1058" s="187">
        <v>2015</v>
      </c>
      <c r="B1058" t="s">
        <v>34</v>
      </c>
      <c r="C1058" t="s">
        <v>321</v>
      </c>
      <c r="D1058" t="s">
        <v>335</v>
      </c>
      <c r="E1058" t="s">
        <v>344</v>
      </c>
      <c r="F1058" t="s">
        <v>344</v>
      </c>
      <c r="G1058" t="s">
        <v>36</v>
      </c>
      <c r="H1058" t="s">
        <v>43</v>
      </c>
      <c r="I1058" s="187"/>
      <c r="J1058" s="187">
        <v>2598.669921875</v>
      </c>
      <c r="K1058" s="187">
        <v>29380.99609375</v>
      </c>
      <c r="L1058" s="187">
        <v>48464.1953125</v>
      </c>
      <c r="M1058" s="187">
        <v>80443.859375</v>
      </c>
      <c r="N1058" s="187">
        <v>48464.1953125</v>
      </c>
      <c r="O1058" t="s">
        <v>1517</v>
      </c>
    </row>
    <row r="1059" spans="1:15" hidden="1" x14ac:dyDescent="0.45">
      <c r="A1059" s="187">
        <v>2015</v>
      </c>
      <c r="B1059" t="s">
        <v>34</v>
      </c>
      <c r="C1059" t="s">
        <v>321</v>
      </c>
      <c r="D1059" t="s">
        <v>335</v>
      </c>
      <c r="E1059" t="s">
        <v>344</v>
      </c>
      <c r="F1059" t="s">
        <v>344</v>
      </c>
      <c r="G1059" t="s">
        <v>37</v>
      </c>
      <c r="H1059" t="s">
        <v>43</v>
      </c>
      <c r="I1059" s="187"/>
      <c r="J1059" s="187">
        <v>2278.65283203125</v>
      </c>
      <c r="K1059" s="187">
        <v>25762.830078125</v>
      </c>
      <c r="L1059" s="187">
        <v>42496</v>
      </c>
      <c r="M1059" s="187">
        <v>70537.484375</v>
      </c>
      <c r="N1059" s="187">
        <v>42496</v>
      </c>
      <c r="O1059" t="s">
        <v>1518</v>
      </c>
    </row>
    <row r="1060" spans="1:15" hidden="1" x14ac:dyDescent="0.45">
      <c r="A1060" s="187">
        <v>2015</v>
      </c>
      <c r="B1060" t="s">
        <v>34</v>
      </c>
      <c r="C1060" t="s">
        <v>321</v>
      </c>
      <c r="D1060" t="s">
        <v>335</v>
      </c>
      <c r="E1060" t="s">
        <v>345</v>
      </c>
      <c r="F1060" t="s">
        <v>378</v>
      </c>
      <c r="G1060" t="s">
        <v>36</v>
      </c>
      <c r="H1060" t="s">
        <v>43</v>
      </c>
      <c r="I1060" s="187"/>
      <c r="J1060" s="187">
        <v>720.29559326171875</v>
      </c>
      <c r="K1060" s="187">
        <v>6569.20654296875</v>
      </c>
      <c r="L1060" s="187">
        <v>10733.177734375</v>
      </c>
      <c r="M1060" s="187">
        <v>18022.6796875</v>
      </c>
      <c r="N1060" s="187">
        <v>10733.177734375</v>
      </c>
      <c r="O1060" t="s">
        <v>1519</v>
      </c>
    </row>
    <row r="1061" spans="1:15" hidden="1" x14ac:dyDescent="0.45">
      <c r="A1061" s="187">
        <v>2015</v>
      </c>
      <c r="B1061" t="s">
        <v>34</v>
      </c>
      <c r="C1061" t="s">
        <v>321</v>
      </c>
      <c r="D1061" t="s">
        <v>335</v>
      </c>
      <c r="E1061" t="s">
        <v>345</v>
      </c>
      <c r="F1061" t="s">
        <v>378</v>
      </c>
      <c r="G1061" t="s">
        <v>37</v>
      </c>
      <c r="H1061" t="s">
        <v>43</v>
      </c>
      <c r="I1061" s="187"/>
      <c r="J1061" s="187">
        <v>631.59375</v>
      </c>
      <c r="K1061" s="187">
        <v>5760.23193359375</v>
      </c>
      <c r="L1061" s="187">
        <v>9411.4248046875</v>
      </c>
      <c r="M1061" s="187">
        <v>15803.25</v>
      </c>
      <c r="N1061" s="187">
        <v>9411.4248046875</v>
      </c>
      <c r="O1061" t="s">
        <v>1520</v>
      </c>
    </row>
    <row r="1062" spans="1:15" hidden="1" x14ac:dyDescent="0.45">
      <c r="A1062" s="187">
        <v>2015</v>
      </c>
      <c r="B1062" t="s">
        <v>34</v>
      </c>
      <c r="C1062" t="s">
        <v>321</v>
      </c>
      <c r="D1062" t="s">
        <v>335</v>
      </c>
      <c r="E1062" t="s">
        <v>346</v>
      </c>
      <c r="F1062" t="s">
        <v>379</v>
      </c>
      <c r="G1062" t="s">
        <v>36</v>
      </c>
      <c r="H1062" t="s">
        <v>43</v>
      </c>
      <c r="I1062" s="187"/>
      <c r="J1062" s="187">
        <v>0</v>
      </c>
      <c r="K1062" s="187">
        <v>0</v>
      </c>
      <c r="L1062" s="187">
        <v>113.13990020751953</v>
      </c>
      <c r="M1062" s="187">
        <v>113.13990020751953</v>
      </c>
      <c r="N1062" s="187">
        <v>113.13990020751953</v>
      </c>
      <c r="O1062" t="s">
        <v>1521</v>
      </c>
    </row>
    <row r="1063" spans="1:15" hidden="1" x14ac:dyDescent="0.45">
      <c r="A1063" s="187">
        <v>2015</v>
      </c>
      <c r="B1063" t="s">
        <v>34</v>
      </c>
      <c r="C1063" t="s">
        <v>321</v>
      </c>
      <c r="D1063" t="s">
        <v>335</v>
      </c>
      <c r="E1063" t="s">
        <v>346</v>
      </c>
      <c r="F1063" t="s">
        <v>379</v>
      </c>
      <c r="G1063" t="s">
        <v>37</v>
      </c>
      <c r="H1063" t="s">
        <v>43</v>
      </c>
      <c r="I1063" s="187"/>
      <c r="J1063" s="187">
        <v>0</v>
      </c>
      <c r="K1063" s="187">
        <v>0</v>
      </c>
      <c r="L1063" s="187">
        <v>99.207122802734375</v>
      </c>
      <c r="M1063" s="187">
        <v>99.207122802734375</v>
      </c>
      <c r="N1063" s="187">
        <v>99.207122802734375</v>
      </c>
      <c r="O1063" t="s">
        <v>1522</v>
      </c>
    </row>
    <row r="1064" spans="1:15" hidden="1" x14ac:dyDescent="0.45">
      <c r="A1064" s="187">
        <v>2015</v>
      </c>
      <c r="B1064" t="s">
        <v>34</v>
      </c>
      <c r="C1064" t="s">
        <v>321</v>
      </c>
      <c r="D1064" t="s">
        <v>335</v>
      </c>
      <c r="E1064" t="s">
        <v>347</v>
      </c>
      <c r="F1064" t="s">
        <v>380</v>
      </c>
      <c r="G1064" t="s">
        <v>36</v>
      </c>
      <c r="H1064" t="s">
        <v>43</v>
      </c>
      <c r="I1064" s="187"/>
      <c r="J1064" s="187">
        <v>0</v>
      </c>
      <c r="K1064" s="187">
        <v>-352.41909790039063</v>
      </c>
      <c r="L1064" s="187">
        <v>-132.29119873046875</v>
      </c>
      <c r="M1064" s="187">
        <v>-484.71029663085938</v>
      </c>
      <c r="N1064" s="187">
        <v>-132.29119873046875</v>
      </c>
      <c r="O1064" t="s">
        <v>1523</v>
      </c>
    </row>
    <row r="1065" spans="1:15" hidden="1" x14ac:dyDescent="0.45">
      <c r="A1065" s="187">
        <v>2015</v>
      </c>
      <c r="B1065" t="s">
        <v>34</v>
      </c>
      <c r="C1065" t="s">
        <v>321</v>
      </c>
      <c r="D1065" t="s">
        <v>335</v>
      </c>
      <c r="E1065" t="s">
        <v>347</v>
      </c>
      <c r="F1065" t="s">
        <v>380</v>
      </c>
      <c r="G1065" t="s">
        <v>37</v>
      </c>
      <c r="H1065" t="s">
        <v>43</v>
      </c>
      <c r="I1065" s="187"/>
      <c r="J1065" s="187">
        <v>0</v>
      </c>
      <c r="K1065" s="187">
        <v>-309.01992797851563</v>
      </c>
      <c r="L1065" s="187">
        <v>-116</v>
      </c>
      <c r="M1065" s="187">
        <v>-425.01992797851563</v>
      </c>
      <c r="N1065" s="187">
        <v>-116</v>
      </c>
      <c r="O1065" t="s">
        <v>1524</v>
      </c>
    </row>
    <row r="1066" spans="1:15" hidden="1" x14ac:dyDescent="0.45">
      <c r="A1066" s="187">
        <v>2015</v>
      </c>
      <c r="B1066" t="s">
        <v>34</v>
      </c>
      <c r="C1066" t="s">
        <v>321</v>
      </c>
      <c r="D1066" t="s">
        <v>335</v>
      </c>
      <c r="E1066" t="s">
        <v>347</v>
      </c>
      <c r="F1066" t="s">
        <v>11</v>
      </c>
      <c r="G1066" t="s">
        <v>36</v>
      </c>
      <c r="H1066" t="s">
        <v>43</v>
      </c>
      <c r="I1066" s="187"/>
      <c r="J1066" s="187">
        <v>5339.54638671875</v>
      </c>
      <c r="K1066" s="187">
        <v>58199.44140625</v>
      </c>
      <c r="L1066" s="187">
        <v>86135.25</v>
      </c>
      <c r="M1066" s="187">
        <v>149674.234375</v>
      </c>
      <c r="N1066" s="187">
        <v>86135.25</v>
      </c>
      <c r="O1066" t="s">
        <v>1525</v>
      </c>
    </row>
    <row r="1067" spans="1:15" hidden="1" x14ac:dyDescent="0.45">
      <c r="A1067" s="187">
        <v>2015</v>
      </c>
      <c r="B1067" t="s">
        <v>34</v>
      </c>
      <c r="C1067" t="s">
        <v>321</v>
      </c>
      <c r="D1067" t="s">
        <v>335</v>
      </c>
      <c r="E1067" t="s">
        <v>347</v>
      </c>
      <c r="F1067" t="s">
        <v>11</v>
      </c>
      <c r="G1067" t="s">
        <v>37</v>
      </c>
      <c r="H1067" t="s">
        <v>43</v>
      </c>
      <c r="I1067" s="187"/>
      <c r="J1067" s="187">
        <v>4682</v>
      </c>
      <c r="K1067" s="187">
        <v>51032.38671875</v>
      </c>
      <c r="L1067" s="187">
        <v>75528</v>
      </c>
      <c r="M1067" s="187">
        <v>131242.390625</v>
      </c>
      <c r="N1067" s="187">
        <v>75528</v>
      </c>
      <c r="O1067" t="s">
        <v>1526</v>
      </c>
    </row>
    <row r="1068" spans="1:15" hidden="1" x14ac:dyDescent="0.45">
      <c r="A1068" s="187">
        <v>2015</v>
      </c>
      <c r="B1068" t="s">
        <v>34</v>
      </c>
      <c r="C1068" t="s">
        <v>321</v>
      </c>
      <c r="D1068" t="s">
        <v>335</v>
      </c>
      <c r="E1068" t="s">
        <v>347</v>
      </c>
      <c r="F1068" t="s">
        <v>381</v>
      </c>
      <c r="G1068" t="s">
        <v>36</v>
      </c>
      <c r="H1068" t="s">
        <v>43</v>
      </c>
      <c r="I1068" s="187"/>
      <c r="J1068" s="187">
        <v>79.830894470214844</v>
      </c>
      <c r="K1068" s="187">
        <v>529.09698486328125</v>
      </c>
      <c r="L1068" s="187">
        <v>151.67869567871094</v>
      </c>
      <c r="M1068" s="187">
        <v>760.6065673828125</v>
      </c>
      <c r="N1068" s="187">
        <v>151.67869567871094</v>
      </c>
      <c r="O1068" t="s">
        <v>1527</v>
      </c>
    </row>
    <row r="1069" spans="1:15" hidden="1" x14ac:dyDescent="0.45">
      <c r="A1069" s="187">
        <v>2015</v>
      </c>
      <c r="B1069" t="s">
        <v>34</v>
      </c>
      <c r="C1069" t="s">
        <v>321</v>
      </c>
      <c r="D1069" t="s">
        <v>335</v>
      </c>
      <c r="E1069" t="s">
        <v>347</v>
      </c>
      <c r="F1069" t="s">
        <v>381</v>
      </c>
      <c r="G1069" t="s">
        <v>37</v>
      </c>
      <c r="H1069" t="s">
        <v>43</v>
      </c>
      <c r="I1069" s="187"/>
      <c r="J1069" s="187">
        <v>70</v>
      </c>
      <c r="K1069" s="187">
        <v>463.9405517578125</v>
      </c>
      <c r="L1069" s="187">
        <v>133</v>
      </c>
      <c r="M1069" s="187">
        <v>666.9405517578125</v>
      </c>
      <c r="N1069" s="187">
        <v>133</v>
      </c>
      <c r="O1069" t="s">
        <v>1528</v>
      </c>
    </row>
    <row r="1070" spans="1:15" hidden="1" x14ac:dyDescent="0.45">
      <c r="A1070" s="187">
        <v>2015</v>
      </c>
      <c r="B1070" t="s">
        <v>34</v>
      </c>
      <c r="C1070" t="s">
        <v>321</v>
      </c>
      <c r="D1070" t="s">
        <v>335</v>
      </c>
      <c r="E1070" t="s">
        <v>347</v>
      </c>
      <c r="F1070" t="s">
        <v>347</v>
      </c>
      <c r="G1070" t="s">
        <v>36</v>
      </c>
      <c r="H1070" t="s">
        <v>43</v>
      </c>
      <c r="I1070" s="187"/>
      <c r="J1070" s="187">
        <v>5419.376953125</v>
      </c>
      <c r="K1070" s="187">
        <v>58376.12109375</v>
      </c>
      <c r="L1070" s="187">
        <v>86154.640625</v>
      </c>
      <c r="M1070" s="187">
        <v>149950.140625</v>
      </c>
      <c r="N1070" s="187">
        <v>86154.640625</v>
      </c>
      <c r="O1070" t="s">
        <v>1529</v>
      </c>
    </row>
    <row r="1071" spans="1:15" hidden="1" x14ac:dyDescent="0.45">
      <c r="A1071" s="187">
        <v>2015</v>
      </c>
      <c r="B1071" t="s">
        <v>34</v>
      </c>
      <c r="C1071" t="s">
        <v>321</v>
      </c>
      <c r="D1071" t="s">
        <v>335</v>
      </c>
      <c r="E1071" t="s">
        <v>347</v>
      </c>
      <c r="F1071" t="s">
        <v>347</v>
      </c>
      <c r="G1071" t="s">
        <v>37</v>
      </c>
      <c r="H1071" t="s">
        <v>43</v>
      </c>
      <c r="I1071" s="187"/>
      <c r="J1071" s="187">
        <v>4752</v>
      </c>
      <c r="K1071" s="187">
        <v>51187.30859375</v>
      </c>
      <c r="L1071" s="187">
        <v>75545</v>
      </c>
      <c r="M1071" s="187">
        <v>131484.3125</v>
      </c>
      <c r="N1071" s="187">
        <v>75545</v>
      </c>
      <c r="O1071" t="s">
        <v>1530</v>
      </c>
    </row>
    <row r="1072" spans="1:15" hidden="1" x14ac:dyDescent="0.45">
      <c r="A1072" s="187">
        <v>2016</v>
      </c>
      <c r="B1072" t="s">
        <v>312</v>
      </c>
      <c r="C1072" t="s">
        <v>322</v>
      </c>
      <c r="D1072" t="s">
        <v>35</v>
      </c>
      <c r="E1072" t="s">
        <v>348</v>
      </c>
      <c r="F1072" t="s">
        <v>382</v>
      </c>
      <c r="G1072" t="s">
        <v>36</v>
      </c>
      <c r="H1072" t="s">
        <v>43</v>
      </c>
      <c r="I1072" s="187">
        <v>10353.585428161607</v>
      </c>
      <c r="J1072" s="187">
        <v>879.20428176282496</v>
      </c>
      <c r="K1072" s="187">
        <v>18421.057880814449</v>
      </c>
      <c r="L1072" s="187">
        <v>26949.898898367097</v>
      </c>
      <c r="M1072" s="187">
        <v>56603.74609375</v>
      </c>
      <c r="N1072" s="187">
        <v>37303.484375</v>
      </c>
      <c r="O1072" t="s">
        <v>1531</v>
      </c>
    </row>
    <row r="1073" spans="1:15" hidden="1" x14ac:dyDescent="0.45">
      <c r="A1073" s="187">
        <v>2016</v>
      </c>
      <c r="B1073" t="s">
        <v>309</v>
      </c>
      <c r="C1073" t="s">
        <v>322</v>
      </c>
      <c r="D1073" t="s">
        <v>35</v>
      </c>
      <c r="E1073" t="s">
        <v>348</v>
      </c>
      <c r="F1073" t="s">
        <v>382</v>
      </c>
      <c r="G1073" t="s">
        <v>36</v>
      </c>
      <c r="H1073" t="s">
        <v>43</v>
      </c>
      <c r="I1073" s="187"/>
      <c r="J1073" s="187">
        <v>1021.3321955047983</v>
      </c>
      <c r="K1073" s="187">
        <v>17014.621549891148</v>
      </c>
      <c r="L1073" s="187">
        <v>26351.960266117967</v>
      </c>
      <c r="M1073" s="187">
        <v>44387.9140625</v>
      </c>
      <c r="N1073" s="187">
        <v>26351.9609375</v>
      </c>
      <c r="O1073" t="s">
        <v>1533</v>
      </c>
    </row>
    <row r="1074" spans="1:15" hidden="1" x14ac:dyDescent="0.45">
      <c r="A1074" s="187">
        <v>2016</v>
      </c>
      <c r="B1074" t="s">
        <v>310</v>
      </c>
      <c r="C1074" t="s">
        <v>322</v>
      </c>
      <c r="D1074" t="s">
        <v>35</v>
      </c>
      <c r="E1074" t="s">
        <v>348</v>
      </c>
      <c r="F1074" t="s">
        <v>382</v>
      </c>
      <c r="G1074" t="s">
        <v>36</v>
      </c>
      <c r="H1074" t="s">
        <v>43</v>
      </c>
      <c r="I1074" s="187"/>
      <c r="J1074" s="187">
        <v>954.63620153653858</v>
      </c>
      <c r="K1074" s="187">
        <v>20373.334003794153</v>
      </c>
      <c r="L1074" s="187">
        <v>34667.679044840595</v>
      </c>
      <c r="M1074" s="187">
        <v>55995.6484375</v>
      </c>
      <c r="N1074" s="187">
        <v>34667.6796875</v>
      </c>
      <c r="O1074" t="s">
        <v>1532</v>
      </c>
    </row>
    <row r="1075" spans="1:15" hidden="1" x14ac:dyDescent="0.45">
      <c r="A1075" s="187">
        <v>2016</v>
      </c>
      <c r="B1075" t="s">
        <v>311</v>
      </c>
      <c r="C1075" t="s">
        <v>322</v>
      </c>
      <c r="D1075" t="s">
        <v>35</v>
      </c>
      <c r="E1075" t="s">
        <v>348</v>
      </c>
      <c r="F1075" t="s">
        <v>382</v>
      </c>
      <c r="G1075" t="s">
        <v>36</v>
      </c>
      <c r="H1075" t="s">
        <v>43</v>
      </c>
      <c r="I1075" s="187"/>
      <c r="J1075" s="187">
        <v>1192.4000046824287</v>
      </c>
      <c r="K1075" s="187">
        <v>20830.055252024715</v>
      </c>
      <c r="L1075" s="187">
        <v>41287.647220955754</v>
      </c>
      <c r="M1075" s="187">
        <v>63310.1015625</v>
      </c>
      <c r="N1075" s="187">
        <v>41287.6484375</v>
      </c>
      <c r="O1075" t="s">
        <v>1534</v>
      </c>
    </row>
    <row r="1076" spans="1:15" hidden="1" x14ac:dyDescent="0.45">
      <c r="A1076" s="187">
        <v>2016</v>
      </c>
      <c r="B1076" t="s">
        <v>312</v>
      </c>
      <c r="C1076" t="s">
        <v>322</v>
      </c>
      <c r="D1076" t="s">
        <v>35</v>
      </c>
      <c r="E1076" t="s">
        <v>348</v>
      </c>
      <c r="F1076" t="s">
        <v>382</v>
      </c>
      <c r="G1076" t="s">
        <v>37</v>
      </c>
      <c r="H1076" t="s">
        <v>43</v>
      </c>
      <c r="I1076" s="187">
        <v>8372.7973033333328</v>
      </c>
      <c r="J1076" s="187">
        <v>711</v>
      </c>
      <c r="K1076" s="187">
        <v>14896.847552878769</v>
      </c>
      <c r="L1076" s="187">
        <v>21794</v>
      </c>
      <c r="M1076" s="187">
        <v>45774.64453125</v>
      </c>
      <c r="N1076" s="187">
        <v>30166.796875</v>
      </c>
      <c r="O1076" t="s">
        <v>1537</v>
      </c>
    </row>
    <row r="1077" spans="1:15" hidden="1" x14ac:dyDescent="0.45">
      <c r="A1077" s="187">
        <v>2016</v>
      </c>
      <c r="B1077" t="s">
        <v>310</v>
      </c>
      <c r="C1077" t="s">
        <v>322</v>
      </c>
      <c r="D1077" t="s">
        <v>35</v>
      </c>
      <c r="E1077" t="s">
        <v>348</v>
      </c>
      <c r="F1077" t="s">
        <v>382</v>
      </c>
      <c r="G1077" t="s">
        <v>37</v>
      </c>
      <c r="H1077" t="s">
        <v>43</v>
      </c>
      <c r="I1077" s="187"/>
      <c r="J1077" s="187">
        <v>762</v>
      </c>
      <c r="K1077" s="187">
        <v>16230.60281613768</v>
      </c>
      <c r="L1077" s="187">
        <v>27982</v>
      </c>
      <c r="M1077" s="187">
        <v>44974.6015625</v>
      </c>
      <c r="N1077" s="187">
        <v>27982</v>
      </c>
      <c r="O1077" t="s">
        <v>1538</v>
      </c>
    </row>
    <row r="1078" spans="1:15" hidden="1" x14ac:dyDescent="0.45">
      <c r="A1078" s="187">
        <v>2016</v>
      </c>
      <c r="B1078" t="s">
        <v>309</v>
      </c>
      <c r="C1078" t="s">
        <v>322</v>
      </c>
      <c r="D1078" t="s">
        <v>35</v>
      </c>
      <c r="E1078" t="s">
        <v>348</v>
      </c>
      <c r="F1078" t="s">
        <v>382</v>
      </c>
      <c r="G1078" t="s">
        <v>37</v>
      </c>
      <c r="H1078" t="s">
        <v>43</v>
      </c>
      <c r="I1078" s="187"/>
      <c r="J1078" s="187">
        <v>819.8042999999999</v>
      </c>
      <c r="K1078" s="187">
        <v>13758.411428633101</v>
      </c>
      <c r="L1078" s="187">
        <v>21846</v>
      </c>
      <c r="M1078" s="187">
        <v>36424.21484375</v>
      </c>
      <c r="N1078" s="187">
        <v>21846</v>
      </c>
      <c r="O1078" t="s">
        <v>1535</v>
      </c>
    </row>
    <row r="1079" spans="1:15" hidden="1" x14ac:dyDescent="0.45">
      <c r="A1079" s="187">
        <v>2016</v>
      </c>
      <c r="B1079" t="s">
        <v>311</v>
      </c>
      <c r="C1079" t="s">
        <v>322</v>
      </c>
      <c r="D1079" t="s">
        <v>35</v>
      </c>
      <c r="E1079" t="s">
        <v>348</v>
      </c>
      <c r="F1079" t="s">
        <v>382</v>
      </c>
      <c r="G1079" t="s">
        <v>37</v>
      </c>
      <c r="H1079" t="s">
        <v>43</v>
      </c>
      <c r="I1079" s="187"/>
      <c r="J1079" s="187">
        <v>955</v>
      </c>
      <c r="K1079" s="187">
        <v>16563.034592404219</v>
      </c>
      <c r="L1079" s="187">
        <v>33438</v>
      </c>
      <c r="M1079" s="187">
        <v>50956.03515625</v>
      </c>
      <c r="N1079" s="187">
        <v>33438</v>
      </c>
      <c r="O1079" t="s">
        <v>1536</v>
      </c>
    </row>
    <row r="1080" spans="1:15" hidden="1" x14ac:dyDescent="0.45">
      <c r="A1080" s="187">
        <v>2016</v>
      </c>
      <c r="B1080" t="s">
        <v>312</v>
      </c>
      <c r="C1080" t="s">
        <v>322</v>
      </c>
      <c r="D1080" t="s">
        <v>35</v>
      </c>
      <c r="E1080" t="s">
        <v>19</v>
      </c>
      <c r="F1080" t="s">
        <v>19</v>
      </c>
      <c r="G1080" t="s">
        <v>36</v>
      </c>
      <c r="H1080" t="s">
        <v>43</v>
      </c>
      <c r="I1080" s="187">
        <v>1162.7051327214474</v>
      </c>
      <c r="J1080" s="187">
        <v>0</v>
      </c>
      <c r="K1080" s="187">
        <v>252.21455001727068</v>
      </c>
      <c r="L1080" s="187">
        <v>2638.849419524428</v>
      </c>
      <c r="M1080" s="187">
        <v>4053.76904296875</v>
      </c>
      <c r="N1080" s="187">
        <v>3801.554443359375</v>
      </c>
      <c r="O1080" t="s">
        <v>1540</v>
      </c>
    </row>
    <row r="1081" spans="1:15" hidden="1" x14ac:dyDescent="0.45">
      <c r="A1081" s="187">
        <v>2016</v>
      </c>
      <c r="B1081" t="s">
        <v>310</v>
      </c>
      <c r="C1081" t="s">
        <v>322</v>
      </c>
      <c r="D1081" t="s">
        <v>35</v>
      </c>
      <c r="E1081" t="s">
        <v>19</v>
      </c>
      <c r="F1081" t="s">
        <v>19</v>
      </c>
      <c r="G1081" t="s">
        <v>36</v>
      </c>
      <c r="H1081" t="s">
        <v>43</v>
      </c>
      <c r="I1081" s="187"/>
      <c r="J1081" s="187">
        <v>0</v>
      </c>
      <c r="K1081" s="187">
        <v>147.99588576652204</v>
      </c>
      <c r="L1081" s="187">
        <v>6040.3624861606459</v>
      </c>
      <c r="M1081" s="187">
        <v>6188.3583984375</v>
      </c>
      <c r="N1081" s="187">
        <v>6040.3623046875</v>
      </c>
      <c r="O1081" t="s">
        <v>1541</v>
      </c>
    </row>
    <row r="1082" spans="1:15" hidden="1" x14ac:dyDescent="0.45">
      <c r="A1082" s="187">
        <v>2016</v>
      </c>
      <c r="B1082" t="s">
        <v>309</v>
      </c>
      <c r="C1082" t="s">
        <v>322</v>
      </c>
      <c r="D1082" t="s">
        <v>35</v>
      </c>
      <c r="E1082" t="s">
        <v>19</v>
      </c>
      <c r="F1082" t="s">
        <v>19</v>
      </c>
      <c r="G1082" t="s">
        <v>36</v>
      </c>
      <c r="H1082" t="s">
        <v>43</v>
      </c>
      <c r="I1082" s="187"/>
      <c r="J1082" s="187">
        <v>0</v>
      </c>
      <c r="K1082" s="187">
        <v>150.70942137818534</v>
      </c>
      <c r="L1082" s="187">
        <v>3840.2620425011805</v>
      </c>
      <c r="M1082" s="187">
        <v>3990.971435546875</v>
      </c>
      <c r="N1082" s="187">
        <v>3840.261962890625</v>
      </c>
      <c r="O1082" t="s">
        <v>1539</v>
      </c>
    </row>
    <row r="1083" spans="1:15" hidden="1" x14ac:dyDescent="0.45">
      <c r="A1083" s="187">
        <v>2016</v>
      </c>
      <c r="B1083" t="s">
        <v>311</v>
      </c>
      <c r="C1083" t="s">
        <v>322</v>
      </c>
      <c r="D1083" t="s">
        <v>35</v>
      </c>
      <c r="E1083" t="s">
        <v>19</v>
      </c>
      <c r="F1083" t="s">
        <v>19</v>
      </c>
      <c r="G1083" t="s">
        <v>36</v>
      </c>
      <c r="H1083" t="s">
        <v>43</v>
      </c>
      <c r="I1083" s="187"/>
      <c r="J1083" s="187">
        <v>156.86117708656548</v>
      </c>
      <c r="K1083" s="187">
        <v>285.90425926217887</v>
      </c>
      <c r="L1083" s="187">
        <v>4844.8423719663597</v>
      </c>
      <c r="M1083" s="187">
        <v>5287.60791015625</v>
      </c>
      <c r="N1083" s="187">
        <v>4844.84228515625</v>
      </c>
      <c r="O1083" t="s">
        <v>1542</v>
      </c>
    </row>
    <row r="1084" spans="1:15" hidden="1" x14ac:dyDescent="0.45">
      <c r="A1084" s="187">
        <v>2016</v>
      </c>
      <c r="B1084" t="s">
        <v>311</v>
      </c>
      <c r="C1084" t="s">
        <v>322</v>
      </c>
      <c r="D1084" t="s">
        <v>35</v>
      </c>
      <c r="E1084" t="s">
        <v>19</v>
      </c>
      <c r="F1084" t="s">
        <v>19</v>
      </c>
      <c r="G1084" t="s">
        <v>37</v>
      </c>
      <c r="H1084" t="s">
        <v>43</v>
      </c>
      <c r="I1084" s="187"/>
      <c r="J1084" s="187">
        <v>126</v>
      </c>
      <c r="K1084" s="187">
        <v>227.3369935403739</v>
      </c>
      <c r="L1084" s="187">
        <v>3924</v>
      </c>
      <c r="M1084" s="187">
        <v>4277.3369140625</v>
      </c>
      <c r="N1084" s="187">
        <v>3924</v>
      </c>
      <c r="O1084" t="s">
        <v>1544</v>
      </c>
    </row>
    <row r="1085" spans="1:15" hidden="1" x14ac:dyDescent="0.45">
      <c r="A1085" s="187">
        <v>2016</v>
      </c>
      <c r="B1085" t="s">
        <v>312</v>
      </c>
      <c r="C1085" t="s">
        <v>322</v>
      </c>
      <c r="D1085" t="s">
        <v>35</v>
      </c>
      <c r="E1085" t="s">
        <v>19</v>
      </c>
      <c r="F1085" t="s">
        <v>19</v>
      </c>
      <c r="G1085" t="s">
        <v>37</v>
      </c>
      <c r="H1085" t="s">
        <v>43</v>
      </c>
      <c r="I1085" s="187">
        <v>940.26310666666666</v>
      </c>
      <c r="J1085" s="187">
        <v>0</v>
      </c>
      <c r="K1085" s="187">
        <v>203.96232000000001</v>
      </c>
      <c r="L1085" s="187">
        <v>2134</v>
      </c>
      <c r="M1085" s="187">
        <v>3278.2255859375</v>
      </c>
      <c r="N1085" s="187">
        <v>3074.26318359375</v>
      </c>
      <c r="O1085" t="s">
        <v>1546</v>
      </c>
    </row>
    <row r="1086" spans="1:15" hidden="1" x14ac:dyDescent="0.45">
      <c r="A1086" s="187">
        <v>2016</v>
      </c>
      <c r="B1086" t="s">
        <v>310</v>
      </c>
      <c r="C1086" t="s">
        <v>322</v>
      </c>
      <c r="D1086" t="s">
        <v>35</v>
      </c>
      <c r="E1086" t="s">
        <v>19</v>
      </c>
      <c r="F1086" t="s">
        <v>19</v>
      </c>
      <c r="G1086" t="s">
        <v>37</v>
      </c>
      <c r="H1086" t="s">
        <v>43</v>
      </c>
      <c r="I1086" s="187"/>
      <c r="J1086" s="187">
        <v>0</v>
      </c>
      <c r="K1086" s="187">
        <v>117.6586333969035</v>
      </c>
      <c r="L1086" s="187">
        <v>4876</v>
      </c>
      <c r="M1086" s="187">
        <v>4993.65869140625</v>
      </c>
      <c r="N1086" s="187">
        <v>4876</v>
      </c>
      <c r="O1086" t="s">
        <v>1543</v>
      </c>
    </row>
    <row r="1087" spans="1:15" hidden="1" x14ac:dyDescent="0.45">
      <c r="A1087" s="187">
        <v>2016</v>
      </c>
      <c r="B1087" t="s">
        <v>309</v>
      </c>
      <c r="C1087" t="s">
        <v>322</v>
      </c>
      <c r="D1087" t="s">
        <v>35</v>
      </c>
      <c r="E1087" t="s">
        <v>19</v>
      </c>
      <c r="F1087" t="s">
        <v>19</v>
      </c>
      <c r="G1087" t="s">
        <v>37</v>
      </c>
      <c r="H1087" t="s">
        <v>43</v>
      </c>
      <c r="I1087" s="187"/>
      <c r="J1087" s="187">
        <v>0</v>
      </c>
      <c r="K1087" s="187">
        <v>121.8670788187805</v>
      </c>
      <c r="L1087" s="187">
        <v>3184</v>
      </c>
      <c r="M1087" s="187">
        <v>3305.8671875</v>
      </c>
      <c r="N1087" s="187">
        <v>3184</v>
      </c>
      <c r="O1087" t="s">
        <v>1545</v>
      </c>
    </row>
    <row r="1088" spans="1:15" hidden="1" x14ac:dyDescent="0.45">
      <c r="A1088" s="187">
        <v>2016</v>
      </c>
      <c r="B1088" t="s">
        <v>311</v>
      </c>
      <c r="C1088" t="s">
        <v>322</v>
      </c>
      <c r="D1088" t="s">
        <v>35</v>
      </c>
      <c r="E1088" t="s">
        <v>349</v>
      </c>
      <c r="F1088" t="s">
        <v>349</v>
      </c>
      <c r="G1088" t="s">
        <v>36</v>
      </c>
      <c r="H1088" t="s">
        <v>43</v>
      </c>
      <c r="I1088" s="187"/>
      <c r="J1088" s="187">
        <v>674.63059088449711</v>
      </c>
      <c r="K1088" s="187">
        <v>2724.7342744378261</v>
      </c>
      <c r="L1088" s="187">
        <v>4929.0117840615903</v>
      </c>
      <c r="M1088" s="187">
        <v>8328.376953125</v>
      </c>
      <c r="N1088" s="187">
        <v>4929.01171875</v>
      </c>
      <c r="O1088" t="s">
        <v>1547</v>
      </c>
    </row>
    <row r="1089" spans="1:15" hidden="1" x14ac:dyDescent="0.45">
      <c r="A1089" s="187">
        <v>2016</v>
      </c>
      <c r="B1089" t="s">
        <v>309</v>
      </c>
      <c r="C1089" t="s">
        <v>322</v>
      </c>
      <c r="D1089" t="s">
        <v>35</v>
      </c>
      <c r="E1089" t="s">
        <v>349</v>
      </c>
      <c r="F1089" t="s">
        <v>349</v>
      </c>
      <c r="G1089" t="s">
        <v>36</v>
      </c>
      <c r="H1089" t="s">
        <v>43</v>
      </c>
      <c r="I1089" s="187"/>
      <c r="J1089" s="187">
        <v>384.15867275796563</v>
      </c>
      <c r="K1089" s="187">
        <v>3767.7355344546336</v>
      </c>
      <c r="L1089" s="187">
        <v>2022.7941148324603</v>
      </c>
      <c r="M1089" s="187">
        <v>6174.68798828125</v>
      </c>
      <c r="N1089" s="187">
        <v>2022.7940673828125</v>
      </c>
      <c r="O1089" t="s">
        <v>1549</v>
      </c>
    </row>
    <row r="1090" spans="1:15" hidden="1" x14ac:dyDescent="0.45">
      <c r="A1090" s="187">
        <v>2016</v>
      </c>
      <c r="B1090" t="s">
        <v>310</v>
      </c>
      <c r="C1090" t="s">
        <v>322</v>
      </c>
      <c r="D1090" t="s">
        <v>35</v>
      </c>
      <c r="E1090" t="s">
        <v>349</v>
      </c>
      <c r="F1090" t="s">
        <v>349</v>
      </c>
      <c r="G1090" t="s">
        <v>36</v>
      </c>
      <c r="H1090" t="s">
        <v>43</v>
      </c>
      <c r="I1090" s="187"/>
      <c r="J1090" s="187">
        <v>326.93020600566388</v>
      </c>
      <c r="K1090" s="187">
        <v>3692.1955664477628</v>
      </c>
      <c r="L1090" s="187">
        <v>3114.9910028219656</v>
      </c>
      <c r="M1090" s="187">
        <v>7134.11669921875</v>
      </c>
      <c r="N1090" s="187">
        <v>3114.990966796875</v>
      </c>
      <c r="O1090" t="s">
        <v>1548</v>
      </c>
    </row>
    <row r="1091" spans="1:15" hidden="1" x14ac:dyDescent="0.45">
      <c r="A1091" s="187">
        <v>2016</v>
      </c>
      <c r="B1091" t="s">
        <v>312</v>
      </c>
      <c r="C1091" t="s">
        <v>322</v>
      </c>
      <c r="D1091" t="s">
        <v>35</v>
      </c>
      <c r="E1091" t="s">
        <v>349</v>
      </c>
      <c r="F1091" t="s">
        <v>349</v>
      </c>
      <c r="G1091" t="s">
        <v>36</v>
      </c>
      <c r="H1091" t="s">
        <v>43</v>
      </c>
      <c r="I1091" s="187">
        <v>3574.9189566126279</v>
      </c>
      <c r="J1091" s="187">
        <v>457.53246730273588</v>
      </c>
      <c r="K1091" s="187">
        <v>2975.1866309245215</v>
      </c>
      <c r="L1091" s="187">
        <v>2010.6697076601313</v>
      </c>
      <c r="M1091" s="187">
        <v>9018.3076171875</v>
      </c>
      <c r="N1091" s="187">
        <v>5585.5888671875</v>
      </c>
      <c r="O1091" t="s">
        <v>1550</v>
      </c>
    </row>
    <row r="1092" spans="1:15" hidden="1" x14ac:dyDescent="0.45">
      <c r="A1092" s="187">
        <v>2016</v>
      </c>
      <c r="B1092" t="s">
        <v>312</v>
      </c>
      <c r="C1092" t="s">
        <v>322</v>
      </c>
      <c r="D1092" t="s">
        <v>35</v>
      </c>
      <c r="E1092" t="s">
        <v>349</v>
      </c>
      <c r="F1092" t="s">
        <v>349</v>
      </c>
      <c r="G1092" t="s">
        <v>37</v>
      </c>
      <c r="H1092" t="s">
        <v>43</v>
      </c>
      <c r="I1092" s="187">
        <v>2890.986123333334</v>
      </c>
      <c r="J1092" s="187">
        <v>370</v>
      </c>
      <c r="K1092" s="187">
        <v>2405.9911200000001</v>
      </c>
      <c r="L1092" s="187">
        <v>1626</v>
      </c>
      <c r="M1092" s="187">
        <v>7292.97705078125</v>
      </c>
      <c r="N1092" s="187">
        <v>4516.986328125</v>
      </c>
      <c r="O1092" t="s">
        <v>1552</v>
      </c>
    </row>
    <row r="1093" spans="1:15" hidden="1" x14ac:dyDescent="0.45">
      <c r="A1093" s="187">
        <v>2016</v>
      </c>
      <c r="B1093" t="s">
        <v>311</v>
      </c>
      <c r="C1093" t="s">
        <v>322</v>
      </c>
      <c r="D1093" t="s">
        <v>35</v>
      </c>
      <c r="E1093" t="s">
        <v>349</v>
      </c>
      <c r="F1093" t="s">
        <v>349</v>
      </c>
      <c r="G1093" t="s">
        <v>37</v>
      </c>
      <c r="H1093" t="s">
        <v>43</v>
      </c>
      <c r="I1093" s="187"/>
      <c r="J1093" s="187">
        <v>540</v>
      </c>
      <c r="K1093" s="187">
        <v>2166.574572011104</v>
      </c>
      <c r="L1093" s="187">
        <v>3993</v>
      </c>
      <c r="M1093" s="187">
        <v>6699.57421875</v>
      </c>
      <c r="N1093" s="187">
        <v>3993</v>
      </c>
      <c r="O1093" t="s">
        <v>1554</v>
      </c>
    </row>
    <row r="1094" spans="1:15" hidden="1" x14ac:dyDescent="0.45">
      <c r="A1094" s="187">
        <v>2016</v>
      </c>
      <c r="B1094" t="s">
        <v>309</v>
      </c>
      <c r="C1094" t="s">
        <v>322</v>
      </c>
      <c r="D1094" t="s">
        <v>35</v>
      </c>
      <c r="E1094" t="s">
        <v>349</v>
      </c>
      <c r="F1094" t="s">
        <v>349</v>
      </c>
      <c r="G1094" t="s">
        <v>37</v>
      </c>
      <c r="H1094" t="s">
        <v>43</v>
      </c>
      <c r="I1094" s="187"/>
      <c r="J1094" s="187">
        <v>308.35700000000003</v>
      </c>
      <c r="K1094" s="187">
        <v>3046.6769704695139</v>
      </c>
      <c r="L1094" s="187">
        <v>1677</v>
      </c>
      <c r="M1094" s="187">
        <v>5032.0341796875</v>
      </c>
      <c r="N1094" s="187">
        <v>1677</v>
      </c>
      <c r="O1094" t="s">
        <v>1553</v>
      </c>
    </row>
    <row r="1095" spans="1:15" hidden="1" x14ac:dyDescent="0.45">
      <c r="A1095" s="187">
        <v>2016</v>
      </c>
      <c r="B1095" t="s">
        <v>310</v>
      </c>
      <c r="C1095" t="s">
        <v>322</v>
      </c>
      <c r="D1095" t="s">
        <v>35</v>
      </c>
      <c r="E1095" t="s">
        <v>349</v>
      </c>
      <c r="F1095" t="s">
        <v>349</v>
      </c>
      <c r="G1095" t="s">
        <v>37</v>
      </c>
      <c r="H1095" t="s">
        <v>43</v>
      </c>
      <c r="I1095" s="187"/>
      <c r="J1095" s="187">
        <v>261</v>
      </c>
      <c r="K1095" s="187">
        <v>2941.465834922587</v>
      </c>
      <c r="L1095" s="187">
        <v>2514</v>
      </c>
      <c r="M1095" s="187">
        <v>5716.4658203125</v>
      </c>
      <c r="N1095" s="187">
        <v>2514</v>
      </c>
      <c r="O1095" t="s">
        <v>1551</v>
      </c>
    </row>
    <row r="1096" spans="1:15" hidden="1" x14ac:dyDescent="0.45">
      <c r="A1096" s="187">
        <v>2016</v>
      </c>
      <c r="B1096" t="s">
        <v>312</v>
      </c>
      <c r="C1096" t="s">
        <v>322</v>
      </c>
      <c r="D1096" t="s">
        <v>35</v>
      </c>
      <c r="E1096" t="s">
        <v>46</v>
      </c>
      <c r="F1096" t="s">
        <v>46</v>
      </c>
      <c r="G1096" t="s">
        <v>37</v>
      </c>
      <c r="H1096" t="s">
        <v>43</v>
      </c>
      <c r="I1096" s="187">
        <v>7585.0763000000006</v>
      </c>
      <c r="J1096" s="187">
        <v>711</v>
      </c>
      <c r="K1096" s="187">
        <v>14395.85192943479</v>
      </c>
      <c r="L1096" s="187">
        <v>18455</v>
      </c>
      <c r="M1096" s="187">
        <v>41146.9296875</v>
      </c>
      <c r="N1096" s="187">
        <v>26040.076171875</v>
      </c>
      <c r="O1096" t="s">
        <v>1555</v>
      </c>
    </row>
    <row r="1097" spans="1:15" hidden="1" x14ac:dyDescent="0.45">
      <c r="A1097" s="187">
        <v>2016</v>
      </c>
      <c r="B1097" t="s">
        <v>311</v>
      </c>
      <c r="C1097" t="s">
        <v>322</v>
      </c>
      <c r="D1097" t="s">
        <v>35</v>
      </c>
      <c r="E1097" t="s">
        <v>46</v>
      </c>
      <c r="F1097" t="s">
        <v>46</v>
      </c>
      <c r="G1097" t="s">
        <v>37</v>
      </c>
      <c r="H1097" t="s">
        <v>43</v>
      </c>
      <c r="I1097" s="187"/>
      <c r="J1097" s="187">
        <v>955</v>
      </c>
      <c r="K1097" s="187">
        <v>15926.35449777641</v>
      </c>
      <c r="L1097" s="187">
        <v>29650</v>
      </c>
      <c r="M1097" s="187">
        <v>46531.35546875</v>
      </c>
      <c r="N1097" s="187">
        <v>29650</v>
      </c>
      <c r="O1097" t="s">
        <v>1556</v>
      </c>
    </row>
    <row r="1098" spans="1:15" hidden="1" x14ac:dyDescent="0.45">
      <c r="A1098" s="187">
        <v>2016</v>
      </c>
      <c r="B1098" t="s">
        <v>309</v>
      </c>
      <c r="C1098" t="s">
        <v>322</v>
      </c>
      <c r="D1098" t="s">
        <v>35</v>
      </c>
      <c r="E1098" t="s">
        <v>350</v>
      </c>
      <c r="F1098" t="s">
        <v>350</v>
      </c>
      <c r="G1098" t="s">
        <v>37</v>
      </c>
      <c r="H1098" t="s">
        <v>43</v>
      </c>
      <c r="I1098" s="187"/>
      <c r="J1098" s="187">
        <v>819.8042999999999</v>
      </c>
      <c r="K1098" s="187">
        <v>13291.576716249911</v>
      </c>
      <c r="L1098" s="187">
        <v>17918</v>
      </c>
      <c r="M1098" s="187">
        <v>32029.380859375</v>
      </c>
      <c r="N1098" s="187">
        <v>17918</v>
      </c>
      <c r="O1098" t="s">
        <v>1559</v>
      </c>
    </row>
    <row r="1099" spans="1:15" hidden="1" x14ac:dyDescent="0.45">
      <c r="A1099" s="187">
        <v>2016</v>
      </c>
      <c r="B1099" t="s">
        <v>312</v>
      </c>
      <c r="C1099" t="s">
        <v>322</v>
      </c>
      <c r="D1099" t="s">
        <v>35</v>
      </c>
      <c r="E1099" t="s">
        <v>350</v>
      </c>
      <c r="F1099" t="s">
        <v>350</v>
      </c>
      <c r="G1099" t="s">
        <v>37</v>
      </c>
      <c r="H1099" t="s">
        <v>43</v>
      </c>
      <c r="I1099" s="187">
        <v>7402.7973033333328</v>
      </c>
      <c r="J1099" s="187">
        <v>711</v>
      </c>
      <c r="K1099" s="187">
        <v>14308.203392081599</v>
      </c>
      <c r="L1099" s="187">
        <v>17913</v>
      </c>
      <c r="M1099" s="187">
        <v>40335</v>
      </c>
      <c r="N1099" s="187">
        <v>25315.796875</v>
      </c>
      <c r="O1099" t="s">
        <v>1560</v>
      </c>
    </row>
    <row r="1100" spans="1:15" hidden="1" x14ac:dyDescent="0.45">
      <c r="A1100" s="187">
        <v>2016</v>
      </c>
      <c r="B1100" t="s">
        <v>310</v>
      </c>
      <c r="C1100" t="s">
        <v>322</v>
      </c>
      <c r="D1100" t="s">
        <v>35</v>
      </c>
      <c r="E1100" t="s">
        <v>350</v>
      </c>
      <c r="F1100" t="s">
        <v>350</v>
      </c>
      <c r="G1100" t="s">
        <v>37</v>
      </c>
      <c r="H1100" t="s">
        <v>43</v>
      </c>
      <c r="I1100" s="187"/>
      <c r="J1100" s="187">
        <v>762</v>
      </c>
      <c r="K1100" s="187">
        <v>15635.14336290446</v>
      </c>
      <c r="L1100" s="187">
        <v>22183</v>
      </c>
      <c r="M1100" s="187">
        <v>38580.140625</v>
      </c>
      <c r="N1100" s="187">
        <v>22183</v>
      </c>
      <c r="O1100" t="s">
        <v>1557</v>
      </c>
    </row>
    <row r="1101" spans="1:15" hidden="1" x14ac:dyDescent="0.45">
      <c r="A1101" s="187">
        <v>2016</v>
      </c>
      <c r="B1101" t="s">
        <v>311</v>
      </c>
      <c r="C1101" t="s">
        <v>322</v>
      </c>
      <c r="D1101" t="s">
        <v>35</v>
      </c>
      <c r="E1101" t="s">
        <v>350</v>
      </c>
      <c r="F1101" t="s">
        <v>350</v>
      </c>
      <c r="G1101" t="s">
        <v>37</v>
      </c>
      <c r="H1101" t="s">
        <v>43</v>
      </c>
      <c r="I1101" s="187"/>
      <c r="J1101" s="187">
        <v>955</v>
      </c>
      <c r="K1101" s="187">
        <v>15974.39043160704</v>
      </c>
      <c r="L1101" s="187">
        <v>26918</v>
      </c>
      <c r="M1101" s="187">
        <v>43847.390625</v>
      </c>
      <c r="N1101" s="187">
        <v>26918</v>
      </c>
      <c r="O1101" t="s">
        <v>1558</v>
      </c>
    </row>
    <row r="1102" spans="1:15" hidden="1" x14ac:dyDescent="0.45">
      <c r="A1102" s="187">
        <v>2016</v>
      </c>
      <c r="B1102" t="s">
        <v>312</v>
      </c>
      <c r="C1102" t="s">
        <v>322</v>
      </c>
      <c r="D1102" t="s">
        <v>35</v>
      </c>
      <c r="E1102" t="s">
        <v>16</v>
      </c>
      <c r="F1102" t="s">
        <v>16</v>
      </c>
      <c r="G1102" t="s">
        <v>36</v>
      </c>
      <c r="H1102" t="s">
        <v>43</v>
      </c>
      <c r="I1102" s="187">
        <v>4354.7920906097188</v>
      </c>
      <c r="J1102" s="187">
        <v>139.73288866272745</v>
      </c>
      <c r="K1102" s="187">
        <v>5920.0311874814397</v>
      </c>
      <c r="L1102" s="187">
        <v>20418.313784061553</v>
      </c>
      <c r="M1102" s="187">
        <v>30832.869140625</v>
      </c>
      <c r="N1102" s="187">
        <v>24773.10546875</v>
      </c>
      <c r="O1102" t="s">
        <v>1562</v>
      </c>
    </row>
    <row r="1103" spans="1:15" hidden="1" x14ac:dyDescent="0.45">
      <c r="A1103" s="187">
        <v>2016</v>
      </c>
      <c r="B1103" t="s">
        <v>309</v>
      </c>
      <c r="C1103" t="s">
        <v>322</v>
      </c>
      <c r="D1103" t="s">
        <v>35</v>
      </c>
      <c r="E1103" t="s">
        <v>16</v>
      </c>
      <c r="F1103" t="s">
        <v>16</v>
      </c>
      <c r="G1103" t="s">
        <v>36</v>
      </c>
      <c r="H1103" t="s">
        <v>43</v>
      </c>
      <c r="I1103" s="187"/>
      <c r="J1103" s="187">
        <v>107.29949135653523</v>
      </c>
      <c r="K1103" s="187">
        <v>4887.5065352945494</v>
      </c>
      <c r="L1103" s="187">
        <v>13385.942717997388</v>
      </c>
      <c r="M1103" s="187">
        <v>18380.748046875</v>
      </c>
      <c r="N1103" s="187">
        <v>13385.9423828125</v>
      </c>
      <c r="O1103" t="s">
        <v>1563</v>
      </c>
    </row>
    <row r="1104" spans="1:15" hidden="1" x14ac:dyDescent="0.45">
      <c r="A1104" s="187">
        <v>2016</v>
      </c>
      <c r="B1104" t="s">
        <v>310</v>
      </c>
      <c r="C1104" t="s">
        <v>322</v>
      </c>
      <c r="D1104" t="s">
        <v>35</v>
      </c>
      <c r="E1104" t="s">
        <v>16</v>
      </c>
      <c r="F1104" t="s">
        <v>16</v>
      </c>
      <c r="G1104" t="s">
        <v>36</v>
      </c>
      <c r="H1104" t="s">
        <v>43</v>
      </c>
      <c r="I1104" s="187"/>
      <c r="J1104" s="187">
        <v>104.61766592181245</v>
      </c>
      <c r="K1104" s="187">
        <v>5332.3651174136248</v>
      </c>
      <c r="L1104" s="187">
        <v>18216.551078635592</v>
      </c>
      <c r="M1104" s="187">
        <v>23653.533203125</v>
      </c>
      <c r="N1104" s="187">
        <v>18216.55078125</v>
      </c>
      <c r="O1104" t="s">
        <v>1564</v>
      </c>
    </row>
    <row r="1105" spans="1:15" hidden="1" x14ac:dyDescent="0.45">
      <c r="A1105" s="187">
        <v>2016</v>
      </c>
      <c r="B1105" t="s">
        <v>311</v>
      </c>
      <c r="C1105" t="s">
        <v>322</v>
      </c>
      <c r="D1105" t="s">
        <v>35</v>
      </c>
      <c r="E1105" t="s">
        <v>16</v>
      </c>
      <c r="F1105" t="s">
        <v>16</v>
      </c>
      <c r="G1105" t="s">
        <v>36</v>
      </c>
      <c r="H1105" t="s">
        <v>43</v>
      </c>
      <c r="I1105" s="187"/>
      <c r="J1105" s="187">
        <v>127.5294122655004</v>
      </c>
      <c r="K1105" s="187">
        <v>5114.383789918822</v>
      </c>
      <c r="L1105" s="187">
        <v>20596.000080878315</v>
      </c>
      <c r="M1105" s="187">
        <v>25837.9140625</v>
      </c>
      <c r="N1105" s="187">
        <v>20596</v>
      </c>
      <c r="O1105" t="s">
        <v>1561</v>
      </c>
    </row>
    <row r="1106" spans="1:15" hidden="1" x14ac:dyDescent="0.45">
      <c r="A1106" s="187">
        <v>2016</v>
      </c>
      <c r="B1106" t="s">
        <v>312</v>
      </c>
      <c r="C1106" t="s">
        <v>322</v>
      </c>
      <c r="D1106" t="s">
        <v>35</v>
      </c>
      <c r="E1106" t="s">
        <v>16</v>
      </c>
      <c r="F1106" t="s">
        <v>16</v>
      </c>
      <c r="G1106" t="s">
        <v>37</v>
      </c>
      <c r="H1106" t="s">
        <v>43</v>
      </c>
      <c r="I1106" s="187">
        <v>3521.6584366666671</v>
      </c>
      <c r="J1106" s="187">
        <v>113</v>
      </c>
      <c r="K1106" s="187">
        <v>4787.4450359362181</v>
      </c>
      <c r="L1106" s="187">
        <v>16512</v>
      </c>
      <c r="M1106" s="187">
        <v>24934.103515625</v>
      </c>
      <c r="N1106" s="187">
        <v>20033.658203125</v>
      </c>
      <c r="O1106" t="s">
        <v>1567</v>
      </c>
    </row>
    <row r="1107" spans="1:15" hidden="1" x14ac:dyDescent="0.45">
      <c r="A1107" s="187">
        <v>2016</v>
      </c>
      <c r="B1107" t="s">
        <v>309</v>
      </c>
      <c r="C1107" t="s">
        <v>322</v>
      </c>
      <c r="D1107" t="s">
        <v>35</v>
      </c>
      <c r="E1107" t="s">
        <v>16</v>
      </c>
      <c r="F1107" t="s">
        <v>16</v>
      </c>
      <c r="G1107" t="s">
        <v>37</v>
      </c>
      <c r="H1107" t="s">
        <v>43</v>
      </c>
      <c r="I1107" s="187"/>
      <c r="J1107" s="187">
        <v>86.127299999999991</v>
      </c>
      <c r="K1107" s="187">
        <v>3952.1493660930528</v>
      </c>
      <c r="L1107" s="187">
        <v>11097</v>
      </c>
      <c r="M1107" s="187">
        <v>15135.2763671875</v>
      </c>
      <c r="N1107" s="187">
        <v>11097</v>
      </c>
      <c r="O1107" t="s">
        <v>1565</v>
      </c>
    </row>
    <row r="1108" spans="1:15" hidden="1" x14ac:dyDescent="0.45">
      <c r="A1108" s="187">
        <v>2016</v>
      </c>
      <c r="B1108" t="s">
        <v>310</v>
      </c>
      <c r="C1108" t="s">
        <v>322</v>
      </c>
      <c r="D1108" t="s">
        <v>35</v>
      </c>
      <c r="E1108" t="s">
        <v>16</v>
      </c>
      <c r="F1108" t="s">
        <v>16</v>
      </c>
      <c r="G1108" t="s">
        <v>37</v>
      </c>
      <c r="H1108" t="s">
        <v>43</v>
      </c>
      <c r="I1108" s="187"/>
      <c r="J1108" s="187">
        <v>83</v>
      </c>
      <c r="K1108" s="187">
        <v>4248.141662576003</v>
      </c>
      <c r="L1108" s="187">
        <v>14704</v>
      </c>
      <c r="M1108" s="187">
        <v>19035.140625</v>
      </c>
      <c r="N1108" s="187">
        <v>14704</v>
      </c>
      <c r="O1108" t="s">
        <v>1566</v>
      </c>
    </row>
    <row r="1109" spans="1:15" hidden="1" x14ac:dyDescent="0.45">
      <c r="A1109" s="187">
        <v>2016</v>
      </c>
      <c r="B1109" t="s">
        <v>311</v>
      </c>
      <c r="C1109" t="s">
        <v>322</v>
      </c>
      <c r="D1109" t="s">
        <v>35</v>
      </c>
      <c r="E1109" t="s">
        <v>16</v>
      </c>
      <c r="F1109" t="s">
        <v>16</v>
      </c>
      <c r="G1109" t="s">
        <v>37</v>
      </c>
      <c r="H1109" t="s">
        <v>43</v>
      </c>
      <c r="I1109" s="187"/>
      <c r="J1109" s="187">
        <v>102</v>
      </c>
      <c r="K1109" s="187">
        <v>4066.7062379982372</v>
      </c>
      <c r="L1109" s="187">
        <v>16679</v>
      </c>
      <c r="M1109" s="187">
        <v>20847.70703125</v>
      </c>
      <c r="N1109" s="187">
        <v>16679</v>
      </c>
      <c r="O1109" t="s">
        <v>1568</v>
      </c>
    </row>
    <row r="1110" spans="1:15" hidden="1" x14ac:dyDescent="0.45">
      <c r="A1110" s="187">
        <v>2016</v>
      </c>
      <c r="B1110" t="s">
        <v>312</v>
      </c>
      <c r="C1110" t="s">
        <v>322</v>
      </c>
      <c r="D1110" t="s">
        <v>35</v>
      </c>
      <c r="E1110" t="s">
        <v>351</v>
      </c>
      <c r="F1110" t="s">
        <v>351</v>
      </c>
      <c r="G1110" t="s">
        <v>37</v>
      </c>
      <c r="H1110" t="s">
        <v>43</v>
      </c>
      <c r="I1110" s="187">
        <v>0</v>
      </c>
      <c r="J1110" s="187">
        <v>0</v>
      </c>
      <c r="K1110" s="187">
        <v>37.523360725239087</v>
      </c>
      <c r="L1110" s="187">
        <v>86</v>
      </c>
      <c r="M1110" s="187">
        <v>123.52336120605469</v>
      </c>
      <c r="N1110" s="187">
        <v>86</v>
      </c>
      <c r="O1110" t="s">
        <v>1571</v>
      </c>
    </row>
    <row r="1111" spans="1:15" hidden="1" x14ac:dyDescent="0.45">
      <c r="A1111" s="187">
        <v>2016</v>
      </c>
      <c r="B1111" t="s">
        <v>309</v>
      </c>
      <c r="C1111" t="s">
        <v>322</v>
      </c>
      <c r="D1111" t="s">
        <v>35</v>
      </c>
      <c r="E1111" t="s">
        <v>351</v>
      </c>
      <c r="F1111" t="s">
        <v>351</v>
      </c>
      <c r="G1111" t="s">
        <v>37</v>
      </c>
      <c r="H1111" t="s">
        <v>43</v>
      </c>
      <c r="I1111" s="187"/>
      <c r="J1111" s="187">
        <v>0</v>
      </c>
      <c r="K1111" s="187">
        <v>179.9695753929569</v>
      </c>
      <c r="L1111" s="187">
        <v>137</v>
      </c>
      <c r="M1111" s="187">
        <v>316.96957397460938</v>
      </c>
      <c r="N1111" s="187">
        <v>137</v>
      </c>
      <c r="O1111" t="s">
        <v>1569</v>
      </c>
    </row>
    <row r="1112" spans="1:15" hidden="1" x14ac:dyDescent="0.45">
      <c r="A1112" s="187">
        <v>2016</v>
      </c>
      <c r="B1112" t="s">
        <v>311</v>
      </c>
      <c r="C1112" t="s">
        <v>322</v>
      </c>
      <c r="D1112" t="s">
        <v>35</v>
      </c>
      <c r="E1112" t="s">
        <v>351</v>
      </c>
      <c r="F1112" t="s">
        <v>351</v>
      </c>
      <c r="G1112" t="s">
        <v>37</v>
      </c>
      <c r="H1112" t="s">
        <v>43</v>
      </c>
      <c r="I1112" s="187"/>
      <c r="J1112" s="187">
        <v>0</v>
      </c>
      <c r="K1112" s="187">
        <v>37.523360725239087</v>
      </c>
      <c r="L1112" s="187">
        <v>181</v>
      </c>
      <c r="M1112" s="187">
        <v>218.52336120605469</v>
      </c>
      <c r="N1112" s="187">
        <v>181</v>
      </c>
      <c r="O1112" t="s">
        <v>1572</v>
      </c>
    </row>
    <row r="1113" spans="1:15" hidden="1" x14ac:dyDescent="0.45">
      <c r="A1113" s="187">
        <v>2016</v>
      </c>
      <c r="B1113" t="s">
        <v>310</v>
      </c>
      <c r="C1113" t="s">
        <v>322</v>
      </c>
      <c r="D1113" t="s">
        <v>35</v>
      </c>
      <c r="E1113" t="s">
        <v>351</v>
      </c>
      <c r="F1113" t="s">
        <v>351</v>
      </c>
      <c r="G1113" t="s">
        <v>37</v>
      </c>
      <c r="H1113" t="s">
        <v>43</v>
      </c>
      <c r="I1113" s="187"/>
      <c r="J1113" s="187">
        <v>0</v>
      </c>
      <c r="K1113" s="187">
        <v>30.51343293699216</v>
      </c>
      <c r="L1113" s="187">
        <v>172</v>
      </c>
      <c r="M1113" s="187">
        <v>202.513427734375</v>
      </c>
      <c r="N1113" s="187">
        <v>172</v>
      </c>
      <c r="O1113" t="s">
        <v>1570</v>
      </c>
    </row>
    <row r="1114" spans="1:15" hidden="1" x14ac:dyDescent="0.45">
      <c r="A1114" s="187">
        <v>2016</v>
      </c>
      <c r="B1114" t="s">
        <v>309</v>
      </c>
      <c r="C1114" t="s">
        <v>322</v>
      </c>
      <c r="D1114" t="s">
        <v>35</v>
      </c>
      <c r="E1114" t="s">
        <v>352</v>
      </c>
      <c r="F1114" t="s">
        <v>361</v>
      </c>
      <c r="G1114" t="s">
        <v>36</v>
      </c>
      <c r="H1114" t="s">
        <v>43</v>
      </c>
      <c r="I1114" s="187"/>
      <c r="J1114" s="187">
        <v>0</v>
      </c>
      <c r="K1114" s="187">
        <v>0</v>
      </c>
      <c r="L1114" s="187">
        <v>0</v>
      </c>
      <c r="M1114" s="187">
        <v>0</v>
      </c>
      <c r="N1114" s="187">
        <v>0</v>
      </c>
      <c r="O1114" t="s">
        <v>1576</v>
      </c>
    </row>
    <row r="1115" spans="1:15" hidden="1" x14ac:dyDescent="0.45">
      <c r="A1115" s="187">
        <v>2016</v>
      </c>
      <c r="B1115" t="s">
        <v>310</v>
      </c>
      <c r="C1115" t="s">
        <v>322</v>
      </c>
      <c r="D1115" t="s">
        <v>35</v>
      </c>
      <c r="E1115" t="s">
        <v>352</v>
      </c>
      <c r="F1115" t="s">
        <v>361</v>
      </c>
      <c r="G1115" t="s">
        <v>36</v>
      </c>
      <c r="H1115" t="s">
        <v>43</v>
      </c>
      <c r="I1115" s="187"/>
      <c r="J1115" s="187">
        <v>0</v>
      </c>
      <c r="K1115" s="187">
        <v>0</v>
      </c>
      <c r="L1115" s="187"/>
      <c r="M1115" s="187">
        <v>0</v>
      </c>
      <c r="N1115" s="187">
        <v>0</v>
      </c>
      <c r="O1115" t="s">
        <v>1573</v>
      </c>
    </row>
    <row r="1116" spans="1:15" hidden="1" x14ac:dyDescent="0.45">
      <c r="A1116" s="187">
        <v>2016</v>
      </c>
      <c r="B1116" t="s">
        <v>312</v>
      </c>
      <c r="C1116" t="s">
        <v>322</v>
      </c>
      <c r="D1116" t="s">
        <v>35</v>
      </c>
      <c r="E1116" t="s">
        <v>352</v>
      </c>
      <c r="F1116" t="s">
        <v>361</v>
      </c>
      <c r="G1116" t="s">
        <v>36</v>
      </c>
      <c r="H1116" t="s">
        <v>43</v>
      </c>
      <c r="I1116" s="187"/>
      <c r="J1116" s="187">
        <v>0</v>
      </c>
      <c r="K1116" s="187">
        <v>0</v>
      </c>
      <c r="L1116" s="187"/>
      <c r="M1116" s="187">
        <v>0</v>
      </c>
      <c r="N1116" s="187">
        <v>0</v>
      </c>
      <c r="O1116" t="s">
        <v>1574</v>
      </c>
    </row>
    <row r="1117" spans="1:15" hidden="1" x14ac:dyDescent="0.45">
      <c r="A1117" s="187">
        <v>2016</v>
      </c>
      <c r="B1117" t="s">
        <v>311</v>
      </c>
      <c r="C1117" t="s">
        <v>322</v>
      </c>
      <c r="D1117" t="s">
        <v>35</v>
      </c>
      <c r="E1117" t="s">
        <v>352</v>
      </c>
      <c r="F1117" t="s">
        <v>361</v>
      </c>
      <c r="G1117" t="s">
        <v>36</v>
      </c>
      <c r="H1117" t="s">
        <v>43</v>
      </c>
      <c r="I1117" s="187"/>
      <c r="J1117" s="187">
        <v>0</v>
      </c>
      <c r="K1117" s="187">
        <v>0</v>
      </c>
      <c r="L1117" s="187"/>
      <c r="M1117" s="187">
        <v>0</v>
      </c>
      <c r="N1117" s="187">
        <v>0</v>
      </c>
      <c r="O1117" t="s">
        <v>1575</v>
      </c>
    </row>
    <row r="1118" spans="1:15" hidden="1" x14ac:dyDescent="0.45">
      <c r="A1118" s="187">
        <v>2016</v>
      </c>
      <c r="B1118" t="s">
        <v>310</v>
      </c>
      <c r="C1118" t="s">
        <v>322</v>
      </c>
      <c r="D1118" t="s">
        <v>35</v>
      </c>
      <c r="E1118" t="s">
        <v>353</v>
      </c>
      <c r="F1118" t="s">
        <v>383</v>
      </c>
      <c r="G1118" t="s">
        <v>36</v>
      </c>
      <c r="H1118" t="s">
        <v>43</v>
      </c>
      <c r="I1118" s="187"/>
      <c r="J1118" s="187">
        <v>745.4008696929136</v>
      </c>
      <c r="K1118" s="187">
        <v>17517.567458335063</v>
      </c>
      <c r="L1118" s="187">
        <v>32073.160929979651</v>
      </c>
      <c r="M1118" s="187">
        <v>50336.12890625</v>
      </c>
      <c r="N1118" s="187">
        <v>32073.16015625</v>
      </c>
      <c r="O1118" t="s">
        <v>1580</v>
      </c>
    </row>
    <row r="1119" spans="1:15" hidden="1" x14ac:dyDescent="0.45">
      <c r="A1119" s="187">
        <v>2016</v>
      </c>
      <c r="B1119" t="s">
        <v>309</v>
      </c>
      <c r="C1119" t="s">
        <v>322</v>
      </c>
      <c r="D1119" t="s">
        <v>35</v>
      </c>
      <c r="E1119" t="s">
        <v>353</v>
      </c>
      <c r="F1119" t="s">
        <v>383</v>
      </c>
      <c r="G1119" t="s">
        <v>36</v>
      </c>
      <c r="H1119" t="s">
        <v>43</v>
      </c>
      <c r="I1119" s="187"/>
      <c r="J1119" s="187">
        <v>796.13573216392183</v>
      </c>
      <c r="K1119" s="187">
        <v>15901.803177876469</v>
      </c>
      <c r="L1119" s="187">
        <v>24093.372207316821</v>
      </c>
      <c r="M1119" s="187">
        <v>40791.3125</v>
      </c>
      <c r="N1119" s="187">
        <v>24093.373046875</v>
      </c>
      <c r="O1119" t="s">
        <v>1577</v>
      </c>
    </row>
    <row r="1120" spans="1:15" hidden="1" x14ac:dyDescent="0.45">
      <c r="A1120" s="187">
        <v>2016</v>
      </c>
      <c r="B1120" t="s">
        <v>311</v>
      </c>
      <c r="C1120" t="s">
        <v>322</v>
      </c>
      <c r="D1120" t="s">
        <v>35</v>
      </c>
      <c r="E1120" t="s">
        <v>353</v>
      </c>
      <c r="F1120" t="s">
        <v>383</v>
      </c>
      <c r="G1120" t="s">
        <v>36</v>
      </c>
      <c r="H1120" t="s">
        <v>43</v>
      </c>
      <c r="I1120" s="187"/>
      <c r="J1120" s="187">
        <v>1096.7529454833034</v>
      </c>
      <c r="K1120" s="187">
        <v>18084.404837605856</v>
      </c>
      <c r="L1120" s="187">
        <v>39673.124861674522</v>
      </c>
      <c r="M1120" s="187">
        <v>58854.28125</v>
      </c>
      <c r="N1120" s="187">
        <v>39673.125</v>
      </c>
      <c r="O1120" t="s">
        <v>1579</v>
      </c>
    </row>
    <row r="1121" spans="1:15" hidden="1" x14ac:dyDescent="0.45">
      <c r="A1121" s="187">
        <v>2016</v>
      </c>
      <c r="B1121" t="s">
        <v>312</v>
      </c>
      <c r="C1121" t="s">
        <v>322</v>
      </c>
      <c r="D1121" t="s">
        <v>35</v>
      </c>
      <c r="E1121" t="s">
        <v>353</v>
      </c>
      <c r="F1121" t="s">
        <v>383</v>
      </c>
      <c r="G1121" t="s">
        <v>36</v>
      </c>
      <c r="H1121" t="s">
        <v>43</v>
      </c>
      <c r="I1121" s="187">
        <v>9998.6886224429963</v>
      </c>
      <c r="J1121" s="187">
        <v>753.07370969558417</v>
      </c>
      <c r="K1121" s="187">
        <v>15721.361519022012</v>
      </c>
      <c r="L1121" s="187">
        <v>26042.253409177345</v>
      </c>
      <c r="M1121" s="187">
        <v>52515.375</v>
      </c>
      <c r="N1121" s="187">
        <v>36040.94140625</v>
      </c>
      <c r="O1121" t="s">
        <v>1578</v>
      </c>
    </row>
    <row r="1122" spans="1:15" hidden="1" x14ac:dyDescent="0.45">
      <c r="A1122" s="187">
        <v>2016</v>
      </c>
      <c r="B1122" t="s">
        <v>312</v>
      </c>
      <c r="C1122" t="s">
        <v>322</v>
      </c>
      <c r="D1122" t="s">
        <v>35</v>
      </c>
      <c r="E1122" t="s">
        <v>353</v>
      </c>
      <c r="F1122" t="s">
        <v>383</v>
      </c>
      <c r="G1122" t="s">
        <v>37</v>
      </c>
      <c r="H1122" t="s">
        <v>43</v>
      </c>
      <c r="I1122" s="187">
        <v>8085.7973033333337</v>
      </c>
      <c r="J1122" s="187">
        <v>609</v>
      </c>
      <c r="K1122" s="187">
        <v>12713.641495936219</v>
      </c>
      <c r="L1122" s="187">
        <v>21060</v>
      </c>
      <c r="M1122" s="187">
        <v>42468.4375</v>
      </c>
      <c r="N1122" s="187">
        <v>29145.796875</v>
      </c>
      <c r="O1122" t="s">
        <v>1582</v>
      </c>
    </row>
    <row r="1123" spans="1:15" hidden="1" x14ac:dyDescent="0.45">
      <c r="A1123" s="187">
        <v>2016</v>
      </c>
      <c r="B1123" t="s">
        <v>311</v>
      </c>
      <c r="C1123" t="s">
        <v>322</v>
      </c>
      <c r="D1123" t="s">
        <v>35</v>
      </c>
      <c r="E1123" t="s">
        <v>353</v>
      </c>
      <c r="F1123" t="s">
        <v>383</v>
      </c>
      <c r="G1123" t="s">
        <v>37</v>
      </c>
      <c r="H1123" t="s">
        <v>43</v>
      </c>
      <c r="I1123" s="187"/>
      <c r="J1123" s="187">
        <v>878</v>
      </c>
      <c r="K1123" s="187">
        <v>14379.82853546166</v>
      </c>
      <c r="L1123" s="187">
        <v>32130</v>
      </c>
      <c r="M1123" s="187">
        <v>47387.828125</v>
      </c>
      <c r="N1123" s="187">
        <v>32130</v>
      </c>
      <c r="O1123" t="s">
        <v>1581</v>
      </c>
    </row>
    <row r="1124" spans="1:15" hidden="1" x14ac:dyDescent="0.45">
      <c r="A1124" s="187">
        <v>2016</v>
      </c>
      <c r="B1124" t="s">
        <v>309</v>
      </c>
      <c r="C1124" t="s">
        <v>322</v>
      </c>
      <c r="D1124" t="s">
        <v>35</v>
      </c>
      <c r="E1124" t="s">
        <v>353</v>
      </c>
      <c r="F1124" t="s">
        <v>383</v>
      </c>
      <c r="G1124" t="s">
        <v>37</v>
      </c>
      <c r="H1124" t="s">
        <v>43</v>
      </c>
      <c r="I1124" s="187"/>
      <c r="J1124" s="187">
        <v>639.04329999999993</v>
      </c>
      <c r="K1124" s="187">
        <v>12858.561087405989</v>
      </c>
      <c r="L1124" s="187">
        <v>19974</v>
      </c>
      <c r="M1124" s="187">
        <v>33471.60546875</v>
      </c>
      <c r="N1124" s="187">
        <v>19974</v>
      </c>
      <c r="O1124" t="s">
        <v>1584</v>
      </c>
    </row>
    <row r="1125" spans="1:15" hidden="1" x14ac:dyDescent="0.45">
      <c r="A1125" s="187">
        <v>2016</v>
      </c>
      <c r="B1125" t="s">
        <v>310</v>
      </c>
      <c r="C1125" t="s">
        <v>322</v>
      </c>
      <c r="D1125" t="s">
        <v>35</v>
      </c>
      <c r="E1125" t="s">
        <v>353</v>
      </c>
      <c r="F1125" t="s">
        <v>383</v>
      </c>
      <c r="G1125" t="s">
        <v>37</v>
      </c>
      <c r="H1125" t="s">
        <v>43</v>
      </c>
      <c r="I1125" s="187"/>
      <c r="J1125" s="187">
        <v>595</v>
      </c>
      <c r="K1125" s="187">
        <v>13955.495884555359</v>
      </c>
      <c r="L1125" s="187">
        <v>25888</v>
      </c>
      <c r="M1125" s="187">
        <v>40438.49609375</v>
      </c>
      <c r="N1125" s="187">
        <v>25888</v>
      </c>
      <c r="O1125" t="s">
        <v>1583</v>
      </c>
    </row>
    <row r="1126" spans="1:15" hidden="1" x14ac:dyDescent="0.45">
      <c r="A1126" s="187">
        <v>2016</v>
      </c>
      <c r="B1126" t="s">
        <v>311</v>
      </c>
      <c r="C1126" t="s">
        <v>322</v>
      </c>
      <c r="D1126" t="s">
        <v>35</v>
      </c>
      <c r="E1126" t="s">
        <v>38</v>
      </c>
      <c r="F1126" t="s">
        <v>38</v>
      </c>
      <c r="G1126" t="s">
        <v>36</v>
      </c>
      <c r="H1126" t="s">
        <v>43</v>
      </c>
      <c r="I1126" s="187"/>
      <c r="J1126" s="187">
        <v>95.647059199125295</v>
      </c>
      <c r="K1126" s="187">
        <v>2745.6504144188525</v>
      </c>
      <c r="L1126" s="187">
        <v>1614.5223592812351</v>
      </c>
      <c r="M1126" s="187">
        <v>4455.81982421875</v>
      </c>
      <c r="N1126" s="187">
        <v>1614.5223388671875</v>
      </c>
      <c r="O1126" t="s">
        <v>1585</v>
      </c>
    </row>
    <row r="1127" spans="1:15" hidden="1" x14ac:dyDescent="0.45">
      <c r="A1127" s="187">
        <v>2016</v>
      </c>
      <c r="B1127" t="s">
        <v>310</v>
      </c>
      <c r="C1127" t="s">
        <v>322</v>
      </c>
      <c r="D1127" t="s">
        <v>35</v>
      </c>
      <c r="E1127" t="s">
        <v>38</v>
      </c>
      <c r="F1127" t="s">
        <v>38</v>
      </c>
      <c r="G1127" t="s">
        <v>36</v>
      </c>
      <c r="H1127" t="s">
        <v>43</v>
      </c>
      <c r="I1127" s="187"/>
      <c r="J1127" s="187">
        <v>209.23533184362489</v>
      </c>
      <c r="K1127" s="187">
        <v>2855.7665454590947</v>
      </c>
      <c r="L1127" s="187">
        <v>2594.5181148609486</v>
      </c>
      <c r="M1127" s="187">
        <v>5659.52001953125</v>
      </c>
      <c r="N1127" s="187">
        <v>2594.51806640625</v>
      </c>
      <c r="O1127" t="s">
        <v>1586</v>
      </c>
    </row>
    <row r="1128" spans="1:15" hidden="1" x14ac:dyDescent="0.45">
      <c r="A1128" s="187">
        <v>2016</v>
      </c>
      <c r="B1128" t="s">
        <v>312</v>
      </c>
      <c r="C1128" t="s">
        <v>322</v>
      </c>
      <c r="D1128" t="s">
        <v>35</v>
      </c>
      <c r="E1128" t="s">
        <v>38</v>
      </c>
      <c r="F1128" t="s">
        <v>38</v>
      </c>
      <c r="G1128" t="s">
        <v>36</v>
      </c>
      <c r="H1128" t="s">
        <v>43</v>
      </c>
      <c r="I1128" s="187">
        <v>354.89680571860868</v>
      </c>
      <c r="J1128" s="187">
        <v>126.13057206724071</v>
      </c>
      <c r="K1128" s="187">
        <v>2699.6963617924443</v>
      </c>
      <c r="L1128" s="187">
        <v>907.64548918975174</v>
      </c>
      <c r="M1128" s="187">
        <v>4088.369384765625</v>
      </c>
      <c r="N1128" s="187">
        <v>1262.5423583984375</v>
      </c>
      <c r="O1128" t="s">
        <v>1587</v>
      </c>
    </row>
    <row r="1129" spans="1:15" hidden="1" x14ac:dyDescent="0.45">
      <c r="A1129" s="187">
        <v>2016</v>
      </c>
      <c r="B1129" t="s">
        <v>309</v>
      </c>
      <c r="C1129" t="s">
        <v>322</v>
      </c>
      <c r="D1129" t="s">
        <v>35</v>
      </c>
      <c r="E1129" t="s">
        <v>38</v>
      </c>
      <c r="F1129" t="s">
        <v>38</v>
      </c>
      <c r="G1129" t="s">
        <v>36</v>
      </c>
      <c r="H1129" t="s">
        <v>43</v>
      </c>
      <c r="I1129" s="187"/>
      <c r="J1129" s="187">
        <v>225.19646334087639</v>
      </c>
      <c r="K1129" s="187">
        <v>1112.8183720146831</v>
      </c>
      <c r="L1129" s="187">
        <v>2258.5880588011428</v>
      </c>
      <c r="M1129" s="187">
        <v>3596.602783203125</v>
      </c>
      <c r="N1129" s="187">
        <v>2258.588134765625</v>
      </c>
      <c r="O1129" t="s">
        <v>1588</v>
      </c>
    </row>
    <row r="1130" spans="1:15" hidden="1" x14ac:dyDescent="0.45">
      <c r="A1130" s="187">
        <v>2016</v>
      </c>
      <c r="B1130" t="s">
        <v>309</v>
      </c>
      <c r="C1130" t="s">
        <v>322</v>
      </c>
      <c r="D1130" t="s">
        <v>35</v>
      </c>
      <c r="E1130" t="s">
        <v>38</v>
      </c>
      <c r="F1130" t="s">
        <v>38</v>
      </c>
      <c r="G1130" t="s">
        <v>37</v>
      </c>
      <c r="H1130" t="s">
        <v>43</v>
      </c>
      <c r="I1130" s="187"/>
      <c r="J1130" s="187">
        <v>180.761</v>
      </c>
      <c r="K1130" s="187">
        <v>899.85034122711033</v>
      </c>
      <c r="L1130" s="187">
        <v>1872</v>
      </c>
      <c r="M1130" s="187">
        <v>2952.611328125</v>
      </c>
      <c r="N1130" s="187">
        <v>1872</v>
      </c>
      <c r="O1130" t="s">
        <v>1591</v>
      </c>
    </row>
    <row r="1131" spans="1:15" hidden="1" x14ac:dyDescent="0.45">
      <c r="A1131" s="187">
        <v>2016</v>
      </c>
      <c r="B1131" t="s">
        <v>310</v>
      </c>
      <c r="C1131" t="s">
        <v>322</v>
      </c>
      <c r="D1131" t="s">
        <v>35</v>
      </c>
      <c r="E1131" t="s">
        <v>38</v>
      </c>
      <c r="F1131" t="s">
        <v>38</v>
      </c>
      <c r="G1131" t="s">
        <v>37</v>
      </c>
      <c r="H1131" t="s">
        <v>43</v>
      </c>
      <c r="I1131" s="187"/>
      <c r="J1131" s="187">
        <v>167</v>
      </c>
      <c r="K1131" s="187">
        <v>2275.1069315823252</v>
      </c>
      <c r="L1131" s="187">
        <v>2094</v>
      </c>
      <c r="M1131" s="187">
        <v>4536.10693359375</v>
      </c>
      <c r="N1131" s="187">
        <v>2094</v>
      </c>
      <c r="O1131" t="s">
        <v>1590</v>
      </c>
    </row>
    <row r="1132" spans="1:15" hidden="1" x14ac:dyDescent="0.45">
      <c r="A1132" s="187">
        <v>2016</v>
      </c>
      <c r="B1132" t="s">
        <v>311</v>
      </c>
      <c r="C1132" t="s">
        <v>322</v>
      </c>
      <c r="D1132" t="s">
        <v>35</v>
      </c>
      <c r="E1132" t="s">
        <v>38</v>
      </c>
      <c r="F1132" t="s">
        <v>38</v>
      </c>
      <c r="G1132" t="s">
        <v>37</v>
      </c>
      <c r="H1132" t="s">
        <v>43</v>
      </c>
      <c r="I1132" s="187"/>
      <c r="J1132" s="187">
        <v>77</v>
      </c>
      <c r="K1132" s="187">
        <v>2183.2060569425548</v>
      </c>
      <c r="L1132" s="187">
        <v>1308</v>
      </c>
      <c r="M1132" s="187">
        <v>3568.2060546875</v>
      </c>
      <c r="N1132" s="187">
        <v>1308</v>
      </c>
      <c r="O1132" t="s">
        <v>1592</v>
      </c>
    </row>
    <row r="1133" spans="1:15" hidden="1" x14ac:dyDescent="0.45">
      <c r="A1133" s="187">
        <v>2016</v>
      </c>
      <c r="B1133" t="s">
        <v>312</v>
      </c>
      <c r="C1133" t="s">
        <v>322</v>
      </c>
      <c r="D1133" t="s">
        <v>35</v>
      </c>
      <c r="E1133" t="s">
        <v>38</v>
      </c>
      <c r="F1133" t="s">
        <v>38</v>
      </c>
      <c r="G1133" t="s">
        <v>37</v>
      </c>
      <c r="H1133" t="s">
        <v>43</v>
      </c>
      <c r="I1133" s="187">
        <v>287</v>
      </c>
      <c r="J1133" s="187">
        <v>102</v>
      </c>
      <c r="K1133" s="187">
        <v>2183.2060569425548</v>
      </c>
      <c r="L1133" s="187">
        <v>734</v>
      </c>
      <c r="M1133" s="187">
        <v>3306.2060546875</v>
      </c>
      <c r="N1133" s="187">
        <v>1021</v>
      </c>
      <c r="O1133" t="s">
        <v>1589</v>
      </c>
    </row>
    <row r="1134" spans="1:15" hidden="1" x14ac:dyDescent="0.45">
      <c r="A1134" s="187">
        <v>2016</v>
      </c>
      <c r="B1134" t="s">
        <v>310</v>
      </c>
      <c r="C1134" t="s">
        <v>322</v>
      </c>
      <c r="D1134" t="s">
        <v>35</v>
      </c>
      <c r="E1134" t="s">
        <v>354</v>
      </c>
      <c r="F1134" t="s">
        <v>384</v>
      </c>
      <c r="G1134" t="s">
        <v>36</v>
      </c>
      <c r="H1134" t="s">
        <v>43</v>
      </c>
      <c r="I1134" s="187"/>
      <c r="J1134" s="187">
        <v>0</v>
      </c>
      <c r="K1134" s="187">
        <v>0</v>
      </c>
      <c r="L1134" s="187">
        <v>0</v>
      </c>
      <c r="M1134" s="187">
        <v>0</v>
      </c>
      <c r="N1134" s="187">
        <v>0</v>
      </c>
      <c r="O1134" t="s">
        <v>1594</v>
      </c>
    </row>
    <row r="1135" spans="1:15" hidden="1" x14ac:dyDescent="0.45">
      <c r="A1135" s="187">
        <v>2016</v>
      </c>
      <c r="B1135" t="s">
        <v>311</v>
      </c>
      <c r="C1135" t="s">
        <v>322</v>
      </c>
      <c r="D1135" t="s">
        <v>35</v>
      </c>
      <c r="E1135" t="s">
        <v>354</v>
      </c>
      <c r="F1135" t="s">
        <v>384</v>
      </c>
      <c r="G1135" t="s">
        <v>36</v>
      </c>
      <c r="H1135" t="s">
        <v>43</v>
      </c>
      <c r="I1135" s="187"/>
      <c r="J1135" s="187">
        <v>0</v>
      </c>
      <c r="K1135" s="187">
        <v>0</v>
      </c>
      <c r="L1135" s="187">
        <v>0</v>
      </c>
      <c r="M1135" s="187">
        <v>0</v>
      </c>
      <c r="N1135" s="187">
        <v>0</v>
      </c>
      <c r="O1135" t="s">
        <v>1595</v>
      </c>
    </row>
    <row r="1136" spans="1:15" hidden="1" x14ac:dyDescent="0.45">
      <c r="A1136" s="187">
        <v>2016</v>
      </c>
      <c r="B1136" t="s">
        <v>312</v>
      </c>
      <c r="C1136" t="s">
        <v>322</v>
      </c>
      <c r="D1136" t="s">
        <v>35</v>
      </c>
      <c r="E1136" t="s">
        <v>354</v>
      </c>
      <c r="F1136" t="s">
        <v>384</v>
      </c>
      <c r="G1136" t="s">
        <v>36</v>
      </c>
      <c r="H1136" t="s">
        <v>43</v>
      </c>
      <c r="I1136" s="187">
        <v>0</v>
      </c>
      <c r="J1136" s="187">
        <v>0</v>
      </c>
      <c r="K1136" s="187">
        <v>0</v>
      </c>
      <c r="L1136" s="187">
        <v>93.979641932453859</v>
      </c>
      <c r="M1136" s="187">
        <v>93.979644775390625</v>
      </c>
      <c r="N1136" s="187">
        <v>93.979644775390625</v>
      </c>
      <c r="O1136" t="s">
        <v>1593</v>
      </c>
    </row>
    <row r="1137" spans="1:15" hidden="1" x14ac:dyDescent="0.45">
      <c r="A1137" s="187">
        <v>2016</v>
      </c>
      <c r="B1137" t="s">
        <v>309</v>
      </c>
      <c r="C1137" t="s">
        <v>322</v>
      </c>
      <c r="D1137" t="s">
        <v>35</v>
      </c>
      <c r="E1137" t="s">
        <v>354</v>
      </c>
      <c r="F1137" t="s">
        <v>384</v>
      </c>
      <c r="G1137" t="s">
        <v>36</v>
      </c>
      <c r="H1137" t="s">
        <v>43</v>
      </c>
      <c r="I1137" s="187"/>
      <c r="J1137" s="187">
        <v>0</v>
      </c>
      <c r="K1137" s="187">
        <v>0</v>
      </c>
      <c r="L1137" s="187">
        <v>0</v>
      </c>
      <c r="M1137" s="187">
        <v>0</v>
      </c>
      <c r="N1137" s="187">
        <v>0</v>
      </c>
      <c r="O1137" t="s">
        <v>1596</v>
      </c>
    </row>
    <row r="1138" spans="1:15" hidden="1" x14ac:dyDescent="0.45">
      <c r="A1138" s="187">
        <v>2016</v>
      </c>
      <c r="B1138" t="s">
        <v>309</v>
      </c>
      <c r="C1138" t="s">
        <v>322</v>
      </c>
      <c r="D1138" t="s">
        <v>35</v>
      </c>
      <c r="E1138" t="s">
        <v>354</v>
      </c>
      <c r="F1138" t="s">
        <v>384</v>
      </c>
      <c r="G1138" t="s">
        <v>37</v>
      </c>
      <c r="H1138" t="s">
        <v>43</v>
      </c>
      <c r="I1138" s="187"/>
      <c r="J1138" s="187">
        <v>0</v>
      </c>
      <c r="K1138" s="187">
        <v>0</v>
      </c>
      <c r="L1138" s="187">
        <v>0</v>
      </c>
      <c r="M1138" s="187">
        <v>0</v>
      </c>
      <c r="N1138" s="187">
        <v>0</v>
      </c>
      <c r="O1138" t="s">
        <v>1599</v>
      </c>
    </row>
    <row r="1139" spans="1:15" hidden="1" x14ac:dyDescent="0.45">
      <c r="A1139" s="187">
        <v>2016</v>
      </c>
      <c r="B1139" t="s">
        <v>310</v>
      </c>
      <c r="C1139" t="s">
        <v>322</v>
      </c>
      <c r="D1139" t="s">
        <v>35</v>
      </c>
      <c r="E1139" t="s">
        <v>354</v>
      </c>
      <c r="F1139" t="s">
        <v>384</v>
      </c>
      <c r="G1139" t="s">
        <v>37</v>
      </c>
      <c r="H1139" t="s">
        <v>43</v>
      </c>
      <c r="I1139" s="187"/>
      <c r="J1139" s="187">
        <v>0</v>
      </c>
      <c r="K1139" s="187">
        <v>0</v>
      </c>
      <c r="L1139" s="187">
        <v>0</v>
      </c>
      <c r="M1139" s="187">
        <v>0</v>
      </c>
      <c r="N1139" s="187">
        <v>0</v>
      </c>
      <c r="O1139" t="s">
        <v>1597</v>
      </c>
    </row>
    <row r="1140" spans="1:15" hidden="1" x14ac:dyDescent="0.45">
      <c r="A1140" s="187">
        <v>2016</v>
      </c>
      <c r="B1140" t="s">
        <v>311</v>
      </c>
      <c r="C1140" t="s">
        <v>322</v>
      </c>
      <c r="D1140" t="s">
        <v>35</v>
      </c>
      <c r="E1140" t="s">
        <v>354</v>
      </c>
      <c r="F1140" t="s">
        <v>384</v>
      </c>
      <c r="G1140" t="s">
        <v>37</v>
      </c>
      <c r="H1140" t="s">
        <v>43</v>
      </c>
      <c r="I1140" s="187"/>
      <c r="J1140" s="187">
        <v>0</v>
      </c>
      <c r="K1140" s="187">
        <v>0</v>
      </c>
      <c r="L1140" s="187">
        <v>0</v>
      </c>
      <c r="M1140" s="187">
        <v>0</v>
      </c>
      <c r="N1140" s="187">
        <v>0</v>
      </c>
      <c r="O1140" t="s">
        <v>1600</v>
      </c>
    </row>
    <row r="1141" spans="1:15" hidden="1" x14ac:dyDescent="0.45">
      <c r="A1141" s="187">
        <v>2016</v>
      </c>
      <c r="B1141" t="s">
        <v>312</v>
      </c>
      <c r="C1141" t="s">
        <v>322</v>
      </c>
      <c r="D1141" t="s">
        <v>35</v>
      </c>
      <c r="E1141" t="s">
        <v>354</v>
      </c>
      <c r="F1141" t="s">
        <v>384</v>
      </c>
      <c r="G1141" t="s">
        <v>37</v>
      </c>
      <c r="H1141" t="s">
        <v>43</v>
      </c>
      <c r="I1141" s="187"/>
      <c r="J1141" s="187">
        <v>0</v>
      </c>
      <c r="K1141" s="187">
        <v>0</v>
      </c>
      <c r="L1141" s="187">
        <v>76</v>
      </c>
      <c r="M1141" s="187">
        <v>76</v>
      </c>
      <c r="N1141" s="187">
        <v>76</v>
      </c>
      <c r="O1141" t="s">
        <v>1598</v>
      </c>
    </row>
    <row r="1142" spans="1:15" hidden="1" x14ac:dyDescent="0.45">
      <c r="A1142" s="187">
        <v>2016</v>
      </c>
      <c r="B1142" t="s">
        <v>310</v>
      </c>
      <c r="C1142" t="s">
        <v>322</v>
      </c>
      <c r="D1142" t="s">
        <v>35</v>
      </c>
      <c r="E1142" t="s">
        <v>354</v>
      </c>
      <c r="F1142" t="s">
        <v>385</v>
      </c>
      <c r="G1142" t="s">
        <v>36</v>
      </c>
      <c r="H1142" t="s">
        <v>43</v>
      </c>
      <c r="I1142" s="187"/>
      <c r="J1142" s="187">
        <v>52.308832960906223</v>
      </c>
      <c r="K1142" s="187">
        <v>1772.2538718949263</v>
      </c>
      <c r="L1142" s="187">
        <v>0</v>
      </c>
      <c r="M1142" s="187">
        <v>1824.562744140625</v>
      </c>
      <c r="N1142" s="187">
        <v>0</v>
      </c>
      <c r="O1142" t="s">
        <v>1603</v>
      </c>
    </row>
    <row r="1143" spans="1:15" hidden="1" x14ac:dyDescent="0.45">
      <c r="A1143" s="187">
        <v>2016</v>
      </c>
      <c r="B1143" t="s">
        <v>311</v>
      </c>
      <c r="C1143" t="s">
        <v>322</v>
      </c>
      <c r="D1143" t="s">
        <v>35</v>
      </c>
      <c r="E1143" t="s">
        <v>354</v>
      </c>
      <c r="F1143" t="s">
        <v>385</v>
      </c>
      <c r="G1143" t="s">
        <v>36</v>
      </c>
      <c r="H1143" t="s">
        <v>43</v>
      </c>
      <c r="I1143" s="187"/>
      <c r="J1143" s="187">
        <v>19.12941183982506</v>
      </c>
      <c r="K1143" s="187">
        <v>3288.4105272484308</v>
      </c>
      <c r="L1143" s="187">
        <v>842.96941507495762</v>
      </c>
      <c r="M1143" s="187">
        <v>4150.50927734375</v>
      </c>
      <c r="N1143" s="187">
        <v>842.96942138671875</v>
      </c>
      <c r="O1143" t="s">
        <v>1601</v>
      </c>
    </row>
    <row r="1144" spans="1:15" hidden="1" x14ac:dyDescent="0.45">
      <c r="A1144" s="187">
        <v>2016</v>
      </c>
      <c r="B1144" t="s">
        <v>309</v>
      </c>
      <c r="C1144" t="s">
        <v>322</v>
      </c>
      <c r="D1144" t="s">
        <v>35</v>
      </c>
      <c r="E1144" t="s">
        <v>354</v>
      </c>
      <c r="F1144" t="s">
        <v>385</v>
      </c>
      <c r="G1144" t="s">
        <v>36</v>
      </c>
      <c r="H1144" t="s">
        <v>43</v>
      </c>
      <c r="I1144" s="187"/>
      <c r="J1144" s="187">
        <v>52.987403139029738</v>
      </c>
      <c r="K1144" s="187">
        <v>1808.513056538224</v>
      </c>
      <c r="L1144" s="187">
        <v>0</v>
      </c>
      <c r="M1144" s="187">
        <v>1861.50048828125</v>
      </c>
      <c r="N1144" s="187">
        <v>0</v>
      </c>
      <c r="O1144" t="s">
        <v>1602</v>
      </c>
    </row>
    <row r="1145" spans="1:15" hidden="1" x14ac:dyDescent="0.45">
      <c r="A1145" s="187">
        <v>2016</v>
      </c>
      <c r="B1145" t="s">
        <v>312</v>
      </c>
      <c r="C1145" t="s">
        <v>322</v>
      </c>
      <c r="D1145" t="s">
        <v>35</v>
      </c>
      <c r="E1145" t="s">
        <v>354</v>
      </c>
      <c r="F1145" t="s">
        <v>385</v>
      </c>
      <c r="G1145" t="s">
        <v>36</v>
      </c>
      <c r="H1145" t="s">
        <v>43</v>
      </c>
      <c r="I1145" s="187">
        <v>0</v>
      </c>
      <c r="J1145" s="187">
        <v>12.365742359533403</v>
      </c>
      <c r="K1145" s="187">
        <v>4166.4474819690586</v>
      </c>
      <c r="L1145" s="187">
        <v>175.5935415053743</v>
      </c>
      <c r="M1145" s="187">
        <v>4354.40673828125</v>
      </c>
      <c r="N1145" s="187">
        <v>175.59353637695313</v>
      </c>
      <c r="O1145" t="s">
        <v>1604</v>
      </c>
    </row>
    <row r="1146" spans="1:15" hidden="1" x14ac:dyDescent="0.45">
      <c r="A1146" s="187">
        <v>2016</v>
      </c>
      <c r="B1146" t="s">
        <v>312</v>
      </c>
      <c r="C1146" t="s">
        <v>322</v>
      </c>
      <c r="D1146" t="s">
        <v>35</v>
      </c>
      <c r="E1146" t="s">
        <v>354</v>
      </c>
      <c r="F1146" t="s">
        <v>385</v>
      </c>
      <c r="G1146" t="s">
        <v>37</v>
      </c>
      <c r="H1146" t="s">
        <v>43</v>
      </c>
      <c r="I1146" s="187"/>
      <c r="J1146" s="187">
        <v>10</v>
      </c>
      <c r="K1146" s="187">
        <v>3369.34683</v>
      </c>
      <c r="L1146" s="187">
        <v>142</v>
      </c>
      <c r="M1146" s="187">
        <v>3521.346923828125</v>
      </c>
      <c r="N1146" s="187">
        <v>142</v>
      </c>
      <c r="O1146" t="s">
        <v>1607</v>
      </c>
    </row>
    <row r="1147" spans="1:15" hidden="1" x14ac:dyDescent="0.45">
      <c r="A1147" s="187">
        <v>2016</v>
      </c>
      <c r="B1147" t="s">
        <v>310</v>
      </c>
      <c r="C1147" t="s">
        <v>322</v>
      </c>
      <c r="D1147" t="s">
        <v>35</v>
      </c>
      <c r="E1147" t="s">
        <v>354</v>
      </c>
      <c r="F1147" t="s">
        <v>385</v>
      </c>
      <c r="G1147" t="s">
        <v>37</v>
      </c>
      <c r="H1147" t="s">
        <v>43</v>
      </c>
      <c r="I1147" s="187"/>
      <c r="J1147" s="187">
        <v>42</v>
      </c>
      <c r="K1147" s="187">
        <v>1411.903600762842</v>
      </c>
      <c r="L1147" s="187">
        <v>0</v>
      </c>
      <c r="M1147" s="187">
        <v>1453.903564453125</v>
      </c>
      <c r="N1147" s="187">
        <v>0</v>
      </c>
      <c r="O1147" t="s">
        <v>1608</v>
      </c>
    </row>
    <row r="1148" spans="1:15" hidden="1" x14ac:dyDescent="0.45">
      <c r="A1148" s="187">
        <v>2016</v>
      </c>
      <c r="B1148" t="s">
        <v>311</v>
      </c>
      <c r="C1148" t="s">
        <v>322</v>
      </c>
      <c r="D1148" t="s">
        <v>35</v>
      </c>
      <c r="E1148" t="s">
        <v>354</v>
      </c>
      <c r="F1148" t="s">
        <v>385</v>
      </c>
      <c r="G1148" t="s">
        <v>37</v>
      </c>
      <c r="H1148" t="s">
        <v>43</v>
      </c>
      <c r="I1148" s="187"/>
      <c r="J1148" s="187">
        <v>15</v>
      </c>
      <c r="K1148" s="187">
        <v>2614.7821817010199</v>
      </c>
      <c r="L1148" s="187">
        <v>682</v>
      </c>
      <c r="M1148" s="187">
        <v>3311.7822265625</v>
      </c>
      <c r="N1148" s="187">
        <v>682</v>
      </c>
      <c r="O1148" t="s">
        <v>1605</v>
      </c>
    </row>
    <row r="1149" spans="1:15" hidden="1" x14ac:dyDescent="0.45">
      <c r="A1149" s="187">
        <v>2016</v>
      </c>
      <c r="B1149" t="s">
        <v>309</v>
      </c>
      <c r="C1149" t="s">
        <v>322</v>
      </c>
      <c r="D1149" t="s">
        <v>35</v>
      </c>
      <c r="E1149" t="s">
        <v>354</v>
      </c>
      <c r="F1149" t="s">
        <v>385</v>
      </c>
      <c r="G1149" t="s">
        <v>37</v>
      </c>
      <c r="H1149" t="s">
        <v>43</v>
      </c>
      <c r="I1149" s="187"/>
      <c r="J1149" s="187">
        <v>42.531999999999996</v>
      </c>
      <c r="K1149" s="187">
        <v>1462.4049458253669</v>
      </c>
      <c r="L1149" s="187">
        <v>0</v>
      </c>
      <c r="M1149" s="187">
        <v>1504.9368896484375</v>
      </c>
      <c r="N1149" s="187">
        <v>0</v>
      </c>
      <c r="O1149" t="s">
        <v>1606</v>
      </c>
    </row>
    <row r="1150" spans="1:15" hidden="1" x14ac:dyDescent="0.45">
      <c r="A1150" s="187">
        <v>2016</v>
      </c>
      <c r="B1150" t="s">
        <v>312</v>
      </c>
      <c r="C1150" t="s">
        <v>322</v>
      </c>
      <c r="D1150" t="s">
        <v>35</v>
      </c>
      <c r="E1150" t="s">
        <v>354</v>
      </c>
      <c r="F1150" t="s">
        <v>386</v>
      </c>
      <c r="G1150" t="s">
        <v>36</v>
      </c>
      <c r="H1150" t="s">
        <v>43</v>
      </c>
      <c r="I1150" s="187">
        <v>0</v>
      </c>
      <c r="J1150" s="187">
        <v>34.62407860669353</v>
      </c>
      <c r="K1150" s="187">
        <v>1393.2423921154618</v>
      </c>
      <c r="L1150" s="187">
        <v>0</v>
      </c>
      <c r="M1150" s="187">
        <v>1427.866455078125</v>
      </c>
      <c r="N1150" s="187">
        <v>0</v>
      </c>
      <c r="O1150" t="s">
        <v>1611</v>
      </c>
    </row>
    <row r="1151" spans="1:15" hidden="1" x14ac:dyDescent="0.45">
      <c r="A1151" s="187">
        <v>2016</v>
      </c>
      <c r="B1151" t="s">
        <v>311</v>
      </c>
      <c r="C1151" t="s">
        <v>322</v>
      </c>
      <c r="D1151" t="s">
        <v>35</v>
      </c>
      <c r="E1151" t="s">
        <v>354</v>
      </c>
      <c r="F1151" t="s">
        <v>386</v>
      </c>
      <c r="G1151" t="s">
        <v>36</v>
      </c>
      <c r="H1151" t="s">
        <v>43</v>
      </c>
      <c r="I1151" s="187"/>
      <c r="J1151" s="187">
        <v>61.214117887440189</v>
      </c>
      <c r="K1151" s="187">
        <v>4434.9610693867889</v>
      </c>
      <c r="L1151" s="187">
        <v>654.22588492201703</v>
      </c>
      <c r="M1151" s="187">
        <v>5150.4013671875</v>
      </c>
      <c r="N1151" s="187">
        <v>654.22589111328125</v>
      </c>
      <c r="O1151" t="s">
        <v>1610</v>
      </c>
    </row>
    <row r="1152" spans="1:15" hidden="1" x14ac:dyDescent="0.45">
      <c r="A1152" s="187">
        <v>2016</v>
      </c>
      <c r="B1152" t="s">
        <v>310</v>
      </c>
      <c r="C1152" t="s">
        <v>322</v>
      </c>
      <c r="D1152" t="s">
        <v>35</v>
      </c>
      <c r="E1152" t="s">
        <v>354</v>
      </c>
      <c r="F1152" t="s">
        <v>386</v>
      </c>
      <c r="G1152" t="s">
        <v>36</v>
      </c>
      <c r="H1152" t="s">
        <v>43</v>
      </c>
      <c r="I1152" s="187"/>
      <c r="J1152" s="187">
        <v>209.23533184362489</v>
      </c>
      <c r="K1152" s="187">
        <v>3744.8783587760845</v>
      </c>
      <c r="L1152" s="187">
        <v>456.39456758390679</v>
      </c>
      <c r="M1152" s="187">
        <v>4410.50830078125</v>
      </c>
      <c r="N1152" s="187">
        <v>456.39456176757813</v>
      </c>
      <c r="O1152" t="s">
        <v>1612</v>
      </c>
    </row>
    <row r="1153" spans="1:15" hidden="1" x14ac:dyDescent="0.45">
      <c r="A1153" s="187">
        <v>2016</v>
      </c>
      <c r="B1153" t="s">
        <v>309</v>
      </c>
      <c r="C1153" t="s">
        <v>322</v>
      </c>
      <c r="D1153" t="s">
        <v>35</v>
      </c>
      <c r="E1153" t="s">
        <v>354</v>
      </c>
      <c r="F1153" t="s">
        <v>386</v>
      </c>
      <c r="G1153" t="s">
        <v>36</v>
      </c>
      <c r="H1153" t="s">
        <v>43</v>
      </c>
      <c r="I1153" s="187"/>
      <c r="J1153" s="187">
        <v>211.94961255611895</v>
      </c>
      <c r="K1153" s="187">
        <v>798.75993330438223</v>
      </c>
      <c r="L1153" s="187">
        <v>535.17277170420039</v>
      </c>
      <c r="M1153" s="187">
        <v>1545.88232421875</v>
      </c>
      <c r="N1153" s="187">
        <v>535.17279052734375</v>
      </c>
      <c r="O1153" t="s">
        <v>1609</v>
      </c>
    </row>
    <row r="1154" spans="1:15" hidden="1" x14ac:dyDescent="0.45">
      <c r="A1154" s="187">
        <v>2016</v>
      </c>
      <c r="B1154" t="s">
        <v>309</v>
      </c>
      <c r="C1154" t="s">
        <v>322</v>
      </c>
      <c r="D1154" t="s">
        <v>35</v>
      </c>
      <c r="E1154" t="s">
        <v>354</v>
      </c>
      <c r="F1154" t="s">
        <v>386</v>
      </c>
      <c r="G1154" t="s">
        <v>37</v>
      </c>
      <c r="H1154" t="s">
        <v>43</v>
      </c>
      <c r="I1154" s="187"/>
      <c r="J1154" s="187">
        <v>170.12799999999999</v>
      </c>
      <c r="K1154" s="187">
        <v>645.8955177395369</v>
      </c>
      <c r="L1154" s="187">
        <v>444</v>
      </c>
      <c r="M1154" s="187">
        <v>1260.0234375</v>
      </c>
      <c r="N1154" s="187">
        <v>444</v>
      </c>
      <c r="O1154" t="s">
        <v>1615</v>
      </c>
    </row>
    <row r="1155" spans="1:15" hidden="1" x14ac:dyDescent="0.45">
      <c r="A1155" s="187">
        <v>2016</v>
      </c>
      <c r="B1155" t="s">
        <v>311</v>
      </c>
      <c r="C1155" t="s">
        <v>322</v>
      </c>
      <c r="D1155" t="s">
        <v>35</v>
      </c>
      <c r="E1155" t="s">
        <v>354</v>
      </c>
      <c r="F1155" t="s">
        <v>386</v>
      </c>
      <c r="G1155" t="s">
        <v>37</v>
      </c>
      <c r="H1155" t="s">
        <v>43</v>
      </c>
      <c r="I1155" s="187"/>
      <c r="J1155" s="187">
        <v>49</v>
      </c>
      <c r="K1155" s="187">
        <v>3526.4627347101891</v>
      </c>
      <c r="L1155" s="187">
        <v>530</v>
      </c>
      <c r="M1155" s="187">
        <v>4105.462890625</v>
      </c>
      <c r="N1155" s="187">
        <v>530</v>
      </c>
      <c r="O1155" t="s">
        <v>1614</v>
      </c>
    </row>
    <row r="1156" spans="1:15" hidden="1" x14ac:dyDescent="0.45">
      <c r="A1156" s="187">
        <v>2016</v>
      </c>
      <c r="B1156" t="s">
        <v>310</v>
      </c>
      <c r="C1156" t="s">
        <v>322</v>
      </c>
      <c r="D1156" t="s">
        <v>35</v>
      </c>
      <c r="E1156" t="s">
        <v>354</v>
      </c>
      <c r="F1156" t="s">
        <v>386</v>
      </c>
      <c r="G1156" t="s">
        <v>37</v>
      </c>
      <c r="H1156" t="s">
        <v>43</v>
      </c>
      <c r="I1156" s="187"/>
      <c r="J1156" s="187">
        <v>167</v>
      </c>
      <c r="K1156" s="187">
        <v>2983.4366977691539</v>
      </c>
      <c r="L1156" s="187">
        <v>368</v>
      </c>
      <c r="M1156" s="187">
        <v>3518.436767578125</v>
      </c>
      <c r="N1156" s="187">
        <v>368</v>
      </c>
      <c r="O1156" t="s">
        <v>1613</v>
      </c>
    </row>
    <row r="1157" spans="1:15" hidden="1" x14ac:dyDescent="0.45">
      <c r="A1157" s="187">
        <v>2016</v>
      </c>
      <c r="B1157" t="s">
        <v>312</v>
      </c>
      <c r="C1157" t="s">
        <v>322</v>
      </c>
      <c r="D1157" t="s">
        <v>35</v>
      </c>
      <c r="E1157" t="s">
        <v>354</v>
      </c>
      <c r="F1157" t="s">
        <v>386</v>
      </c>
      <c r="G1157" t="s">
        <v>37</v>
      </c>
      <c r="H1157" t="s">
        <v>43</v>
      </c>
      <c r="I1157" s="187"/>
      <c r="J1157" s="187">
        <v>28</v>
      </c>
      <c r="K1157" s="187">
        <v>1126.6953100000001</v>
      </c>
      <c r="L1157" s="187">
        <v>0</v>
      </c>
      <c r="M1157" s="187">
        <v>1154.6953125</v>
      </c>
      <c r="N1157" s="187">
        <v>0</v>
      </c>
      <c r="O1157" t="s">
        <v>1616</v>
      </c>
    </row>
    <row r="1158" spans="1:15" hidden="1" x14ac:dyDescent="0.45">
      <c r="A1158" s="187">
        <v>2016</v>
      </c>
      <c r="B1158" t="s">
        <v>310</v>
      </c>
      <c r="C1158" t="s">
        <v>322</v>
      </c>
      <c r="D1158" t="s">
        <v>35</v>
      </c>
      <c r="E1158" t="s">
        <v>354</v>
      </c>
      <c r="F1158" t="s">
        <v>387</v>
      </c>
      <c r="G1158" t="s">
        <v>36</v>
      </c>
      <c r="H1158" t="s">
        <v>43</v>
      </c>
      <c r="I1158" s="187"/>
      <c r="J1158" s="187">
        <v>261.54416480453114</v>
      </c>
      <c r="K1158" s="187">
        <v>5517.1322306710117</v>
      </c>
      <c r="L1158" s="187">
        <v>456.39456758390679</v>
      </c>
      <c r="M1158" s="187">
        <v>6235.07080078125</v>
      </c>
      <c r="N1158" s="187">
        <v>456.39456176757813</v>
      </c>
      <c r="O1158" t="s">
        <v>1619</v>
      </c>
    </row>
    <row r="1159" spans="1:15" hidden="1" x14ac:dyDescent="0.45">
      <c r="A1159" s="187">
        <v>2016</v>
      </c>
      <c r="B1159" t="s">
        <v>309</v>
      </c>
      <c r="C1159" t="s">
        <v>322</v>
      </c>
      <c r="D1159" t="s">
        <v>35</v>
      </c>
      <c r="E1159" t="s">
        <v>354</v>
      </c>
      <c r="F1159" t="s">
        <v>387</v>
      </c>
      <c r="G1159" t="s">
        <v>36</v>
      </c>
      <c r="H1159" t="s">
        <v>43</v>
      </c>
      <c r="I1159" s="187"/>
      <c r="J1159" s="187">
        <v>264.93701569514872</v>
      </c>
      <c r="K1159" s="187">
        <v>2607.2729898426064</v>
      </c>
      <c r="L1159" s="187">
        <v>535.17277170420039</v>
      </c>
      <c r="M1159" s="187">
        <v>3407.3828125</v>
      </c>
      <c r="N1159" s="187">
        <v>535.17279052734375</v>
      </c>
      <c r="O1159" t="s">
        <v>1618</v>
      </c>
    </row>
    <row r="1160" spans="1:15" hidden="1" x14ac:dyDescent="0.45">
      <c r="A1160" s="187">
        <v>2016</v>
      </c>
      <c r="B1160" t="s">
        <v>312</v>
      </c>
      <c r="C1160" t="s">
        <v>322</v>
      </c>
      <c r="D1160" t="s">
        <v>35</v>
      </c>
      <c r="E1160" t="s">
        <v>354</v>
      </c>
      <c r="F1160" t="s">
        <v>387</v>
      </c>
      <c r="G1160" t="s">
        <v>36</v>
      </c>
      <c r="H1160" t="s">
        <v>43</v>
      </c>
      <c r="I1160" s="187">
        <v>0</v>
      </c>
      <c r="J1160" s="187">
        <v>46.989820966226929</v>
      </c>
      <c r="K1160" s="187">
        <v>5559.6898740845199</v>
      </c>
      <c r="L1160" s="187">
        <v>269.57318343782816</v>
      </c>
      <c r="M1160" s="187">
        <v>5876.2529296875</v>
      </c>
      <c r="N1160" s="187">
        <v>269.57318115234375</v>
      </c>
      <c r="O1160" t="s">
        <v>1620</v>
      </c>
    </row>
    <row r="1161" spans="1:15" hidden="1" x14ac:dyDescent="0.45">
      <c r="A1161" s="187">
        <v>2016</v>
      </c>
      <c r="B1161" t="s">
        <v>311</v>
      </c>
      <c r="C1161" t="s">
        <v>322</v>
      </c>
      <c r="D1161" t="s">
        <v>35</v>
      </c>
      <c r="E1161" t="s">
        <v>354</v>
      </c>
      <c r="F1161" t="s">
        <v>387</v>
      </c>
      <c r="G1161" t="s">
        <v>36</v>
      </c>
      <c r="H1161" t="s">
        <v>43</v>
      </c>
      <c r="I1161" s="187"/>
      <c r="J1161" s="187">
        <v>80.343529727265249</v>
      </c>
      <c r="K1161" s="187">
        <v>7723.3715966352211</v>
      </c>
      <c r="L1161" s="187">
        <v>1497.1952999969747</v>
      </c>
      <c r="M1161" s="187">
        <v>9300.91015625</v>
      </c>
      <c r="N1161" s="187">
        <v>1497.1953125</v>
      </c>
      <c r="O1161" t="s">
        <v>1617</v>
      </c>
    </row>
    <row r="1162" spans="1:15" hidden="1" x14ac:dyDescent="0.45">
      <c r="A1162" s="187">
        <v>2016</v>
      </c>
      <c r="B1162" t="s">
        <v>309</v>
      </c>
      <c r="C1162" t="s">
        <v>322</v>
      </c>
      <c r="D1162" t="s">
        <v>35</v>
      </c>
      <c r="E1162" t="s">
        <v>354</v>
      </c>
      <c r="F1162" t="s">
        <v>387</v>
      </c>
      <c r="G1162" t="s">
        <v>37</v>
      </c>
      <c r="H1162" t="s">
        <v>43</v>
      </c>
      <c r="I1162" s="187"/>
      <c r="J1162" s="187">
        <v>212.66</v>
      </c>
      <c r="K1162" s="187">
        <v>2108.300463564904</v>
      </c>
      <c r="L1162" s="187">
        <v>444</v>
      </c>
      <c r="M1162" s="187">
        <v>2764.96044921875</v>
      </c>
      <c r="N1162" s="187">
        <v>444</v>
      </c>
      <c r="O1162" t="s">
        <v>1621</v>
      </c>
    </row>
    <row r="1163" spans="1:15" hidden="1" x14ac:dyDescent="0.45">
      <c r="A1163" s="187">
        <v>2016</v>
      </c>
      <c r="B1163" t="s">
        <v>310</v>
      </c>
      <c r="C1163" t="s">
        <v>322</v>
      </c>
      <c r="D1163" t="s">
        <v>35</v>
      </c>
      <c r="E1163" t="s">
        <v>354</v>
      </c>
      <c r="F1163" t="s">
        <v>387</v>
      </c>
      <c r="G1163" t="s">
        <v>37</v>
      </c>
      <c r="H1163" t="s">
        <v>43</v>
      </c>
      <c r="I1163" s="187"/>
      <c r="J1163" s="187">
        <v>209</v>
      </c>
      <c r="K1163" s="187">
        <v>4395.3402985319963</v>
      </c>
      <c r="L1163" s="187">
        <v>368</v>
      </c>
      <c r="M1163" s="187">
        <v>4972.34033203125</v>
      </c>
      <c r="N1163" s="187">
        <v>368</v>
      </c>
      <c r="O1163" t="s">
        <v>1622</v>
      </c>
    </row>
    <row r="1164" spans="1:15" hidden="1" x14ac:dyDescent="0.45">
      <c r="A1164" s="187">
        <v>2016</v>
      </c>
      <c r="B1164" t="s">
        <v>311</v>
      </c>
      <c r="C1164" t="s">
        <v>322</v>
      </c>
      <c r="D1164" t="s">
        <v>35</v>
      </c>
      <c r="E1164" t="s">
        <v>354</v>
      </c>
      <c r="F1164" t="s">
        <v>387</v>
      </c>
      <c r="G1164" t="s">
        <v>37</v>
      </c>
      <c r="H1164" t="s">
        <v>43</v>
      </c>
      <c r="I1164" s="187"/>
      <c r="J1164" s="187">
        <v>64</v>
      </c>
      <c r="K1164" s="187">
        <v>6141.2449164112086</v>
      </c>
      <c r="L1164" s="187">
        <v>1212</v>
      </c>
      <c r="M1164" s="187">
        <v>7417.2451171875</v>
      </c>
      <c r="N1164" s="187">
        <v>1212</v>
      </c>
      <c r="O1164" t="s">
        <v>1624</v>
      </c>
    </row>
    <row r="1165" spans="1:15" hidden="1" x14ac:dyDescent="0.45">
      <c r="A1165" s="187">
        <v>2016</v>
      </c>
      <c r="B1165" t="s">
        <v>312</v>
      </c>
      <c r="C1165" t="s">
        <v>322</v>
      </c>
      <c r="D1165" t="s">
        <v>35</v>
      </c>
      <c r="E1165" t="s">
        <v>354</v>
      </c>
      <c r="F1165" t="s">
        <v>387</v>
      </c>
      <c r="G1165" t="s">
        <v>37</v>
      </c>
      <c r="H1165" t="s">
        <v>43</v>
      </c>
      <c r="I1165" s="187">
        <v>0</v>
      </c>
      <c r="J1165" s="187">
        <v>38</v>
      </c>
      <c r="K1165" s="187">
        <v>4496.0421399999996</v>
      </c>
      <c r="L1165" s="187">
        <v>218</v>
      </c>
      <c r="M1165" s="187">
        <v>4752.0419921875</v>
      </c>
      <c r="N1165" s="187">
        <v>218</v>
      </c>
      <c r="O1165" t="s">
        <v>1623</v>
      </c>
    </row>
    <row r="1166" spans="1:15" hidden="1" x14ac:dyDescent="0.45">
      <c r="A1166" s="187">
        <v>2016</v>
      </c>
      <c r="B1166" t="s">
        <v>312</v>
      </c>
      <c r="C1166" t="s">
        <v>322</v>
      </c>
      <c r="D1166" t="s">
        <v>35</v>
      </c>
      <c r="E1166" t="s">
        <v>17</v>
      </c>
      <c r="F1166" t="s">
        <v>17</v>
      </c>
      <c r="G1166" t="s">
        <v>36</v>
      </c>
      <c r="H1166" t="s">
        <v>43</v>
      </c>
      <c r="I1166" s="187">
        <v>906.27244249920443</v>
      </c>
      <c r="J1166" s="187">
        <v>108.81853276389394</v>
      </c>
      <c r="K1166" s="187">
        <v>1014.2392765142574</v>
      </c>
      <c r="L1166" s="187">
        <v>704.84731449340393</v>
      </c>
      <c r="M1166" s="187">
        <v>2734.177734375</v>
      </c>
      <c r="N1166" s="187">
        <v>1611.1197509765625</v>
      </c>
      <c r="O1166" t="s">
        <v>1625</v>
      </c>
    </row>
    <row r="1167" spans="1:15" hidden="1" x14ac:dyDescent="0.45">
      <c r="A1167" s="187">
        <v>2016</v>
      </c>
      <c r="B1167" t="s">
        <v>310</v>
      </c>
      <c r="C1167" t="s">
        <v>322</v>
      </c>
      <c r="D1167" t="s">
        <v>35</v>
      </c>
      <c r="E1167" t="s">
        <v>17</v>
      </c>
      <c r="F1167" t="s">
        <v>17</v>
      </c>
      <c r="G1167" t="s">
        <v>36</v>
      </c>
      <c r="H1167" t="s">
        <v>43</v>
      </c>
      <c r="I1167" s="187"/>
      <c r="J1167" s="187">
        <v>52.308832960906223</v>
      </c>
      <c r="K1167" s="187">
        <v>2827.8786580361407</v>
      </c>
      <c r="L1167" s="187">
        <v>4244.8617947775401</v>
      </c>
      <c r="M1167" s="187">
        <v>7125.04931640625</v>
      </c>
      <c r="N1167" s="187">
        <v>4244.86181640625</v>
      </c>
      <c r="O1167" t="s">
        <v>1628</v>
      </c>
    </row>
    <row r="1168" spans="1:15" hidden="1" x14ac:dyDescent="0.45">
      <c r="A1168" s="187">
        <v>2016</v>
      </c>
      <c r="B1168" t="s">
        <v>311</v>
      </c>
      <c r="C1168" t="s">
        <v>322</v>
      </c>
      <c r="D1168" t="s">
        <v>35</v>
      </c>
      <c r="E1168" t="s">
        <v>17</v>
      </c>
      <c r="F1168" t="s">
        <v>17</v>
      </c>
      <c r="G1168" t="s">
        <v>36</v>
      </c>
      <c r="H1168" t="s">
        <v>43</v>
      </c>
      <c r="I1168" s="187"/>
      <c r="J1168" s="187">
        <v>57.388235519475181</v>
      </c>
      <c r="K1168" s="187">
        <v>2236.0109173518117</v>
      </c>
      <c r="L1168" s="187">
        <v>7806.0753247712792</v>
      </c>
      <c r="M1168" s="187">
        <v>10099.474609375</v>
      </c>
      <c r="N1168" s="187">
        <v>7806.0751953125</v>
      </c>
      <c r="O1168" t="s">
        <v>1627</v>
      </c>
    </row>
    <row r="1169" spans="1:15" hidden="1" x14ac:dyDescent="0.45">
      <c r="A1169" s="187">
        <v>2016</v>
      </c>
      <c r="B1169" t="s">
        <v>309</v>
      </c>
      <c r="C1169" t="s">
        <v>322</v>
      </c>
      <c r="D1169" t="s">
        <v>35</v>
      </c>
      <c r="E1169" t="s">
        <v>17</v>
      </c>
      <c r="F1169" t="s">
        <v>17</v>
      </c>
      <c r="G1169" t="s">
        <v>36</v>
      </c>
      <c r="H1169" t="s">
        <v>43</v>
      </c>
      <c r="I1169" s="187"/>
      <c r="J1169" s="187">
        <v>39.740552354272303</v>
      </c>
      <c r="K1169" s="187">
        <v>4488.5786969064957</v>
      </c>
      <c r="L1169" s="187">
        <v>4309.2005602815934</v>
      </c>
      <c r="M1169" s="187">
        <v>8837.51953125</v>
      </c>
      <c r="N1169" s="187">
        <v>4309.20068359375</v>
      </c>
      <c r="O1169" t="s">
        <v>1626</v>
      </c>
    </row>
    <row r="1170" spans="1:15" hidden="1" x14ac:dyDescent="0.45">
      <c r="A1170" s="187">
        <v>2016</v>
      </c>
      <c r="B1170" t="s">
        <v>311</v>
      </c>
      <c r="C1170" t="s">
        <v>322</v>
      </c>
      <c r="D1170" t="s">
        <v>35</v>
      </c>
      <c r="E1170" t="s">
        <v>17</v>
      </c>
      <c r="F1170" t="s">
        <v>17</v>
      </c>
      <c r="G1170" t="s">
        <v>37</v>
      </c>
      <c r="H1170" t="s">
        <v>43</v>
      </c>
      <c r="I1170" s="187"/>
      <c r="J1170" s="187">
        <v>46</v>
      </c>
      <c r="K1170" s="187">
        <v>1777.965815500738</v>
      </c>
      <c r="L1170" s="187">
        <v>6322</v>
      </c>
      <c r="M1170" s="187">
        <v>8145.9658203125</v>
      </c>
      <c r="N1170" s="187">
        <v>6322</v>
      </c>
      <c r="O1170" t="s">
        <v>1631</v>
      </c>
    </row>
    <row r="1171" spans="1:15" hidden="1" x14ac:dyDescent="0.45">
      <c r="A1171" s="187">
        <v>2016</v>
      </c>
      <c r="B1171" t="s">
        <v>309</v>
      </c>
      <c r="C1171" t="s">
        <v>322</v>
      </c>
      <c r="D1171" t="s">
        <v>35</v>
      </c>
      <c r="E1171" t="s">
        <v>17</v>
      </c>
      <c r="F1171" t="s">
        <v>17</v>
      </c>
      <c r="G1171" t="s">
        <v>37</v>
      </c>
      <c r="H1171" t="s">
        <v>43</v>
      </c>
      <c r="I1171" s="187"/>
      <c r="J1171" s="187">
        <v>31.899000000000001</v>
      </c>
      <c r="K1171" s="187">
        <v>3629.5672084597409</v>
      </c>
      <c r="L1171" s="187">
        <v>3572</v>
      </c>
      <c r="M1171" s="187">
        <v>7233.46630859375</v>
      </c>
      <c r="N1171" s="187">
        <v>3572</v>
      </c>
      <c r="O1171" t="s">
        <v>1629</v>
      </c>
    </row>
    <row r="1172" spans="1:15" hidden="1" x14ac:dyDescent="0.45">
      <c r="A1172" s="187">
        <v>2016</v>
      </c>
      <c r="B1172" t="s">
        <v>310</v>
      </c>
      <c r="C1172" t="s">
        <v>322</v>
      </c>
      <c r="D1172" t="s">
        <v>35</v>
      </c>
      <c r="E1172" t="s">
        <v>17</v>
      </c>
      <c r="F1172" t="s">
        <v>17</v>
      </c>
      <c r="G1172" t="s">
        <v>37</v>
      </c>
      <c r="H1172" t="s">
        <v>43</v>
      </c>
      <c r="I1172" s="187"/>
      <c r="J1172" s="187">
        <v>42</v>
      </c>
      <c r="K1172" s="187">
        <v>2252.8894551278722</v>
      </c>
      <c r="L1172" s="187">
        <v>3426</v>
      </c>
      <c r="M1172" s="187">
        <v>5720.8896484375</v>
      </c>
      <c r="N1172" s="187">
        <v>3426</v>
      </c>
      <c r="O1172" t="s">
        <v>1630</v>
      </c>
    </row>
    <row r="1173" spans="1:15" hidden="1" x14ac:dyDescent="0.45">
      <c r="A1173" s="187">
        <v>2016</v>
      </c>
      <c r="B1173" t="s">
        <v>312</v>
      </c>
      <c r="C1173" t="s">
        <v>322</v>
      </c>
      <c r="D1173" t="s">
        <v>35</v>
      </c>
      <c r="E1173" t="s">
        <v>17</v>
      </c>
      <c r="F1173" t="s">
        <v>17</v>
      </c>
      <c r="G1173" t="s">
        <v>37</v>
      </c>
      <c r="H1173" t="s">
        <v>43</v>
      </c>
      <c r="I1173" s="187">
        <v>732.88963666666666</v>
      </c>
      <c r="J1173" s="187">
        <v>88</v>
      </c>
      <c r="K1173" s="187">
        <v>820.20087999999998</v>
      </c>
      <c r="L1173" s="187">
        <v>570</v>
      </c>
      <c r="M1173" s="187">
        <v>2211.090576171875</v>
      </c>
      <c r="N1173" s="187">
        <v>1302.8896484375</v>
      </c>
      <c r="O1173" t="s">
        <v>1632</v>
      </c>
    </row>
    <row r="1174" spans="1:15" hidden="1" x14ac:dyDescent="0.45">
      <c r="A1174" s="187">
        <v>2016</v>
      </c>
      <c r="B1174" t="s">
        <v>311</v>
      </c>
      <c r="C1174" t="s">
        <v>322</v>
      </c>
      <c r="D1174" t="s">
        <v>35</v>
      </c>
      <c r="E1174" t="s">
        <v>45</v>
      </c>
      <c r="F1174" t="s">
        <v>45</v>
      </c>
      <c r="G1174" t="s">
        <v>37</v>
      </c>
      <c r="H1174" t="s">
        <v>43</v>
      </c>
      <c r="I1174" s="187"/>
      <c r="J1174" s="187">
        <v>0</v>
      </c>
      <c r="K1174" s="187">
        <v>626.1675215224127</v>
      </c>
      <c r="L1174" s="187">
        <v>6701</v>
      </c>
      <c r="M1174" s="187">
        <v>7327.16748046875</v>
      </c>
      <c r="N1174" s="187">
        <v>6701</v>
      </c>
      <c r="O1174" t="s">
        <v>1633</v>
      </c>
    </row>
    <row r="1175" spans="1:15" hidden="1" x14ac:dyDescent="0.45">
      <c r="A1175" s="187">
        <v>2016</v>
      </c>
      <c r="B1175" t="s">
        <v>310</v>
      </c>
      <c r="C1175" t="s">
        <v>322</v>
      </c>
      <c r="D1175" t="s">
        <v>35</v>
      </c>
      <c r="E1175" t="s">
        <v>45</v>
      </c>
      <c r="F1175" t="s">
        <v>45</v>
      </c>
      <c r="G1175" t="s">
        <v>37</v>
      </c>
      <c r="H1175" t="s">
        <v>43</v>
      </c>
      <c r="I1175" s="187"/>
      <c r="J1175" s="187">
        <v>0</v>
      </c>
      <c r="K1175" s="187">
        <v>625.97288617021275</v>
      </c>
      <c r="L1175" s="187">
        <v>5971</v>
      </c>
      <c r="M1175" s="187">
        <v>6596.97265625</v>
      </c>
      <c r="N1175" s="187">
        <v>5971</v>
      </c>
      <c r="O1175" t="s">
        <v>1635</v>
      </c>
    </row>
    <row r="1176" spans="1:15" hidden="1" x14ac:dyDescent="0.45">
      <c r="A1176" s="187">
        <v>2016</v>
      </c>
      <c r="B1176" t="s">
        <v>309</v>
      </c>
      <c r="C1176" t="s">
        <v>322</v>
      </c>
      <c r="D1176" t="s">
        <v>35</v>
      </c>
      <c r="E1176" t="s">
        <v>45</v>
      </c>
      <c r="F1176" t="s">
        <v>45</v>
      </c>
      <c r="G1176" t="s">
        <v>37</v>
      </c>
      <c r="H1176" t="s">
        <v>43</v>
      </c>
      <c r="I1176" s="187"/>
      <c r="J1176" s="187">
        <v>0</v>
      </c>
      <c r="K1176" s="187">
        <v>646.80428777615361</v>
      </c>
      <c r="L1176" s="187">
        <v>4065</v>
      </c>
      <c r="M1176" s="187">
        <v>4711.80419921875</v>
      </c>
      <c r="N1176" s="187">
        <v>4065</v>
      </c>
      <c r="O1176" t="s">
        <v>1636</v>
      </c>
    </row>
    <row r="1177" spans="1:15" hidden="1" x14ac:dyDescent="0.45">
      <c r="A1177" s="187">
        <v>2016</v>
      </c>
      <c r="B1177" t="s">
        <v>312</v>
      </c>
      <c r="C1177" t="s">
        <v>322</v>
      </c>
      <c r="D1177" t="s">
        <v>35</v>
      </c>
      <c r="E1177" t="s">
        <v>45</v>
      </c>
      <c r="F1177" t="s">
        <v>45</v>
      </c>
      <c r="G1177" t="s">
        <v>37</v>
      </c>
      <c r="H1177" t="s">
        <v>43</v>
      </c>
      <c r="I1177" s="187">
        <v>970</v>
      </c>
      <c r="J1177" s="187">
        <v>0</v>
      </c>
      <c r="K1177" s="187">
        <v>626.1675215224127</v>
      </c>
      <c r="L1177" s="187">
        <v>3967</v>
      </c>
      <c r="M1177" s="187">
        <v>5563.16748046875</v>
      </c>
      <c r="N1177" s="187">
        <v>4937</v>
      </c>
      <c r="O1177" t="s">
        <v>1634</v>
      </c>
    </row>
    <row r="1178" spans="1:15" hidden="1" x14ac:dyDescent="0.45">
      <c r="A1178" s="187">
        <v>2016</v>
      </c>
      <c r="B1178" t="s">
        <v>310</v>
      </c>
      <c r="C1178" t="s">
        <v>322</v>
      </c>
      <c r="D1178" t="s">
        <v>35</v>
      </c>
      <c r="E1178" t="s">
        <v>355</v>
      </c>
      <c r="F1178" t="s">
        <v>355</v>
      </c>
      <c r="G1178" t="s">
        <v>37</v>
      </c>
      <c r="H1178" t="s">
        <v>43</v>
      </c>
      <c r="I1178" s="187"/>
      <c r="J1178" s="187">
        <v>762</v>
      </c>
      <c r="K1178" s="187">
        <v>15557.825614818339</v>
      </c>
      <c r="L1178" s="187">
        <v>22183</v>
      </c>
      <c r="M1178" s="187">
        <v>38502.82421875</v>
      </c>
      <c r="N1178" s="187">
        <v>22183</v>
      </c>
      <c r="O1178" t="s">
        <v>1638</v>
      </c>
    </row>
    <row r="1179" spans="1:15" hidden="1" x14ac:dyDescent="0.45">
      <c r="A1179" s="187">
        <v>2016</v>
      </c>
      <c r="B1179" t="s">
        <v>309</v>
      </c>
      <c r="C1179" t="s">
        <v>322</v>
      </c>
      <c r="D1179" t="s">
        <v>35</v>
      </c>
      <c r="E1179" t="s">
        <v>355</v>
      </c>
      <c r="F1179" t="s">
        <v>355</v>
      </c>
      <c r="G1179" t="s">
        <v>37</v>
      </c>
      <c r="H1179" t="s">
        <v>43</v>
      </c>
      <c r="I1179" s="187"/>
      <c r="J1179" s="187">
        <v>819.8042999999999</v>
      </c>
      <c r="K1179" s="187">
        <v>12626.99788043741</v>
      </c>
      <c r="L1179" s="187">
        <v>17918</v>
      </c>
      <c r="M1179" s="187">
        <v>31364.80078125</v>
      </c>
      <c r="N1179" s="187">
        <v>17918</v>
      </c>
      <c r="O1179" t="s">
        <v>1637</v>
      </c>
    </row>
    <row r="1180" spans="1:15" hidden="1" x14ac:dyDescent="0.45">
      <c r="A1180" s="187">
        <v>2016</v>
      </c>
      <c r="B1180" t="s">
        <v>309</v>
      </c>
      <c r="C1180" t="s">
        <v>322</v>
      </c>
      <c r="D1180" t="s">
        <v>35</v>
      </c>
      <c r="E1180" t="s">
        <v>356</v>
      </c>
      <c r="F1180" t="s">
        <v>356</v>
      </c>
      <c r="G1180" t="s">
        <v>37</v>
      </c>
      <c r="H1180" t="s">
        <v>43</v>
      </c>
      <c r="I1180" s="187"/>
      <c r="J1180" s="187">
        <v>0</v>
      </c>
      <c r="K1180" s="187">
        <v>0</v>
      </c>
      <c r="L1180" s="187">
        <v>0</v>
      </c>
      <c r="M1180" s="187">
        <v>0</v>
      </c>
      <c r="N1180" s="187">
        <v>0</v>
      </c>
      <c r="O1180" t="s">
        <v>1639</v>
      </c>
    </row>
    <row r="1181" spans="1:15" hidden="1" x14ac:dyDescent="0.45">
      <c r="A1181" s="187">
        <v>2016</v>
      </c>
      <c r="B1181" t="s">
        <v>312</v>
      </c>
      <c r="C1181" t="s">
        <v>322</v>
      </c>
      <c r="D1181" t="s">
        <v>35</v>
      </c>
      <c r="E1181" t="s">
        <v>356</v>
      </c>
      <c r="F1181" t="s">
        <v>356</v>
      </c>
      <c r="G1181" t="s">
        <v>37</v>
      </c>
      <c r="H1181" t="s">
        <v>43</v>
      </c>
      <c r="I1181" s="187">
        <v>0</v>
      </c>
      <c r="J1181" s="187">
        <v>0</v>
      </c>
      <c r="K1181" s="187">
        <v>0</v>
      </c>
      <c r="L1181" s="187">
        <v>0</v>
      </c>
      <c r="M1181" s="187">
        <v>0</v>
      </c>
      <c r="N1181" s="187">
        <v>0</v>
      </c>
      <c r="O1181" t="s">
        <v>1641</v>
      </c>
    </row>
    <row r="1182" spans="1:15" hidden="1" x14ac:dyDescent="0.45">
      <c r="A1182" s="187">
        <v>2016</v>
      </c>
      <c r="B1182" t="s">
        <v>311</v>
      </c>
      <c r="C1182" t="s">
        <v>322</v>
      </c>
      <c r="D1182" t="s">
        <v>35</v>
      </c>
      <c r="E1182" t="s">
        <v>356</v>
      </c>
      <c r="F1182" t="s">
        <v>356</v>
      </c>
      <c r="G1182" t="s">
        <v>37</v>
      </c>
      <c r="H1182" t="s">
        <v>43</v>
      </c>
      <c r="I1182" s="187"/>
      <c r="J1182" s="187">
        <v>0</v>
      </c>
      <c r="K1182" s="187">
        <v>0</v>
      </c>
      <c r="L1182" s="187">
        <v>0</v>
      </c>
      <c r="M1182" s="187">
        <v>0</v>
      </c>
      <c r="N1182" s="187">
        <v>0</v>
      </c>
      <c r="O1182" t="s">
        <v>1640</v>
      </c>
    </row>
    <row r="1183" spans="1:15" hidden="1" x14ac:dyDescent="0.45">
      <c r="A1183" s="187">
        <v>2016</v>
      </c>
      <c r="B1183" t="s">
        <v>310</v>
      </c>
      <c r="C1183" t="s">
        <v>322</v>
      </c>
      <c r="D1183" t="s">
        <v>35</v>
      </c>
      <c r="E1183" t="s">
        <v>356</v>
      </c>
      <c r="F1183" t="s">
        <v>356</v>
      </c>
      <c r="G1183" t="s">
        <v>37</v>
      </c>
      <c r="H1183" t="s">
        <v>43</v>
      </c>
      <c r="I1183" s="187"/>
      <c r="J1183" s="187">
        <v>0</v>
      </c>
      <c r="K1183" s="187">
        <v>0</v>
      </c>
      <c r="L1183" s="187">
        <v>0</v>
      </c>
      <c r="M1183" s="187">
        <v>0</v>
      </c>
      <c r="N1183" s="187">
        <v>0</v>
      </c>
      <c r="O1183" t="s">
        <v>1642</v>
      </c>
    </row>
    <row r="1184" spans="1:15" hidden="1" x14ac:dyDescent="0.45">
      <c r="A1184" s="187">
        <v>2016</v>
      </c>
      <c r="B1184" t="s">
        <v>312</v>
      </c>
      <c r="C1184" t="s">
        <v>323</v>
      </c>
      <c r="D1184" t="s">
        <v>35</v>
      </c>
      <c r="E1184" t="s">
        <v>349</v>
      </c>
      <c r="F1184" t="s">
        <v>388</v>
      </c>
      <c r="G1184" t="s">
        <v>36</v>
      </c>
      <c r="H1184" t="s">
        <v>43</v>
      </c>
      <c r="I1184" s="187">
        <v>3574.9189566126279</v>
      </c>
      <c r="J1184" s="187">
        <v>457.53246730273588</v>
      </c>
      <c r="K1184" s="187">
        <v>2975.1866309245215</v>
      </c>
      <c r="L1184" s="187">
        <v>2010.6697076601313</v>
      </c>
      <c r="M1184" s="187">
        <v>9018.3076171875</v>
      </c>
      <c r="N1184" s="187">
        <v>5585.5888671875</v>
      </c>
      <c r="O1184" t="s">
        <v>1644</v>
      </c>
    </row>
    <row r="1185" spans="1:15" hidden="1" x14ac:dyDescent="0.45">
      <c r="A1185" s="187">
        <v>2016</v>
      </c>
      <c r="B1185" t="s">
        <v>309</v>
      </c>
      <c r="C1185" t="s">
        <v>323</v>
      </c>
      <c r="D1185" t="s">
        <v>35</v>
      </c>
      <c r="E1185" t="s">
        <v>349</v>
      </c>
      <c r="F1185" t="s">
        <v>388</v>
      </c>
      <c r="G1185" t="s">
        <v>36</v>
      </c>
      <c r="H1185" t="s">
        <v>43</v>
      </c>
      <c r="I1185" s="187"/>
      <c r="J1185" s="187">
        <v>384.15867275796563</v>
      </c>
      <c r="K1185" s="187">
        <v>3767.7355344546336</v>
      </c>
      <c r="L1185" s="187">
        <v>2022.7941148324603</v>
      </c>
      <c r="M1185" s="187">
        <v>6174.68798828125</v>
      </c>
      <c r="N1185" s="187">
        <v>2022.7940673828125</v>
      </c>
      <c r="O1185" t="s">
        <v>1645</v>
      </c>
    </row>
    <row r="1186" spans="1:15" hidden="1" x14ac:dyDescent="0.45">
      <c r="A1186" s="187">
        <v>2016</v>
      </c>
      <c r="B1186" t="s">
        <v>310</v>
      </c>
      <c r="C1186" t="s">
        <v>323</v>
      </c>
      <c r="D1186" t="s">
        <v>35</v>
      </c>
      <c r="E1186" t="s">
        <v>349</v>
      </c>
      <c r="F1186" t="s">
        <v>388</v>
      </c>
      <c r="G1186" t="s">
        <v>36</v>
      </c>
      <c r="H1186" t="s">
        <v>43</v>
      </c>
      <c r="I1186" s="187"/>
      <c r="J1186" s="187">
        <v>326.93020600566388</v>
      </c>
      <c r="K1186" s="187">
        <v>3692.1955664477628</v>
      </c>
      <c r="L1186" s="187">
        <v>3114.9910028219656</v>
      </c>
      <c r="M1186" s="187">
        <v>7134.11669921875</v>
      </c>
      <c r="N1186" s="187">
        <v>3114.990966796875</v>
      </c>
      <c r="O1186" t="s">
        <v>1646</v>
      </c>
    </row>
    <row r="1187" spans="1:15" hidden="1" x14ac:dyDescent="0.45">
      <c r="A1187" s="187">
        <v>2016</v>
      </c>
      <c r="B1187" t="s">
        <v>311</v>
      </c>
      <c r="C1187" t="s">
        <v>323</v>
      </c>
      <c r="D1187" t="s">
        <v>35</v>
      </c>
      <c r="E1187" t="s">
        <v>349</v>
      </c>
      <c r="F1187" t="s">
        <v>388</v>
      </c>
      <c r="G1187" t="s">
        <v>36</v>
      </c>
      <c r="H1187" t="s">
        <v>43</v>
      </c>
      <c r="I1187" s="187"/>
      <c r="J1187" s="187">
        <v>674.63059088449711</v>
      </c>
      <c r="K1187" s="187">
        <v>2724.7342744378261</v>
      </c>
      <c r="L1187" s="187">
        <v>4929.0117840615903</v>
      </c>
      <c r="M1187" s="187">
        <v>8328.376953125</v>
      </c>
      <c r="N1187" s="187">
        <v>4929.01171875</v>
      </c>
      <c r="O1187" t="s">
        <v>1643</v>
      </c>
    </row>
    <row r="1188" spans="1:15" hidden="1" x14ac:dyDescent="0.45">
      <c r="A1188" s="187">
        <v>2016</v>
      </c>
      <c r="B1188" t="s">
        <v>312</v>
      </c>
      <c r="C1188" t="s">
        <v>323</v>
      </c>
      <c r="D1188" t="s">
        <v>35</v>
      </c>
      <c r="E1188" t="s">
        <v>349</v>
      </c>
      <c r="F1188" t="s">
        <v>389</v>
      </c>
      <c r="G1188" t="s">
        <v>36</v>
      </c>
      <c r="H1188" t="s">
        <v>43</v>
      </c>
      <c r="I1188" s="187"/>
      <c r="J1188" s="187">
        <v>0</v>
      </c>
      <c r="K1188" s="187">
        <v>0</v>
      </c>
      <c r="L1188" s="187">
        <v>0</v>
      </c>
      <c r="M1188" s="187">
        <v>0</v>
      </c>
      <c r="N1188" s="187">
        <v>0</v>
      </c>
      <c r="O1188" t="s">
        <v>1647</v>
      </c>
    </row>
    <row r="1189" spans="1:15" hidden="1" x14ac:dyDescent="0.45">
      <c r="A1189" s="187">
        <v>2016</v>
      </c>
      <c r="B1189" t="s">
        <v>310</v>
      </c>
      <c r="C1189" t="s">
        <v>323</v>
      </c>
      <c r="D1189" t="s">
        <v>35</v>
      </c>
      <c r="E1189" t="s">
        <v>349</v>
      </c>
      <c r="F1189" t="s">
        <v>389</v>
      </c>
      <c r="G1189" t="s">
        <v>36</v>
      </c>
      <c r="H1189" t="s">
        <v>43</v>
      </c>
      <c r="I1189" s="187"/>
      <c r="J1189" s="187">
        <v>0</v>
      </c>
      <c r="K1189" s="187">
        <v>0</v>
      </c>
      <c r="L1189" s="187">
        <v>0</v>
      </c>
      <c r="M1189" s="187">
        <v>0</v>
      </c>
      <c r="N1189" s="187">
        <v>0</v>
      </c>
      <c r="O1189" t="s">
        <v>1650</v>
      </c>
    </row>
    <row r="1190" spans="1:15" hidden="1" x14ac:dyDescent="0.45">
      <c r="A1190" s="187">
        <v>2016</v>
      </c>
      <c r="B1190" t="s">
        <v>309</v>
      </c>
      <c r="C1190" t="s">
        <v>323</v>
      </c>
      <c r="D1190" t="s">
        <v>35</v>
      </c>
      <c r="E1190" t="s">
        <v>349</v>
      </c>
      <c r="F1190" t="s">
        <v>389</v>
      </c>
      <c r="G1190" t="s">
        <v>36</v>
      </c>
      <c r="H1190" t="s">
        <v>43</v>
      </c>
      <c r="I1190" s="187"/>
      <c r="J1190" s="187"/>
      <c r="K1190" s="187">
        <v>0</v>
      </c>
      <c r="L1190" s="187">
        <v>0</v>
      </c>
      <c r="M1190" s="187">
        <v>0</v>
      </c>
      <c r="N1190" s="187">
        <v>0</v>
      </c>
      <c r="O1190" t="s">
        <v>1649</v>
      </c>
    </row>
    <row r="1191" spans="1:15" hidden="1" x14ac:dyDescent="0.45">
      <c r="A1191" s="187">
        <v>2016</v>
      </c>
      <c r="B1191" t="s">
        <v>311</v>
      </c>
      <c r="C1191" t="s">
        <v>323</v>
      </c>
      <c r="D1191" t="s">
        <v>35</v>
      </c>
      <c r="E1191" t="s">
        <v>349</v>
      </c>
      <c r="F1191" t="s">
        <v>389</v>
      </c>
      <c r="G1191" t="s">
        <v>36</v>
      </c>
      <c r="H1191" t="s">
        <v>43</v>
      </c>
      <c r="I1191" s="187"/>
      <c r="J1191" s="187">
        <v>0</v>
      </c>
      <c r="K1191" s="187">
        <v>0</v>
      </c>
      <c r="L1191" s="187">
        <v>0</v>
      </c>
      <c r="M1191" s="187">
        <v>0</v>
      </c>
      <c r="N1191" s="187">
        <v>0</v>
      </c>
      <c r="O1191" t="s">
        <v>1648</v>
      </c>
    </row>
    <row r="1192" spans="1:15" hidden="1" x14ac:dyDescent="0.45">
      <c r="A1192" s="187">
        <v>2016</v>
      </c>
      <c r="B1192" t="s">
        <v>310</v>
      </c>
      <c r="C1192" t="s">
        <v>323</v>
      </c>
      <c r="D1192" t="s">
        <v>35</v>
      </c>
      <c r="E1192" t="s">
        <v>349</v>
      </c>
      <c r="F1192" t="s">
        <v>390</v>
      </c>
      <c r="G1192" t="s">
        <v>36</v>
      </c>
      <c r="H1192" t="s">
        <v>43</v>
      </c>
      <c r="I1192" s="187"/>
      <c r="J1192" s="187">
        <v>326.93020600566388</v>
      </c>
      <c r="K1192" s="187">
        <v>3692.1955664477628</v>
      </c>
      <c r="L1192" s="187">
        <v>3114.9910028219656</v>
      </c>
      <c r="M1192" s="187">
        <v>7134.11669921875</v>
      </c>
      <c r="N1192" s="187">
        <v>3114.990966796875</v>
      </c>
      <c r="O1192" t="s">
        <v>1652</v>
      </c>
    </row>
    <row r="1193" spans="1:15" hidden="1" x14ac:dyDescent="0.45">
      <c r="A1193" s="187">
        <v>2016</v>
      </c>
      <c r="B1193" t="s">
        <v>312</v>
      </c>
      <c r="C1193" t="s">
        <v>323</v>
      </c>
      <c r="D1193" t="s">
        <v>35</v>
      </c>
      <c r="E1193" t="s">
        <v>349</v>
      </c>
      <c r="F1193" t="s">
        <v>390</v>
      </c>
      <c r="G1193" t="s">
        <v>36</v>
      </c>
      <c r="H1193" t="s">
        <v>43</v>
      </c>
      <c r="I1193" s="187">
        <v>3574.9189566126279</v>
      </c>
      <c r="J1193" s="187">
        <v>457.53246730273588</v>
      </c>
      <c r="K1193" s="187">
        <v>2975.1866309245215</v>
      </c>
      <c r="L1193" s="187">
        <v>2010.6697076601313</v>
      </c>
      <c r="M1193" s="187">
        <v>9018.3076171875</v>
      </c>
      <c r="N1193" s="187">
        <v>5585.5888671875</v>
      </c>
      <c r="O1193" t="s">
        <v>1654</v>
      </c>
    </row>
    <row r="1194" spans="1:15" hidden="1" x14ac:dyDescent="0.45">
      <c r="A1194" s="187">
        <v>2016</v>
      </c>
      <c r="B1194" t="s">
        <v>309</v>
      </c>
      <c r="C1194" t="s">
        <v>323</v>
      </c>
      <c r="D1194" t="s">
        <v>35</v>
      </c>
      <c r="E1194" t="s">
        <v>349</v>
      </c>
      <c r="F1194" t="s">
        <v>390</v>
      </c>
      <c r="G1194" t="s">
        <v>36</v>
      </c>
      <c r="H1194" t="s">
        <v>43</v>
      </c>
      <c r="I1194" s="187"/>
      <c r="J1194" s="187">
        <v>384.15867275796563</v>
      </c>
      <c r="K1194" s="187">
        <v>3767.7355344546336</v>
      </c>
      <c r="L1194" s="187">
        <v>2022.7941148324603</v>
      </c>
      <c r="M1194" s="187">
        <v>6174.68798828125</v>
      </c>
      <c r="N1194" s="187">
        <v>2022.7940673828125</v>
      </c>
      <c r="O1194" t="s">
        <v>1653</v>
      </c>
    </row>
    <row r="1195" spans="1:15" hidden="1" x14ac:dyDescent="0.45">
      <c r="A1195" s="187">
        <v>2016</v>
      </c>
      <c r="B1195" t="s">
        <v>311</v>
      </c>
      <c r="C1195" t="s">
        <v>323</v>
      </c>
      <c r="D1195" t="s">
        <v>35</v>
      </c>
      <c r="E1195" t="s">
        <v>349</v>
      </c>
      <c r="F1195" t="s">
        <v>390</v>
      </c>
      <c r="G1195" t="s">
        <v>36</v>
      </c>
      <c r="H1195" t="s">
        <v>43</v>
      </c>
      <c r="I1195" s="187"/>
      <c r="J1195" s="187">
        <v>674.63059088449711</v>
      </c>
      <c r="K1195" s="187">
        <v>2724.7342744378261</v>
      </c>
      <c r="L1195" s="187">
        <v>4929.0117840615903</v>
      </c>
      <c r="M1195" s="187">
        <v>8328.376953125</v>
      </c>
      <c r="N1195" s="187">
        <v>4929.01171875</v>
      </c>
      <c r="O1195" t="s">
        <v>1651</v>
      </c>
    </row>
    <row r="1196" spans="1:15" hidden="1" x14ac:dyDescent="0.45">
      <c r="A1196" s="187">
        <v>2016</v>
      </c>
      <c r="B1196" t="s">
        <v>311</v>
      </c>
      <c r="C1196" t="s">
        <v>323</v>
      </c>
      <c r="D1196" t="s">
        <v>35</v>
      </c>
      <c r="E1196" t="s">
        <v>349</v>
      </c>
      <c r="F1196" t="s">
        <v>391</v>
      </c>
      <c r="G1196" t="s">
        <v>36</v>
      </c>
      <c r="H1196" t="s">
        <v>43</v>
      </c>
      <c r="I1196" s="187"/>
      <c r="J1196" s="187">
        <v>49.736470783545158</v>
      </c>
      <c r="K1196" s="187">
        <v>55.172080547225171</v>
      </c>
      <c r="L1196" s="187">
        <v>1599.2188298093749</v>
      </c>
      <c r="M1196" s="187">
        <v>1704.1273193359375</v>
      </c>
      <c r="N1196" s="187">
        <v>1599.2188720703125</v>
      </c>
      <c r="O1196" t="s">
        <v>1656</v>
      </c>
    </row>
    <row r="1197" spans="1:15" hidden="1" x14ac:dyDescent="0.45">
      <c r="A1197" s="187">
        <v>2016</v>
      </c>
      <c r="B1197" t="s">
        <v>312</v>
      </c>
      <c r="C1197" t="s">
        <v>323</v>
      </c>
      <c r="D1197" t="s">
        <v>35</v>
      </c>
      <c r="E1197" t="s">
        <v>349</v>
      </c>
      <c r="F1197" t="s">
        <v>391</v>
      </c>
      <c r="G1197" t="s">
        <v>36</v>
      </c>
      <c r="H1197" t="s">
        <v>43</v>
      </c>
      <c r="I1197" s="187">
        <v>1464.3497328156977</v>
      </c>
      <c r="J1197" s="187">
        <v>0</v>
      </c>
      <c r="K1197" s="187">
        <v>247.69074804786894</v>
      </c>
      <c r="L1197" s="187">
        <v>422.90838869604238</v>
      </c>
      <c r="M1197" s="187">
        <v>2134.948974609375</v>
      </c>
      <c r="N1197" s="187">
        <v>1887.2581787109375</v>
      </c>
      <c r="O1197" t="s">
        <v>1658</v>
      </c>
    </row>
    <row r="1198" spans="1:15" hidden="1" x14ac:dyDescent="0.45">
      <c r="A1198" s="187">
        <v>2016</v>
      </c>
      <c r="B1198" t="s">
        <v>310</v>
      </c>
      <c r="C1198" t="s">
        <v>323</v>
      </c>
      <c r="D1198" t="s">
        <v>35</v>
      </c>
      <c r="E1198" t="s">
        <v>349</v>
      </c>
      <c r="F1198" t="s">
        <v>391</v>
      </c>
      <c r="G1198" t="s">
        <v>36</v>
      </c>
      <c r="H1198" t="s">
        <v>43</v>
      </c>
      <c r="I1198" s="187"/>
      <c r="J1198" s="187">
        <v>0</v>
      </c>
      <c r="K1198" s="187">
        <v>86.813342284873997</v>
      </c>
      <c r="L1198" s="187">
        <v>1027.8685676818072</v>
      </c>
      <c r="M1198" s="187">
        <v>1114.681884765625</v>
      </c>
      <c r="N1198" s="187">
        <v>1027.8685302734375</v>
      </c>
      <c r="O1198" t="s">
        <v>1657</v>
      </c>
    </row>
    <row r="1199" spans="1:15" hidden="1" x14ac:dyDescent="0.45">
      <c r="A1199" s="187">
        <v>2016</v>
      </c>
      <c r="B1199" t="s">
        <v>309</v>
      </c>
      <c r="C1199" t="s">
        <v>323</v>
      </c>
      <c r="D1199" t="s">
        <v>35</v>
      </c>
      <c r="E1199" t="s">
        <v>349</v>
      </c>
      <c r="F1199" t="s">
        <v>391</v>
      </c>
      <c r="G1199" t="s">
        <v>36</v>
      </c>
      <c r="H1199" t="s">
        <v>43</v>
      </c>
      <c r="I1199" s="187"/>
      <c r="J1199" s="187">
        <v>0</v>
      </c>
      <c r="K1199" s="187">
        <v>88.589487936085575</v>
      </c>
      <c r="L1199" s="187">
        <v>1034.5790462895557</v>
      </c>
      <c r="M1199" s="187">
        <v>1123.1685791015625</v>
      </c>
      <c r="N1199" s="187">
        <v>1034.5791015625</v>
      </c>
      <c r="O1199" t="s">
        <v>1655</v>
      </c>
    </row>
    <row r="1200" spans="1:15" hidden="1" x14ac:dyDescent="0.45">
      <c r="A1200" s="187">
        <v>2016</v>
      </c>
      <c r="B1200" t="s">
        <v>309</v>
      </c>
      <c r="C1200" t="s">
        <v>323</v>
      </c>
      <c r="D1200" t="s">
        <v>35</v>
      </c>
      <c r="E1200" t="s">
        <v>349</v>
      </c>
      <c r="F1200" t="s">
        <v>392</v>
      </c>
      <c r="G1200" t="s">
        <v>36</v>
      </c>
      <c r="H1200" t="s">
        <v>43</v>
      </c>
      <c r="I1200" s="187"/>
      <c r="J1200" s="187">
        <v>0</v>
      </c>
      <c r="K1200" s="187">
        <v>0.96960806380018882</v>
      </c>
      <c r="L1200" s="187">
        <v>0</v>
      </c>
      <c r="M1200" s="187">
        <v>0.96960806846618652</v>
      </c>
      <c r="N1200" s="187">
        <v>0</v>
      </c>
      <c r="O1200" t="s">
        <v>1661</v>
      </c>
    </row>
    <row r="1201" spans="1:15" hidden="1" x14ac:dyDescent="0.45">
      <c r="A1201" s="187">
        <v>2016</v>
      </c>
      <c r="B1201" t="s">
        <v>312</v>
      </c>
      <c r="C1201" t="s">
        <v>323</v>
      </c>
      <c r="D1201" t="s">
        <v>35</v>
      </c>
      <c r="E1201" t="s">
        <v>349</v>
      </c>
      <c r="F1201" t="s">
        <v>392</v>
      </c>
      <c r="G1201" t="s">
        <v>36</v>
      </c>
      <c r="H1201" t="s">
        <v>43</v>
      </c>
      <c r="I1201" s="187">
        <v>154.85221498756121</v>
      </c>
      <c r="J1201" s="187">
        <v>0</v>
      </c>
      <c r="K1201" s="187">
        <v>6.0673166047579614E-2</v>
      </c>
      <c r="L1201" s="187">
        <v>0</v>
      </c>
      <c r="M1201" s="187">
        <v>154.91288757324219</v>
      </c>
      <c r="N1201" s="187">
        <v>154.85221862792969</v>
      </c>
      <c r="O1201" t="s">
        <v>1659</v>
      </c>
    </row>
    <row r="1202" spans="1:15" hidden="1" x14ac:dyDescent="0.45">
      <c r="A1202" s="187">
        <v>2016</v>
      </c>
      <c r="B1202" t="s">
        <v>311</v>
      </c>
      <c r="C1202" t="s">
        <v>323</v>
      </c>
      <c r="D1202" t="s">
        <v>35</v>
      </c>
      <c r="E1202" t="s">
        <v>349</v>
      </c>
      <c r="F1202" t="s">
        <v>392</v>
      </c>
      <c r="G1202" t="s">
        <v>36</v>
      </c>
      <c r="H1202" t="s">
        <v>43</v>
      </c>
      <c r="I1202" s="187"/>
      <c r="J1202" s="187">
        <v>0</v>
      </c>
      <c r="K1202" s="187">
        <v>0.37925580933786984</v>
      </c>
      <c r="L1202" s="187">
        <v>0</v>
      </c>
      <c r="M1202" s="187">
        <v>0.37925580143928528</v>
      </c>
      <c r="N1202" s="187">
        <v>0</v>
      </c>
      <c r="O1202" t="s">
        <v>1662</v>
      </c>
    </row>
    <row r="1203" spans="1:15" hidden="1" x14ac:dyDescent="0.45">
      <c r="A1203" s="187">
        <v>2016</v>
      </c>
      <c r="B1203" t="s">
        <v>310</v>
      </c>
      <c r="C1203" t="s">
        <v>323</v>
      </c>
      <c r="D1203" t="s">
        <v>35</v>
      </c>
      <c r="E1203" t="s">
        <v>349</v>
      </c>
      <c r="F1203" t="s">
        <v>392</v>
      </c>
      <c r="G1203" t="s">
        <v>36</v>
      </c>
      <c r="H1203" t="s">
        <v>43</v>
      </c>
      <c r="I1203" s="187"/>
      <c r="J1203" s="187">
        <v>0</v>
      </c>
      <c r="K1203" s="187">
        <v>0.95016822747174257</v>
      </c>
      <c r="L1203" s="187">
        <v>0</v>
      </c>
      <c r="M1203" s="187">
        <v>0.95016825199127197</v>
      </c>
      <c r="N1203" s="187">
        <v>0</v>
      </c>
      <c r="O1203" t="s">
        <v>1660</v>
      </c>
    </row>
    <row r="1204" spans="1:15" hidden="1" x14ac:dyDescent="0.45">
      <c r="A1204" s="187">
        <v>2016</v>
      </c>
      <c r="B1204" t="s">
        <v>312</v>
      </c>
      <c r="C1204" t="s">
        <v>323</v>
      </c>
      <c r="D1204" t="s">
        <v>35</v>
      </c>
      <c r="E1204" t="s">
        <v>349</v>
      </c>
      <c r="F1204" t="s">
        <v>393</v>
      </c>
      <c r="G1204" t="s">
        <v>36</v>
      </c>
      <c r="H1204" t="s">
        <v>43</v>
      </c>
      <c r="I1204" s="187">
        <v>0</v>
      </c>
      <c r="J1204" s="187">
        <v>0</v>
      </c>
      <c r="K1204" s="187">
        <v>5.6151904835123592</v>
      </c>
      <c r="L1204" s="187">
        <v>0</v>
      </c>
      <c r="M1204" s="187">
        <v>5.6151905059814453</v>
      </c>
      <c r="N1204" s="187">
        <v>0</v>
      </c>
      <c r="O1204" t="s">
        <v>1666</v>
      </c>
    </row>
    <row r="1205" spans="1:15" hidden="1" x14ac:dyDescent="0.45">
      <c r="A1205" s="187">
        <v>2016</v>
      </c>
      <c r="B1205" t="s">
        <v>309</v>
      </c>
      <c r="C1205" t="s">
        <v>323</v>
      </c>
      <c r="D1205" t="s">
        <v>35</v>
      </c>
      <c r="E1205" t="s">
        <v>349</v>
      </c>
      <c r="F1205" t="s">
        <v>393</v>
      </c>
      <c r="G1205" t="s">
        <v>36</v>
      </c>
      <c r="H1205" t="s">
        <v>43</v>
      </c>
      <c r="I1205" s="187"/>
      <c r="J1205" s="187">
        <v>0</v>
      </c>
      <c r="K1205" s="187">
        <v>61.70657799668065</v>
      </c>
      <c r="L1205" s="187">
        <v>13.246850784757434</v>
      </c>
      <c r="M1205" s="187">
        <v>74.95343017578125</v>
      </c>
      <c r="N1205" s="187">
        <v>13.246850967407227</v>
      </c>
      <c r="O1205" t="s">
        <v>1663</v>
      </c>
    </row>
    <row r="1206" spans="1:15" hidden="1" x14ac:dyDescent="0.45">
      <c r="A1206" s="187">
        <v>2016</v>
      </c>
      <c r="B1206" t="s">
        <v>311</v>
      </c>
      <c r="C1206" t="s">
        <v>323</v>
      </c>
      <c r="D1206" t="s">
        <v>35</v>
      </c>
      <c r="E1206" t="s">
        <v>349</v>
      </c>
      <c r="F1206" t="s">
        <v>393</v>
      </c>
      <c r="G1206" t="s">
        <v>36</v>
      </c>
      <c r="H1206" t="s">
        <v>43</v>
      </c>
      <c r="I1206" s="187"/>
      <c r="J1206" s="187">
        <v>0</v>
      </c>
      <c r="K1206" s="187">
        <v>38.196147201701962</v>
      </c>
      <c r="L1206" s="187">
        <v>24.230588330445077</v>
      </c>
      <c r="M1206" s="187">
        <v>62.426734924316406</v>
      </c>
      <c r="N1206" s="187">
        <v>24.230588912963867</v>
      </c>
      <c r="O1206" t="s">
        <v>1665</v>
      </c>
    </row>
    <row r="1207" spans="1:15" hidden="1" x14ac:dyDescent="0.45">
      <c r="A1207" s="187">
        <v>2016</v>
      </c>
      <c r="B1207" t="s">
        <v>310</v>
      </c>
      <c r="C1207" t="s">
        <v>323</v>
      </c>
      <c r="D1207" t="s">
        <v>35</v>
      </c>
      <c r="E1207" t="s">
        <v>349</v>
      </c>
      <c r="F1207" t="s">
        <v>393</v>
      </c>
      <c r="G1207" t="s">
        <v>36</v>
      </c>
      <c r="H1207" t="s">
        <v>43</v>
      </c>
      <c r="I1207" s="187"/>
      <c r="J1207" s="187">
        <v>0</v>
      </c>
      <c r="K1207" s="187">
        <v>60.469412360967482</v>
      </c>
      <c r="L1207" s="187">
        <v>13.077208240226556</v>
      </c>
      <c r="M1207" s="187">
        <v>73.546623229980469</v>
      </c>
      <c r="N1207" s="187">
        <v>13.077208518981934</v>
      </c>
      <c r="O1207" t="s">
        <v>1664</v>
      </c>
    </row>
    <row r="1208" spans="1:15" hidden="1" x14ac:dyDescent="0.45">
      <c r="A1208" s="187">
        <v>2016</v>
      </c>
      <c r="B1208" t="s">
        <v>310</v>
      </c>
      <c r="C1208" t="s">
        <v>323</v>
      </c>
      <c r="D1208" t="s">
        <v>35</v>
      </c>
      <c r="E1208" t="s">
        <v>349</v>
      </c>
      <c r="F1208" t="s">
        <v>394</v>
      </c>
      <c r="G1208" t="s">
        <v>36</v>
      </c>
      <c r="H1208" t="s">
        <v>43</v>
      </c>
      <c r="I1208" s="187"/>
      <c r="J1208" s="187">
        <v>0</v>
      </c>
      <c r="K1208" s="187">
        <v>25.345647386498193</v>
      </c>
      <c r="L1208" s="187">
        <v>0</v>
      </c>
      <c r="M1208" s="187">
        <v>25.345647811889648</v>
      </c>
      <c r="N1208" s="187">
        <v>0</v>
      </c>
      <c r="O1208" t="s">
        <v>1667</v>
      </c>
    </row>
    <row r="1209" spans="1:15" hidden="1" x14ac:dyDescent="0.45">
      <c r="A1209" s="187">
        <v>2016</v>
      </c>
      <c r="B1209" t="s">
        <v>311</v>
      </c>
      <c r="C1209" t="s">
        <v>323</v>
      </c>
      <c r="D1209" t="s">
        <v>35</v>
      </c>
      <c r="E1209" t="s">
        <v>349</v>
      </c>
      <c r="F1209" t="s">
        <v>394</v>
      </c>
      <c r="G1209" t="s">
        <v>36</v>
      </c>
      <c r="H1209" t="s">
        <v>43</v>
      </c>
      <c r="I1209" s="187"/>
      <c r="J1209" s="187">
        <v>43.360000170270133</v>
      </c>
      <c r="K1209" s="187">
        <v>16.53717558611876</v>
      </c>
      <c r="L1209" s="187">
        <v>0</v>
      </c>
      <c r="M1209" s="187">
        <v>59.897174835205078</v>
      </c>
      <c r="N1209" s="187">
        <v>0</v>
      </c>
      <c r="O1209" t="s">
        <v>1670</v>
      </c>
    </row>
    <row r="1210" spans="1:15" hidden="1" x14ac:dyDescent="0.45">
      <c r="A1210" s="187">
        <v>2016</v>
      </c>
      <c r="B1210" t="s">
        <v>312</v>
      </c>
      <c r="C1210" t="s">
        <v>323</v>
      </c>
      <c r="D1210" t="s">
        <v>35</v>
      </c>
      <c r="E1210" t="s">
        <v>349</v>
      </c>
      <c r="F1210" t="s">
        <v>394</v>
      </c>
      <c r="G1210" t="s">
        <v>36</v>
      </c>
      <c r="H1210" t="s">
        <v>43</v>
      </c>
      <c r="I1210" s="187">
        <v>0</v>
      </c>
      <c r="J1210" s="187">
        <v>0</v>
      </c>
      <c r="K1210" s="187">
        <v>2.4233531277060174</v>
      </c>
      <c r="L1210" s="187">
        <v>0</v>
      </c>
      <c r="M1210" s="187">
        <v>2.4233531951904297</v>
      </c>
      <c r="N1210" s="187">
        <v>0</v>
      </c>
      <c r="O1210" t="s">
        <v>1669</v>
      </c>
    </row>
    <row r="1211" spans="1:15" hidden="1" x14ac:dyDescent="0.45">
      <c r="A1211" s="187">
        <v>2016</v>
      </c>
      <c r="B1211" t="s">
        <v>309</v>
      </c>
      <c r="C1211" t="s">
        <v>323</v>
      </c>
      <c r="D1211" t="s">
        <v>35</v>
      </c>
      <c r="E1211" t="s">
        <v>349</v>
      </c>
      <c r="F1211" t="s">
        <v>394</v>
      </c>
      <c r="G1211" t="s">
        <v>36</v>
      </c>
      <c r="H1211" t="s">
        <v>43</v>
      </c>
      <c r="I1211" s="187"/>
      <c r="J1211" s="187">
        <v>0</v>
      </c>
      <c r="K1211" s="187">
        <v>25.8642031775533</v>
      </c>
      <c r="L1211" s="187">
        <v>0</v>
      </c>
      <c r="M1211" s="187">
        <v>25.864202499389648</v>
      </c>
      <c r="N1211" s="187">
        <v>0</v>
      </c>
      <c r="O1211" t="s">
        <v>1668</v>
      </c>
    </row>
    <row r="1212" spans="1:15" hidden="1" x14ac:dyDescent="0.45">
      <c r="A1212" s="187">
        <v>2016</v>
      </c>
      <c r="B1212" t="s">
        <v>310</v>
      </c>
      <c r="C1212" t="s">
        <v>323</v>
      </c>
      <c r="D1212" t="s">
        <v>35</v>
      </c>
      <c r="E1212" t="s">
        <v>349</v>
      </c>
      <c r="F1212" t="s">
        <v>395</v>
      </c>
      <c r="G1212" t="s">
        <v>36</v>
      </c>
      <c r="H1212" t="s">
        <v>43</v>
      </c>
      <c r="I1212" s="187"/>
      <c r="J1212" s="187">
        <v>0</v>
      </c>
      <c r="K1212" s="187">
        <v>4.8114309936597197E-2</v>
      </c>
      <c r="L1212" s="187">
        <v>126.84891993019758</v>
      </c>
      <c r="M1212" s="187">
        <v>126.89703369140625</v>
      </c>
      <c r="N1212" s="187">
        <v>126.84892272949219</v>
      </c>
      <c r="O1212" t="s">
        <v>1673</v>
      </c>
    </row>
    <row r="1213" spans="1:15" hidden="1" x14ac:dyDescent="0.45">
      <c r="A1213" s="187">
        <v>2016</v>
      </c>
      <c r="B1213" t="s">
        <v>309</v>
      </c>
      <c r="C1213" t="s">
        <v>323</v>
      </c>
      <c r="D1213" t="s">
        <v>35</v>
      </c>
      <c r="E1213" t="s">
        <v>349</v>
      </c>
      <c r="F1213" t="s">
        <v>395</v>
      </c>
      <c r="G1213" t="s">
        <v>36</v>
      </c>
      <c r="H1213" t="s">
        <v>43</v>
      </c>
      <c r="I1213" s="187"/>
      <c r="J1213" s="187">
        <v>0</v>
      </c>
      <c r="K1213" s="187">
        <v>4.909869805143903E-2</v>
      </c>
      <c r="L1213" s="187">
        <v>127.16976753367138</v>
      </c>
      <c r="M1213" s="187">
        <v>127.21886444091797</v>
      </c>
      <c r="N1213" s="187">
        <v>127.16976928710938</v>
      </c>
      <c r="O1213" t="s">
        <v>1674</v>
      </c>
    </row>
    <row r="1214" spans="1:15" hidden="1" x14ac:dyDescent="0.45">
      <c r="A1214" s="187">
        <v>2016</v>
      </c>
      <c r="B1214" t="s">
        <v>312</v>
      </c>
      <c r="C1214" t="s">
        <v>323</v>
      </c>
      <c r="D1214" t="s">
        <v>35</v>
      </c>
      <c r="E1214" t="s">
        <v>349</v>
      </c>
      <c r="F1214" t="s">
        <v>395</v>
      </c>
      <c r="G1214" t="s">
        <v>36</v>
      </c>
      <c r="H1214" t="s">
        <v>43</v>
      </c>
      <c r="I1214" s="187">
        <v>363.23513758968534</v>
      </c>
      <c r="J1214" s="187">
        <v>0</v>
      </c>
      <c r="K1214" s="187">
        <v>9.3932373182622191E-3</v>
      </c>
      <c r="L1214" s="187">
        <v>80.377325336967118</v>
      </c>
      <c r="M1214" s="187">
        <v>443.62185668945313</v>
      </c>
      <c r="N1214" s="187">
        <v>443.61245727539063</v>
      </c>
      <c r="O1214" t="s">
        <v>1671</v>
      </c>
    </row>
    <row r="1215" spans="1:15" hidden="1" x14ac:dyDescent="0.45">
      <c r="A1215" s="187">
        <v>2016</v>
      </c>
      <c r="B1215" t="s">
        <v>311</v>
      </c>
      <c r="C1215" t="s">
        <v>323</v>
      </c>
      <c r="D1215" t="s">
        <v>35</v>
      </c>
      <c r="E1215" t="s">
        <v>349</v>
      </c>
      <c r="F1215" t="s">
        <v>395</v>
      </c>
      <c r="G1215" t="s">
        <v>36</v>
      </c>
      <c r="H1215" t="s">
        <v>43</v>
      </c>
      <c r="I1215" s="187"/>
      <c r="J1215" s="187">
        <v>0</v>
      </c>
      <c r="K1215" s="187">
        <v>5.9501950066570254E-2</v>
      </c>
      <c r="L1215" s="187">
        <v>307.34588355985596</v>
      </c>
      <c r="M1215" s="187">
        <v>307.4053955078125</v>
      </c>
      <c r="N1215" s="187">
        <v>307.34588623046875</v>
      </c>
      <c r="O1215" t="s">
        <v>1672</v>
      </c>
    </row>
    <row r="1216" spans="1:15" hidden="1" x14ac:dyDescent="0.45">
      <c r="A1216" s="187">
        <v>2016</v>
      </c>
      <c r="B1216" t="s">
        <v>312</v>
      </c>
      <c r="C1216" t="s">
        <v>323</v>
      </c>
      <c r="D1216" t="s">
        <v>35</v>
      </c>
      <c r="E1216" t="s">
        <v>349</v>
      </c>
      <c r="F1216" t="s">
        <v>396</v>
      </c>
      <c r="G1216" t="s">
        <v>36</v>
      </c>
      <c r="H1216" t="s">
        <v>43</v>
      </c>
      <c r="I1216" s="187">
        <v>946.26238023845167</v>
      </c>
      <c r="J1216" s="187">
        <v>0</v>
      </c>
      <c r="K1216" s="187">
        <v>239.58213803328468</v>
      </c>
      <c r="L1216" s="187">
        <v>342.53106335907523</v>
      </c>
      <c r="M1216" s="187">
        <v>1528.37548828125</v>
      </c>
      <c r="N1216" s="187">
        <v>1288.79345703125</v>
      </c>
      <c r="O1216" t="s">
        <v>1677</v>
      </c>
    </row>
    <row r="1217" spans="1:15" hidden="1" x14ac:dyDescent="0.45">
      <c r="A1217" s="187">
        <v>2016</v>
      </c>
      <c r="B1217" t="s">
        <v>309</v>
      </c>
      <c r="C1217" t="s">
        <v>323</v>
      </c>
      <c r="D1217" t="s">
        <v>35</v>
      </c>
      <c r="E1217" t="s">
        <v>349</v>
      </c>
      <c r="F1217" t="s">
        <v>396</v>
      </c>
      <c r="G1217" t="s">
        <v>36</v>
      </c>
      <c r="H1217" t="s">
        <v>43</v>
      </c>
      <c r="I1217" s="187"/>
      <c r="J1217" s="187">
        <v>0</v>
      </c>
      <c r="K1217" s="187">
        <v>0</v>
      </c>
      <c r="L1217" s="187">
        <v>894.16242797112682</v>
      </c>
      <c r="M1217" s="187">
        <v>894.16241455078125</v>
      </c>
      <c r="N1217" s="187">
        <v>894.16241455078125</v>
      </c>
      <c r="O1217" t="s">
        <v>1675</v>
      </c>
    </row>
    <row r="1218" spans="1:15" hidden="1" x14ac:dyDescent="0.45">
      <c r="A1218" s="187">
        <v>2016</v>
      </c>
      <c r="B1218" t="s">
        <v>311</v>
      </c>
      <c r="C1218" t="s">
        <v>323</v>
      </c>
      <c r="D1218" t="s">
        <v>35</v>
      </c>
      <c r="E1218" t="s">
        <v>349</v>
      </c>
      <c r="F1218" t="s">
        <v>396</v>
      </c>
      <c r="G1218" t="s">
        <v>36</v>
      </c>
      <c r="H1218" t="s">
        <v>43</v>
      </c>
      <c r="I1218" s="187"/>
      <c r="J1218" s="187">
        <v>6.3764706132750195</v>
      </c>
      <c r="K1218" s="187">
        <v>0</v>
      </c>
      <c r="L1218" s="187">
        <v>1267.6423579190739</v>
      </c>
      <c r="M1218" s="187">
        <v>1274.018798828125</v>
      </c>
      <c r="N1218" s="187">
        <v>1267.642333984375</v>
      </c>
      <c r="O1218" t="s">
        <v>1678</v>
      </c>
    </row>
    <row r="1219" spans="1:15" hidden="1" x14ac:dyDescent="0.45">
      <c r="A1219" s="187">
        <v>2016</v>
      </c>
      <c r="B1219" t="s">
        <v>310</v>
      </c>
      <c r="C1219" t="s">
        <v>323</v>
      </c>
      <c r="D1219" t="s">
        <v>35</v>
      </c>
      <c r="E1219" t="s">
        <v>349</v>
      </c>
      <c r="F1219" t="s">
        <v>396</v>
      </c>
      <c r="G1219" t="s">
        <v>36</v>
      </c>
      <c r="H1219" t="s">
        <v>43</v>
      </c>
      <c r="I1219" s="187"/>
      <c r="J1219" s="187">
        <v>0</v>
      </c>
      <c r="K1219" s="187">
        <v>0</v>
      </c>
      <c r="L1219" s="187">
        <v>887.9424395113831</v>
      </c>
      <c r="M1219" s="187">
        <v>887.94244384765625</v>
      </c>
      <c r="N1219" s="187">
        <v>887.94244384765625</v>
      </c>
      <c r="O1219" t="s">
        <v>1676</v>
      </c>
    </row>
    <row r="1220" spans="1:15" hidden="1" x14ac:dyDescent="0.45">
      <c r="A1220" s="187">
        <v>2016</v>
      </c>
      <c r="B1220" t="s">
        <v>312</v>
      </c>
      <c r="C1220" t="s">
        <v>323</v>
      </c>
      <c r="D1220" t="s">
        <v>35</v>
      </c>
      <c r="E1220" t="s">
        <v>349</v>
      </c>
      <c r="F1220" t="s">
        <v>397</v>
      </c>
      <c r="G1220" t="s">
        <v>36</v>
      </c>
      <c r="H1220" t="s">
        <v>43</v>
      </c>
      <c r="I1220" s="187">
        <v>0</v>
      </c>
      <c r="J1220" s="187">
        <v>0</v>
      </c>
      <c r="K1220" s="187">
        <v>1.4369516966369263E-2</v>
      </c>
      <c r="L1220" s="187">
        <v>0</v>
      </c>
      <c r="M1220" s="187">
        <v>1.4369516633450985E-2</v>
      </c>
      <c r="N1220" s="187">
        <v>0</v>
      </c>
      <c r="O1220" t="s">
        <v>1681</v>
      </c>
    </row>
    <row r="1221" spans="1:15" hidden="1" x14ac:dyDescent="0.45">
      <c r="A1221" s="187">
        <v>2016</v>
      </c>
      <c r="B1221" t="s">
        <v>311</v>
      </c>
      <c r="C1221" t="s">
        <v>323</v>
      </c>
      <c r="D1221" t="s">
        <v>35</v>
      </c>
      <c r="E1221" t="s">
        <v>349</v>
      </c>
      <c r="F1221" t="s">
        <v>397</v>
      </c>
      <c r="G1221" t="s">
        <v>36</v>
      </c>
      <c r="H1221" t="s">
        <v>43</v>
      </c>
      <c r="I1221" s="187"/>
      <c r="J1221" s="187">
        <v>0</v>
      </c>
      <c r="K1221" s="187">
        <v>9.1000622179567808E-2</v>
      </c>
      <c r="L1221" s="187">
        <v>0</v>
      </c>
      <c r="M1221" s="187">
        <v>9.1000624001026154E-2</v>
      </c>
      <c r="N1221" s="187">
        <v>0</v>
      </c>
      <c r="O1221" t="s">
        <v>1679</v>
      </c>
    </row>
    <row r="1222" spans="1:15" hidden="1" x14ac:dyDescent="0.45">
      <c r="A1222" s="187">
        <v>2016</v>
      </c>
      <c r="B1222" t="s">
        <v>309</v>
      </c>
      <c r="C1222" t="s">
        <v>323</v>
      </c>
      <c r="D1222" t="s">
        <v>35</v>
      </c>
      <c r="E1222" t="s">
        <v>349</v>
      </c>
      <c r="F1222" t="s">
        <v>397</v>
      </c>
      <c r="G1222" t="s">
        <v>36</v>
      </c>
      <c r="H1222" t="s">
        <v>43</v>
      </c>
      <c r="I1222" s="187"/>
      <c r="J1222" s="187"/>
      <c r="K1222" s="187">
        <v>0.24416305274771533</v>
      </c>
      <c r="L1222" s="187">
        <v>0</v>
      </c>
      <c r="M1222" s="187">
        <v>0.24416305124759674</v>
      </c>
      <c r="N1222" s="187">
        <v>0</v>
      </c>
      <c r="O1222" t="s">
        <v>1682</v>
      </c>
    </row>
    <row r="1223" spans="1:15" hidden="1" x14ac:dyDescent="0.45">
      <c r="A1223" s="187">
        <v>2016</v>
      </c>
      <c r="B1223" t="s">
        <v>310</v>
      </c>
      <c r="C1223" t="s">
        <v>323</v>
      </c>
      <c r="D1223" t="s">
        <v>35</v>
      </c>
      <c r="E1223" t="s">
        <v>349</v>
      </c>
      <c r="F1223" t="s">
        <v>397</v>
      </c>
      <c r="G1223" t="s">
        <v>36</v>
      </c>
      <c r="H1223" t="s">
        <v>43</v>
      </c>
      <c r="I1223" s="187"/>
      <c r="J1223" s="187">
        <v>0</v>
      </c>
      <c r="K1223" s="187">
        <v>0.23926778634051726</v>
      </c>
      <c r="L1223" s="187">
        <v>0</v>
      </c>
      <c r="M1223" s="187">
        <v>0.23926778137683868</v>
      </c>
      <c r="N1223" s="187">
        <v>0</v>
      </c>
      <c r="O1223" t="s">
        <v>1680</v>
      </c>
    </row>
    <row r="1224" spans="1:15" hidden="1" x14ac:dyDescent="0.45">
      <c r="A1224" s="187">
        <v>2016</v>
      </c>
      <c r="B1224" t="s">
        <v>312</v>
      </c>
      <c r="C1224" t="s">
        <v>323</v>
      </c>
      <c r="D1224" t="s">
        <v>35</v>
      </c>
      <c r="E1224" t="s">
        <v>349</v>
      </c>
      <c r="F1224" t="s">
        <v>398</v>
      </c>
      <c r="G1224" t="s">
        <v>36</v>
      </c>
      <c r="H1224" t="s">
        <v>43</v>
      </c>
      <c r="I1224" s="187">
        <v>0</v>
      </c>
      <c r="J1224" s="187">
        <v>457.53246730273588</v>
      </c>
      <c r="K1224" s="187">
        <v>1.9204010070426751</v>
      </c>
      <c r="L1224" s="187">
        <v>0</v>
      </c>
      <c r="M1224" s="187">
        <v>459.452880859375</v>
      </c>
      <c r="N1224" s="187">
        <v>0</v>
      </c>
      <c r="O1224" t="s">
        <v>1683</v>
      </c>
    </row>
    <row r="1225" spans="1:15" hidden="1" x14ac:dyDescent="0.45">
      <c r="A1225" s="187">
        <v>2016</v>
      </c>
      <c r="B1225" t="s">
        <v>310</v>
      </c>
      <c r="C1225" t="s">
        <v>323</v>
      </c>
      <c r="D1225" t="s">
        <v>35</v>
      </c>
      <c r="E1225" t="s">
        <v>349</v>
      </c>
      <c r="F1225" t="s">
        <v>398</v>
      </c>
      <c r="G1225" t="s">
        <v>36</v>
      </c>
      <c r="H1225" t="s">
        <v>43</v>
      </c>
      <c r="I1225" s="187"/>
      <c r="J1225" s="187">
        <v>326.93020600566388</v>
      </c>
      <c r="K1225" s="187">
        <v>21.861009064251387</v>
      </c>
      <c r="L1225" s="187">
        <v>0</v>
      </c>
      <c r="M1225" s="187">
        <v>348.79122924804688</v>
      </c>
      <c r="N1225" s="187">
        <v>0</v>
      </c>
      <c r="O1225" t="s">
        <v>1686</v>
      </c>
    </row>
    <row r="1226" spans="1:15" hidden="1" x14ac:dyDescent="0.45">
      <c r="A1226" s="187">
        <v>2016</v>
      </c>
      <c r="B1226" t="s">
        <v>309</v>
      </c>
      <c r="C1226" t="s">
        <v>323</v>
      </c>
      <c r="D1226" t="s">
        <v>35</v>
      </c>
      <c r="E1226" t="s">
        <v>349</v>
      </c>
      <c r="F1226" t="s">
        <v>398</v>
      </c>
      <c r="G1226" t="s">
        <v>36</v>
      </c>
      <c r="H1226" t="s">
        <v>43</v>
      </c>
      <c r="I1226" s="187"/>
      <c r="J1226" s="187">
        <v>384.15867275796563</v>
      </c>
      <c r="K1226" s="187">
        <v>22.308271376225882</v>
      </c>
      <c r="L1226" s="187">
        <v>0</v>
      </c>
      <c r="M1226" s="187">
        <v>406.4669189453125</v>
      </c>
      <c r="N1226" s="187">
        <v>0</v>
      </c>
      <c r="O1226" t="s">
        <v>1685</v>
      </c>
    </row>
    <row r="1227" spans="1:15" hidden="1" x14ac:dyDescent="0.45">
      <c r="A1227" s="187">
        <v>2016</v>
      </c>
      <c r="B1227" t="s">
        <v>311</v>
      </c>
      <c r="C1227" t="s">
        <v>323</v>
      </c>
      <c r="D1227" t="s">
        <v>35</v>
      </c>
      <c r="E1227" t="s">
        <v>349</v>
      </c>
      <c r="F1227" t="s">
        <v>398</v>
      </c>
      <c r="G1227" t="s">
        <v>36</v>
      </c>
      <c r="H1227" t="s">
        <v>43</v>
      </c>
      <c r="I1227" s="187"/>
      <c r="J1227" s="187">
        <v>580.25882580802681</v>
      </c>
      <c r="K1227" s="187">
        <v>13.238277524355349</v>
      </c>
      <c r="L1227" s="187">
        <v>0</v>
      </c>
      <c r="M1227" s="187">
        <v>593.49713134765625</v>
      </c>
      <c r="N1227" s="187">
        <v>0</v>
      </c>
      <c r="O1227" t="s">
        <v>1684</v>
      </c>
    </row>
    <row r="1228" spans="1:15" hidden="1" x14ac:dyDescent="0.45">
      <c r="A1228" s="187">
        <v>2016</v>
      </c>
      <c r="B1228" t="s">
        <v>310</v>
      </c>
      <c r="C1228" t="s">
        <v>323</v>
      </c>
      <c r="D1228" t="s">
        <v>35</v>
      </c>
      <c r="E1228" t="s">
        <v>349</v>
      </c>
      <c r="F1228" t="s">
        <v>399</v>
      </c>
      <c r="G1228" t="s">
        <v>36</v>
      </c>
      <c r="H1228" t="s">
        <v>43</v>
      </c>
      <c r="I1228" s="187"/>
      <c r="J1228" s="187">
        <v>219.69709843580614</v>
      </c>
      <c r="K1228" s="187">
        <v>15.227179796801703</v>
      </c>
      <c r="L1228" s="187">
        <v>0</v>
      </c>
      <c r="M1228" s="187">
        <v>234.92427062988281</v>
      </c>
      <c r="N1228" s="187">
        <v>0</v>
      </c>
      <c r="O1228" t="s">
        <v>1687</v>
      </c>
    </row>
    <row r="1229" spans="1:15" hidden="1" x14ac:dyDescent="0.45">
      <c r="A1229" s="187">
        <v>2016</v>
      </c>
      <c r="B1229" t="s">
        <v>309</v>
      </c>
      <c r="C1229" t="s">
        <v>323</v>
      </c>
      <c r="D1229" t="s">
        <v>35</v>
      </c>
      <c r="E1229" t="s">
        <v>349</v>
      </c>
      <c r="F1229" t="s">
        <v>399</v>
      </c>
      <c r="G1229" t="s">
        <v>36</v>
      </c>
      <c r="H1229" t="s">
        <v>43</v>
      </c>
      <c r="I1229" s="187"/>
      <c r="J1229" s="187">
        <v>198.70276177136154</v>
      </c>
      <c r="K1229" s="187">
        <v>15.538718190146312</v>
      </c>
      <c r="L1229" s="187">
        <v>0</v>
      </c>
      <c r="M1229" s="187">
        <v>214.24147033691406</v>
      </c>
      <c r="N1229" s="187">
        <v>0</v>
      </c>
      <c r="O1229" t="s">
        <v>1688</v>
      </c>
    </row>
    <row r="1230" spans="1:15" hidden="1" x14ac:dyDescent="0.45">
      <c r="A1230" s="187">
        <v>2016</v>
      </c>
      <c r="B1230" t="s">
        <v>311</v>
      </c>
      <c r="C1230" t="s">
        <v>323</v>
      </c>
      <c r="D1230" t="s">
        <v>35</v>
      </c>
      <c r="E1230" t="s">
        <v>349</v>
      </c>
      <c r="F1230" t="s">
        <v>399</v>
      </c>
      <c r="G1230" t="s">
        <v>36</v>
      </c>
      <c r="H1230" t="s">
        <v>43</v>
      </c>
      <c r="I1230" s="187"/>
      <c r="J1230" s="187">
        <v>414.4705898628763</v>
      </c>
      <c r="K1230" s="187">
        <v>9.1649833031843286</v>
      </c>
      <c r="L1230" s="187">
        <v>0</v>
      </c>
      <c r="M1230" s="187">
        <v>423.63555908203125</v>
      </c>
      <c r="N1230" s="187">
        <v>0</v>
      </c>
      <c r="O1230" t="s">
        <v>1689</v>
      </c>
    </row>
    <row r="1231" spans="1:15" hidden="1" x14ac:dyDescent="0.45">
      <c r="A1231" s="187">
        <v>2016</v>
      </c>
      <c r="B1231" t="s">
        <v>312</v>
      </c>
      <c r="C1231" t="s">
        <v>323</v>
      </c>
      <c r="D1231" t="s">
        <v>35</v>
      </c>
      <c r="E1231" t="s">
        <v>349</v>
      </c>
      <c r="F1231" t="s">
        <v>399</v>
      </c>
      <c r="G1231" t="s">
        <v>36</v>
      </c>
      <c r="H1231" t="s">
        <v>43</v>
      </c>
      <c r="I1231" s="187">
        <v>0</v>
      </c>
      <c r="J1231" s="187">
        <v>346.24078606693524</v>
      </c>
      <c r="K1231" s="187">
        <v>1.3298724984773507</v>
      </c>
      <c r="L1231" s="187">
        <v>0</v>
      </c>
      <c r="M1231" s="187">
        <v>347.57064819335938</v>
      </c>
      <c r="N1231" s="187">
        <v>0</v>
      </c>
      <c r="O1231" t="s">
        <v>1690</v>
      </c>
    </row>
    <row r="1232" spans="1:15" hidden="1" x14ac:dyDescent="0.45">
      <c r="A1232" s="187">
        <v>2016</v>
      </c>
      <c r="B1232" t="s">
        <v>312</v>
      </c>
      <c r="C1232" t="s">
        <v>323</v>
      </c>
      <c r="D1232" t="s">
        <v>35</v>
      </c>
      <c r="E1232" t="s">
        <v>349</v>
      </c>
      <c r="F1232" t="s">
        <v>400</v>
      </c>
      <c r="G1232" t="s">
        <v>36</v>
      </c>
      <c r="H1232" t="s">
        <v>43</v>
      </c>
      <c r="I1232" s="187">
        <v>0</v>
      </c>
      <c r="J1232" s="187">
        <v>111.29168123580062</v>
      </c>
      <c r="K1232" s="187">
        <v>0.57393434614517991</v>
      </c>
      <c r="L1232" s="187">
        <v>0</v>
      </c>
      <c r="M1232" s="187">
        <v>111.86561584472656</v>
      </c>
      <c r="N1232" s="187">
        <v>0</v>
      </c>
      <c r="O1232" t="s">
        <v>1691</v>
      </c>
    </row>
    <row r="1233" spans="1:15" hidden="1" x14ac:dyDescent="0.45">
      <c r="A1233" s="187">
        <v>2016</v>
      </c>
      <c r="B1233" t="s">
        <v>311</v>
      </c>
      <c r="C1233" t="s">
        <v>323</v>
      </c>
      <c r="D1233" t="s">
        <v>35</v>
      </c>
      <c r="E1233" t="s">
        <v>349</v>
      </c>
      <c r="F1233" t="s">
        <v>400</v>
      </c>
      <c r="G1233" t="s">
        <v>36</v>
      </c>
      <c r="H1233" t="s">
        <v>43</v>
      </c>
      <c r="I1233" s="187"/>
      <c r="J1233" s="187">
        <v>165.78823594515052</v>
      </c>
      <c r="K1233" s="187">
        <v>3.9680163899319281</v>
      </c>
      <c r="L1233" s="187">
        <v>0</v>
      </c>
      <c r="M1233" s="187">
        <v>169.75625610351563</v>
      </c>
      <c r="N1233" s="187">
        <v>0</v>
      </c>
      <c r="O1233" t="s">
        <v>1694</v>
      </c>
    </row>
    <row r="1234" spans="1:15" hidden="1" x14ac:dyDescent="0.45">
      <c r="A1234" s="187">
        <v>2016</v>
      </c>
      <c r="B1234" t="s">
        <v>310</v>
      </c>
      <c r="C1234" t="s">
        <v>323</v>
      </c>
      <c r="D1234" t="s">
        <v>35</v>
      </c>
      <c r="E1234" t="s">
        <v>349</v>
      </c>
      <c r="F1234" t="s">
        <v>400</v>
      </c>
      <c r="G1234" t="s">
        <v>36</v>
      </c>
      <c r="H1234" t="s">
        <v>43</v>
      </c>
      <c r="I1234" s="187"/>
      <c r="J1234" s="187">
        <v>107.23310756985775</v>
      </c>
      <c r="K1234" s="187">
        <v>6.3824455166967704</v>
      </c>
      <c r="L1234" s="187">
        <v>0</v>
      </c>
      <c r="M1234" s="187">
        <v>113.61555480957031</v>
      </c>
      <c r="N1234" s="187">
        <v>0</v>
      </c>
      <c r="O1234" t="s">
        <v>1693</v>
      </c>
    </row>
    <row r="1235" spans="1:15" hidden="1" x14ac:dyDescent="0.45">
      <c r="A1235" s="187">
        <v>2016</v>
      </c>
      <c r="B1235" t="s">
        <v>309</v>
      </c>
      <c r="C1235" t="s">
        <v>323</v>
      </c>
      <c r="D1235" t="s">
        <v>35</v>
      </c>
      <c r="E1235" t="s">
        <v>349</v>
      </c>
      <c r="F1235" t="s">
        <v>400</v>
      </c>
      <c r="G1235" t="s">
        <v>36</v>
      </c>
      <c r="H1235" t="s">
        <v>43</v>
      </c>
      <c r="I1235" s="187"/>
      <c r="J1235" s="187">
        <v>172.20906020184665</v>
      </c>
      <c r="K1235" s="187">
        <v>6.5130262840098947</v>
      </c>
      <c r="L1235" s="187">
        <v>0</v>
      </c>
      <c r="M1235" s="187">
        <v>178.72209167480469</v>
      </c>
      <c r="N1235" s="187">
        <v>0</v>
      </c>
      <c r="O1235" t="s">
        <v>1692</v>
      </c>
    </row>
    <row r="1236" spans="1:15" hidden="1" x14ac:dyDescent="0.45">
      <c r="A1236" s="187">
        <v>2016</v>
      </c>
      <c r="B1236" t="s">
        <v>311</v>
      </c>
      <c r="C1236" t="s">
        <v>323</v>
      </c>
      <c r="D1236" t="s">
        <v>35</v>
      </c>
      <c r="E1236" t="s">
        <v>349</v>
      </c>
      <c r="F1236" t="s">
        <v>401</v>
      </c>
      <c r="G1236" t="s">
        <v>36</v>
      </c>
      <c r="H1236" t="s">
        <v>43</v>
      </c>
      <c r="I1236" s="187"/>
      <c r="J1236" s="187">
        <v>0</v>
      </c>
      <c r="K1236" s="187">
        <v>1.4277209059523312E-2</v>
      </c>
      <c r="L1236" s="187">
        <v>0</v>
      </c>
      <c r="M1236" s="187">
        <v>1.4277208596467972E-2</v>
      </c>
      <c r="N1236" s="187">
        <v>0</v>
      </c>
      <c r="O1236" t="s">
        <v>1695</v>
      </c>
    </row>
    <row r="1237" spans="1:15" hidden="1" x14ac:dyDescent="0.45">
      <c r="A1237" s="187">
        <v>2016</v>
      </c>
      <c r="B1237" t="s">
        <v>310</v>
      </c>
      <c r="C1237" t="s">
        <v>323</v>
      </c>
      <c r="D1237" t="s">
        <v>35</v>
      </c>
      <c r="E1237" t="s">
        <v>349</v>
      </c>
      <c r="F1237" t="s">
        <v>401</v>
      </c>
      <c r="G1237" t="s">
        <v>36</v>
      </c>
      <c r="H1237" t="s">
        <v>43</v>
      </c>
      <c r="I1237" s="187"/>
      <c r="J1237" s="187">
        <v>0</v>
      </c>
      <c r="K1237" s="187">
        <v>1.2115964412389766E-2</v>
      </c>
      <c r="L1237" s="187">
        <v>0</v>
      </c>
      <c r="M1237" s="187">
        <v>1.2115964666008949E-2</v>
      </c>
      <c r="N1237" s="187">
        <v>0</v>
      </c>
      <c r="O1237" t="s">
        <v>1696</v>
      </c>
    </row>
    <row r="1238" spans="1:15" hidden="1" x14ac:dyDescent="0.45">
      <c r="A1238" s="187">
        <v>2016</v>
      </c>
      <c r="B1238" t="s">
        <v>312</v>
      </c>
      <c r="C1238" t="s">
        <v>323</v>
      </c>
      <c r="D1238" t="s">
        <v>35</v>
      </c>
      <c r="E1238" t="s">
        <v>349</v>
      </c>
      <c r="F1238" t="s">
        <v>401</v>
      </c>
      <c r="G1238" t="s">
        <v>36</v>
      </c>
      <c r="H1238" t="s">
        <v>43</v>
      </c>
      <c r="I1238" s="187">
        <v>0</v>
      </c>
      <c r="J1238" s="187">
        <v>0</v>
      </c>
      <c r="K1238" s="187">
        <v>2.2246454537752434E-3</v>
      </c>
      <c r="L1238" s="187">
        <v>0</v>
      </c>
      <c r="M1238" s="187">
        <v>2.2246453445404768E-3</v>
      </c>
      <c r="N1238" s="187">
        <v>0</v>
      </c>
      <c r="O1238" t="s">
        <v>1698</v>
      </c>
    </row>
    <row r="1239" spans="1:15" hidden="1" x14ac:dyDescent="0.45">
      <c r="A1239" s="187">
        <v>2016</v>
      </c>
      <c r="B1239" t="s">
        <v>309</v>
      </c>
      <c r="C1239" t="s">
        <v>323</v>
      </c>
      <c r="D1239" t="s">
        <v>35</v>
      </c>
      <c r="E1239" t="s">
        <v>349</v>
      </c>
      <c r="F1239" t="s">
        <v>401</v>
      </c>
      <c r="G1239" t="s">
        <v>36</v>
      </c>
      <c r="H1239" t="s">
        <v>43</v>
      </c>
      <c r="I1239" s="187"/>
      <c r="J1239" s="187">
        <v>13.246850784757434</v>
      </c>
      <c r="K1239" s="187">
        <v>1.2363849321954603E-2</v>
      </c>
      <c r="L1239" s="187">
        <v>0</v>
      </c>
      <c r="M1239" s="187">
        <v>13.259214401245117</v>
      </c>
      <c r="N1239" s="187">
        <v>0</v>
      </c>
      <c r="O1239" t="s">
        <v>1697</v>
      </c>
    </row>
    <row r="1240" spans="1:15" hidden="1" x14ac:dyDescent="0.45">
      <c r="A1240" s="187">
        <v>2016</v>
      </c>
      <c r="B1240" t="s">
        <v>311</v>
      </c>
      <c r="C1240" t="s">
        <v>323</v>
      </c>
      <c r="D1240" t="s">
        <v>35</v>
      </c>
      <c r="E1240" t="s">
        <v>349</v>
      </c>
      <c r="F1240" t="s">
        <v>402</v>
      </c>
      <c r="G1240" t="s">
        <v>36</v>
      </c>
      <c r="H1240" t="s">
        <v>43</v>
      </c>
      <c r="I1240" s="187"/>
      <c r="J1240" s="187">
        <v>0</v>
      </c>
      <c r="K1240" s="187">
        <v>7.3880526066078289</v>
      </c>
      <c r="L1240" s="187">
        <v>0</v>
      </c>
      <c r="M1240" s="187">
        <v>7.3880524635314941</v>
      </c>
      <c r="N1240" s="187">
        <v>0</v>
      </c>
      <c r="O1240" t="s">
        <v>1701</v>
      </c>
    </row>
    <row r="1241" spans="1:15" hidden="1" x14ac:dyDescent="0.45">
      <c r="A1241" s="187">
        <v>2016</v>
      </c>
      <c r="B1241" t="s">
        <v>310</v>
      </c>
      <c r="C1241" t="s">
        <v>323</v>
      </c>
      <c r="D1241" t="s">
        <v>35</v>
      </c>
      <c r="E1241" t="s">
        <v>349</v>
      </c>
      <c r="F1241" t="s">
        <v>402</v>
      </c>
      <c r="G1241" t="s">
        <v>36</v>
      </c>
      <c r="H1241" t="s">
        <v>43</v>
      </c>
      <c r="I1241" s="187"/>
      <c r="J1241" s="187">
        <v>0</v>
      </c>
      <c r="K1241" s="187">
        <v>18.207804960536652</v>
      </c>
      <c r="L1241" s="187">
        <v>0</v>
      </c>
      <c r="M1241" s="187">
        <v>18.207805633544922</v>
      </c>
      <c r="N1241" s="187">
        <v>0</v>
      </c>
      <c r="O1241" t="s">
        <v>1700</v>
      </c>
    </row>
    <row r="1242" spans="1:15" hidden="1" x14ac:dyDescent="0.45">
      <c r="A1242" s="187">
        <v>2016</v>
      </c>
      <c r="B1242" t="s">
        <v>312</v>
      </c>
      <c r="C1242" t="s">
        <v>323</v>
      </c>
      <c r="D1242" t="s">
        <v>35</v>
      </c>
      <c r="E1242" t="s">
        <v>349</v>
      </c>
      <c r="F1242" t="s">
        <v>402</v>
      </c>
      <c r="G1242" t="s">
        <v>36</v>
      </c>
      <c r="H1242" t="s">
        <v>43</v>
      </c>
      <c r="I1242" s="187">
        <v>60.318428334239606</v>
      </c>
      <c r="J1242" s="187">
        <v>0</v>
      </c>
      <c r="K1242" s="187">
        <v>1.1974711991622444</v>
      </c>
      <c r="L1242" s="187">
        <v>59.355563325760329</v>
      </c>
      <c r="M1242" s="187">
        <v>120.8714599609375</v>
      </c>
      <c r="N1242" s="187">
        <v>119.67398834228516</v>
      </c>
      <c r="O1242" t="s">
        <v>1702</v>
      </c>
    </row>
    <row r="1243" spans="1:15" hidden="1" x14ac:dyDescent="0.45">
      <c r="A1243" s="187">
        <v>2016</v>
      </c>
      <c r="B1243" t="s">
        <v>309</v>
      </c>
      <c r="C1243" t="s">
        <v>323</v>
      </c>
      <c r="D1243" t="s">
        <v>35</v>
      </c>
      <c r="E1243" t="s">
        <v>349</v>
      </c>
      <c r="F1243" t="s">
        <v>402</v>
      </c>
      <c r="G1243" t="s">
        <v>36</v>
      </c>
      <c r="H1243" t="s">
        <v>43</v>
      </c>
      <c r="I1243" s="187"/>
      <c r="J1243" s="187">
        <v>0</v>
      </c>
      <c r="K1243" s="187">
        <v>35.07540517958649</v>
      </c>
      <c r="L1243" s="187">
        <v>127.16976753367138</v>
      </c>
      <c r="M1243" s="187">
        <v>162.24517822265625</v>
      </c>
      <c r="N1243" s="187">
        <v>127.16976928710938</v>
      </c>
      <c r="O1243" t="s">
        <v>1699</v>
      </c>
    </row>
    <row r="1244" spans="1:15" hidden="1" x14ac:dyDescent="0.45">
      <c r="A1244" s="187">
        <v>2016</v>
      </c>
      <c r="B1244" t="s">
        <v>311</v>
      </c>
      <c r="C1244" t="s">
        <v>323</v>
      </c>
      <c r="D1244" t="s">
        <v>35</v>
      </c>
      <c r="E1244" t="s">
        <v>349</v>
      </c>
      <c r="F1244" t="s">
        <v>403</v>
      </c>
      <c r="G1244" t="s">
        <v>36</v>
      </c>
      <c r="H1244" t="s">
        <v>43</v>
      </c>
      <c r="I1244" s="187"/>
      <c r="J1244" s="187">
        <v>31.882353066375099</v>
      </c>
      <c r="K1244" s="187">
        <v>1823.3466267237875</v>
      </c>
      <c r="L1244" s="187">
        <v>2122.0894200979264</v>
      </c>
      <c r="M1244" s="187">
        <v>3977.318359375</v>
      </c>
      <c r="N1244" s="187">
        <v>2122.08935546875</v>
      </c>
      <c r="O1244" t="s">
        <v>1705</v>
      </c>
    </row>
    <row r="1245" spans="1:15" hidden="1" x14ac:dyDescent="0.45">
      <c r="A1245" s="187">
        <v>2016</v>
      </c>
      <c r="B1245" t="s">
        <v>310</v>
      </c>
      <c r="C1245" t="s">
        <v>323</v>
      </c>
      <c r="D1245" t="s">
        <v>35</v>
      </c>
      <c r="E1245" t="s">
        <v>349</v>
      </c>
      <c r="F1245" t="s">
        <v>403</v>
      </c>
      <c r="G1245" t="s">
        <v>36</v>
      </c>
      <c r="H1245" t="s">
        <v>43</v>
      </c>
      <c r="I1245" s="187"/>
      <c r="J1245" s="187">
        <v>0</v>
      </c>
      <c r="K1245" s="187">
        <v>2199.4375689873732</v>
      </c>
      <c r="L1245" s="187">
        <v>989.94466378515028</v>
      </c>
      <c r="M1245" s="187">
        <v>3189.382080078125</v>
      </c>
      <c r="N1245" s="187">
        <v>989.94464111328125</v>
      </c>
      <c r="O1245" t="s">
        <v>1706</v>
      </c>
    </row>
    <row r="1246" spans="1:15" hidden="1" x14ac:dyDescent="0.45">
      <c r="A1246" s="187">
        <v>2016</v>
      </c>
      <c r="B1246" t="s">
        <v>312</v>
      </c>
      <c r="C1246" t="s">
        <v>323</v>
      </c>
      <c r="D1246" t="s">
        <v>35</v>
      </c>
      <c r="E1246" t="s">
        <v>349</v>
      </c>
      <c r="F1246" t="s">
        <v>403</v>
      </c>
      <c r="G1246" t="s">
        <v>36</v>
      </c>
      <c r="H1246" t="s">
        <v>43</v>
      </c>
      <c r="I1246" s="187">
        <v>1523.1643866899603</v>
      </c>
      <c r="J1246" s="187">
        <v>0</v>
      </c>
      <c r="K1246" s="187">
        <v>1774.8907812143523</v>
      </c>
      <c r="L1246" s="187">
        <v>939.79641932453853</v>
      </c>
      <c r="M1246" s="187">
        <v>4237.8515625</v>
      </c>
      <c r="N1246" s="187">
        <v>2462.9609375</v>
      </c>
      <c r="O1246" t="s">
        <v>1703</v>
      </c>
    </row>
    <row r="1247" spans="1:15" hidden="1" x14ac:dyDescent="0.45">
      <c r="A1247" s="187">
        <v>2016</v>
      </c>
      <c r="B1247" t="s">
        <v>309</v>
      </c>
      <c r="C1247" t="s">
        <v>323</v>
      </c>
      <c r="D1247" t="s">
        <v>35</v>
      </c>
      <c r="E1247" t="s">
        <v>349</v>
      </c>
      <c r="F1247" t="s">
        <v>403</v>
      </c>
      <c r="G1247" t="s">
        <v>36</v>
      </c>
      <c r="H1247" t="s">
        <v>43</v>
      </c>
      <c r="I1247" s="187"/>
      <c r="J1247" s="187">
        <v>0</v>
      </c>
      <c r="K1247" s="187">
        <v>2232.2248610396791</v>
      </c>
      <c r="L1247" s="187">
        <v>484.8347387221221</v>
      </c>
      <c r="M1247" s="187">
        <v>2717.0595703125</v>
      </c>
      <c r="N1247" s="187">
        <v>484.83474731445313</v>
      </c>
      <c r="O1247" t="s">
        <v>1704</v>
      </c>
    </row>
    <row r="1248" spans="1:15" hidden="1" x14ac:dyDescent="0.45">
      <c r="A1248" s="187">
        <v>2016</v>
      </c>
      <c r="B1248" t="s">
        <v>311</v>
      </c>
      <c r="C1248" t="s">
        <v>323</v>
      </c>
      <c r="D1248" t="s">
        <v>35</v>
      </c>
      <c r="E1248" t="s">
        <v>349</v>
      </c>
      <c r="F1248" t="s">
        <v>404</v>
      </c>
      <c r="G1248" t="s">
        <v>36</v>
      </c>
      <c r="H1248" t="s">
        <v>43</v>
      </c>
      <c r="I1248" s="187"/>
      <c r="J1248" s="187">
        <v>44.635294292925138</v>
      </c>
      <c r="K1248" s="187">
        <v>2621.3190577472888</v>
      </c>
      <c r="L1248" s="187">
        <v>2275.1247148165271</v>
      </c>
      <c r="M1248" s="187">
        <v>4941.0791015625</v>
      </c>
      <c r="N1248" s="187">
        <v>2275.124755859375</v>
      </c>
      <c r="O1248" t="s">
        <v>1709</v>
      </c>
    </row>
    <row r="1249" spans="1:15" hidden="1" x14ac:dyDescent="0.45">
      <c r="A1249" s="187">
        <v>2016</v>
      </c>
      <c r="B1249" t="s">
        <v>310</v>
      </c>
      <c r="C1249" t="s">
        <v>323</v>
      </c>
      <c r="D1249" t="s">
        <v>35</v>
      </c>
      <c r="E1249" t="s">
        <v>349</v>
      </c>
      <c r="F1249" t="s">
        <v>404</v>
      </c>
      <c r="G1249" t="s">
        <v>36</v>
      </c>
      <c r="H1249" t="s">
        <v>43</v>
      </c>
      <c r="I1249" s="187"/>
      <c r="J1249" s="187">
        <v>0</v>
      </c>
      <c r="K1249" s="187">
        <v>3140.4577471249058</v>
      </c>
      <c r="L1249" s="187">
        <v>1054.0229841622604</v>
      </c>
      <c r="M1249" s="187">
        <v>4194.48095703125</v>
      </c>
      <c r="N1249" s="187">
        <v>1054.02294921875</v>
      </c>
      <c r="O1249" t="s">
        <v>1710</v>
      </c>
    </row>
    <row r="1250" spans="1:15" hidden="1" x14ac:dyDescent="0.45">
      <c r="A1250" s="187">
        <v>2016</v>
      </c>
      <c r="B1250" t="s">
        <v>309</v>
      </c>
      <c r="C1250" t="s">
        <v>323</v>
      </c>
      <c r="D1250" t="s">
        <v>35</v>
      </c>
      <c r="E1250" t="s">
        <v>349</v>
      </c>
      <c r="F1250" t="s">
        <v>404</v>
      </c>
      <c r="G1250" t="s">
        <v>36</v>
      </c>
      <c r="H1250" t="s">
        <v>43</v>
      </c>
      <c r="I1250" s="187"/>
      <c r="J1250" s="187">
        <v>0</v>
      </c>
      <c r="K1250" s="187">
        <v>3204.7095110077648</v>
      </c>
      <c r="L1250" s="187">
        <v>675.58939002262923</v>
      </c>
      <c r="M1250" s="187">
        <v>3880.298828125</v>
      </c>
      <c r="N1250" s="187">
        <v>675.58941650390625</v>
      </c>
      <c r="O1250" t="s">
        <v>1708</v>
      </c>
    </row>
    <row r="1251" spans="1:15" hidden="1" x14ac:dyDescent="0.45">
      <c r="A1251" s="187">
        <v>2016</v>
      </c>
      <c r="B1251" t="s">
        <v>312</v>
      </c>
      <c r="C1251" t="s">
        <v>323</v>
      </c>
      <c r="D1251" t="s">
        <v>35</v>
      </c>
      <c r="E1251" t="s">
        <v>349</v>
      </c>
      <c r="F1251" t="s">
        <v>404</v>
      </c>
      <c r="G1251" t="s">
        <v>36</v>
      </c>
      <c r="H1251" t="s">
        <v>43</v>
      </c>
      <c r="I1251" s="187">
        <v>1628.1241535355032</v>
      </c>
      <c r="J1251" s="187">
        <v>0</v>
      </c>
      <c r="K1251" s="187">
        <v>2542.2649533782915</v>
      </c>
      <c r="L1251" s="187">
        <v>1089.4219018748927</v>
      </c>
      <c r="M1251" s="187">
        <v>5259.81103515625</v>
      </c>
      <c r="N1251" s="187">
        <v>2717.546142578125</v>
      </c>
      <c r="O1251" t="s">
        <v>1707</v>
      </c>
    </row>
    <row r="1252" spans="1:15" hidden="1" x14ac:dyDescent="0.45">
      <c r="A1252" s="187">
        <v>2016</v>
      </c>
      <c r="B1252" t="s">
        <v>310</v>
      </c>
      <c r="C1252" t="s">
        <v>323</v>
      </c>
      <c r="D1252" t="s">
        <v>35</v>
      </c>
      <c r="E1252" t="s">
        <v>349</v>
      </c>
      <c r="F1252" t="s">
        <v>405</v>
      </c>
      <c r="G1252" t="s">
        <v>36</v>
      </c>
      <c r="H1252" t="s">
        <v>43</v>
      </c>
      <c r="I1252" s="187"/>
      <c r="J1252" s="187">
        <v>0</v>
      </c>
      <c r="K1252" s="187">
        <v>921.89037226620178</v>
      </c>
      <c r="L1252" s="187">
        <v>0</v>
      </c>
      <c r="M1252" s="187">
        <v>921.890380859375</v>
      </c>
      <c r="N1252" s="187">
        <v>0</v>
      </c>
      <c r="O1252" t="s">
        <v>1714</v>
      </c>
    </row>
    <row r="1253" spans="1:15" hidden="1" x14ac:dyDescent="0.45">
      <c r="A1253" s="187">
        <v>2016</v>
      </c>
      <c r="B1253" t="s">
        <v>309</v>
      </c>
      <c r="C1253" t="s">
        <v>323</v>
      </c>
      <c r="D1253" t="s">
        <v>35</v>
      </c>
      <c r="E1253" t="s">
        <v>349</v>
      </c>
      <c r="F1253" t="s">
        <v>405</v>
      </c>
      <c r="G1253" t="s">
        <v>36</v>
      </c>
      <c r="H1253" t="s">
        <v>43</v>
      </c>
      <c r="I1253" s="187"/>
      <c r="J1253" s="187">
        <v>0</v>
      </c>
      <c r="K1253" s="187">
        <v>935.63310781909911</v>
      </c>
      <c r="L1253" s="187">
        <v>0</v>
      </c>
      <c r="M1253" s="187">
        <v>935.63311767578125</v>
      </c>
      <c r="N1253" s="187">
        <v>0</v>
      </c>
      <c r="O1253" t="s">
        <v>1711</v>
      </c>
    </row>
    <row r="1254" spans="1:15" hidden="1" x14ac:dyDescent="0.45">
      <c r="A1254" s="187">
        <v>2016</v>
      </c>
      <c r="B1254" t="s">
        <v>311</v>
      </c>
      <c r="C1254" t="s">
        <v>323</v>
      </c>
      <c r="D1254" t="s">
        <v>35</v>
      </c>
      <c r="E1254" t="s">
        <v>349</v>
      </c>
      <c r="F1254" t="s">
        <v>405</v>
      </c>
      <c r="G1254" t="s">
        <v>36</v>
      </c>
      <c r="H1254" t="s">
        <v>43</v>
      </c>
      <c r="I1254" s="187"/>
      <c r="J1254" s="187">
        <v>0</v>
      </c>
      <c r="K1254" s="187">
        <v>789.42525698364295</v>
      </c>
      <c r="L1254" s="187">
        <v>91.821176831160287</v>
      </c>
      <c r="M1254" s="187">
        <v>881.24639892578125</v>
      </c>
      <c r="N1254" s="187">
        <v>91.821174621582031</v>
      </c>
      <c r="O1254" t="s">
        <v>1712</v>
      </c>
    </row>
    <row r="1255" spans="1:15" hidden="1" x14ac:dyDescent="0.45">
      <c r="A1255" s="187">
        <v>2016</v>
      </c>
      <c r="B1255" t="s">
        <v>312</v>
      </c>
      <c r="C1255" t="s">
        <v>323</v>
      </c>
      <c r="D1255" t="s">
        <v>35</v>
      </c>
      <c r="E1255" t="s">
        <v>349</v>
      </c>
      <c r="F1255" t="s">
        <v>405</v>
      </c>
      <c r="G1255" t="s">
        <v>36</v>
      </c>
      <c r="H1255" t="s">
        <v>43</v>
      </c>
      <c r="I1255" s="187">
        <v>44.641338511302848</v>
      </c>
      <c r="J1255" s="187">
        <v>0</v>
      </c>
      <c r="K1255" s="187">
        <v>765.99131207067046</v>
      </c>
      <c r="L1255" s="187">
        <v>24.731484719066806</v>
      </c>
      <c r="M1255" s="187">
        <v>835.3641357421875</v>
      </c>
      <c r="N1255" s="187">
        <v>69.372825622558594</v>
      </c>
      <c r="O1255" t="s">
        <v>1713</v>
      </c>
    </row>
    <row r="1256" spans="1:15" hidden="1" x14ac:dyDescent="0.45">
      <c r="A1256" s="187">
        <v>2016</v>
      </c>
      <c r="B1256" t="s">
        <v>309</v>
      </c>
      <c r="C1256" t="s">
        <v>323</v>
      </c>
      <c r="D1256" t="s">
        <v>35</v>
      </c>
      <c r="E1256" t="s">
        <v>349</v>
      </c>
      <c r="F1256" t="s">
        <v>406</v>
      </c>
      <c r="G1256" t="s">
        <v>36</v>
      </c>
      <c r="H1256" t="s">
        <v>43</v>
      </c>
      <c r="I1256" s="187"/>
      <c r="J1256" s="187">
        <v>0</v>
      </c>
      <c r="K1256" s="187">
        <v>1.7761369694005447</v>
      </c>
      <c r="L1256" s="187">
        <v>0</v>
      </c>
      <c r="M1256" s="187">
        <v>1.7761369943618774</v>
      </c>
      <c r="N1256" s="187">
        <v>0</v>
      </c>
      <c r="O1256" t="s">
        <v>1718</v>
      </c>
    </row>
    <row r="1257" spans="1:15" hidden="1" x14ac:dyDescent="0.45">
      <c r="A1257" s="187">
        <v>2016</v>
      </c>
      <c r="B1257" t="s">
        <v>310</v>
      </c>
      <c r="C1257" t="s">
        <v>323</v>
      </c>
      <c r="D1257" t="s">
        <v>35</v>
      </c>
      <c r="E1257" t="s">
        <v>349</v>
      </c>
      <c r="F1257" t="s">
        <v>406</v>
      </c>
      <c r="G1257" t="s">
        <v>36</v>
      </c>
      <c r="H1257" t="s">
        <v>43</v>
      </c>
      <c r="I1257" s="187"/>
      <c r="J1257" s="187">
        <v>0</v>
      </c>
      <c r="K1257" s="187">
        <v>0.92200091079389912</v>
      </c>
      <c r="L1257" s="187">
        <v>0</v>
      </c>
      <c r="M1257" s="187">
        <v>0.92200088500976563</v>
      </c>
      <c r="N1257" s="187">
        <v>0</v>
      </c>
      <c r="O1257" t="s">
        <v>1716</v>
      </c>
    </row>
    <row r="1258" spans="1:15" hidden="1" x14ac:dyDescent="0.45">
      <c r="A1258" s="187">
        <v>2016</v>
      </c>
      <c r="B1258" t="s">
        <v>312</v>
      </c>
      <c r="C1258" t="s">
        <v>323</v>
      </c>
      <c r="D1258" t="s">
        <v>35</v>
      </c>
      <c r="E1258" t="s">
        <v>349</v>
      </c>
      <c r="F1258" t="s">
        <v>406</v>
      </c>
      <c r="G1258" t="s">
        <v>36</v>
      </c>
      <c r="H1258" t="s">
        <v>43</v>
      </c>
      <c r="I1258" s="187">
        <v>0</v>
      </c>
      <c r="J1258" s="187">
        <v>0</v>
      </c>
      <c r="K1258" s="187">
        <v>0.18538889410673362</v>
      </c>
      <c r="L1258" s="187">
        <v>0</v>
      </c>
      <c r="M1258" s="187">
        <v>0.18538889288902283</v>
      </c>
      <c r="N1258" s="187">
        <v>0</v>
      </c>
      <c r="O1258" t="s">
        <v>1717</v>
      </c>
    </row>
    <row r="1259" spans="1:15" hidden="1" x14ac:dyDescent="0.45">
      <c r="A1259" s="187">
        <v>2016</v>
      </c>
      <c r="B1259" t="s">
        <v>311</v>
      </c>
      <c r="C1259" t="s">
        <v>323</v>
      </c>
      <c r="D1259" t="s">
        <v>35</v>
      </c>
      <c r="E1259" t="s">
        <v>349</v>
      </c>
      <c r="F1259" t="s">
        <v>406</v>
      </c>
      <c r="G1259" t="s">
        <v>36</v>
      </c>
      <c r="H1259" t="s">
        <v>43</v>
      </c>
      <c r="I1259" s="187"/>
      <c r="J1259" s="187">
        <v>0</v>
      </c>
      <c r="K1259" s="187">
        <v>1.1591214332486102</v>
      </c>
      <c r="L1259" s="187">
        <v>0</v>
      </c>
      <c r="M1259" s="187">
        <v>1.1591213941574097</v>
      </c>
      <c r="N1259" s="187">
        <v>0</v>
      </c>
      <c r="O1259" t="s">
        <v>1715</v>
      </c>
    </row>
    <row r="1260" spans="1:15" hidden="1" x14ac:dyDescent="0.45">
      <c r="A1260" s="187">
        <v>2016</v>
      </c>
      <c r="B1260" t="s">
        <v>309</v>
      </c>
      <c r="C1260" t="s">
        <v>323</v>
      </c>
      <c r="D1260" t="s">
        <v>35</v>
      </c>
      <c r="E1260" t="s">
        <v>349</v>
      </c>
      <c r="F1260" t="s">
        <v>407</v>
      </c>
      <c r="G1260" t="s">
        <v>36</v>
      </c>
      <c r="H1260" t="s">
        <v>43</v>
      </c>
      <c r="I1260" s="187"/>
      <c r="J1260" s="187">
        <v>0</v>
      </c>
      <c r="K1260" s="187">
        <v>0</v>
      </c>
      <c r="L1260" s="187">
        <v>63.584883766835688</v>
      </c>
      <c r="M1260" s="187">
        <v>63.584884643554688</v>
      </c>
      <c r="N1260" s="187">
        <v>63.584884643554688</v>
      </c>
      <c r="O1260" t="s">
        <v>1719</v>
      </c>
    </row>
    <row r="1261" spans="1:15" hidden="1" x14ac:dyDescent="0.45">
      <c r="A1261" s="187">
        <v>2016</v>
      </c>
      <c r="B1261" t="s">
        <v>310</v>
      </c>
      <c r="C1261" t="s">
        <v>323</v>
      </c>
      <c r="D1261" t="s">
        <v>35</v>
      </c>
      <c r="E1261" t="s">
        <v>349</v>
      </c>
      <c r="F1261" t="s">
        <v>407</v>
      </c>
      <c r="G1261" t="s">
        <v>36</v>
      </c>
      <c r="H1261" t="s">
        <v>43</v>
      </c>
      <c r="I1261" s="187"/>
      <c r="J1261" s="187">
        <v>0</v>
      </c>
      <c r="K1261" s="187">
        <v>0</v>
      </c>
      <c r="L1261" s="187">
        <v>64.078320377110117</v>
      </c>
      <c r="M1261" s="187">
        <v>64.078323364257813</v>
      </c>
      <c r="N1261" s="187">
        <v>64.078323364257813</v>
      </c>
      <c r="O1261" t="s">
        <v>1722</v>
      </c>
    </row>
    <row r="1262" spans="1:15" hidden="1" x14ac:dyDescent="0.45">
      <c r="A1262" s="187">
        <v>2016</v>
      </c>
      <c r="B1262" t="s">
        <v>312</v>
      </c>
      <c r="C1262" t="s">
        <v>323</v>
      </c>
      <c r="D1262" t="s">
        <v>35</v>
      </c>
      <c r="E1262" t="s">
        <v>349</v>
      </c>
      <c r="F1262" t="s">
        <v>407</v>
      </c>
      <c r="G1262" t="s">
        <v>36</v>
      </c>
      <c r="H1262" t="s">
        <v>43</v>
      </c>
      <c r="I1262" s="187">
        <v>0</v>
      </c>
      <c r="J1262" s="187">
        <v>0</v>
      </c>
      <c r="K1262" s="187">
        <v>0</v>
      </c>
      <c r="L1262" s="187">
        <v>65.538434505527036</v>
      </c>
      <c r="M1262" s="187">
        <v>65.538436889648438</v>
      </c>
      <c r="N1262" s="187">
        <v>65.538436889648438</v>
      </c>
      <c r="O1262" t="s">
        <v>1720</v>
      </c>
    </row>
    <row r="1263" spans="1:15" hidden="1" x14ac:dyDescent="0.45">
      <c r="A1263" s="187">
        <v>2016</v>
      </c>
      <c r="B1263" t="s">
        <v>311</v>
      </c>
      <c r="C1263" t="s">
        <v>323</v>
      </c>
      <c r="D1263" t="s">
        <v>35</v>
      </c>
      <c r="E1263" t="s">
        <v>349</v>
      </c>
      <c r="F1263" t="s">
        <v>407</v>
      </c>
      <c r="G1263" t="s">
        <v>36</v>
      </c>
      <c r="H1263" t="s">
        <v>43</v>
      </c>
      <c r="I1263" s="187"/>
      <c r="J1263" s="187">
        <v>12.752941226550039</v>
      </c>
      <c r="K1263" s="187">
        <v>0</v>
      </c>
      <c r="L1263" s="187">
        <v>61.214117887440189</v>
      </c>
      <c r="M1263" s="187">
        <v>73.967056274414063</v>
      </c>
      <c r="N1263" s="187">
        <v>61.214118957519531</v>
      </c>
      <c r="O1263" t="s">
        <v>1721</v>
      </c>
    </row>
    <row r="1264" spans="1:15" hidden="1" x14ac:dyDescent="0.45">
      <c r="A1264" s="187">
        <v>2016</v>
      </c>
      <c r="B1264" t="s">
        <v>310</v>
      </c>
      <c r="C1264" t="s">
        <v>323</v>
      </c>
      <c r="D1264" t="s">
        <v>35</v>
      </c>
      <c r="E1264" t="s">
        <v>349</v>
      </c>
      <c r="F1264" t="s">
        <v>408</v>
      </c>
      <c r="G1264" t="s">
        <v>36</v>
      </c>
      <c r="H1264" t="s">
        <v>43</v>
      </c>
      <c r="I1264" s="187"/>
      <c r="J1264" s="187">
        <v>0</v>
      </c>
      <c r="K1264" s="187">
        <v>443.06346797373152</v>
      </c>
      <c r="L1264" s="187">
        <v>723.16961568452848</v>
      </c>
      <c r="M1264" s="187">
        <v>1166.2330322265625</v>
      </c>
      <c r="N1264" s="187">
        <v>723.16961669921875</v>
      </c>
      <c r="O1264" t="s">
        <v>1724</v>
      </c>
    </row>
    <row r="1265" spans="1:15" hidden="1" x14ac:dyDescent="0.45">
      <c r="A1265" s="187">
        <v>2016</v>
      </c>
      <c r="B1265" t="s">
        <v>309</v>
      </c>
      <c r="C1265" t="s">
        <v>323</v>
      </c>
      <c r="D1265" t="s">
        <v>35</v>
      </c>
      <c r="E1265" t="s">
        <v>349</v>
      </c>
      <c r="F1265" t="s">
        <v>408</v>
      </c>
      <c r="G1265" t="s">
        <v>36</v>
      </c>
      <c r="H1265" t="s">
        <v>43</v>
      </c>
      <c r="I1265" s="187"/>
      <c r="J1265" s="187"/>
      <c r="K1265" s="187">
        <v>452.12826413455599</v>
      </c>
      <c r="L1265" s="187">
        <v>255.66422014581849</v>
      </c>
      <c r="M1265" s="187">
        <v>707.79248046875</v>
      </c>
      <c r="N1265" s="187">
        <v>255.66421508789063</v>
      </c>
      <c r="O1265" t="s">
        <v>1723</v>
      </c>
    </row>
    <row r="1266" spans="1:15" hidden="1" x14ac:dyDescent="0.45">
      <c r="A1266" s="187">
        <v>2016</v>
      </c>
      <c r="B1266" t="s">
        <v>309</v>
      </c>
      <c r="C1266" t="s">
        <v>323</v>
      </c>
      <c r="D1266" t="s">
        <v>35</v>
      </c>
      <c r="E1266" t="s">
        <v>349</v>
      </c>
      <c r="F1266" t="s">
        <v>409</v>
      </c>
      <c r="G1266" t="s">
        <v>36</v>
      </c>
      <c r="H1266" t="s">
        <v>43</v>
      </c>
      <c r="I1266" s="187"/>
      <c r="J1266" s="187"/>
      <c r="K1266" s="187">
        <v>0</v>
      </c>
      <c r="L1266" s="187">
        <v>31.792441883417844</v>
      </c>
      <c r="M1266" s="187">
        <v>31.792442321777344</v>
      </c>
      <c r="N1266" s="187">
        <v>31.792442321777344</v>
      </c>
      <c r="O1266" t="s">
        <v>1725</v>
      </c>
    </row>
    <row r="1267" spans="1:15" hidden="1" x14ac:dyDescent="0.45">
      <c r="A1267" s="187">
        <v>2016</v>
      </c>
      <c r="B1267" t="s">
        <v>310</v>
      </c>
      <c r="C1267" t="s">
        <v>323</v>
      </c>
      <c r="D1267" t="s">
        <v>35</v>
      </c>
      <c r="E1267" t="s">
        <v>349</v>
      </c>
      <c r="F1267" t="s">
        <v>409</v>
      </c>
      <c r="G1267" t="s">
        <v>36</v>
      </c>
      <c r="H1267" t="s">
        <v>43</v>
      </c>
      <c r="I1267" s="187"/>
      <c r="J1267" s="187">
        <v>0</v>
      </c>
      <c r="K1267" s="187">
        <v>0</v>
      </c>
      <c r="L1267" s="187">
        <v>31.385299776543732</v>
      </c>
      <c r="M1267" s="187">
        <v>31.385299682617188</v>
      </c>
      <c r="N1267" s="187">
        <v>31.385299682617188</v>
      </c>
      <c r="O1267" t="s">
        <v>1726</v>
      </c>
    </row>
    <row r="1268" spans="1:15" hidden="1" x14ac:dyDescent="0.45">
      <c r="A1268" s="187">
        <v>2016</v>
      </c>
      <c r="B1268" t="s">
        <v>309</v>
      </c>
      <c r="C1268" t="s">
        <v>323</v>
      </c>
      <c r="D1268" t="s">
        <v>35</v>
      </c>
      <c r="E1268" t="s">
        <v>349</v>
      </c>
      <c r="F1268" t="s">
        <v>410</v>
      </c>
      <c r="G1268" t="s">
        <v>36</v>
      </c>
      <c r="H1268" t="s">
        <v>43</v>
      </c>
      <c r="I1268" s="187"/>
      <c r="J1268" s="187"/>
      <c r="K1268" s="187">
        <v>0</v>
      </c>
      <c r="L1268" s="187">
        <v>25.169016491039127</v>
      </c>
      <c r="M1268" s="187">
        <v>25.169015884399414</v>
      </c>
      <c r="N1268" s="187">
        <v>25.169015884399414</v>
      </c>
      <c r="O1268" t="s">
        <v>1727</v>
      </c>
    </row>
    <row r="1269" spans="1:15" hidden="1" x14ac:dyDescent="0.45">
      <c r="A1269" s="187">
        <v>2016</v>
      </c>
      <c r="B1269" t="s">
        <v>310</v>
      </c>
      <c r="C1269" t="s">
        <v>323</v>
      </c>
      <c r="D1269" t="s">
        <v>35</v>
      </c>
      <c r="E1269" t="s">
        <v>349</v>
      </c>
      <c r="F1269" t="s">
        <v>410</v>
      </c>
      <c r="G1269" t="s">
        <v>36</v>
      </c>
      <c r="H1269" t="s">
        <v>43</v>
      </c>
      <c r="I1269" s="187"/>
      <c r="J1269" s="187">
        <v>0</v>
      </c>
      <c r="K1269" s="187">
        <v>0</v>
      </c>
      <c r="L1269" s="187">
        <v>278.54453551682565</v>
      </c>
      <c r="M1269" s="187">
        <v>278.54452514648438</v>
      </c>
      <c r="N1269" s="187">
        <v>278.54452514648438</v>
      </c>
      <c r="O1269" t="s">
        <v>1728</v>
      </c>
    </row>
    <row r="1270" spans="1:15" hidden="1" x14ac:dyDescent="0.45">
      <c r="A1270" s="187">
        <v>2016</v>
      </c>
      <c r="B1270" t="s">
        <v>309</v>
      </c>
      <c r="C1270" t="s">
        <v>323</v>
      </c>
      <c r="D1270" t="s">
        <v>35</v>
      </c>
      <c r="E1270" t="s">
        <v>349</v>
      </c>
      <c r="F1270" t="s">
        <v>411</v>
      </c>
      <c r="G1270" t="s">
        <v>36</v>
      </c>
      <c r="H1270" t="s">
        <v>43</v>
      </c>
      <c r="I1270" s="187"/>
      <c r="J1270" s="187">
        <v>0</v>
      </c>
      <c r="K1270" s="187">
        <v>452.12826413455599</v>
      </c>
      <c r="L1270" s="187">
        <v>312.62567852027547</v>
      </c>
      <c r="M1270" s="187">
        <v>764.75396728515625</v>
      </c>
      <c r="N1270" s="187">
        <v>312.62567138671875</v>
      </c>
      <c r="O1270" t="s">
        <v>1730</v>
      </c>
    </row>
    <row r="1271" spans="1:15" hidden="1" x14ac:dyDescent="0.45">
      <c r="A1271" s="187">
        <v>2016</v>
      </c>
      <c r="B1271" t="s">
        <v>310</v>
      </c>
      <c r="C1271" t="s">
        <v>323</v>
      </c>
      <c r="D1271" t="s">
        <v>35</v>
      </c>
      <c r="E1271" t="s">
        <v>349</v>
      </c>
      <c r="F1271" t="s">
        <v>411</v>
      </c>
      <c r="G1271" t="s">
        <v>36</v>
      </c>
      <c r="H1271" t="s">
        <v>43</v>
      </c>
      <c r="I1271" s="187"/>
      <c r="J1271" s="187">
        <v>0</v>
      </c>
      <c r="K1271" s="187">
        <v>443.06346797373152</v>
      </c>
      <c r="L1271" s="187">
        <v>1033.099450977898</v>
      </c>
      <c r="M1271" s="187">
        <v>1476.1629638671875</v>
      </c>
      <c r="N1271" s="187">
        <v>1033.0994873046875</v>
      </c>
      <c r="O1271" t="s">
        <v>1729</v>
      </c>
    </row>
    <row r="1272" spans="1:15" hidden="1" x14ac:dyDescent="0.45">
      <c r="A1272" s="187">
        <v>2016</v>
      </c>
      <c r="B1272" t="s">
        <v>311</v>
      </c>
      <c r="C1272" t="s">
        <v>323</v>
      </c>
      <c r="D1272" t="s">
        <v>35</v>
      </c>
      <c r="E1272" t="s">
        <v>349</v>
      </c>
      <c r="F1272" t="s">
        <v>423</v>
      </c>
      <c r="G1272" t="s">
        <v>36</v>
      </c>
      <c r="H1272" t="s">
        <v>43</v>
      </c>
      <c r="I1272" s="187"/>
      <c r="J1272" s="187">
        <v>0</v>
      </c>
      <c r="K1272" s="187">
        <v>35.004858618956661</v>
      </c>
      <c r="L1272" s="187">
        <v>784.30588543282749</v>
      </c>
      <c r="M1272" s="187">
        <v>819.31072998046875</v>
      </c>
      <c r="N1272" s="187">
        <v>784.305908203125</v>
      </c>
      <c r="O1272" t="s">
        <v>1732</v>
      </c>
    </row>
    <row r="1273" spans="1:15" hidden="1" x14ac:dyDescent="0.45">
      <c r="A1273" s="187">
        <v>2016</v>
      </c>
      <c r="B1273" t="s">
        <v>312</v>
      </c>
      <c r="C1273" t="s">
        <v>323</v>
      </c>
      <c r="D1273" t="s">
        <v>35</v>
      </c>
      <c r="E1273" t="s">
        <v>349</v>
      </c>
      <c r="F1273" t="s">
        <v>423</v>
      </c>
      <c r="G1273" t="s">
        <v>36</v>
      </c>
      <c r="H1273" t="s">
        <v>43</v>
      </c>
      <c r="I1273" s="187">
        <v>197.17333586821798</v>
      </c>
      <c r="J1273" s="187">
        <v>0</v>
      </c>
      <c r="K1273" s="187">
        <v>183.31052849131819</v>
      </c>
      <c r="L1273" s="187">
        <v>124.89399783128736</v>
      </c>
      <c r="M1273" s="187">
        <v>505.37786865234375</v>
      </c>
      <c r="N1273" s="187">
        <v>322.06735229492188</v>
      </c>
      <c r="O1273" t="s">
        <v>1731</v>
      </c>
    </row>
    <row r="1274" spans="1:15" hidden="1" x14ac:dyDescent="0.45">
      <c r="A1274" s="187">
        <v>2016</v>
      </c>
      <c r="B1274" t="s">
        <v>311</v>
      </c>
      <c r="C1274" t="s">
        <v>323</v>
      </c>
      <c r="D1274" t="s">
        <v>35</v>
      </c>
      <c r="E1274" t="s">
        <v>349</v>
      </c>
      <c r="F1274" t="s">
        <v>424</v>
      </c>
      <c r="G1274" t="s">
        <v>36</v>
      </c>
      <c r="H1274" t="s">
        <v>43</v>
      </c>
      <c r="I1274" s="187"/>
      <c r="J1274" s="187">
        <v>0</v>
      </c>
      <c r="K1274" s="187">
        <v>0</v>
      </c>
      <c r="L1274" s="187">
        <v>0</v>
      </c>
      <c r="M1274" s="187">
        <v>0</v>
      </c>
      <c r="N1274" s="187">
        <v>0</v>
      </c>
      <c r="O1274" t="s">
        <v>1734</v>
      </c>
    </row>
    <row r="1275" spans="1:15" hidden="1" x14ac:dyDescent="0.45">
      <c r="A1275" s="187">
        <v>2016</v>
      </c>
      <c r="B1275" t="s">
        <v>312</v>
      </c>
      <c r="C1275" t="s">
        <v>323</v>
      </c>
      <c r="D1275" t="s">
        <v>35</v>
      </c>
      <c r="E1275" t="s">
        <v>349</v>
      </c>
      <c r="F1275" t="s">
        <v>424</v>
      </c>
      <c r="G1275" t="s">
        <v>36</v>
      </c>
      <c r="H1275" t="s">
        <v>43</v>
      </c>
      <c r="I1275" s="187">
        <v>0</v>
      </c>
      <c r="J1275" s="187">
        <v>0</v>
      </c>
      <c r="K1275" s="187">
        <v>0</v>
      </c>
      <c r="L1275" s="187">
        <v>64.301860269573694</v>
      </c>
      <c r="M1275" s="187">
        <v>64.301856994628906</v>
      </c>
      <c r="N1275" s="187">
        <v>64.301856994628906</v>
      </c>
      <c r="O1275" t="s">
        <v>1733</v>
      </c>
    </row>
    <row r="1276" spans="1:15" hidden="1" x14ac:dyDescent="0.45">
      <c r="A1276" s="187">
        <v>2016</v>
      </c>
      <c r="B1276" t="s">
        <v>311</v>
      </c>
      <c r="C1276" t="s">
        <v>323</v>
      </c>
      <c r="D1276" t="s">
        <v>35</v>
      </c>
      <c r="E1276" t="s">
        <v>349</v>
      </c>
      <c r="F1276" t="s">
        <v>446</v>
      </c>
      <c r="G1276" t="s">
        <v>36</v>
      </c>
      <c r="H1276" t="s">
        <v>43</v>
      </c>
      <c r="I1276" s="187"/>
      <c r="J1276" s="187">
        <v>0</v>
      </c>
      <c r="K1276" s="187">
        <v>0</v>
      </c>
      <c r="L1276" s="187">
        <v>270.36235400286085</v>
      </c>
      <c r="M1276" s="187">
        <v>270.36236572265625</v>
      </c>
      <c r="N1276" s="187">
        <v>270.36236572265625</v>
      </c>
      <c r="O1276" t="s">
        <v>1735</v>
      </c>
    </row>
    <row r="1277" spans="1:15" hidden="1" x14ac:dyDescent="0.45">
      <c r="A1277" s="187">
        <v>2016</v>
      </c>
      <c r="B1277" t="s">
        <v>312</v>
      </c>
      <c r="C1277" t="s">
        <v>323</v>
      </c>
      <c r="D1277" t="s">
        <v>35</v>
      </c>
      <c r="E1277" t="s">
        <v>349</v>
      </c>
      <c r="F1277" t="s">
        <v>446</v>
      </c>
      <c r="G1277" t="s">
        <v>36</v>
      </c>
      <c r="H1277" t="s">
        <v>43</v>
      </c>
      <c r="I1277" s="187">
        <v>285.27173439320831</v>
      </c>
      <c r="J1277" s="187">
        <v>0</v>
      </c>
      <c r="K1277" s="187">
        <v>0</v>
      </c>
      <c r="L1277" s="187">
        <v>309.14355898833509</v>
      </c>
      <c r="M1277" s="187">
        <v>594.415283203125</v>
      </c>
      <c r="N1277" s="187">
        <v>594.415283203125</v>
      </c>
      <c r="O1277" t="s">
        <v>1736</v>
      </c>
    </row>
    <row r="1278" spans="1:15" hidden="1" x14ac:dyDescent="0.45">
      <c r="A1278" s="187">
        <v>2016</v>
      </c>
      <c r="B1278" t="s">
        <v>312</v>
      </c>
      <c r="C1278" t="s">
        <v>323</v>
      </c>
      <c r="D1278" t="s">
        <v>35</v>
      </c>
      <c r="E1278" t="s">
        <v>349</v>
      </c>
      <c r="F1278" t="s">
        <v>447</v>
      </c>
      <c r="G1278" t="s">
        <v>36</v>
      </c>
      <c r="H1278" t="s">
        <v>43</v>
      </c>
      <c r="I1278" s="187">
        <v>482.44507026142628</v>
      </c>
      <c r="J1278" s="187">
        <v>0</v>
      </c>
      <c r="K1278" s="187">
        <v>183.31052849131819</v>
      </c>
      <c r="L1278" s="187">
        <v>498.3394170891961</v>
      </c>
      <c r="M1278" s="187">
        <v>1164.0950927734375</v>
      </c>
      <c r="N1278" s="187">
        <v>980.78448486328125</v>
      </c>
      <c r="O1278" t="s">
        <v>1737</v>
      </c>
    </row>
    <row r="1279" spans="1:15" hidden="1" x14ac:dyDescent="0.45">
      <c r="A1279" s="187">
        <v>2016</v>
      </c>
      <c r="B1279" t="s">
        <v>311</v>
      </c>
      <c r="C1279" t="s">
        <v>323</v>
      </c>
      <c r="D1279" t="s">
        <v>35</v>
      </c>
      <c r="E1279" t="s">
        <v>349</v>
      </c>
      <c r="F1279" t="s">
        <v>447</v>
      </c>
      <c r="G1279" t="s">
        <v>36</v>
      </c>
      <c r="H1279" t="s">
        <v>43</v>
      </c>
      <c r="I1279" s="187"/>
      <c r="J1279" s="187">
        <v>0</v>
      </c>
      <c r="K1279" s="187">
        <v>35.004858618956661</v>
      </c>
      <c r="L1279" s="187">
        <v>1054.6682394356883</v>
      </c>
      <c r="M1279" s="187">
        <v>1089.673095703125</v>
      </c>
      <c r="N1279" s="187">
        <v>1054.668212890625</v>
      </c>
      <c r="O1279" t="s">
        <v>1738</v>
      </c>
    </row>
    <row r="1280" spans="1:15" hidden="1" x14ac:dyDescent="0.45">
      <c r="A1280" s="187">
        <v>2016</v>
      </c>
      <c r="B1280" t="s">
        <v>34</v>
      </c>
      <c r="C1280" t="s">
        <v>324</v>
      </c>
      <c r="D1280" t="s">
        <v>35</v>
      </c>
      <c r="E1280" t="s">
        <v>348</v>
      </c>
      <c r="F1280" t="s">
        <v>382</v>
      </c>
      <c r="G1280" t="s">
        <v>36</v>
      </c>
      <c r="H1280" t="s">
        <v>43</v>
      </c>
      <c r="I1280" s="187">
        <v>9489.470703125</v>
      </c>
      <c r="J1280" s="187">
        <v>943.50616455078125</v>
      </c>
      <c r="K1280" s="187">
        <v>15756.0673828125</v>
      </c>
      <c r="L1280" s="187">
        <v>27575.60546875</v>
      </c>
      <c r="M1280" s="187">
        <v>53764.6484375</v>
      </c>
      <c r="N1280" s="187">
        <v>37065.078125</v>
      </c>
      <c r="O1280" t="s">
        <v>1739</v>
      </c>
    </row>
    <row r="1281" spans="1:15" hidden="1" x14ac:dyDescent="0.45">
      <c r="A1281" s="187">
        <v>2016</v>
      </c>
      <c r="B1281" t="s">
        <v>34</v>
      </c>
      <c r="C1281" t="s">
        <v>324</v>
      </c>
      <c r="D1281" t="s">
        <v>35</v>
      </c>
      <c r="E1281" t="s">
        <v>348</v>
      </c>
      <c r="F1281" t="s">
        <v>382</v>
      </c>
      <c r="G1281" t="s">
        <v>37</v>
      </c>
      <c r="H1281" t="s">
        <v>43</v>
      </c>
      <c r="I1281" s="187">
        <v>7674</v>
      </c>
      <c r="J1281" s="187">
        <v>763</v>
      </c>
      <c r="K1281" s="187">
        <v>12741.70755945824</v>
      </c>
      <c r="L1281" s="187">
        <v>22300</v>
      </c>
      <c r="M1281" s="187">
        <v>43478.70703125</v>
      </c>
      <c r="N1281" s="187">
        <v>29974</v>
      </c>
      <c r="O1281" t="s">
        <v>1740</v>
      </c>
    </row>
    <row r="1282" spans="1:15" hidden="1" x14ac:dyDescent="0.45">
      <c r="A1282" s="187">
        <v>2016</v>
      </c>
      <c r="B1282" t="s">
        <v>34</v>
      </c>
      <c r="C1282" t="s">
        <v>324</v>
      </c>
      <c r="D1282" t="s">
        <v>35</v>
      </c>
      <c r="E1282" t="s">
        <v>19</v>
      </c>
      <c r="F1282" t="s">
        <v>19</v>
      </c>
      <c r="G1282" t="s">
        <v>36</v>
      </c>
      <c r="H1282" t="s">
        <v>43</v>
      </c>
      <c r="I1282" s="187">
        <v>1132.7020263671875</v>
      </c>
      <c r="J1282" s="187">
        <v>11.129168510437012</v>
      </c>
      <c r="K1282" s="187">
        <v>47.318279266357422</v>
      </c>
      <c r="L1282" s="187">
        <v>2823.098876953125</v>
      </c>
      <c r="M1282" s="187">
        <v>4014.248291015625</v>
      </c>
      <c r="N1282" s="187">
        <v>3955.80078125</v>
      </c>
      <c r="O1282" t="s">
        <v>1741</v>
      </c>
    </row>
    <row r="1283" spans="1:15" hidden="1" x14ac:dyDescent="0.45">
      <c r="A1283" s="187">
        <v>2016</v>
      </c>
      <c r="B1283" t="s">
        <v>34</v>
      </c>
      <c r="C1283" t="s">
        <v>324</v>
      </c>
      <c r="D1283" t="s">
        <v>35</v>
      </c>
      <c r="E1283" t="s">
        <v>19</v>
      </c>
      <c r="F1283" t="s">
        <v>19</v>
      </c>
      <c r="G1283" t="s">
        <v>37</v>
      </c>
      <c r="H1283" t="s">
        <v>43</v>
      </c>
      <c r="I1283" s="187">
        <v>916</v>
      </c>
      <c r="J1283" s="187">
        <v>9</v>
      </c>
      <c r="K1283" s="187">
        <v>38.265619999999998</v>
      </c>
      <c r="L1283" s="187">
        <v>2283</v>
      </c>
      <c r="M1283" s="187">
        <v>3246.265625</v>
      </c>
      <c r="N1283" s="187">
        <v>3199</v>
      </c>
      <c r="O1283" t="s">
        <v>1742</v>
      </c>
    </row>
    <row r="1284" spans="1:15" hidden="1" x14ac:dyDescent="0.45">
      <c r="A1284" s="187">
        <v>2016</v>
      </c>
      <c r="B1284" t="s">
        <v>34</v>
      </c>
      <c r="C1284" t="s">
        <v>324</v>
      </c>
      <c r="D1284" t="s">
        <v>35</v>
      </c>
      <c r="E1284" t="s">
        <v>349</v>
      </c>
      <c r="F1284" t="s">
        <v>349</v>
      </c>
      <c r="G1284" t="s">
        <v>36</v>
      </c>
      <c r="H1284" t="s">
        <v>43</v>
      </c>
      <c r="I1284" s="187">
        <v>2693.2587890625</v>
      </c>
      <c r="J1284" s="187">
        <v>524.3074951171875</v>
      </c>
      <c r="K1284" s="187">
        <v>2224.81298828125</v>
      </c>
      <c r="L1284" s="187">
        <v>1727.4942626953125</v>
      </c>
      <c r="M1284" s="187">
        <v>7169.87353515625</v>
      </c>
      <c r="N1284" s="187">
        <v>4420.7529296875</v>
      </c>
      <c r="O1284" t="s">
        <v>1743</v>
      </c>
    </row>
    <row r="1285" spans="1:15" hidden="1" x14ac:dyDescent="0.45">
      <c r="A1285" s="187">
        <v>2016</v>
      </c>
      <c r="B1285" t="s">
        <v>34</v>
      </c>
      <c r="C1285" t="s">
        <v>324</v>
      </c>
      <c r="D1285" t="s">
        <v>35</v>
      </c>
      <c r="E1285" t="s">
        <v>349</v>
      </c>
      <c r="F1285" t="s">
        <v>349</v>
      </c>
      <c r="G1285" t="s">
        <v>37</v>
      </c>
      <c r="H1285" t="s">
        <v>43</v>
      </c>
      <c r="I1285" s="187">
        <v>2178</v>
      </c>
      <c r="J1285" s="187">
        <v>424</v>
      </c>
      <c r="K1285" s="187">
        <v>1799.1745699999999</v>
      </c>
      <c r="L1285" s="187">
        <v>1397</v>
      </c>
      <c r="M1285" s="187">
        <v>5798.1748046875</v>
      </c>
      <c r="N1285" s="187">
        <v>3575</v>
      </c>
      <c r="O1285" t="s">
        <v>1744</v>
      </c>
    </row>
    <row r="1286" spans="1:15" hidden="1" x14ac:dyDescent="0.45">
      <c r="A1286" s="187">
        <v>2016</v>
      </c>
      <c r="B1286" t="s">
        <v>34</v>
      </c>
      <c r="C1286" t="s">
        <v>324</v>
      </c>
      <c r="D1286" t="s">
        <v>35</v>
      </c>
      <c r="E1286" t="s">
        <v>14</v>
      </c>
      <c r="F1286" t="s">
        <v>14</v>
      </c>
      <c r="G1286" t="s">
        <v>36</v>
      </c>
      <c r="H1286" t="s">
        <v>43</v>
      </c>
      <c r="I1286" s="187">
        <v>7462.7255859375</v>
      </c>
      <c r="J1286" s="187">
        <v>943.50616455078125</v>
      </c>
      <c r="K1286" s="187">
        <v>15585.1904296875</v>
      </c>
      <c r="L1286" s="187">
        <v>21701.876953125</v>
      </c>
      <c r="M1286" s="187">
        <v>45693.296875</v>
      </c>
      <c r="N1286" s="187">
        <v>29164.6015625</v>
      </c>
      <c r="O1286" t="s">
        <v>1745</v>
      </c>
    </row>
    <row r="1287" spans="1:15" hidden="1" x14ac:dyDescent="0.45">
      <c r="A1287" s="187">
        <v>2016</v>
      </c>
      <c r="B1287" t="s">
        <v>34</v>
      </c>
      <c r="C1287" t="s">
        <v>324</v>
      </c>
      <c r="D1287" t="s">
        <v>35</v>
      </c>
      <c r="E1287" t="s">
        <v>14</v>
      </c>
      <c r="F1287" t="s">
        <v>14</v>
      </c>
      <c r="G1287" t="s">
        <v>37</v>
      </c>
      <c r="H1287" t="s">
        <v>43</v>
      </c>
      <c r="I1287" s="187">
        <v>6035</v>
      </c>
      <c r="J1287" s="187">
        <v>763</v>
      </c>
      <c r="K1287" s="187">
        <v>12603.52173945824</v>
      </c>
      <c r="L1287" s="187">
        <v>17550</v>
      </c>
      <c r="M1287" s="187">
        <v>36951.5234375</v>
      </c>
      <c r="N1287" s="187">
        <v>23585</v>
      </c>
      <c r="O1287" t="s">
        <v>1746</v>
      </c>
    </row>
    <row r="1288" spans="1:15" hidden="1" x14ac:dyDescent="0.45">
      <c r="A1288" s="187">
        <v>2016</v>
      </c>
      <c r="B1288" t="s">
        <v>34</v>
      </c>
      <c r="C1288" t="s">
        <v>324</v>
      </c>
      <c r="D1288" t="s">
        <v>35</v>
      </c>
      <c r="E1288" t="s">
        <v>16</v>
      </c>
      <c r="F1288" t="s">
        <v>16</v>
      </c>
      <c r="G1288" t="s">
        <v>36</v>
      </c>
      <c r="H1288" t="s">
        <v>43</v>
      </c>
      <c r="I1288" s="187">
        <v>4769.466796875</v>
      </c>
      <c r="J1288" s="187">
        <v>147.15232849121094</v>
      </c>
      <c r="K1288" s="187">
        <v>6125.31298828125</v>
      </c>
      <c r="L1288" s="187">
        <v>21515.154296875</v>
      </c>
      <c r="M1288" s="187">
        <v>32557.0859375</v>
      </c>
      <c r="N1288" s="187">
        <v>26284.62109375</v>
      </c>
      <c r="O1288" t="s">
        <v>1747</v>
      </c>
    </row>
    <row r="1289" spans="1:15" hidden="1" x14ac:dyDescent="0.45">
      <c r="A1289" s="187">
        <v>2016</v>
      </c>
      <c r="B1289" t="s">
        <v>34</v>
      </c>
      <c r="C1289" t="s">
        <v>324</v>
      </c>
      <c r="D1289" t="s">
        <v>35</v>
      </c>
      <c r="E1289" t="s">
        <v>16</v>
      </c>
      <c r="F1289" t="s">
        <v>16</v>
      </c>
      <c r="G1289" t="s">
        <v>37</v>
      </c>
      <c r="H1289" t="s">
        <v>43</v>
      </c>
      <c r="I1289" s="187">
        <v>3857</v>
      </c>
      <c r="J1289" s="187">
        <v>119</v>
      </c>
      <c r="K1289" s="187">
        <v>4953.4536399999997</v>
      </c>
      <c r="L1289" s="187">
        <v>17399</v>
      </c>
      <c r="M1289" s="187">
        <v>26328.453125</v>
      </c>
      <c r="N1289" s="187">
        <v>21256</v>
      </c>
      <c r="O1289" t="s">
        <v>1748</v>
      </c>
    </row>
    <row r="1290" spans="1:15" hidden="1" x14ac:dyDescent="0.45">
      <c r="A1290" s="187">
        <v>2016</v>
      </c>
      <c r="B1290" t="s">
        <v>34</v>
      </c>
      <c r="C1290" t="s">
        <v>324</v>
      </c>
      <c r="D1290" t="s">
        <v>35</v>
      </c>
      <c r="E1290" t="s">
        <v>351</v>
      </c>
      <c r="F1290" t="s">
        <v>351</v>
      </c>
      <c r="G1290" t="s">
        <v>36</v>
      </c>
      <c r="H1290" t="s">
        <v>43</v>
      </c>
      <c r="I1290" s="187">
        <v>56.882415771484375</v>
      </c>
      <c r="J1290" s="187">
        <v>0</v>
      </c>
      <c r="K1290" s="187">
        <v>89.757232666015625</v>
      </c>
      <c r="L1290" s="187">
        <v>72.957878112792969</v>
      </c>
      <c r="M1290" s="187">
        <v>219.5975341796875</v>
      </c>
      <c r="N1290" s="187">
        <v>129.84030151367188</v>
      </c>
      <c r="O1290" t="s">
        <v>1749</v>
      </c>
    </row>
    <row r="1291" spans="1:15" hidden="1" x14ac:dyDescent="0.45">
      <c r="A1291" s="187">
        <v>2016</v>
      </c>
      <c r="B1291" t="s">
        <v>34</v>
      </c>
      <c r="C1291" t="s">
        <v>324</v>
      </c>
      <c r="D1291" t="s">
        <v>35</v>
      </c>
      <c r="E1291" t="s">
        <v>351</v>
      </c>
      <c r="F1291" t="s">
        <v>351</v>
      </c>
      <c r="G1291" t="s">
        <v>37</v>
      </c>
      <c r="H1291" t="s">
        <v>43</v>
      </c>
      <c r="I1291" s="187">
        <v>46</v>
      </c>
      <c r="J1291" s="187">
        <v>0</v>
      </c>
      <c r="K1291" s="187">
        <v>72.585399999999979</v>
      </c>
      <c r="L1291" s="187">
        <v>59</v>
      </c>
      <c r="M1291" s="187">
        <v>177.58540344238281</v>
      </c>
      <c r="N1291" s="187">
        <v>105</v>
      </c>
      <c r="O1291" t="s">
        <v>1750</v>
      </c>
    </row>
    <row r="1292" spans="1:15" hidden="1" x14ac:dyDescent="0.45">
      <c r="A1292" s="187">
        <v>2016</v>
      </c>
      <c r="B1292" t="s">
        <v>34</v>
      </c>
      <c r="C1292" t="s">
        <v>324</v>
      </c>
      <c r="D1292" t="s">
        <v>35</v>
      </c>
      <c r="E1292" t="s">
        <v>353</v>
      </c>
      <c r="F1292" t="s">
        <v>383</v>
      </c>
      <c r="G1292" t="s">
        <v>36</v>
      </c>
      <c r="H1292" t="s">
        <v>43</v>
      </c>
      <c r="I1292" s="187">
        <v>8940.431640625</v>
      </c>
      <c r="J1292" s="187">
        <v>823.55841064453125</v>
      </c>
      <c r="K1292" s="187">
        <v>14264.525390625</v>
      </c>
      <c r="L1292" s="187">
        <v>26805.21875</v>
      </c>
      <c r="M1292" s="187">
        <v>50833.734375</v>
      </c>
      <c r="N1292" s="187">
        <v>35745.6484375</v>
      </c>
      <c r="O1292" t="s">
        <v>1751</v>
      </c>
    </row>
    <row r="1293" spans="1:15" hidden="1" x14ac:dyDescent="0.45">
      <c r="A1293" s="187">
        <v>2016</v>
      </c>
      <c r="B1293" t="s">
        <v>34</v>
      </c>
      <c r="C1293" t="s">
        <v>324</v>
      </c>
      <c r="D1293" t="s">
        <v>35</v>
      </c>
      <c r="E1293" t="s">
        <v>353</v>
      </c>
      <c r="F1293" t="s">
        <v>383</v>
      </c>
      <c r="G1293" t="s">
        <v>37</v>
      </c>
      <c r="H1293" t="s">
        <v>43</v>
      </c>
      <c r="I1293" s="187">
        <v>7230</v>
      </c>
      <c r="J1293" s="187">
        <v>666</v>
      </c>
      <c r="K1293" s="187">
        <v>11535.518959999999</v>
      </c>
      <c r="L1293" s="187">
        <v>21677</v>
      </c>
      <c r="M1293" s="187">
        <v>41108.51953125</v>
      </c>
      <c r="N1293" s="187">
        <v>28907</v>
      </c>
      <c r="O1293" t="s">
        <v>1752</v>
      </c>
    </row>
    <row r="1294" spans="1:15" hidden="1" x14ac:dyDescent="0.45">
      <c r="A1294" s="187">
        <v>2016</v>
      </c>
      <c r="B1294" t="s">
        <v>34</v>
      </c>
      <c r="C1294" t="s">
        <v>324</v>
      </c>
      <c r="D1294" t="s">
        <v>35</v>
      </c>
      <c r="E1294" t="s">
        <v>38</v>
      </c>
      <c r="F1294" t="s">
        <v>38</v>
      </c>
      <c r="G1294" t="s">
        <v>36</v>
      </c>
      <c r="H1294" t="s">
        <v>43</v>
      </c>
      <c r="I1294" s="187">
        <v>549.0389404296875</v>
      </c>
      <c r="J1294" s="187">
        <v>119.94770050048828</v>
      </c>
      <c r="K1294" s="187">
        <v>1491.541748046875</v>
      </c>
      <c r="L1294" s="187">
        <v>770.3857421875</v>
      </c>
      <c r="M1294" s="187">
        <v>2930.9140625</v>
      </c>
      <c r="N1294" s="187">
        <v>1319.4246826171875</v>
      </c>
      <c r="O1294" t="s">
        <v>1753</v>
      </c>
    </row>
    <row r="1295" spans="1:15" hidden="1" x14ac:dyDescent="0.45">
      <c r="A1295" s="187">
        <v>2016</v>
      </c>
      <c r="B1295" t="s">
        <v>34</v>
      </c>
      <c r="C1295" t="s">
        <v>324</v>
      </c>
      <c r="D1295" t="s">
        <v>35</v>
      </c>
      <c r="E1295" t="s">
        <v>38</v>
      </c>
      <c r="F1295" t="s">
        <v>38</v>
      </c>
      <c r="G1295" t="s">
        <v>37</v>
      </c>
      <c r="H1295" t="s">
        <v>43</v>
      </c>
      <c r="I1295" s="187">
        <v>444</v>
      </c>
      <c r="J1295" s="187">
        <v>97</v>
      </c>
      <c r="K1295" s="187">
        <v>1206.1885994582419</v>
      </c>
      <c r="L1295" s="187">
        <v>623</v>
      </c>
      <c r="M1295" s="187">
        <v>2370.1884765625</v>
      </c>
      <c r="N1295" s="187">
        <v>1067</v>
      </c>
      <c r="O1295" t="s">
        <v>1754</v>
      </c>
    </row>
    <row r="1296" spans="1:15" hidden="1" x14ac:dyDescent="0.45">
      <c r="A1296" s="187">
        <v>2016</v>
      </c>
      <c r="B1296" t="s">
        <v>34</v>
      </c>
      <c r="C1296" t="s">
        <v>324</v>
      </c>
      <c r="D1296" t="s">
        <v>35</v>
      </c>
      <c r="E1296" t="s">
        <v>354</v>
      </c>
      <c r="F1296" t="s">
        <v>384</v>
      </c>
      <c r="G1296" t="s">
        <v>36</v>
      </c>
      <c r="H1296" t="s">
        <v>43</v>
      </c>
      <c r="I1296" s="187">
        <v>65.538436889648438</v>
      </c>
      <c r="J1296" s="187">
        <v>0</v>
      </c>
      <c r="K1296" s="187">
        <v>0</v>
      </c>
      <c r="L1296" s="187">
        <v>81.613899230957031</v>
      </c>
      <c r="M1296" s="187">
        <v>147.15234375</v>
      </c>
      <c r="N1296" s="187">
        <v>147.15234375</v>
      </c>
      <c r="O1296" t="s">
        <v>1755</v>
      </c>
    </row>
    <row r="1297" spans="1:15" hidden="1" x14ac:dyDescent="0.45">
      <c r="A1297" s="187">
        <v>2016</v>
      </c>
      <c r="B1297" t="s">
        <v>34</v>
      </c>
      <c r="C1297" t="s">
        <v>324</v>
      </c>
      <c r="D1297" t="s">
        <v>35</v>
      </c>
      <c r="E1297" t="s">
        <v>354</v>
      </c>
      <c r="F1297" t="s">
        <v>384</v>
      </c>
      <c r="G1297" t="s">
        <v>37</v>
      </c>
      <c r="H1297" t="s">
        <v>43</v>
      </c>
      <c r="I1297" s="187">
        <v>53</v>
      </c>
      <c r="J1297" s="187">
        <v>0</v>
      </c>
      <c r="K1297" s="187">
        <v>0</v>
      </c>
      <c r="L1297" s="187">
        <v>66</v>
      </c>
      <c r="M1297" s="187">
        <v>119</v>
      </c>
      <c r="N1297" s="187">
        <v>119</v>
      </c>
      <c r="O1297" t="s">
        <v>1756</v>
      </c>
    </row>
    <row r="1298" spans="1:15" hidden="1" x14ac:dyDescent="0.45">
      <c r="A1298" s="187">
        <v>2016</v>
      </c>
      <c r="B1298" t="s">
        <v>34</v>
      </c>
      <c r="C1298" t="s">
        <v>324</v>
      </c>
      <c r="D1298" t="s">
        <v>35</v>
      </c>
      <c r="E1298" t="s">
        <v>354</v>
      </c>
      <c r="F1298" t="s">
        <v>385</v>
      </c>
      <c r="G1298" t="s">
        <v>36</v>
      </c>
      <c r="H1298" t="s">
        <v>43</v>
      </c>
      <c r="I1298" s="187">
        <v>70.484733581542969</v>
      </c>
      <c r="J1298" s="187">
        <v>0</v>
      </c>
      <c r="K1298" s="187">
        <v>3454.73974609375</v>
      </c>
      <c r="L1298" s="187">
        <v>294.30465698242188</v>
      </c>
      <c r="M1298" s="187">
        <v>3819.529052734375</v>
      </c>
      <c r="N1298" s="187">
        <v>364.78939819335938</v>
      </c>
      <c r="O1298" t="s">
        <v>1757</v>
      </c>
    </row>
    <row r="1299" spans="1:15" hidden="1" x14ac:dyDescent="0.45">
      <c r="A1299" s="187">
        <v>2016</v>
      </c>
      <c r="B1299" t="s">
        <v>34</v>
      </c>
      <c r="C1299" t="s">
        <v>324</v>
      </c>
      <c r="D1299" t="s">
        <v>35</v>
      </c>
      <c r="E1299" t="s">
        <v>354</v>
      </c>
      <c r="F1299" t="s">
        <v>385</v>
      </c>
      <c r="G1299" t="s">
        <v>37</v>
      </c>
      <c r="H1299" t="s">
        <v>43</v>
      </c>
      <c r="I1299" s="187">
        <v>57</v>
      </c>
      <c r="J1299" s="187">
        <v>0</v>
      </c>
      <c r="K1299" s="187">
        <v>2793.7989400000001</v>
      </c>
      <c r="L1299" s="187">
        <v>238</v>
      </c>
      <c r="M1299" s="187">
        <v>3088.798828125</v>
      </c>
      <c r="N1299" s="187">
        <v>295</v>
      </c>
      <c r="O1299" t="s">
        <v>1758</v>
      </c>
    </row>
    <row r="1300" spans="1:15" hidden="1" x14ac:dyDescent="0.45">
      <c r="A1300" s="187">
        <v>2016</v>
      </c>
      <c r="B1300" t="s">
        <v>34</v>
      </c>
      <c r="C1300" t="s">
        <v>324</v>
      </c>
      <c r="D1300" t="s">
        <v>35</v>
      </c>
      <c r="E1300" t="s">
        <v>354</v>
      </c>
      <c r="F1300" t="s">
        <v>386</v>
      </c>
      <c r="G1300" t="s">
        <v>36</v>
      </c>
      <c r="H1300" t="s">
        <v>43</v>
      </c>
      <c r="I1300" s="187">
        <v>0</v>
      </c>
      <c r="J1300" s="187">
        <v>58.118988037109375</v>
      </c>
      <c r="K1300" s="187">
        <v>1562.231201171875</v>
      </c>
      <c r="L1300" s="187">
        <v>0</v>
      </c>
      <c r="M1300" s="187">
        <v>1620.3502197265625</v>
      </c>
      <c r="N1300" s="187">
        <v>0</v>
      </c>
      <c r="O1300" t="s">
        <v>1759</v>
      </c>
    </row>
    <row r="1301" spans="1:15" hidden="1" x14ac:dyDescent="0.45">
      <c r="A1301" s="187">
        <v>2016</v>
      </c>
      <c r="B1301" t="s">
        <v>34</v>
      </c>
      <c r="C1301" t="s">
        <v>324</v>
      </c>
      <c r="D1301" t="s">
        <v>35</v>
      </c>
      <c r="E1301" t="s">
        <v>354</v>
      </c>
      <c r="F1301" t="s">
        <v>386</v>
      </c>
      <c r="G1301" t="s">
        <v>37</v>
      </c>
      <c r="H1301" t="s">
        <v>43</v>
      </c>
      <c r="I1301" s="187">
        <v>0</v>
      </c>
      <c r="J1301" s="187">
        <v>47</v>
      </c>
      <c r="K1301" s="187">
        <v>1263.35419</v>
      </c>
      <c r="L1301" s="187">
        <v>0</v>
      </c>
      <c r="M1301" s="187">
        <v>1310.354248046875</v>
      </c>
      <c r="N1301" s="187">
        <v>0</v>
      </c>
      <c r="O1301" t="s">
        <v>1760</v>
      </c>
    </row>
    <row r="1302" spans="1:15" hidden="1" x14ac:dyDescent="0.45">
      <c r="A1302" s="187">
        <v>2016</v>
      </c>
      <c r="B1302" t="s">
        <v>34</v>
      </c>
      <c r="C1302" t="s">
        <v>324</v>
      </c>
      <c r="D1302" t="s">
        <v>35</v>
      </c>
      <c r="E1302" t="s">
        <v>354</v>
      </c>
      <c r="F1302" t="s">
        <v>387</v>
      </c>
      <c r="G1302" t="s">
        <v>36</v>
      </c>
      <c r="H1302" t="s">
        <v>43</v>
      </c>
      <c r="I1302" s="187">
        <v>136.02316284179688</v>
      </c>
      <c r="J1302" s="187">
        <v>58.118988037109375</v>
      </c>
      <c r="K1302" s="187">
        <v>5016.97119140625</v>
      </c>
      <c r="L1302" s="187">
        <v>375.9185791015625</v>
      </c>
      <c r="M1302" s="187">
        <v>5587.03173828125</v>
      </c>
      <c r="N1302" s="187">
        <v>511.94174194335938</v>
      </c>
      <c r="O1302" t="s">
        <v>1761</v>
      </c>
    </row>
    <row r="1303" spans="1:15" hidden="1" x14ac:dyDescent="0.45">
      <c r="A1303" s="187">
        <v>2016</v>
      </c>
      <c r="B1303" t="s">
        <v>34</v>
      </c>
      <c r="C1303" t="s">
        <v>324</v>
      </c>
      <c r="D1303" t="s">
        <v>35</v>
      </c>
      <c r="E1303" t="s">
        <v>354</v>
      </c>
      <c r="F1303" t="s">
        <v>387</v>
      </c>
      <c r="G1303" t="s">
        <v>37</v>
      </c>
      <c r="H1303" t="s">
        <v>43</v>
      </c>
      <c r="I1303" s="187">
        <v>110</v>
      </c>
      <c r="J1303" s="187">
        <v>47</v>
      </c>
      <c r="K1303" s="187">
        <v>4057.1531300000001</v>
      </c>
      <c r="L1303" s="187">
        <v>304</v>
      </c>
      <c r="M1303" s="187">
        <v>4518.1533203125</v>
      </c>
      <c r="N1303" s="187">
        <v>414</v>
      </c>
      <c r="O1303" t="s">
        <v>1762</v>
      </c>
    </row>
    <row r="1304" spans="1:15" hidden="1" x14ac:dyDescent="0.45">
      <c r="A1304" s="187">
        <v>2016</v>
      </c>
      <c r="B1304" t="s">
        <v>34</v>
      </c>
      <c r="C1304" t="s">
        <v>324</v>
      </c>
      <c r="D1304" t="s">
        <v>35</v>
      </c>
      <c r="E1304" t="s">
        <v>17</v>
      </c>
      <c r="F1304" t="s">
        <v>17</v>
      </c>
      <c r="G1304" t="s">
        <v>36</v>
      </c>
      <c r="H1304" t="s">
        <v>43</v>
      </c>
      <c r="I1304" s="187">
        <v>208.98104858398438</v>
      </c>
      <c r="J1304" s="187">
        <v>82.850471496582031</v>
      </c>
      <c r="K1304" s="187">
        <v>850.11016845703125</v>
      </c>
      <c r="L1304" s="187">
        <v>363.55282592773438</v>
      </c>
      <c r="M1304" s="187">
        <v>1505.4945068359375</v>
      </c>
      <c r="N1304" s="187">
        <v>572.53387451171875</v>
      </c>
      <c r="O1304" t="s">
        <v>1763</v>
      </c>
    </row>
    <row r="1305" spans="1:15" hidden="1" x14ac:dyDescent="0.45">
      <c r="A1305" s="187">
        <v>2016</v>
      </c>
      <c r="B1305" t="s">
        <v>34</v>
      </c>
      <c r="C1305" t="s">
        <v>324</v>
      </c>
      <c r="D1305" t="s">
        <v>35</v>
      </c>
      <c r="E1305" t="s">
        <v>17</v>
      </c>
      <c r="F1305" t="s">
        <v>17</v>
      </c>
      <c r="G1305" t="s">
        <v>37</v>
      </c>
      <c r="H1305" t="s">
        <v>43</v>
      </c>
      <c r="I1305" s="187">
        <v>169</v>
      </c>
      <c r="J1305" s="187">
        <v>67</v>
      </c>
      <c r="K1305" s="187">
        <v>687.47199999999998</v>
      </c>
      <c r="L1305" s="187">
        <v>294</v>
      </c>
      <c r="M1305" s="187">
        <v>1217.471923828125</v>
      </c>
      <c r="N1305" s="187">
        <v>463</v>
      </c>
      <c r="O1305" t="s">
        <v>1764</v>
      </c>
    </row>
    <row r="1306" spans="1:15" hidden="1" x14ac:dyDescent="0.45">
      <c r="A1306" s="187">
        <v>2016</v>
      </c>
      <c r="B1306" t="s">
        <v>34</v>
      </c>
      <c r="C1306" t="s">
        <v>324</v>
      </c>
      <c r="D1306" t="s">
        <v>35</v>
      </c>
      <c r="E1306" t="s">
        <v>45</v>
      </c>
      <c r="F1306" t="s">
        <v>45</v>
      </c>
      <c r="G1306" t="s">
        <v>36</v>
      </c>
      <c r="H1306" t="s">
        <v>43</v>
      </c>
      <c r="I1306" s="187">
        <v>2083.627685546875</v>
      </c>
      <c r="J1306" s="187">
        <v>0</v>
      </c>
      <c r="K1306" s="187">
        <v>260.63424682617188</v>
      </c>
      <c r="L1306" s="187">
        <v>5946.685546875</v>
      </c>
      <c r="M1306" s="187">
        <v>8290.947265625</v>
      </c>
      <c r="N1306" s="187">
        <v>8030.3134765625</v>
      </c>
      <c r="O1306" t="s">
        <v>1765</v>
      </c>
    </row>
    <row r="1307" spans="1:15" hidden="1" x14ac:dyDescent="0.45">
      <c r="A1307" s="187">
        <v>2016</v>
      </c>
      <c r="B1307" t="s">
        <v>34</v>
      </c>
      <c r="C1307" t="s">
        <v>324</v>
      </c>
      <c r="D1307" t="s">
        <v>35</v>
      </c>
      <c r="E1307" t="s">
        <v>45</v>
      </c>
      <c r="F1307" t="s">
        <v>45</v>
      </c>
      <c r="G1307" t="s">
        <v>37</v>
      </c>
      <c r="H1307" t="s">
        <v>43</v>
      </c>
      <c r="I1307" s="187">
        <v>1685</v>
      </c>
      <c r="J1307" s="187">
        <v>0</v>
      </c>
      <c r="K1307" s="187">
        <v>210.77122</v>
      </c>
      <c r="L1307" s="187">
        <v>4809</v>
      </c>
      <c r="M1307" s="187">
        <v>6704.771484375</v>
      </c>
      <c r="N1307" s="187">
        <v>6494</v>
      </c>
      <c r="O1307" t="s">
        <v>1766</v>
      </c>
    </row>
    <row r="1308" spans="1:15" hidden="1" x14ac:dyDescent="0.45">
      <c r="A1308" s="187">
        <v>2016</v>
      </c>
      <c r="B1308" t="s">
        <v>34</v>
      </c>
      <c r="C1308" t="s">
        <v>324</v>
      </c>
      <c r="D1308" t="s">
        <v>35</v>
      </c>
      <c r="E1308" t="s">
        <v>356</v>
      </c>
      <c r="F1308" t="s">
        <v>356</v>
      </c>
      <c r="G1308" t="s">
        <v>36</v>
      </c>
      <c r="H1308" t="s">
        <v>43</v>
      </c>
      <c r="I1308" s="187">
        <v>0</v>
      </c>
      <c r="J1308" s="187">
        <v>0</v>
      </c>
      <c r="K1308" s="187">
        <v>0</v>
      </c>
      <c r="L1308" s="187">
        <v>0</v>
      </c>
      <c r="M1308" s="187">
        <v>0</v>
      </c>
      <c r="N1308" s="187">
        <v>0</v>
      </c>
      <c r="O1308" t="s">
        <v>1767</v>
      </c>
    </row>
    <row r="1309" spans="1:15" hidden="1" x14ac:dyDescent="0.45">
      <c r="A1309" s="187">
        <v>2016</v>
      </c>
      <c r="B1309" t="s">
        <v>34</v>
      </c>
      <c r="C1309" t="s">
        <v>324</v>
      </c>
      <c r="D1309" t="s">
        <v>35</v>
      </c>
      <c r="E1309" t="s">
        <v>356</v>
      </c>
      <c r="F1309" t="s">
        <v>356</v>
      </c>
      <c r="G1309" t="s">
        <v>37</v>
      </c>
      <c r="H1309" t="s">
        <v>43</v>
      </c>
      <c r="I1309" s="187">
        <v>0</v>
      </c>
      <c r="J1309" s="187">
        <v>0</v>
      </c>
      <c r="K1309" s="187">
        <v>0</v>
      </c>
      <c r="L1309" s="187">
        <v>0</v>
      </c>
      <c r="M1309" s="187">
        <v>0</v>
      </c>
      <c r="N1309" s="187">
        <v>0</v>
      </c>
      <c r="O1309" t="s">
        <v>1768</v>
      </c>
    </row>
    <row r="1310" spans="1:15" hidden="1" x14ac:dyDescent="0.45">
      <c r="A1310" s="187">
        <v>2016</v>
      </c>
      <c r="B1310" t="s">
        <v>34</v>
      </c>
      <c r="C1310" t="s">
        <v>325</v>
      </c>
      <c r="D1310" t="s">
        <v>35</v>
      </c>
      <c r="E1310" t="s">
        <v>357</v>
      </c>
      <c r="F1310" t="s">
        <v>412</v>
      </c>
      <c r="G1310" t="s">
        <v>36</v>
      </c>
      <c r="H1310" t="s">
        <v>43</v>
      </c>
      <c r="I1310" s="187">
        <v>2693.2587890625</v>
      </c>
      <c r="J1310" s="187">
        <v>524.3074951171875</v>
      </c>
      <c r="K1310" s="187">
        <v>2224.81298828125</v>
      </c>
      <c r="L1310" s="187">
        <v>1727.4942626953125</v>
      </c>
      <c r="M1310" s="187">
        <v>7169.87353515625</v>
      </c>
      <c r="N1310" s="187">
        <v>4420.7529296875</v>
      </c>
      <c r="O1310" t="s">
        <v>1769</v>
      </c>
    </row>
    <row r="1311" spans="1:15" hidden="1" x14ac:dyDescent="0.45">
      <c r="A1311" s="187">
        <v>2016</v>
      </c>
      <c r="B1311" t="s">
        <v>34</v>
      </c>
      <c r="C1311" t="s">
        <v>325</v>
      </c>
      <c r="D1311" t="s">
        <v>35</v>
      </c>
      <c r="E1311" t="s">
        <v>357</v>
      </c>
      <c r="F1311" t="s">
        <v>412</v>
      </c>
      <c r="G1311" t="s">
        <v>37</v>
      </c>
      <c r="H1311" t="s">
        <v>43</v>
      </c>
      <c r="I1311" s="187">
        <v>2178</v>
      </c>
      <c r="J1311" s="187">
        <v>424</v>
      </c>
      <c r="K1311" s="187">
        <v>1799.1745699999999</v>
      </c>
      <c r="L1311" s="187">
        <v>1397</v>
      </c>
      <c r="M1311" s="187">
        <v>5798.1748046875</v>
      </c>
      <c r="N1311" s="187">
        <v>3575</v>
      </c>
      <c r="O1311" t="s">
        <v>1770</v>
      </c>
    </row>
    <row r="1312" spans="1:15" hidden="1" x14ac:dyDescent="0.45">
      <c r="A1312" s="187">
        <v>2016</v>
      </c>
      <c r="B1312" t="s">
        <v>34</v>
      </c>
      <c r="C1312" t="s">
        <v>325</v>
      </c>
      <c r="D1312" t="s">
        <v>35</v>
      </c>
      <c r="E1312" t="s">
        <v>357</v>
      </c>
      <c r="F1312" t="s">
        <v>413</v>
      </c>
      <c r="G1312" t="s">
        <v>36</v>
      </c>
      <c r="H1312" t="s">
        <v>43</v>
      </c>
      <c r="I1312" s="187">
        <v>2693.2587890625</v>
      </c>
      <c r="J1312" s="187">
        <v>524.3074951171875</v>
      </c>
      <c r="K1312" s="187">
        <v>2224.81298828125</v>
      </c>
      <c r="L1312" s="187">
        <v>1727.4942626953125</v>
      </c>
      <c r="M1312" s="187">
        <v>7169.87353515625</v>
      </c>
      <c r="N1312" s="187">
        <v>4420.7529296875</v>
      </c>
      <c r="O1312" t="s">
        <v>1771</v>
      </c>
    </row>
    <row r="1313" spans="1:15" hidden="1" x14ac:dyDescent="0.45">
      <c r="A1313" s="187">
        <v>2016</v>
      </c>
      <c r="B1313" t="s">
        <v>34</v>
      </c>
      <c r="C1313" t="s">
        <v>325</v>
      </c>
      <c r="D1313" t="s">
        <v>35</v>
      </c>
      <c r="E1313" t="s">
        <v>357</v>
      </c>
      <c r="F1313" t="s">
        <v>413</v>
      </c>
      <c r="G1313" t="s">
        <v>37</v>
      </c>
      <c r="H1313" t="s">
        <v>43</v>
      </c>
      <c r="I1313" s="187">
        <v>2178</v>
      </c>
      <c r="J1313" s="187">
        <v>424</v>
      </c>
      <c r="K1313" s="187">
        <v>1799.1745699999999</v>
      </c>
      <c r="L1313" s="187">
        <v>1397</v>
      </c>
      <c r="M1313" s="187">
        <v>5798.1748046875</v>
      </c>
      <c r="N1313" s="187">
        <v>3575</v>
      </c>
      <c r="O1313" t="s">
        <v>1772</v>
      </c>
    </row>
    <row r="1314" spans="1:15" hidden="1" x14ac:dyDescent="0.45">
      <c r="A1314" s="187">
        <v>2016</v>
      </c>
      <c r="B1314" t="s">
        <v>34</v>
      </c>
      <c r="C1314" t="s">
        <v>325</v>
      </c>
      <c r="D1314" t="s">
        <v>35</v>
      </c>
      <c r="E1314" t="s">
        <v>357</v>
      </c>
      <c r="F1314" t="s">
        <v>414</v>
      </c>
      <c r="G1314" t="s">
        <v>36</v>
      </c>
      <c r="H1314" t="s">
        <v>43</v>
      </c>
      <c r="I1314" s="187"/>
      <c r="J1314" s="187">
        <v>0</v>
      </c>
      <c r="K1314" s="187">
        <v>0</v>
      </c>
      <c r="L1314" s="187"/>
      <c r="M1314" s="187">
        <v>0</v>
      </c>
      <c r="N1314" s="187">
        <v>0</v>
      </c>
      <c r="O1314" t="s">
        <v>1773</v>
      </c>
    </row>
    <row r="1315" spans="1:15" hidden="1" x14ac:dyDescent="0.45">
      <c r="A1315" s="187">
        <v>2016</v>
      </c>
      <c r="B1315" t="s">
        <v>34</v>
      </c>
      <c r="C1315" t="s">
        <v>325</v>
      </c>
      <c r="D1315" t="s">
        <v>35</v>
      </c>
      <c r="E1315" t="s">
        <v>357</v>
      </c>
      <c r="F1315" t="s">
        <v>414</v>
      </c>
      <c r="G1315" t="s">
        <v>37</v>
      </c>
      <c r="H1315" t="s">
        <v>43</v>
      </c>
      <c r="I1315" s="187"/>
      <c r="J1315" s="187">
        <v>0</v>
      </c>
      <c r="K1315" s="187">
        <v>0</v>
      </c>
      <c r="L1315" s="187"/>
      <c r="M1315" s="187">
        <v>0</v>
      </c>
      <c r="N1315" s="187">
        <v>0</v>
      </c>
      <c r="O1315" t="s">
        <v>1774</v>
      </c>
    </row>
    <row r="1316" spans="1:15" hidden="1" x14ac:dyDescent="0.45">
      <c r="A1316" s="187">
        <v>2016</v>
      </c>
      <c r="B1316" t="s">
        <v>34</v>
      </c>
      <c r="C1316" t="s">
        <v>325</v>
      </c>
      <c r="D1316" t="s">
        <v>35</v>
      </c>
      <c r="E1316" t="s">
        <v>357</v>
      </c>
      <c r="F1316" t="s">
        <v>392</v>
      </c>
      <c r="G1316" t="s">
        <v>36</v>
      </c>
      <c r="H1316" t="s">
        <v>43</v>
      </c>
      <c r="I1316" s="187">
        <v>65.538436889648438</v>
      </c>
      <c r="J1316" s="187">
        <v>0</v>
      </c>
      <c r="K1316" s="187">
        <v>-234.81071472167969</v>
      </c>
      <c r="L1316" s="187">
        <v>0</v>
      </c>
      <c r="M1316" s="187">
        <v>-169.27227783203125</v>
      </c>
      <c r="N1316" s="187">
        <v>65.538436889648438</v>
      </c>
      <c r="O1316" t="s">
        <v>1775</v>
      </c>
    </row>
    <row r="1317" spans="1:15" hidden="1" x14ac:dyDescent="0.45">
      <c r="A1317" s="187">
        <v>2016</v>
      </c>
      <c r="B1317" t="s">
        <v>34</v>
      </c>
      <c r="C1317" t="s">
        <v>325</v>
      </c>
      <c r="D1317" t="s">
        <v>35</v>
      </c>
      <c r="E1317" t="s">
        <v>357</v>
      </c>
      <c r="F1317" t="s">
        <v>392</v>
      </c>
      <c r="G1317" t="s">
        <v>37</v>
      </c>
      <c r="H1317" t="s">
        <v>43</v>
      </c>
      <c r="I1317" s="187">
        <v>53</v>
      </c>
      <c r="J1317" s="187">
        <v>0</v>
      </c>
      <c r="K1317" s="187">
        <v>-189.88809000000001</v>
      </c>
      <c r="L1317" s="187">
        <v>0</v>
      </c>
      <c r="M1317" s="187">
        <v>-136.88809204101563</v>
      </c>
      <c r="N1317" s="187">
        <v>53</v>
      </c>
      <c r="O1317" t="s">
        <v>1776</v>
      </c>
    </row>
    <row r="1318" spans="1:15" hidden="1" x14ac:dyDescent="0.45">
      <c r="A1318" s="187">
        <v>2016</v>
      </c>
      <c r="B1318" t="s">
        <v>34</v>
      </c>
      <c r="C1318" t="s">
        <v>325</v>
      </c>
      <c r="D1318" t="s">
        <v>35</v>
      </c>
      <c r="E1318" t="s">
        <v>357</v>
      </c>
      <c r="F1318" t="s">
        <v>393</v>
      </c>
      <c r="G1318" t="s">
        <v>36</v>
      </c>
      <c r="H1318" t="s">
        <v>43</v>
      </c>
      <c r="I1318" s="187"/>
      <c r="J1318" s="187">
        <v>0</v>
      </c>
      <c r="K1318" s="187">
        <v>4.3527412414550781</v>
      </c>
      <c r="L1318" s="187">
        <v>0</v>
      </c>
      <c r="M1318" s="187">
        <v>4.3527412414550781</v>
      </c>
      <c r="N1318" s="187">
        <v>0</v>
      </c>
      <c r="O1318" t="s">
        <v>1777</v>
      </c>
    </row>
    <row r="1319" spans="1:15" hidden="1" x14ac:dyDescent="0.45">
      <c r="A1319" s="187">
        <v>2016</v>
      </c>
      <c r="B1319" t="s">
        <v>34</v>
      </c>
      <c r="C1319" t="s">
        <v>325</v>
      </c>
      <c r="D1319" t="s">
        <v>35</v>
      </c>
      <c r="E1319" t="s">
        <v>357</v>
      </c>
      <c r="F1319" t="s">
        <v>393</v>
      </c>
      <c r="G1319" t="s">
        <v>37</v>
      </c>
      <c r="H1319" t="s">
        <v>43</v>
      </c>
      <c r="I1319" s="187"/>
      <c r="J1319" s="187">
        <v>0</v>
      </c>
      <c r="K1319" s="187">
        <v>3.52</v>
      </c>
      <c r="L1319" s="187">
        <v>0</v>
      </c>
      <c r="M1319" s="187">
        <v>3.5199999809265137</v>
      </c>
      <c r="N1319" s="187">
        <v>0</v>
      </c>
      <c r="O1319" t="s">
        <v>1778</v>
      </c>
    </row>
    <row r="1320" spans="1:15" hidden="1" x14ac:dyDescent="0.45">
      <c r="A1320" s="187">
        <v>2016</v>
      </c>
      <c r="B1320" t="s">
        <v>34</v>
      </c>
      <c r="C1320" t="s">
        <v>325</v>
      </c>
      <c r="D1320" t="s">
        <v>35</v>
      </c>
      <c r="E1320" t="s">
        <v>357</v>
      </c>
      <c r="F1320" t="s">
        <v>394</v>
      </c>
      <c r="G1320" t="s">
        <v>36</v>
      </c>
      <c r="H1320" t="s">
        <v>43</v>
      </c>
      <c r="I1320" s="187"/>
      <c r="J1320" s="187">
        <v>0</v>
      </c>
      <c r="K1320" s="187">
        <v>0</v>
      </c>
      <c r="L1320" s="187">
        <v>0</v>
      </c>
      <c r="M1320" s="187">
        <v>0</v>
      </c>
      <c r="N1320" s="187">
        <v>0</v>
      </c>
      <c r="O1320" t="s">
        <v>1779</v>
      </c>
    </row>
    <row r="1321" spans="1:15" hidden="1" x14ac:dyDescent="0.45">
      <c r="A1321" s="187">
        <v>2016</v>
      </c>
      <c r="B1321" t="s">
        <v>34</v>
      </c>
      <c r="C1321" t="s">
        <v>325</v>
      </c>
      <c r="D1321" t="s">
        <v>35</v>
      </c>
      <c r="E1321" t="s">
        <v>357</v>
      </c>
      <c r="F1321" t="s">
        <v>394</v>
      </c>
      <c r="G1321" t="s">
        <v>37</v>
      </c>
      <c r="H1321" t="s">
        <v>43</v>
      </c>
      <c r="I1321" s="187"/>
      <c r="J1321" s="187">
        <v>0</v>
      </c>
      <c r="K1321" s="187">
        <v>0</v>
      </c>
      <c r="L1321" s="187">
        <v>0</v>
      </c>
      <c r="M1321" s="187">
        <v>0</v>
      </c>
      <c r="N1321" s="187">
        <v>0</v>
      </c>
      <c r="O1321" t="s">
        <v>1780</v>
      </c>
    </row>
    <row r="1322" spans="1:15" hidden="1" x14ac:dyDescent="0.45">
      <c r="A1322" s="187">
        <v>2016</v>
      </c>
      <c r="B1322" t="s">
        <v>34</v>
      </c>
      <c r="C1322" t="s">
        <v>325</v>
      </c>
      <c r="D1322" t="s">
        <v>35</v>
      </c>
      <c r="E1322" t="s">
        <v>357</v>
      </c>
      <c r="F1322" t="s">
        <v>395</v>
      </c>
      <c r="G1322" t="s">
        <v>36</v>
      </c>
      <c r="H1322" t="s">
        <v>43</v>
      </c>
      <c r="I1322" s="187">
        <v>204.03474426269531</v>
      </c>
      <c r="J1322" s="187">
        <v>0</v>
      </c>
      <c r="K1322" s="187">
        <v>0</v>
      </c>
      <c r="L1322" s="187">
        <v>72.957878112792969</v>
      </c>
      <c r="M1322" s="187">
        <v>276.99261474609375</v>
      </c>
      <c r="N1322" s="187">
        <v>276.99261474609375</v>
      </c>
      <c r="O1322" t="s">
        <v>1781</v>
      </c>
    </row>
    <row r="1323" spans="1:15" hidden="1" x14ac:dyDescent="0.45">
      <c r="A1323" s="187">
        <v>2016</v>
      </c>
      <c r="B1323" t="s">
        <v>34</v>
      </c>
      <c r="C1323" t="s">
        <v>325</v>
      </c>
      <c r="D1323" t="s">
        <v>35</v>
      </c>
      <c r="E1323" t="s">
        <v>357</v>
      </c>
      <c r="F1323" t="s">
        <v>395</v>
      </c>
      <c r="G1323" t="s">
        <v>37</v>
      </c>
      <c r="H1323" t="s">
        <v>43</v>
      </c>
      <c r="I1323" s="187">
        <v>165</v>
      </c>
      <c r="J1323" s="187">
        <v>0</v>
      </c>
      <c r="K1323" s="187">
        <v>0</v>
      </c>
      <c r="L1323" s="187">
        <v>59</v>
      </c>
      <c r="M1323" s="187">
        <v>224</v>
      </c>
      <c r="N1323" s="187">
        <v>224</v>
      </c>
      <c r="O1323" t="s">
        <v>1782</v>
      </c>
    </row>
    <row r="1324" spans="1:15" hidden="1" x14ac:dyDescent="0.45">
      <c r="A1324" s="187">
        <v>2016</v>
      </c>
      <c r="B1324" t="s">
        <v>34</v>
      </c>
      <c r="C1324" t="s">
        <v>325</v>
      </c>
      <c r="D1324" t="s">
        <v>35</v>
      </c>
      <c r="E1324" t="s">
        <v>357</v>
      </c>
      <c r="F1324" t="s">
        <v>396</v>
      </c>
      <c r="G1324" t="s">
        <v>36</v>
      </c>
      <c r="H1324" t="s">
        <v>43</v>
      </c>
      <c r="I1324" s="187">
        <v>545.3292236328125</v>
      </c>
      <c r="J1324" s="187">
        <v>0</v>
      </c>
      <c r="K1324" s="187">
        <v>18.711309432983398</v>
      </c>
      <c r="L1324" s="187">
        <v>252.26113891601563</v>
      </c>
      <c r="M1324" s="187">
        <v>816.3016357421875</v>
      </c>
      <c r="N1324" s="187">
        <v>797.59033203125</v>
      </c>
      <c r="O1324" t="s">
        <v>1783</v>
      </c>
    </row>
    <row r="1325" spans="1:15" hidden="1" x14ac:dyDescent="0.45">
      <c r="A1325" s="187">
        <v>2016</v>
      </c>
      <c r="B1325" t="s">
        <v>34</v>
      </c>
      <c r="C1325" t="s">
        <v>325</v>
      </c>
      <c r="D1325" t="s">
        <v>35</v>
      </c>
      <c r="E1325" t="s">
        <v>357</v>
      </c>
      <c r="F1325" t="s">
        <v>396</v>
      </c>
      <c r="G1325" t="s">
        <v>37</v>
      </c>
      <c r="H1325" t="s">
        <v>43</v>
      </c>
      <c r="I1325" s="187">
        <v>441</v>
      </c>
      <c r="J1325" s="187">
        <v>0</v>
      </c>
      <c r="K1325" s="187">
        <v>15.13157</v>
      </c>
      <c r="L1325" s="187">
        <v>204</v>
      </c>
      <c r="M1325" s="187">
        <v>660.131591796875</v>
      </c>
      <c r="N1325" s="187">
        <v>645</v>
      </c>
      <c r="O1325" t="s">
        <v>1784</v>
      </c>
    </row>
    <row r="1326" spans="1:15" hidden="1" x14ac:dyDescent="0.45">
      <c r="A1326" s="187">
        <v>2016</v>
      </c>
      <c r="B1326" t="s">
        <v>34</v>
      </c>
      <c r="C1326" t="s">
        <v>325</v>
      </c>
      <c r="D1326" t="s">
        <v>35</v>
      </c>
      <c r="E1326" t="s">
        <v>357</v>
      </c>
      <c r="F1326" t="s">
        <v>415</v>
      </c>
      <c r="G1326" t="s">
        <v>36</v>
      </c>
      <c r="H1326" t="s">
        <v>43</v>
      </c>
      <c r="I1326" s="187">
        <v>814.90240478515625</v>
      </c>
      <c r="J1326" s="187">
        <v>0</v>
      </c>
      <c r="K1326" s="187">
        <v>-211.74667358398438</v>
      </c>
      <c r="L1326" s="187">
        <v>325.21902465820313</v>
      </c>
      <c r="M1326" s="187">
        <v>928.374755859375</v>
      </c>
      <c r="N1326" s="187">
        <v>1140.1214599609375</v>
      </c>
      <c r="O1326" t="s">
        <v>1785</v>
      </c>
    </row>
    <row r="1327" spans="1:15" hidden="1" x14ac:dyDescent="0.45">
      <c r="A1327" s="187">
        <v>2016</v>
      </c>
      <c r="B1327" t="s">
        <v>34</v>
      </c>
      <c r="C1327" t="s">
        <v>325</v>
      </c>
      <c r="D1327" t="s">
        <v>35</v>
      </c>
      <c r="E1327" t="s">
        <v>357</v>
      </c>
      <c r="F1327" t="s">
        <v>415</v>
      </c>
      <c r="G1327" t="s">
        <v>37</v>
      </c>
      <c r="H1327" t="s">
        <v>43</v>
      </c>
      <c r="I1327" s="187">
        <v>659</v>
      </c>
      <c r="J1327" s="187">
        <v>0</v>
      </c>
      <c r="K1327" s="187">
        <v>-171.23652000000001</v>
      </c>
      <c r="L1327" s="187">
        <v>263</v>
      </c>
      <c r="M1327" s="187">
        <v>750.76348876953125</v>
      </c>
      <c r="N1327" s="187">
        <v>922</v>
      </c>
      <c r="O1327" t="s">
        <v>1786</v>
      </c>
    </row>
    <row r="1328" spans="1:15" hidden="1" x14ac:dyDescent="0.45">
      <c r="A1328" s="187">
        <v>2016</v>
      </c>
      <c r="B1328" t="s">
        <v>34</v>
      </c>
      <c r="C1328" t="s">
        <v>325</v>
      </c>
      <c r="D1328" t="s">
        <v>35</v>
      </c>
      <c r="E1328" t="s">
        <v>357</v>
      </c>
      <c r="F1328" t="s">
        <v>416</v>
      </c>
      <c r="G1328" t="s">
        <v>36</v>
      </c>
      <c r="H1328" t="s">
        <v>43</v>
      </c>
      <c r="I1328" s="187"/>
      <c r="J1328" s="187">
        <v>11.129168510437012</v>
      </c>
      <c r="K1328" s="187">
        <v>0</v>
      </c>
      <c r="L1328" s="187">
        <v>264.62689208984375</v>
      </c>
      <c r="M1328" s="187">
        <v>275.75607299804688</v>
      </c>
      <c r="N1328" s="187">
        <v>264.62689208984375</v>
      </c>
      <c r="O1328" t="s">
        <v>1787</v>
      </c>
    </row>
    <row r="1329" spans="1:15" hidden="1" x14ac:dyDescent="0.45">
      <c r="A1329" s="187">
        <v>2016</v>
      </c>
      <c r="B1329" t="s">
        <v>34</v>
      </c>
      <c r="C1329" t="s">
        <v>325</v>
      </c>
      <c r="D1329" t="s">
        <v>35</v>
      </c>
      <c r="E1329" t="s">
        <v>357</v>
      </c>
      <c r="F1329" t="s">
        <v>416</v>
      </c>
      <c r="G1329" t="s">
        <v>37</v>
      </c>
      <c r="H1329" t="s">
        <v>43</v>
      </c>
      <c r="I1329" s="187"/>
      <c r="J1329" s="187">
        <v>9</v>
      </c>
      <c r="K1329" s="187">
        <v>0</v>
      </c>
      <c r="L1329" s="187">
        <v>214</v>
      </c>
      <c r="M1329" s="187">
        <v>223</v>
      </c>
      <c r="N1329" s="187">
        <v>214</v>
      </c>
      <c r="O1329" t="s">
        <v>1788</v>
      </c>
    </row>
    <row r="1330" spans="1:15" hidden="1" x14ac:dyDescent="0.45">
      <c r="A1330" s="187">
        <v>2016</v>
      </c>
      <c r="B1330" t="s">
        <v>34</v>
      </c>
      <c r="C1330" t="s">
        <v>325</v>
      </c>
      <c r="D1330" t="s">
        <v>35</v>
      </c>
      <c r="E1330" t="s">
        <v>357</v>
      </c>
      <c r="F1330" t="s">
        <v>417</v>
      </c>
      <c r="G1330" t="s">
        <v>36</v>
      </c>
      <c r="H1330" t="s">
        <v>43</v>
      </c>
      <c r="I1330" s="187"/>
      <c r="J1330" s="187">
        <v>380.8648681640625</v>
      </c>
      <c r="K1330" s="187">
        <v>30.634952545166016</v>
      </c>
      <c r="L1330" s="187">
        <v>42.043525695800781</v>
      </c>
      <c r="M1330" s="187">
        <v>453.5433349609375</v>
      </c>
      <c r="N1330" s="187">
        <v>42.043525695800781</v>
      </c>
      <c r="O1330" t="s">
        <v>1789</v>
      </c>
    </row>
    <row r="1331" spans="1:15" hidden="1" x14ac:dyDescent="0.45">
      <c r="A1331" s="187">
        <v>2016</v>
      </c>
      <c r="B1331" t="s">
        <v>34</v>
      </c>
      <c r="C1331" t="s">
        <v>325</v>
      </c>
      <c r="D1331" t="s">
        <v>35</v>
      </c>
      <c r="E1331" t="s">
        <v>357</v>
      </c>
      <c r="F1331" t="s">
        <v>417</v>
      </c>
      <c r="G1331" t="s">
        <v>37</v>
      </c>
      <c r="H1331" t="s">
        <v>43</v>
      </c>
      <c r="I1331" s="187"/>
      <c r="J1331" s="187">
        <v>308</v>
      </c>
      <c r="K1331" s="187">
        <v>24.774049999999999</v>
      </c>
      <c r="L1331" s="187">
        <v>34</v>
      </c>
      <c r="M1331" s="187">
        <v>366.7740478515625</v>
      </c>
      <c r="N1331" s="187">
        <v>34</v>
      </c>
      <c r="O1331" t="s">
        <v>1790</v>
      </c>
    </row>
    <row r="1332" spans="1:15" hidden="1" x14ac:dyDescent="0.45">
      <c r="A1332" s="187">
        <v>2016</v>
      </c>
      <c r="B1332" t="s">
        <v>34</v>
      </c>
      <c r="C1332" t="s">
        <v>325</v>
      </c>
      <c r="D1332" t="s">
        <v>35</v>
      </c>
      <c r="E1332" t="s">
        <v>357</v>
      </c>
      <c r="F1332" t="s">
        <v>418</v>
      </c>
      <c r="G1332" t="s">
        <v>36</v>
      </c>
      <c r="H1332" t="s">
        <v>43</v>
      </c>
      <c r="I1332" s="187"/>
      <c r="J1332" s="187">
        <v>111.29167938232422</v>
      </c>
      <c r="K1332" s="187">
        <v>0</v>
      </c>
      <c r="L1332" s="187">
        <v>35.860652923583984</v>
      </c>
      <c r="M1332" s="187">
        <v>147.15232849121094</v>
      </c>
      <c r="N1332" s="187">
        <v>35.860652923583984</v>
      </c>
      <c r="O1332" t="s">
        <v>1791</v>
      </c>
    </row>
    <row r="1333" spans="1:15" hidden="1" x14ac:dyDescent="0.45">
      <c r="A1333" s="187">
        <v>2016</v>
      </c>
      <c r="B1333" t="s">
        <v>34</v>
      </c>
      <c r="C1333" t="s">
        <v>325</v>
      </c>
      <c r="D1333" t="s">
        <v>35</v>
      </c>
      <c r="E1333" t="s">
        <v>357</v>
      </c>
      <c r="F1333" t="s">
        <v>418</v>
      </c>
      <c r="G1333" t="s">
        <v>37</v>
      </c>
      <c r="H1333" t="s">
        <v>43</v>
      </c>
      <c r="I1333" s="187"/>
      <c r="J1333" s="187">
        <v>90</v>
      </c>
      <c r="K1333" s="187">
        <v>0</v>
      </c>
      <c r="L1333" s="187">
        <v>29</v>
      </c>
      <c r="M1333" s="187">
        <v>119</v>
      </c>
      <c r="N1333" s="187">
        <v>29</v>
      </c>
      <c r="O1333" t="s">
        <v>1792</v>
      </c>
    </row>
    <row r="1334" spans="1:15" hidden="1" x14ac:dyDescent="0.45">
      <c r="A1334" s="187">
        <v>2016</v>
      </c>
      <c r="B1334" t="s">
        <v>34</v>
      </c>
      <c r="C1334" t="s">
        <v>325</v>
      </c>
      <c r="D1334" t="s">
        <v>35</v>
      </c>
      <c r="E1334" t="s">
        <v>357</v>
      </c>
      <c r="F1334" t="s">
        <v>419</v>
      </c>
      <c r="G1334" t="s">
        <v>36</v>
      </c>
      <c r="H1334" t="s">
        <v>43</v>
      </c>
      <c r="I1334" s="187"/>
      <c r="J1334" s="187">
        <v>0</v>
      </c>
      <c r="K1334" s="187">
        <v>0</v>
      </c>
      <c r="L1334" s="187"/>
      <c r="M1334" s="187">
        <v>0</v>
      </c>
      <c r="N1334" s="187">
        <v>0</v>
      </c>
      <c r="O1334" t="s">
        <v>1793</v>
      </c>
    </row>
    <row r="1335" spans="1:15" hidden="1" x14ac:dyDescent="0.45">
      <c r="A1335" s="187">
        <v>2016</v>
      </c>
      <c r="B1335" t="s">
        <v>34</v>
      </c>
      <c r="C1335" t="s">
        <v>325</v>
      </c>
      <c r="D1335" t="s">
        <v>35</v>
      </c>
      <c r="E1335" t="s">
        <v>357</v>
      </c>
      <c r="F1335" t="s">
        <v>419</v>
      </c>
      <c r="G1335" t="s">
        <v>37</v>
      </c>
      <c r="H1335" t="s">
        <v>43</v>
      </c>
      <c r="I1335" s="187"/>
      <c r="J1335" s="187">
        <v>0</v>
      </c>
      <c r="K1335" s="187">
        <v>0</v>
      </c>
      <c r="L1335" s="187"/>
      <c r="M1335" s="187">
        <v>0</v>
      </c>
      <c r="N1335" s="187">
        <v>0</v>
      </c>
      <c r="O1335" t="s">
        <v>1794</v>
      </c>
    </row>
    <row r="1336" spans="1:15" hidden="1" x14ac:dyDescent="0.45">
      <c r="A1336" s="187">
        <v>2016</v>
      </c>
      <c r="B1336" t="s">
        <v>34</v>
      </c>
      <c r="C1336" t="s">
        <v>325</v>
      </c>
      <c r="D1336" t="s">
        <v>35</v>
      </c>
      <c r="E1336" t="s">
        <v>357</v>
      </c>
      <c r="F1336" t="s">
        <v>420</v>
      </c>
      <c r="G1336" t="s">
        <v>36</v>
      </c>
      <c r="H1336" t="s">
        <v>43</v>
      </c>
      <c r="I1336" s="187">
        <v>0</v>
      </c>
      <c r="J1336" s="187">
        <v>503.28570556640625</v>
      </c>
      <c r="K1336" s="187">
        <v>30.634952545166016</v>
      </c>
      <c r="L1336" s="187">
        <v>342.53106689453125</v>
      </c>
      <c r="M1336" s="187">
        <v>876.45172119140625</v>
      </c>
      <c r="N1336" s="187">
        <v>342.53106689453125</v>
      </c>
      <c r="O1336" t="s">
        <v>1795</v>
      </c>
    </row>
    <row r="1337" spans="1:15" hidden="1" x14ac:dyDescent="0.45">
      <c r="A1337" s="187">
        <v>2016</v>
      </c>
      <c r="B1337" t="s">
        <v>34</v>
      </c>
      <c r="C1337" t="s">
        <v>325</v>
      </c>
      <c r="D1337" t="s">
        <v>35</v>
      </c>
      <c r="E1337" t="s">
        <v>357</v>
      </c>
      <c r="F1337" t="s">
        <v>420</v>
      </c>
      <c r="G1337" t="s">
        <v>37</v>
      </c>
      <c r="H1337" t="s">
        <v>43</v>
      </c>
      <c r="I1337" s="187">
        <v>0</v>
      </c>
      <c r="J1337" s="187">
        <v>407</v>
      </c>
      <c r="K1337" s="187">
        <v>24.774049999999999</v>
      </c>
      <c r="L1337" s="187">
        <v>277</v>
      </c>
      <c r="M1337" s="187">
        <v>708.7740478515625</v>
      </c>
      <c r="N1337" s="187">
        <v>277</v>
      </c>
      <c r="O1337" t="s">
        <v>1796</v>
      </c>
    </row>
    <row r="1338" spans="1:15" hidden="1" x14ac:dyDescent="0.45">
      <c r="A1338" s="187">
        <v>2016</v>
      </c>
      <c r="B1338" t="s">
        <v>34</v>
      </c>
      <c r="C1338" t="s">
        <v>325</v>
      </c>
      <c r="D1338" t="s">
        <v>35</v>
      </c>
      <c r="E1338" t="s">
        <v>357</v>
      </c>
      <c r="F1338" t="s">
        <v>402</v>
      </c>
      <c r="G1338" t="s">
        <v>36</v>
      </c>
      <c r="H1338" t="s">
        <v>43</v>
      </c>
      <c r="I1338" s="187">
        <v>34.624076843261719</v>
      </c>
      <c r="J1338" s="187">
        <v>12.365742683410645</v>
      </c>
      <c r="K1338" s="187">
        <v>0</v>
      </c>
      <c r="L1338" s="187">
        <v>59.355564117431641</v>
      </c>
      <c r="M1338" s="187">
        <v>106.34538269042969</v>
      </c>
      <c r="N1338" s="187">
        <v>93.979644775390625</v>
      </c>
      <c r="O1338" t="s">
        <v>1797</v>
      </c>
    </row>
    <row r="1339" spans="1:15" hidden="1" x14ac:dyDescent="0.45">
      <c r="A1339" s="187">
        <v>2016</v>
      </c>
      <c r="B1339" t="s">
        <v>34</v>
      </c>
      <c r="C1339" t="s">
        <v>325</v>
      </c>
      <c r="D1339" t="s">
        <v>35</v>
      </c>
      <c r="E1339" t="s">
        <v>357</v>
      </c>
      <c r="F1339" t="s">
        <v>402</v>
      </c>
      <c r="G1339" t="s">
        <v>37</v>
      </c>
      <c r="H1339" t="s">
        <v>43</v>
      </c>
      <c r="I1339" s="187">
        <v>28</v>
      </c>
      <c r="J1339" s="187">
        <v>10</v>
      </c>
      <c r="K1339" s="187">
        <v>0</v>
      </c>
      <c r="L1339" s="187">
        <v>48</v>
      </c>
      <c r="M1339" s="187">
        <v>86</v>
      </c>
      <c r="N1339" s="187">
        <v>76</v>
      </c>
      <c r="O1339" t="s">
        <v>1798</v>
      </c>
    </row>
    <row r="1340" spans="1:15" hidden="1" x14ac:dyDescent="0.45">
      <c r="A1340" s="187">
        <v>2016</v>
      </c>
      <c r="B1340" t="s">
        <v>34</v>
      </c>
      <c r="C1340" t="s">
        <v>325</v>
      </c>
      <c r="D1340" t="s">
        <v>35</v>
      </c>
      <c r="E1340" t="s">
        <v>357</v>
      </c>
      <c r="F1340" t="s">
        <v>403</v>
      </c>
      <c r="G1340" t="s">
        <v>36</v>
      </c>
      <c r="H1340" t="s">
        <v>43</v>
      </c>
      <c r="I1340" s="187">
        <v>1313.2418212890625</v>
      </c>
      <c r="J1340" s="187">
        <v>0</v>
      </c>
      <c r="K1340" s="187">
        <v>2234.91064453125</v>
      </c>
      <c r="L1340" s="187">
        <v>927.4306640625</v>
      </c>
      <c r="M1340" s="187">
        <v>4475.5830078125</v>
      </c>
      <c r="N1340" s="187">
        <v>2240.67236328125</v>
      </c>
      <c r="O1340" t="s">
        <v>1799</v>
      </c>
    </row>
    <row r="1341" spans="1:15" hidden="1" x14ac:dyDescent="0.45">
      <c r="A1341" s="187">
        <v>2016</v>
      </c>
      <c r="B1341" t="s">
        <v>34</v>
      </c>
      <c r="C1341" t="s">
        <v>325</v>
      </c>
      <c r="D1341" t="s">
        <v>35</v>
      </c>
      <c r="E1341" t="s">
        <v>357</v>
      </c>
      <c r="F1341" t="s">
        <v>403</v>
      </c>
      <c r="G1341" t="s">
        <v>37</v>
      </c>
      <c r="H1341" t="s">
        <v>43</v>
      </c>
      <c r="I1341" s="187">
        <v>1062</v>
      </c>
      <c r="J1341" s="187">
        <v>0</v>
      </c>
      <c r="K1341" s="187">
        <v>1807.34041</v>
      </c>
      <c r="L1341" s="187">
        <v>750</v>
      </c>
      <c r="M1341" s="187">
        <v>3619.34033203125</v>
      </c>
      <c r="N1341" s="187">
        <v>1812</v>
      </c>
      <c r="O1341" t="s">
        <v>1800</v>
      </c>
    </row>
    <row r="1342" spans="1:15" hidden="1" x14ac:dyDescent="0.45">
      <c r="A1342" s="187">
        <v>2016</v>
      </c>
      <c r="B1342" t="s">
        <v>34</v>
      </c>
      <c r="C1342" t="s">
        <v>325</v>
      </c>
      <c r="D1342" t="s">
        <v>35</v>
      </c>
      <c r="E1342" t="s">
        <v>357</v>
      </c>
      <c r="F1342" t="s">
        <v>405</v>
      </c>
      <c r="G1342" t="s">
        <v>36</v>
      </c>
      <c r="H1342" t="s">
        <v>43</v>
      </c>
      <c r="I1342" s="187">
        <v>19.785188674926758</v>
      </c>
      <c r="J1342" s="187">
        <v>8.6560192108154297</v>
      </c>
      <c r="K1342" s="187">
        <v>0</v>
      </c>
      <c r="L1342" s="187">
        <v>24.731485366821289</v>
      </c>
      <c r="M1342" s="187">
        <v>53.172691345214844</v>
      </c>
      <c r="N1342" s="187">
        <v>44.516674041748047</v>
      </c>
      <c r="O1342" t="s">
        <v>1801</v>
      </c>
    </row>
    <row r="1343" spans="1:15" hidden="1" x14ac:dyDescent="0.45">
      <c r="A1343" s="187">
        <v>2016</v>
      </c>
      <c r="B1343" t="s">
        <v>34</v>
      </c>
      <c r="C1343" t="s">
        <v>325</v>
      </c>
      <c r="D1343" t="s">
        <v>35</v>
      </c>
      <c r="E1343" t="s">
        <v>357</v>
      </c>
      <c r="F1343" t="s">
        <v>405</v>
      </c>
      <c r="G1343" t="s">
        <v>37</v>
      </c>
      <c r="H1343" t="s">
        <v>43</v>
      </c>
      <c r="I1343" s="187">
        <v>16</v>
      </c>
      <c r="J1343" s="187">
        <v>7</v>
      </c>
      <c r="K1343" s="187">
        <v>0</v>
      </c>
      <c r="L1343" s="187">
        <v>20</v>
      </c>
      <c r="M1343" s="187">
        <v>43</v>
      </c>
      <c r="N1343" s="187">
        <v>36</v>
      </c>
      <c r="O1343" t="s">
        <v>1802</v>
      </c>
    </row>
    <row r="1344" spans="1:15" hidden="1" x14ac:dyDescent="0.45">
      <c r="A1344" s="187">
        <v>2016</v>
      </c>
      <c r="B1344" t="s">
        <v>34</v>
      </c>
      <c r="C1344" t="s">
        <v>325</v>
      </c>
      <c r="D1344" t="s">
        <v>35</v>
      </c>
      <c r="E1344" t="s">
        <v>357</v>
      </c>
      <c r="F1344" t="s">
        <v>406</v>
      </c>
      <c r="G1344" t="s">
        <v>36</v>
      </c>
      <c r="H1344" t="s">
        <v>43</v>
      </c>
      <c r="I1344" s="187"/>
      <c r="J1344" s="187">
        <v>0</v>
      </c>
      <c r="K1344" s="187">
        <v>0</v>
      </c>
      <c r="L1344" s="187">
        <v>0</v>
      </c>
      <c r="M1344" s="187">
        <v>0</v>
      </c>
      <c r="N1344" s="187">
        <v>0</v>
      </c>
      <c r="O1344" t="s">
        <v>1803</v>
      </c>
    </row>
    <row r="1345" spans="1:15" hidden="1" x14ac:dyDescent="0.45">
      <c r="A1345" s="187">
        <v>2016</v>
      </c>
      <c r="B1345" t="s">
        <v>34</v>
      </c>
      <c r="C1345" t="s">
        <v>325</v>
      </c>
      <c r="D1345" t="s">
        <v>35</v>
      </c>
      <c r="E1345" t="s">
        <v>357</v>
      </c>
      <c r="F1345" t="s">
        <v>406</v>
      </c>
      <c r="G1345" t="s">
        <v>37</v>
      </c>
      <c r="H1345" t="s">
        <v>43</v>
      </c>
      <c r="I1345" s="187"/>
      <c r="J1345" s="187">
        <v>0</v>
      </c>
      <c r="K1345" s="187">
        <v>0</v>
      </c>
      <c r="L1345" s="187">
        <v>0</v>
      </c>
      <c r="M1345" s="187">
        <v>0</v>
      </c>
      <c r="N1345" s="187">
        <v>0</v>
      </c>
      <c r="O1345" t="s">
        <v>1804</v>
      </c>
    </row>
    <row r="1346" spans="1:15" hidden="1" x14ac:dyDescent="0.45">
      <c r="A1346" s="187">
        <v>2016</v>
      </c>
      <c r="B1346" t="s">
        <v>34</v>
      </c>
      <c r="C1346" t="s">
        <v>325</v>
      </c>
      <c r="D1346" t="s">
        <v>35</v>
      </c>
      <c r="E1346" t="s">
        <v>357</v>
      </c>
      <c r="F1346" t="s">
        <v>421</v>
      </c>
      <c r="G1346" t="s">
        <v>36</v>
      </c>
      <c r="H1346" t="s">
        <v>43</v>
      </c>
      <c r="I1346" s="187"/>
      <c r="J1346" s="187">
        <v>0</v>
      </c>
      <c r="K1346" s="187">
        <v>0</v>
      </c>
      <c r="L1346" s="187">
        <v>48.226394653320313</v>
      </c>
      <c r="M1346" s="187">
        <v>48.226394653320313</v>
      </c>
      <c r="N1346" s="187">
        <v>48.226394653320313</v>
      </c>
      <c r="O1346" t="s">
        <v>1805</v>
      </c>
    </row>
    <row r="1347" spans="1:15" hidden="1" x14ac:dyDescent="0.45">
      <c r="A1347" s="187">
        <v>2016</v>
      </c>
      <c r="B1347" t="s">
        <v>34</v>
      </c>
      <c r="C1347" t="s">
        <v>325</v>
      </c>
      <c r="D1347" t="s">
        <v>35</v>
      </c>
      <c r="E1347" t="s">
        <v>357</v>
      </c>
      <c r="F1347" t="s">
        <v>421</v>
      </c>
      <c r="G1347" t="s">
        <v>37</v>
      </c>
      <c r="H1347" t="s">
        <v>43</v>
      </c>
      <c r="I1347" s="187"/>
      <c r="J1347" s="187">
        <v>0</v>
      </c>
      <c r="K1347" s="187">
        <v>0</v>
      </c>
      <c r="L1347" s="187">
        <v>39</v>
      </c>
      <c r="M1347" s="187">
        <v>39</v>
      </c>
      <c r="N1347" s="187">
        <v>39</v>
      </c>
      <c r="O1347" t="s">
        <v>1806</v>
      </c>
    </row>
    <row r="1348" spans="1:15" hidden="1" x14ac:dyDescent="0.45">
      <c r="A1348" s="187">
        <v>2016</v>
      </c>
      <c r="B1348" t="s">
        <v>34</v>
      </c>
      <c r="C1348" t="s">
        <v>325</v>
      </c>
      <c r="D1348" t="s">
        <v>35</v>
      </c>
      <c r="E1348" t="s">
        <v>357</v>
      </c>
      <c r="F1348" t="s">
        <v>422</v>
      </c>
      <c r="G1348" t="s">
        <v>36</v>
      </c>
      <c r="H1348" t="s">
        <v>43</v>
      </c>
      <c r="I1348" s="187">
        <v>1367.651123046875</v>
      </c>
      <c r="J1348" s="187">
        <v>21.021762847900391</v>
      </c>
      <c r="K1348" s="187">
        <v>2234.91064453125</v>
      </c>
      <c r="L1348" s="187">
        <v>1059.744140625</v>
      </c>
      <c r="M1348" s="187">
        <v>4683.32763671875</v>
      </c>
      <c r="N1348" s="187">
        <v>2427.395263671875</v>
      </c>
      <c r="O1348" t="s">
        <v>1807</v>
      </c>
    </row>
    <row r="1349" spans="1:15" hidden="1" x14ac:dyDescent="0.45">
      <c r="A1349" s="187">
        <v>2016</v>
      </c>
      <c r="B1349" t="s">
        <v>34</v>
      </c>
      <c r="C1349" t="s">
        <v>325</v>
      </c>
      <c r="D1349" t="s">
        <v>35</v>
      </c>
      <c r="E1349" t="s">
        <v>357</v>
      </c>
      <c r="F1349" t="s">
        <v>422</v>
      </c>
      <c r="G1349" t="s">
        <v>37</v>
      </c>
      <c r="H1349" t="s">
        <v>43</v>
      </c>
      <c r="I1349" s="187">
        <v>1106</v>
      </c>
      <c r="J1349" s="187">
        <v>17</v>
      </c>
      <c r="K1349" s="187">
        <v>1807.34041</v>
      </c>
      <c r="L1349" s="187">
        <v>857</v>
      </c>
      <c r="M1349" s="187">
        <v>3787.34033203125</v>
      </c>
      <c r="N1349" s="187">
        <v>1963</v>
      </c>
      <c r="O1349" t="s">
        <v>1808</v>
      </c>
    </row>
    <row r="1350" spans="1:15" hidden="1" x14ac:dyDescent="0.45">
      <c r="A1350" s="187">
        <v>2016</v>
      </c>
      <c r="B1350" t="s">
        <v>34</v>
      </c>
      <c r="C1350" t="s">
        <v>325</v>
      </c>
      <c r="D1350" t="s">
        <v>35</v>
      </c>
      <c r="E1350" t="s">
        <v>357</v>
      </c>
      <c r="F1350" t="s">
        <v>423</v>
      </c>
      <c r="G1350" t="s">
        <v>36</v>
      </c>
      <c r="H1350" t="s">
        <v>43</v>
      </c>
      <c r="I1350" s="187">
        <v>325.21902465820313</v>
      </c>
      <c r="J1350" s="187">
        <v>0</v>
      </c>
      <c r="K1350" s="187">
        <v>179.25669860839844</v>
      </c>
      <c r="L1350" s="187"/>
      <c r="M1350" s="187">
        <v>504.4757080078125</v>
      </c>
      <c r="N1350" s="187">
        <v>325.21902465820313</v>
      </c>
      <c r="O1350" t="s">
        <v>1809</v>
      </c>
    </row>
    <row r="1351" spans="1:15" hidden="1" x14ac:dyDescent="0.45">
      <c r="A1351" s="187">
        <v>2016</v>
      </c>
      <c r="B1351" t="s">
        <v>34</v>
      </c>
      <c r="C1351" t="s">
        <v>325</v>
      </c>
      <c r="D1351" t="s">
        <v>35</v>
      </c>
      <c r="E1351" t="s">
        <v>357</v>
      </c>
      <c r="F1351" t="s">
        <v>423</v>
      </c>
      <c r="G1351" t="s">
        <v>37</v>
      </c>
      <c r="H1351" t="s">
        <v>43</v>
      </c>
      <c r="I1351" s="187">
        <v>263</v>
      </c>
      <c r="J1351" s="187">
        <v>0</v>
      </c>
      <c r="K1351" s="187">
        <v>144.96234000000001</v>
      </c>
      <c r="L1351" s="187"/>
      <c r="M1351" s="187">
        <v>407.96234130859375</v>
      </c>
      <c r="N1351" s="187">
        <v>263</v>
      </c>
      <c r="O1351" t="s">
        <v>1810</v>
      </c>
    </row>
    <row r="1352" spans="1:15" hidden="1" x14ac:dyDescent="0.45">
      <c r="A1352" s="187">
        <v>2016</v>
      </c>
      <c r="B1352" t="s">
        <v>34</v>
      </c>
      <c r="C1352" t="s">
        <v>325</v>
      </c>
      <c r="D1352" t="s">
        <v>35</v>
      </c>
      <c r="E1352" t="s">
        <v>357</v>
      </c>
      <c r="F1352" t="s">
        <v>424</v>
      </c>
      <c r="G1352" t="s">
        <v>36</v>
      </c>
      <c r="H1352" t="s">
        <v>43</v>
      </c>
      <c r="I1352" s="187"/>
      <c r="J1352" s="187">
        <v>0</v>
      </c>
      <c r="K1352" s="187">
        <v>-5.5823907852172852</v>
      </c>
      <c r="L1352" s="187"/>
      <c r="M1352" s="187">
        <v>-5.5823907852172852</v>
      </c>
      <c r="N1352" s="187">
        <v>0</v>
      </c>
      <c r="O1352" t="s">
        <v>1811</v>
      </c>
    </row>
    <row r="1353" spans="1:15" hidden="1" x14ac:dyDescent="0.45">
      <c r="A1353" s="187">
        <v>2016</v>
      </c>
      <c r="B1353" t="s">
        <v>34</v>
      </c>
      <c r="C1353" t="s">
        <v>325</v>
      </c>
      <c r="D1353" t="s">
        <v>35</v>
      </c>
      <c r="E1353" t="s">
        <v>357</v>
      </c>
      <c r="F1353" t="s">
        <v>424</v>
      </c>
      <c r="G1353" t="s">
        <v>37</v>
      </c>
      <c r="H1353" t="s">
        <v>43</v>
      </c>
      <c r="I1353" s="187"/>
      <c r="J1353" s="187">
        <v>0</v>
      </c>
      <c r="K1353" s="187">
        <v>-4.5143999999999993</v>
      </c>
      <c r="L1353" s="187"/>
      <c r="M1353" s="187">
        <v>-4.5144000053405762</v>
      </c>
      <c r="N1353" s="187">
        <v>0</v>
      </c>
      <c r="O1353" t="s">
        <v>1812</v>
      </c>
    </row>
    <row r="1354" spans="1:15" hidden="1" x14ac:dyDescent="0.45">
      <c r="A1354" s="187">
        <v>2016</v>
      </c>
      <c r="B1354" t="s">
        <v>34</v>
      </c>
      <c r="C1354" t="s">
        <v>325</v>
      </c>
      <c r="D1354" t="s">
        <v>35</v>
      </c>
      <c r="E1354" t="s">
        <v>357</v>
      </c>
      <c r="F1354" t="s">
        <v>446</v>
      </c>
      <c r="G1354" t="s">
        <v>36</v>
      </c>
      <c r="H1354" t="s">
        <v>43</v>
      </c>
      <c r="I1354" s="187">
        <v>185.48612976074219</v>
      </c>
      <c r="J1354" s="187">
        <v>0</v>
      </c>
      <c r="K1354" s="187">
        <v>-2.6602544784545898</v>
      </c>
      <c r="L1354" s="187"/>
      <c r="M1354" s="187">
        <v>182.82588195800781</v>
      </c>
      <c r="N1354" s="187">
        <v>185.48612976074219</v>
      </c>
      <c r="O1354" t="s">
        <v>1813</v>
      </c>
    </row>
    <row r="1355" spans="1:15" hidden="1" x14ac:dyDescent="0.45">
      <c r="A1355" s="187">
        <v>2016</v>
      </c>
      <c r="B1355" t="s">
        <v>34</v>
      </c>
      <c r="C1355" t="s">
        <v>325</v>
      </c>
      <c r="D1355" t="s">
        <v>35</v>
      </c>
      <c r="E1355" t="s">
        <v>357</v>
      </c>
      <c r="F1355" t="s">
        <v>446</v>
      </c>
      <c r="G1355" t="s">
        <v>37</v>
      </c>
      <c r="H1355" t="s">
        <v>43</v>
      </c>
      <c r="I1355" s="187">
        <v>150</v>
      </c>
      <c r="J1355" s="187">
        <v>0</v>
      </c>
      <c r="K1355" s="187">
        <v>-2.1513100000000001</v>
      </c>
      <c r="L1355" s="187"/>
      <c r="M1355" s="187">
        <v>147.84869384765625</v>
      </c>
      <c r="N1355" s="187">
        <v>150</v>
      </c>
      <c r="O1355" t="s">
        <v>1814</v>
      </c>
    </row>
    <row r="1356" spans="1:15" hidden="1" x14ac:dyDescent="0.45">
      <c r="A1356" s="187">
        <v>2016</v>
      </c>
      <c r="B1356" t="s">
        <v>34</v>
      </c>
      <c r="C1356" t="s">
        <v>325</v>
      </c>
      <c r="D1356" t="s">
        <v>35</v>
      </c>
      <c r="E1356" t="s">
        <v>357</v>
      </c>
      <c r="F1356" t="s">
        <v>426</v>
      </c>
      <c r="G1356" t="s">
        <v>36</v>
      </c>
      <c r="H1356" t="s">
        <v>43</v>
      </c>
      <c r="I1356" s="187">
        <v>510.70516967773438</v>
      </c>
      <c r="J1356" s="187">
        <v>0</v>
      </c>
      <c r="K1356" s="187">
        <v>171.01405334472656</v>
      </c>
      <c r="L1356" s="187">
        <v>0</v>
      </c>
      <c r="M1356" s="187">
        <v>681.71923828125</v>
      </c>
      <c r="N1356" s="187">
        <v>510.70516967773438</v>
      </c>
      <c r="O1356" t="s">
        <v>1815</v>
      </c>
    </row>
    <row r="1357" spans="1:15" hidden="1" x14ac:dyDescent="0.45">
      <c r="A1357" s="187">
        <v>2016</v>
      </c>
      <c r="B1357" t="s">
        <v>34</v>
      </c>
      <c r="C1357" t="s">
        <v>325</v>
      </c>
      <c r="D1357" t="s">
        <v>35</v>
      </c>
      <c r="E1357" t="s">
        <v>357</v>
      </c>
      <c r="F1357" t="s">
        <v>426</v>
      </c>
      <c r="G1357" t="s">
        <v>37</v>
      </c>
      <c r="H1357" t="s">
        <v>43</v>
      </c>
      <c r="I1357" s="187">
        <v>413</v>
      </c>
      <c r="J1357" s="187">
        <v>0</v>
      </c>
      <c r="K1357" s="187">
        <v>138.29662999999999</v>
      </c>
      <c r="L1357" s="187">
        <v>0</v>
      </c>
      <c r="M1357" s="187">
        <v>551.296630859375</v>
      </c>
      <c r="N1357" s="187">
        <v>413</v>
      </c>
      <c r="O1357" t="s">
        <v>1816</v>
      </c>
    </row>
    <row r="1358" spans="1:15" hidden="1" x14ac:dyDescent="0.45">
      <c r="A1358" s="187">
        <v>2016</v>
      </c>
      <c r="B1358" t="s">
        <v>34</v>
      </c>
      <c r="C1358" t="s">
        <v>325</v>
      </c>
      <c r="D1358" t="s">
        <v>35</v>
      </c>
      <c r="E1358" t="s">
        <v>358</v>
      </c>
      <c r="F1358" t="s">
        <v>427</v>
      </c>
      <c r="G1358" t="s">
        <v>36</v>
      </c>
      <c r="H1358" t="s">
        <v>43</v>
      </c>
      <c r="I1358" s="187"/>
      <c r="J1358" s="187">
        <v>0</v>
      </c>
      <c r="K1358" s="187">
        <v>91.345466613769531</v>
      </c>
      <c r="L1358" s="187"/>
      <c r="M1358" s="187">
        <v>91.345466613769531</v>
      </c>
      <c r="N1358" s="187">
        <v>0</v>
      </c>
      <c r="O1358" t="s">
        <v>1817</v>
      </c>
    </row>
    <row r="1359" spans="1:15" hidden="1" x14ac:dyDescent="0.45">
      <c r="A1359" s="187">
        <v>2016</v>
      </c>
      <c r="B1359" t="s">
        <v>34</v>
      </c>
      <c r="C1359" t="s">
        <v>325</v>
      </c>
      <c r="D1359" t="s">
        <v>35</v>
      </c>
      <c r="E1359" t="s">
        <v>358</v>
      </c>
      <c r="F1359" t="s">
        <v>427</v>
      </c>
      <c r="G1359" t="s">
        <v>37</v>
      </c>
      <c r="H1359" t="s">
        <v>43</v>
      </c>
      <c r="I1359" s="187"/>
      <c r="J1359" s="187">
        <v>0</v>
      </c>
      <c r="K1359" s="187">
        <v>73.869780000000006</v>
      </c>
      <c r="L1359" s="187"/>
      <c r="M1359" s="187">
        <v>73.869781494140625</v>
      </c>
      <c r="N1359" s="187">
        <v>0</v>
      </c>
      <c r="O1359" t="s">
        <v>1818</v>
      </c>
    </row>
    <row r="1360" spans="1:15" hidden="1" x14ac:dyDescent="0.45">
      <c r="A1360" s="187">
        <v>2016</v>
      </c>
      <c r="B1360" t="s">
        <v>34</v>
      </c>
      <c r="C1360" t="s">
        <v>325</v>
      </c>
      <c r="D1360" t="s">
        <v>35</v>
      </c>
      <c r="E1360" t="s">
        <v>358</v>
      </c>
      <c r="F1360" t="s">
        <v>392</v>
      </c>
      <c r="G1360" t="s">
        <v>36</v>
      </c>
      <c r="H1360" t="s">
        <v>43</v>
      </c>
      <c r="I1360" s="187"/>
      <c r="J1360" s="187">
        <v>0</v>
      </c>
      <c r="K1360" s="187">
        <v>0</v>
      </c>
      <c r="L1360" s="187">
        <v>0</v>
      </c>
      <c r="M1360" s="187">
        <v>0</v>
      </c>
      <c r="N1360" s="187">
        <v>0</v>
      </c>
      <c r="O1360" t="s">
        <v>1819</v>
      </c>
    </row>
    <row r="1361" spans="1:15" hidden="1" x14ac:dyDescent="0.45">
      <c r="A1361" s="187">
        <v>2016</v>
      </c>
      <c r="B1361" t="s">
        <v>34</v>
      </c>
      <c r="C1361" t="s">
        <v>325</v>
      </c>
      <c r="D1361" t="s">
        <v>35</v>
      </c>
      <c r="E1361" t="s">
        <v>358</v>
      </c>
      <c r="F1361" t="s">
        <v>392</v>
      </c>
      <c r="G1361" t="s">
        <v>37</v>
      </c>
      <c r="H1361" t="s">
        <v>43</v>
      </c>
      <c r="I1361" s="187"/>
      <c r="J1361" s="187">
        <v>0</v>
      </c>
      <c r="K1361" s="187">
        <v>0</v>
      </c>
      <c r="L1361" s="187">
        <v>0</v>
      </c>
      <c r="M1361" s="187">
        <v>0</v>
      </c>
      <c r="N1361" s="187">
        <v>0</v>
      </c>
      <c r="O1361" t="s">
        <v>1820</v>
      </c>
    </row>
    <row r="1362" spans="1:15" hidden="1" x14ac:dyDescent="0.45">
      <c r="A1362" s="187">
        <v>2016</v>
      </c>
      <c r="B1362" t="s">
        <v>34</v>
      </c>
      <c r="C1362" t="s">
        <v>325</v>
      </c>
      <c r="D1362" t="s">
        <v>35</v>
      </c>
      <c r="E1362" t="s">
        <v>358</v>
      </c>
      <c r="F1362" t="s">
        <v>393</v>
      </c>
      <c r="G1362" t="s">
        <v>36</v>
      </c>
      <c r="H1362" t="s">
        <v>43</v>
      </c>
      <c r="I1362" s="187"/>
      <c r="J1362" s="187">
        <v>1.2365742921829224</v>
      </c>
      <c r="K1362" s="187">
        <v>0</v>
      </c>
      <c r="L1362" s="187">
        <v>0</v>
      </c>
      <c r="M1362" s="187">
        <v>1.2365742921829224</v>
      </c>
      <c r="N1362" s="187">
        <v>0</v>
      </c>
      <c r="O1362" t="s">
        <v>1821</v>
      </c>
    </row>
    <row r="1363" spans="1:15" hidden="1" x14ac:dyDescent="0.45">
      <c r="A1363" s="187">
        <v>2016</v>
      </c>
      <c r="B1363" t="s">
        <v>34</v>
      </c>
      <c r="C1363" t="s">
        <v>325</v>
      </c>
      <c r="D1363" t="s">
        <v>35</v>
      </c>
      <c r="E1363" t="s">
        <v>358</v>
      </c>
      <c r="F1363" t="s">
        <v>393</v>
      </c>
      <c r="G1363" t="s">
        <v>37</v>
      </c>
      <c r="H1363" t="s">
        <v>43</v>
      </c>
      <c r="I1363" s="187"/>
      <c r="J1363" s="187">
        <v>1</v>
      </c>
      <c r="K1363" s="187">
        <v>0</v>
      </c>
      <c r="L1363" s="187">
        <v>0</v>
      </c>
      <c r="M1363" s="187">
        <v>1</v>
      </c>
      <c r="N1363" s="187">
        <v>0</v>
      </c>
      <c r="O1363" t="s">
        <v>1822</v>
      </c>
    </row>
    <row r="1364" spans="1:15" hidden="1" x14ac:dyDescent="0.45">
      <c r="A1364" s="187">
        <v>2016</v>
      </c>
      <c r="B1364" t="s">
        <v>34</v>
      </c>
      <c r="C1364" t="s">
        <v>325</v>
      </c>
      <c r="D1364" t="s">
        <v>35</v>
      </c>
      <c r="E1364" t="s">
        <v>358</v>
      </c>
      <c r="F1364" t="s">
        <v>394</v>
      </c>
      <c r="G1364" t="s">
        <v>36</v>
      </c>
      <c r="H1364" t="s">
        <v>43</v>
      </c>
      <c r="I1364" s="187"/>
      <c r="J1364" s="187">
        <v>0</v>
      </c>
      <c r="K1364" s="187">
        <v>0</v>
      </c>
      <c r="L1364" s="187">
        <v>0</v>
      </c>
      <c r="M1364" s="187">
        <v>0</v>
      </c>
      <c r="N1364" s="187">
        <v>0</v>
      </c>
      <c r="O1364" t="s">
        <v>1823</v>
      </c>
    </row>
    <row r="1365" spans="1:15" hidden="1" x14ac:dyDescent="0.45">
      <c r="A1365" s="187">
        <v>2016</v>
      </c>
      <c r="B1365" t="s">
        <v>34</v>
      </c>
      <c r="C1365" t="s">
        <v>325</v>
      </c>
      <c r="D1365" t="s">
        <v>35</v>
      </c>
      <c r="E1365" t="s">
        <v>358</v>
      </c>
      <c r="F1365" t="s">
        <v>394</v>
      </c>
      <c r="G1365" t="s">
        <v>37</v>
      </c>
      <c r="H1365" t="s">
        <v>43</v>
      </c>
      <c r="I1365" s="187"/>
      <c r="J1365" s="187">
        <v>0</v>
      </c>
      <c r="K1365" s="187">
        <v>0</v>
      </c>
      <c r="L1365" s="187">
        <v>0</v>
      </c>
      <c r="M1365" s="187">
        <v>0</v>
      </c>
      <c r="N1365" s="187">
        <v>0</v>
      </c>
      <c r="O1365" t="s">
        <v>1824</v>
      </c>
    </row>
    <row r="1366" spans="1:15" hidden="1" x14ac:dyDescent="0.45">
      <c r="A1366" s="187">
        <v>2016</v>
      </c>
      <c r="B1366" t="s">
        <v>34</v>
      </c>
      <c r="C1366" t="s">
        <v>325</v>
      </c>
      <c r="D1366" t="s">
        <v>35</v>
      </c>
      <c r="E1366" t="s">
        <v>358</v>
      </c>
      <c r="F1366" t="s">
        <v>395</v>
      </c>
      <c r="G1366" t="s">
        <v>36</v>
      </c>
      <c r="H1366" t="s">
        <v>43</v>
      </c>
      <c r="I1366" s="187"/>
      <c r="J1366" s="187">
        <v>0</v>
      </c>
      <c r="K1366" s="187">
        <v>0</v>
      </c>
      <c r="L1366" s="187">
        <v>0</v>
      </c>
      <c r="M1366" s="187">
        <v>0</v>
      </c>
      <c r="N1366" s="187">
        <v>0</v>
      </c>
      <c r="O1366" t="s">
        <v>1825</v>
      </c>
    </row>
    <row r="1367" spans="1:15" hidden="1" x14ac:dyDescent="0.45">
      <c r="A1367" s="187">
        <v>2016</v>
      </c>
      <c r="B1367" t="s">
        <v>34</v>
      </c>
      <c r="C1367" t="s">
        <v>325</v>
      </c>
      <c r="D1367" t="s">
        <v>35</v>
      </c>
      <c r="E1367" t="s">
        <v>358</v>
      </c>
      <c r="F1367" t="s">
        <v>395</v>
      </c>
      <c r="G1367" t="s">
        <v>37</v>
      </c>
      <c r="H1367" t="s">
        <v>43</v>
      </c>
      <c r="I1367" s="187"/>
      <c r="J1367" s="187">
        <v>0</v>
      </c>
      <c r="K1367" s="187">
        <v>0</v>
      </c>
      <c r="L1367" s="187">
        <v>0</v>
      </c>
      <c r="M1367" s="187">
        <v>0</v>
      </c>
      <c r="N1367" s="187">
        <v>0</v>
      </c>
      <c r="O1367" t="s">
        <v>1826</v>
      </c>
    </row>
    <row r="1368" spans="1:15" hidden="1" x14ac:dyDescent="0.45">
      <c r="A1368" s="187">
        <v>2016</v>
      </c>
      <c r="B1368" t="s">
        <v>34</v>
      </c>
      <c r="C1368" t="s">
        <v>325</v>
      </c>
      <c r="D1368" t="s">
        <v>35</v>
      </c>
      <c r="E1368" t="s">
        <v>358</v>
      </c>
      <c r="F1368" t="s">
        <v>396</v>
      </c>
      <c r="G1368" t="s">
        <v>36</v>
      </c>
      <c r="H1368" t="s">
        <v>43</v>
      </c>
      <c r="I1368" s="187">
        <v>13.602316856384277</v>
      </c>
      <c r="J1368" s="187">
        <v>2.4731485843658447</v>
      </c>
      <c r="K1368" s="187">
        <v>0</v>
      </c>
      <c r="L1368" s="187">
        <v>48.226394653320313</v>
      </c>
      <c r="M1368" s="187">
        <v>64.301864624023438</v>
      </c>
      <c r="N1368" s="187">
        <v>61.828712463378906</v>
      </c>
      <c r="O1368" t="s">
        <v>1827</v>
      </c>
    </row>
    <row r="1369" spans="1:15" hidden="1" x14ac:dyDescent="0.45">
      <c r="A1369" s="187">
        <v>2016</v>
      </c>
      <c r="B1369" t="s">
        <v>34</v>
      </c>
      <c r="C1369" t="s">
        <v>325</v>
      </c>
      <c r="D1369" t="s">
        <v>35</v>
      </c>
      <c r="E1369" t="s">
        <v>358</v>
      </c>
      <c r="F1369" t="s">
        <v>396</v>
      </c>
      <c r="G1369" t="s">
        <v>37</v>
      </c>
      <c r="H1369" t="s">
        <v>43</v>
      </c>
      <c r="I1369" s="187">
        <v>11</v>
      </c>
      <c r="J1369" s="187">
        <v>2</v>
      </c>
      <c r="K1369" s="187">
        <v>0</v>
      </c>
      <c r="L1369" s="187">
        <v>39</v>
      </c>
      <c r="M1369" s="187">
        <v>52</v>
      </c>
      <c r="N1369" s="187">
        <v>50</v>
      </c>
      <c r="O1369" t="s">
        <v>1828</v>
      </c>
    </row>
    <row r="1370" spans="1:15" hidden="1" x14ac:dyDescent="0.45">
      <c r="A1370" s="187">
        <v>2016</v>
      </c>
      <c r="B1370" t="s">
        <v>34</v>
      </c>
      <c r="C1370" t="s">
        <v>325</v>
      </c>
      <c r="D1370" t="s">
        <v>35</v>
      </c>
      <c r="E1370" t="s">
        <v>358</v>
      </c>
      <c r="F1370" t="s">
        <v>415</v>
      </c>
      <c r="G1370" t="s">
        <v>36</v>
      </c>
      <c r="H1370" t="s">
        <v>43</v>
      </c>
      <c r="I1370" s="187">
        <v>13.602316856384277</v>
      </c>
      <c r="J1370" s="187">
        <v>3.7097227573394775</v>
      </c>
      <c r="K1370" s="187">
        <v>0</v>
      </c>
      <c r="L1370" s="187">
        <v>48.226394653320313</v>
      </c>
      <c r="M1370" s="187">
        <v>65.538436889648438</v>
      </c>
      <c r="N1370" s="187">
        <v>61.828712463378906</v>
      </c>
      <c r="O1370" t="s">
        <v>1829</v>
      </c>
    </row>
    <row r="1371" spans="1:15" hidden="1" x14ac:dyDescent="0.45">
      <c r="A1371" s="187">
        <v>2016</v>
      </c>
      <c r="B1371" t="s">
        <v>34</v>
      </c>
      <c r="C1371" t="s">
        <v>325</v>
      </c>
      <c r="D1371" t="s">
        <v>35</v>
      </c>
      <c r="E1371" t="s">
        <v>358</v>
      </c>
      <c r="F1371" t="s">
        <v>415</v>
      </c>
      <c r="G1371" t="s">
        <v>37</v>
      </c>
      <c r="H1371" t="s">
        <v>43</v>
      </c>
      <c r="I1371" s="187">
        <v>11</v>
      </c>
      <c r="J1371" s="187">
        <v>3</v>
      </c>
      <c r="K1371" s="187">
        <v>0</v>
      </c>
      <c r="L1371" s="187">
        <v>39</v>
      </c>
      <c r="M1371" s="187">
        <v>53</v>
      </c>
      <c r="N1371" s="187">
        <v>50</v>
      </c>
      <c r="O1371" t="s">
        <v>1830</v>
      </c>
    </row>
    <row r="1372" spans="1:15" hidden="1" x14ac:dyDescent="0.45">
      <c r="A1372" s="187">
        <v>2016</v>
      </c>
      <c r="B1372" t="s">
        <v>34</v>
      </c>
      <c r="C1372" t="s">
        <v>325</v>
      </c>
      <c r="D1372" t="s">
        <v>35</v>
      </c>
      <c r="E1372" t="s">
        <v>358</v>
      </c>
      <c r="F1372" t="s">
        <v>416</v>
      </c>
      <c r="G1372" t="s">
        <v>36</v>
      </c>
      <c r="H1372" t="s">
        <v>43</v>
      </c>
      <c r="I1372" s="187"/>
      <c r="J1372" s="187">
        <v>0</v>
      </c>
      <c r="K1372" s="187">
        <v>0</v>
      </c>
      <c r="L1372" s="187">
        <v>9.8925943374633789</v>
      </c>
      <c r="M1372" s="187">
        <v>9.8925943374633789</v>
      </c>
      <c r="N1372" s="187">
        <v>9.8925943374633789</v>
      </c>
      <c r="O1372" t="s">
        <v>1831</v>
      </c>
    </row>
    <row r="1373" spans="1:15" hidden="1" x14ac:dyDescent="0.45">
      <c r="A1373" s="187">
        <v>2016</v>
      </c>
      <c r="B1373" t="s">
        <v>34</v>
      </c>
      <c r="C1373" t="s">
        <v>325</v>
      </c>
      <c r="D1373" t="s">
        <v>35</v>
      </c>
      <c r="E1373" t="s">
        <v>358</v>
      </c>
      <c r="F1373" t="s">
        <v>416</v>
      </c>
      <c r="G1373" t="s">
        <v>37</v>
      </c>
      <c r="H1373" t="s">
        <v>43</v>
      </c>
      <c r="I1373" s="187"/>
      <c r="J1373" s="187">
        <v>0</v>
      </c>
      <c r="K1373" s="187">
        <v>0</v>
      </c>
      <c r="L1373" s="187">
        <v>8</v>
      </c>
      <c r="M1373" s="187">
        <v>8</v>
      </c>
      <c r="N1373" s="187">
        <v>8</v>
      </c>
      <c r="O1373" t="s">
        <v>1832</v>
      </c>
    </row>
    <row r="1374" spans="1:15" hidden="1" x14ac:dyDescent="0.45">
      <c r="A1374" s="187">
        <v>2016</v>
      </c>
      <c r="B1374" t="s">
        <v>34</v>
      </c>
      <c r="C1374" t="s">
        <v>325</v>
      </c>
      <c r="D1374" t="s">
        <v>35</v>
      </c>
      <c r="E1374" t="s">
        <v>358</v>
      </c>
      <c r="F1374" t="s">
        <v>417</v>
      </c>
      <c r="G1374" t="s">
        <v>36</v>
      </c>
      <c r="H1374" t="s">
        <v>43</v>
      </c>
      <c r="I1374" s="187"/>
      <c r="J1374" s="187">
        <v>76.6676025390625</v>
      </c>
      <c r="K1374" s="187">
        <v>0</v>
      </c>
      <c r="L1374" s="187">
        <v>0</v>
      </c>
      <c r="M1374" s="187">
        <v>76.6676025390625</v>
      </c>
      <c r="N1374" s="187">
        <v>0</v>
      </c>
      <c r="O1374" t="s">
        <v>1833</v>
      </c>
    </row>
    <row r="1375" spans="1:15" hidden="1" x14ac:dyDescent="0.45">
      <c r="A1375" s="187">
        <v>2016</v>
      </c>
      <c r="B1375" t="s">
        <v>34</v>
      </c>
      <c r="C1375" t="s">
        <v>325</v>
      </c>
      <c r="D1375" t="s">
        <v>35</v>
      </c>
      <c r="E1375" t="s">
        <v>358</v>
      </c>
      <c r="F1375" t="s">
        <v>417</v>
      </c>
      <c r="G1375" t="s">
        <v>37</v>
      </c>
      <c r="H1375" t="s">
        <v>43</v>
      </c>
      <c r="I1375" s="187"/>
      <c r="J1375" s="187">
        <v>62</v>
      </c>
      <c r="K1375" s="187">
        <v>0</v>
      </c>
      <c r="L1375" s="187">
        <v>0</v>
      </c>
      <c r="M1375" s="187">
        <v>62</v>
      </c>
      <c r="N1375" s="187">
        <v>0</v>
      </c>
      <c r="O1375" t="s">
        <v>1834</v>
      </c>
    </row>
    <row r="1376" spans="1:15" hidden="1" x14ac:dyDescent="0.45">
      <c r="A1376" s="187">
        <v>2016</v>
      </c>
      <c r="B1376" t="s">
        <v>34</v>
      </c>
      <c r="C1376" t="s">
        <v>325</v>
      </c>
      <c r="D1376" t="s">
        <v>35</v>
      </c>
      <c r="E1376" t="s">
        <v>358</v>
      </c>
      <c r="F1376" t="s">
        <v>418</v>
      </c>
      <c r="G1376" t="s">
        <v>36</v>
      </c>
      <c r="H1376" t="s">
        <v>43</v>
      </c>
      <c r="I1376" s="187"/>
      <c r="J1376" s="187">
        <v>2.4731485843658447</v>
      </c>
      <c r="K1376" s="187">
        <v>0</v>
      </c>
      <c r="L1376" s="187">
        <v>0</v>
      </c>
      <c r="M1376" s="187">
        <v>2.4731485843658447</v>
      </c>
      <c r="N1376" s="187">
        <v>0</v>
      </c>
      <c r="O1376" t="s">
        <v>1835</v>
      </c>
    </row>
    <row r="1377" spans="1:15" hidden="1" x14ac:dyDescent="0.45">
      <c r="A1377" s="187">
        <v>2016</v>
      </c>
      <c r="B1377" t="s">
        <v>34</v>
      </c>
      <c r="C1377" t="s">
        <v>325</v>
      </c>
      <c r="D1377" t="s">
        <v>35</v>
      </c>
      <c r="E1377" t="s">
        <v>358</v>
      </c>
      <c r="F1377" t="s">
        <v>418</v>
      </c>
      <c r="G1377" t="s">
        <v>37</v>
      </c>
      <c r="H1377" t="s">
        <v>43</v>
      </c>
      <c r="I1377" s="187"/>
      <c r="J1377" s="187">
        <v>2</v>
      </c>
      <c r="K1377" s="187">
        <v>0</v>
      </c>
      <c r="L1377" s="187">
        <v>0</v>
      </c>
      <c r="M1377" s="187">
        <v>2</v>
      </c>
      <c r="N1377" s="187">
        <v>0</v>
      </c>
      <c r="O1377" t="s">
        <v>1836</v>
      </c>
    </row>
    <row r="1378" spans="1:15" hidden="1" x14ac:dyDescent="0.45">
      <c r="A1378" s="187">
        <v>2016</v>
      </c>
      <c r="B1378" t="s">
        <v>34</v>
      </c>
      <c r="C1378" t="s">
        <v>325</v>
      </c>
      <c r="D1378" t="s">
        <v>35</v>
      </c>
      <c r="E1378" t="s">
        <v>358</v>
      </c>
      <c r="F1378" t="s">
        <v>419</v>
      </c>
      <c r="G1378" t="s">
        <v>36</v>
      </c>
      <c r="H1378" t="s">
        <v>43</v>
      </c>
      <c r="I1378" s="187"/>
      <c r="J1378" s="187">
        <v>0</v>
      </c>
      <c r="K1378" s="187">
        <v>0</v>
      </c>
      <c r="L1378" s="187"/>
      <c r="M1378" s="187">
        <v>0</v>
      </c>
      <c r="N1378" s="187">
        <v>0</v>
      </c>
      <c r="O1378" t="s">
        <v>1837</v>
      </c>
    </row>
    <row r="1379" spans="1:15" hidden="1" x14ac:dyDescent="0.45">
      <c r="A1379" s="187">
        <v>2016</v>
      </c>
      <c r="B1379" t="s">
        <v>34</v>
      </c>
      <c r="C1379" t="s">
        <v>325</v>
      </c>
      <c r="D1379" t="s">
        <v>35</v>
      </c>
      <c r="E1379" t="s">
        <v>358</v>
      </c>
      <c r="F1379" t="s">
        <v>419</v>
      </c>
      <c r="G1379" t="s">
        <v>37</v>
      </c>
      <c r="H1379" t="s">
        <v>43</v>
      </c>
      <c r="I1379" s="187"/>
      <c r="J1379" s="187">
        <v>0</v>
      </c>
      <c r="K1379" s="187">
        <v>0</v>
      </c>
      <c r="L1379" s="187"/>
      <c r="M1379" s="187">
        <v>0</v>
      </c>
      <c r="N1379" s="187">
        <v>0</v>
      </c>
      <c r="O1379" t="s">
        <v>1838</v>
      </c>
    </row>
    <row r="1380" spans="1:15" hidden="1" x14ac:dyDescent="0.45">
      <c r="A1380" s="187">
        <v>2016</v>
      </c>
      <c r="B1380" t="s">
        <v>34</v>
      </c>
      <c r="C1380" t="s">
        <v>325</v>
      </c>
      <c r="D1380" t="s">
        <v>35</v>
      </c>
      <c r="E1380" t="s">
        <v>358</v>
      </c>
      <c r="F1380" t="s">
        <v>420</v>
      </c>
      <c r="G1380" t="s">
        <v>36</v>
      </c>
      <c r="H1380" t="s">
        <v>43</v>
      </c>
      <c r="I1380" s="187">
        <v>0</v>
      </c>
      <c r="J1380" s="187">
        <v>79.140754699707031</v>
      </c>
      <c r="K1380" s="187">
        <v>0</v>
      </c>
      <c r="L1380" s="187">
        <v>9.8925943374633789</v>
      </c>
      <c r="M1380" s="187">
        <v>89.033348083496094</v>
      </c>
      <c r="N1380" s="187">
        <v>9.8925943374633789</v>
      </c>
      <c r="O1380" t="s">
        <v>1839</v>
      </c>
    </row>
    <row r="1381" spans="1:15" hidden="1" x14ac:dyDescent="0.45">
      <c r="A1381" s="187">
        <v>2016</v>
      </c>
      <c r="B1381" t="s">
        <v>34</v>
      </c>
      <c r="C1381" t="s">
        <v>325</v>
      </c>
      <c r="D1381" t="s">
        <v>35</v>
      </c>
      <c r="E1381" t="s">
        <v>358</v>
      </c>
      <c r="F1381" t="s">
        <v>420</v>
      </c>
      <c r="G1381" t="s">
        <v>37</v>
      </c>
      <c r="H1381" t="s">
        <v>43</v>
      </c>
      <c r="I1381" s="187">
        <v>0</v>
      </c>
      <c r="J1381" s="187">
        <v>64</v>
      </c>
      <c r="K1381" s="187">
        <v>0</v>
      </c>
      <c r="L1381" s="187">
        <v>8</v>
      </c>
      <c r="M1381" s="187">
        <v>72</v>
      </c>
      <c r="N1381" s="187">
        <v>8</v>
      </c>
      <c r="O1381" t="s">
        <v>1840</v>
      </c>
    </row>
    <row r="1382" spans="1:15" hidden="1" x14ac:dyDescent="0.45">
      <c r="A1382" s="187">
        <v>2016</v>
      </c>
      <c r="B1382" t="s">
        <v>34</v>
      </c>
      <c r="C1382" t="s">
        <v>325</v>
      </c>
      <c r="D1382" t="s">
        <v>35</v>
      </c>
      <c r="E1382" t="s">
        <v>358</v>
      </c>
      <c r="F1382" t="s">
        <v>402</v>
      </c>
      <c r="G1382" t="s">
        <v>36</v>
      </c>
      <c r="H1382" t="s">
        <v>43</v>
      </c>
      <c r="I1382" s="187"/>
      <c r="J1382" s="187">
        <v>0</v>
      </c>
      <c r="K1382" s="187">
        <v>0</v>
      </c>
      <c r="L1382" s="187">
        <v>0</v>
      </c>
      <c r="M1382" s="187">
        <v>0</v>
      </c>
      <c r="N1382" s="187">
        <v>0</v>
      </c>
      <c r="O1382" t="s">
        <v>1841</v>
      </c>
    </row>
    <row r="1383" spans="1:15" hidden="1" x14ac:dyDescent="0.45">
      <c r="A1383" s="187">
        <v>2016</v>
      </c>
      <c r="B1383" t="s">
        <v>34</v>
      </c>
      <c r="C1383" t="s">
        <v>325</v>
      </c>
      <c r="D1383" t="s">
        <v>35</v>
      </c>
      <c r="E1383" t="s">
        <v>358</v>
      </c>
      <c r="F1383" t="s">
        <v>402</v>
      </c>
      <c r="G1383" t="s">
        <v>37</v>
      </c>
      <c r="H1383" t="s">
        <v>43</v>
      </c>
      <c r="I1383" s="187"/>
      <c r="J1383" s="187">
        <v>0</v>
      </c>
      <c r="K1383" s="187">
        <v>0</v>
      </c>
      <c r="L1383" s="187">
        <v>0</v>
      </c>
      <c r="M1383" s="187">
        <v>0</v>
      </c>
      <c r="N1383" s="187">
        <v>0</v>
      </c>
      <c r="O1383" t="s">
        <v>1842</v>
      </c>
    </row>
    <row r="1384" spans="1:15" hidden="1" x14ac:dyDescent="0.45">
      <c r="A1384" s="187">
        <v>2016</v>
      </c>
      <c r="B1384" t="s">
        <v>34</v>
      </c>
      <c r="C1384" t="s">
        <v>325</v>
      </c>
      <c r="D1384" t="s">
        <v>35</v>
      </c>
      <c r="E1384" t="s">
        <v>358</v>
      </c>
      <c r="F1384" t="s">
        <v>403</v>
      </c>
      <c r="G1384" t="s">
        <v>36</v>
      </c>
      <c r="H1384" t="s">
        <v>43</v>
      </c>
      <c r="I1384" s="187">
        <v>195.37872314453125</v>
      </c>
      <c r="J1384" s="187">
        <v>0</v>
      </c>
      <c r="K1384" s="187">
        <v>850.11016845703125</v>
      </c>
      <c r="L1384" s="187">
        <v>76.6676025390625</v>
      </c>
      <c r="M1384" s="187">
        <v>1122.156494140625</v>
      </c>
      <c r="N1384" s="187">
        <v>272.04632568359375</v>
      </c>
      <c r="O1384" t="s">
        <v>1843</v>
      </c>
    </row>
    <row r="1385" spans="1:15" hidden="1" x14ac:dyDescent="0.45">
      <c r="A1385" s="187">
        <v>2016</v>
      </c>
      <c r="B1385" t="s">
        <v>34</v>
      </c>
      <c r="C1385" t="s">
        <v>325</v>
      </c>
      <c r="D1385" t="s">
        <v>35</v>
      </c>
      <c r="E1385" t="s">
        <v>358</v>
      </c>
      <c r="F1385" t="s">
        <v>403</v>
      </c>
      <c r="G1385" t="s">
        <v>37</v>
      </c>
      <c r="H1385" t="s">
        <v>43</v>
      </c>
      <c r="I1385" s="187">
        <v>158</v>
      </c>
      <c r="J1385" s="187">
        <v>0</v>
      </c>
      <c r="K1385" s="187">
        <v>687.47199999999998</v>
      </c>
      <c r="L1385" s="187">
        <v>62</v>
      </c>
      <c r="M1385" s="187">
        <v>907.47198486328125</v>
      </c>
      <c r="N1385" s="187">
        <v>220</v>
      </c>
      <c r="O1385" t="s">
        <v>1844</v>
      </c>
    </row>
    <row r="1386" spans="1:15" hidden="1" x14ac:dyDescent="0.45">
      <c r="A1386" s="187">
        <v>2016</v>
      </c>
      <c r="B1386" t="s">
        <v>34</v>
      </c>
      <c r="C1386" t="s">
        <v>325</v>
      </c>
      <c r="D1386" t="s">
        <v>35</v>
      </c>
      <c r="E1386" t="s">
        <v>358</v>
      </c>
      <c r="F1386" t="s">
        <v>405</v>
      </c>
      <c r="G1386" t="s">
        <v>36</v>
      </c>
      <c r="H1386" t="s">
        <v>43</v>
      </c>
      <c r="I1386" s="187"/>
      <c r="J1386" s="187">
        <v>0</v>
      </c>
      <c r="K1386" s="187">
        <v>0</v>
      </c>
      <c r="L1386" s="187">
        <v>0</v>
      </c>
      <c r="M1386" s="187">
        <v>0</v>
      </c>
      <c r="N1386" s="187">
        <v>0</v>
      </c>
      <c r="O1386" t="s">
        <v>1845</v>
      </c>
    </row>
    <row r="1387" spans="1:15" hidden="1" x14ac:dyDescent="0.45">
      <c r="A1387" s="187">
        <v>2016</v>
      </c>
      <c r="B1387" t="s">
        <v>34</v>
      </c>
      <c r="C1387" t="s">
        <v>325</v>
      </c>
      <c r="D1387" t="s">
        <v>35</v>
      </c>
      <c r="E1387" t="s">
        <v>358</v>
      </c>
      <c r="F1387" t="s">
        <v>405</v>
      </c>
      <c r="G1387" t="s">
        <v>37</v>
      </c>
      <c r="H1387" t="s">
        <v>43</v>
      </c>
      <c r="I1387" s="187"/>
      <c r="J1387" s="187">
        <v>0</v>
      </c>
      <c r="K1387" s="187">
        <v>0</v>
      </c>
      <c r="L1387" s="187">
        <v>0</v>
      </c>
      <c r="M1387" s="187">
        <v>0</v>
      </c>
      <c r="N1387" s="187">
        <v>0</v>
      </c>
      <c r="O1387" t="s">
        <v>1846</v>
      </c>
    </row>
    <row r="1388" spans="1:15" hidden="1" x14ac:dyDescent="0.45">
      <c r="A1388" s="187">
        <v>2016</v>
      </c>
      <c r="B1388" t="s">
        <v>34</v>
      </c>
      <c r="C1388" t="s">
        <v>325</v>
      </c>
      <c r="D1388" t="s">
        <v>35</v>
      </c>
      <c r="E1388" t="s">
        <v>358</v>
      </c>
      <c r="F1388" t="s">
        <v>406</v>
      </c>
      <c r="G1388" t="s">
        <v>36</v>
      </c>
      <c r="H1388" t="s">
        <v>43</v>
      </c>
      <c r="I1388" s="187"/>
      <c r="J1388" s="187">
        <v>0</v>
      </c>
      <c r="K1388" s="187">
        <v>0</v>
      </c>
      <c r="L1388" s="187">
        <v>0</v>
      </c>
      <c r="M1388" s="187">
        <v>0</v>
      </c>
      <c r="N1388" s="187">
        <v>0</v>
      </c>
      <c r="O1388" t="s">
        <v>1847</v>
      </c>
    </row>
    <row r="1389" spans="1:15" hidden="1" x14ac:dyDescent="0.45">
      <c r="A1389" s="187">
        <v>2016</v>
      </c>
      <c r="B1389" t="s">
        <v>34</v>
      </c>
      <c r="C1389" t="s">
        <v>325</v>
      </c>
      <c r="D1389" t="s">
        <v>35</v>
      </c>
      <c r="E1389" t="s">
        <v>358</v>
      </c>
      <c r="F1389" t="s">
        <v>406</v>
      </c>
      <c r="G1389" t="s">
        <v>37</v>
      </c>
      <c r="H1389" t="s">
        <v>43</v>
      </c>
      <c r="I1389" s="187"/>
      <c r="J1389" s="187">
        <v>0</v>
      </c>
      <c r="K1389" s="187">
        <v>0</v>
      </c>
      <c r="L1389" s="187">
        <v>0</v>
      </c>
      <c r="M1389" s="187">
        <v>0</v>
      </c>
      <c r="N1389" s="187">
        <v>0</v>
      </c>
      <c r="O1389" t="s">
        <v>1848</v>
      </c>
    </row>
    <row r="1390" spans="1:15" hidden="1" x14ac:dyDescent="0.45">
      <c r="A1390" s="187">
        <v>2016</v>
      </c>
      <c r="B1390" t="s">
        <v>34</v>
      </c>
      <c r="C1390" t="s">
        <v>325</v>
      </c>
      <c r="D1390" t="s">
        <v>35</v>
      </c>
      <c r="E1390" t="s">
        <v>358</v>
      </c>
      <c r="F1390" t="s">
        <v>421</v>
      </c>
      <c r="G1390" t="s">
        <v>36</v>
      </c>
      <c r="H1390" t="s">
        <v>43</v>
      </c>
      <c r="I1390" s="187"/>
      <c r="J1390" s="187">
        <v>0</v>
      </c>
      <c r="K1390" s="187">
        <v>0</v>
      </c>
      <c r="L1390" s="187">
        <v>228.7662353515625</v>
      </c>
      <c r="M1390" s="187">
        <v>228.7662353515625</v>
      </c>
      <c r="N1390" s="187">
        <v>228.7662353515625</v>
      </c>
      <c r="O1390" t="s">
        <v>1849</v>
      </c>
    </row>
    <row r="1391" spans="1:15" hidden="1" x14ac:dyDescent="0.45">
      <c r="A1391" s="187">
        <v>2016</v>
      </c>
      <c r="B1391" t="s">
        <v>34</v>
      </c>
      <c r="C1391" t="s">
        <v>325</v>
      </c>
      <c r="D1391" t="s">
        <v>35</v>
      </c>
      <c r="E1391" t="s">
        <v>358</v>
      </c>
      <c r="F1391" t="s">
        <v>421</v>
      </c>
      <c r="G1391" t="s">
        <v>37</v>
      </c>
      <c r="H1391" t="s">
        <v>43</v>
      </c>
      <c r="I1391" s="187"/>
      <c r="J1391" s="187">
        <v>0</v>
      </c>
      <c r="K1391" s="187">
        <v>0</v>
      </c>
      <c r="L1391" s="187">
        <v>185</v>
      </c>
      <c r="M1391" s="187">
        <v>185</v>
      </c>
      <c r="N1391" s="187">
        <v>185</v>
      </c>
      <c r="O1391" t="s">
        <v>1850</v>
      </c>
    </row>
    <row r="1392" spans="1:15" hidden="1" x14ac:dyDescent="0.45">
      <c r="A1392" s="187">
        <v>2016</v>
      </c>
      <c r="B1392" t="s">
        <v>34</v>
      </c>
      <c r="C1392" t="s">
        <v>325</v>
      </c>
      <c r="D1392" t="s">
        <v>35</v>
      </c>
      <c r="E1392" t="s">
        <v>358</v>
      </c>
      <c r="F1392" t="s">
        <v>422</v>
      </c>
      <c r="G1392" t="s">
        <v>36</v>
      </c>
      <c r="H1392" t="s">
        <v>43</v>
      </c>
      <c r="I1392" s="187">
        <v>195.37872314453125</v>
      </c>
      <c r="J1392" s="187">
        <v>0</v>
      </c>
      <c r="K1392" s="187">
        <v>850.11016845703125</v>
      </c>
      <c r="L1392" s="187">
        <v>305.433837890625</v>
      </c>
      <c r="M1392" s="187">
        <v>1350.9227294921875</v>
      </c>
      <c r="N1392" s="187">
        <v>500.81256103515625</v>
      </c>
      <c r="O1392" t="s">
        <v>1851</v>
      </c>
    </row>
    <row r="1393" spans="1:15" hidden="1" x14ac:dyDescent="0.45">
      <c r="A1393" s="187">
        <v>2016</v>
      </c>
      <c r="B1393" t="s">
        <v>34</v>
      </c>
      <c r="C1393" t="s">
        <v>325</v>
      </c>
      <c r="D1393" t="s">
        <v>35</v>
      </c>
      <c r="E1393" t="s">
        <v>358</v>
      </c>
      <c r="F1393" t="s">
        <v>422</v>
      </c>
      <c r="G1393" t="s">
        <v>37</v>
      </c>
      <c r="H1393" t="s">
        <v>43</v>
      </c>
      <c r="I1393" s="187">
        <v>158</v>
      </c>
      <c r="J1393" s="187">
        <v>0</v>
      </c>
      <c r="K1393" s="187">
        <v>687.47199999999998</v>
      </c>
      <c r="L1393" s="187">
        <v>247</v>
      </c>
      <c r="M1393" s="187">
        <v>1092.471923828125</v>
      </c>
      <c r="N1393" s="187">
        <v>405</v>
      </c>
      <c r="O1393" t="s">
        <v>1852</v>
      </c>
    </row>
    <row r="1394" spans="1:15" hidden="1" x14ac:dyDescent="0.45">
      <c r="A1394" s="187">
        <v>2016</v>
      </c>
      <c r="B1394" t="s">
        <v>34</v>
      </c>
      <c r="C1394" t="s">
        <v>325</v>
      </c>
      <c r="D1394" t="s">
        <v>35</v>
      </c>
      <c r="E1394" t="s">
        <v>358</v>
      </c>
      <c r="F1394" t="s">
        <v>423</v>
      </c>
      <c r="G1394" t="s">
        <v>36</v>
      </c>
      <c r="H1394" t="s">
        <v>43</v>
      </c>
      <c r="I1394" s="187"/>
      <c r="J1394" s="187">
        <v>0</v>
      </c>
      <c r="K1394" s="187">
        <v>0</v>
      </c>
      <c r="L1394" s="187"/>
      <c r="M1394" s="187">
        <v>0</v>
      </c>
      <c r="N1394" s="187">
        <v>0</v>
      </c>
      <c r="O1394" t="s">
        <v>1853</v>
      </c>
    </row>
    <row r="1395" spans="1:15" hidden="1" x14ac:dyDescent="0.45">
      <c r="A1395" s="187">
        <v>2016</v>
      </c>
      <c r="B1395" t="s">
        <v>34</v>
      </c>
      <c r="C1395" t="s">
        <v>325</v>
      </c>
      <c r="D1395" t="s">
        <v>35</v>
      </c>
      <c r="E1395" t="s">
        <v>358</v>
      </c>
      <c r="F1395" t="s">
        <v>423</v>
      </c>
      <c r="G1395" t="s">
        <v>37</v>
      </c>
      <c r="H1395" t="s">
        <v>43</v>
      </c>
      <c r="I1395" s="187"/>
      <c r="J1395" s="187">
        <v>0</v>
      </c>
      <c r="K1395" s="187">
        <v>0</v>
      </c>
      <c r="L1395" s="187"/>
      <c r="M1395" s="187">
        <v>0</v>
      </c>
      <c r="N1395" s="187">
        <v>0</v>
      </c>
      <c r="O1395" t="s">
        <v>1854</v>
      </c>
    </row>
    <row r="1396" spans="1:15" hidden="1" x14ac:dyDescent="0.45">
      <c r="A1396" s="187">
        <v>2016</v>
      </c>
      <c r="B1396" t="s">
        <v>34</v>
      </c>
      <c r="C1396" t="s">
        <v>325</v>
      </c>
      <c r="D1396" t="s">
        <v>35</v>
      </c>
      <c r="E1396" t="s">
        <v>358</v>
      </c>
      <c r="F1396" t="s">
        <v>424</v>
      </c>
      <c r="G1396" t="s">
        <v>36</v>
      </c>
      <c r="H1396" t="s">
        <v>43</v>
      </c>
      <c r="I1396" s="187"/>
      <c r="J1396" s="187">
        <v>0</v>
      </c>
      <c r="K1396" s="187">
        <v>0</v>
      </c>
      <c r="L1396" s="187"/>
      <c r="M1396" s="187">
        <v>0</v>
      </c>
      <c r="N1396" s="187">
        <v>0</v>
      </c>
      <c r="O1396" t="s">
        <v>1855</v>
      </c>
    </row>
    <row r="1397" spans="1:15" hidden="1" x14ac:dyDescent="0.45">
      <c r="A1397" s="187">
        <v>2016</v>
      </c>
      <c r="B1397" t="s">
        <v>34</v>
      </c>
      <c r="C1397" t="s">
        <v>325</v>
      </c>
      <c r="D1397" t="s">
        <v>35</v>
      </c>
      <c r="E1397" t="s">
        <v>358</v>
      </c>
      <c r="F1397" t="s">
        <v>424</v>
      </c>
      <c r="G1397" t="s">
        <v>37</v>
      </c>
      <c r="H1397" t="s">
        <v>43</v>
      </c>
      <c r="I1397" s="187"/>
      <c r="J1397" s="187">
        <v>0</v>
      </c>
      <c r="K1397" s="187">
        <v>0</v>
      </c>
      <c r="L1397" s="187"/>
      <c r="M1397" s="187">
        <v>0</v>
      </c>
      <c r="N1397" s="187">
        <v>0</v>
      </c>
      <c r="O1397" t="s">
        <v>1856</v>
      </c>
    </row>
    <row r="1398" spans="1:15" hidden="1" x14ac:dyDescent="0.45">
      <c r="A1398" s="187">
        <v>2016</v>
      </c>
      <c r="B1398" t="s">
        <v>34</v>
      </c>
      <c r="C1398" t="s">
        <v>325</v>
      </c>
      <c r="D1398" t="s">
        <v>35</v>
      </c>
      <c r="E1398" t="s">
        <v>358</v>
      </c>
      <c r="F1398" t="s">
        <v>446</v>
      </c>
      <c r="G1398" t="s">
        <v>36</v>
      </c>
      <c r="H1398" t="s">
        <v>43</v>
      </c>
      <c r="I1398" s="187"/>
      <c r="J1398" s="187">
        <v>0</v>
      </c>
      <c r="K1398" s="187">
        <v>0</v>
      </c>
      <c r="L1398" s="187"/>
      <c r="M1398" s="187">
        <v>0</v>
      </c>
      <c r="N1398" s="187">
        <v>0</v>
      </c>
      <c r="O1398" t="s">
        <v>1857</v>
      </c>
    </row>
    <row r="1399" spans="1:15" hidden="1" x14ac:dyDescent="0.45">
      <c r="A1399" s="187">
        <v>2016</v>
      </c>
      <c r="B1399" t="s">
        <v>34</v>
      </c>
      <c r="C1399" t="s">
        <v>325</v>
      </c>
      <c r="D1399" t="s">
        <v>35</v>
      </c>
      <c r="E1399" t="s">
        <v>358</v>
      </c>
      <c r="F1399" t="s">
        <v>446</v>
      </c>
      <c r="G1399" t="s">
        <v>37</v>
      </c>
      <c r="H1399" t="s">
        <v>43</v>
      </c>
      <c r="I1399" s="187"/>
      <c r="J1399" s="187">
        <v>0</v>
      </c>
      <c r="K1399" s="187">
        <v>0</v>
      </c>
      <c r="L1399" s="187"/>
      <c r="M1399" s="187">
        <v>0</v>
      </c>
      <c r="N1399" s="187">
        <v>0</v>
      </c>
      <c r="O1399" t="s">
        <v>1858</v>
      </c>
    </row>
    <row r="1400" spans="1:15" hidden="1" x14ac:dyDescent="0.45">
      <c r="A1400" s="187">
        <v>2016</v>
      </c>
      <c r="B1400" t="s">
        <v>34</v>
      </c>
      <c r="C1400" t="s">
        <v>325</v>
      </c>
      <c r="D1400" t="s">
        <v>35</v>
      </c>
      <c r="E1400" t="s">
        <v>358</v>
      </c>
      <c r="F1400" t="s">
        <v>426</v>
      </c>
      <c r="G1400" t="s">
        <v>36</v>
      </c>
      <c r="H1400" t="s">
        <v>43</v>
      </c>
      <c r="I1400" s="187">
        <v>0</v>
      </c>
      <c r="J1400" s="187">
        <v>0</v>
      </c>
      <c r="K1400" s="187">
        <v>0</v>
      </c>
      <c r="L1400" s="187">
        <v>0</v>
      </c>
      <c r="M1400" s="187">
        <v>0</v>
      </c>
      <c r="N1400" s="187">
        <v>0</v>
      </c>
      <c r="O1400" t="s">
        <v>1859</v>
      </c>
    </row>
    <row r="1401" spans="1:15" hidden="1" x14ac:dyDescent="0.45">
      <c r="A1401" s="187">
        <v>2016</v>
      </c>
      <c r="B1401" t="s">
        <v>34</v>
      </c>
      <c r="C1401" t="s">
        <v>325</v>
      </c>
      <c r="D1401" t="s">
        <v>35</v>
      </c>
      <c r="E1401" t="s">
        <v>358</v>
      </c>
      <c r="F1401" t="s">
        <v>426</v>
      </c>
      <c r="G1401" t="s">
        <v>37</v>
      </c>
      <c r="H1401" t="s">
        <v>43</v>
      </c>
      <c r="I1401" s="187">
        <v>0</v>
      </c>
      <c r="J1401" s="187">
        <v>0</v>
      </c>
      <c r="K1401" s="187">
        <v>0</v>
      </c>
      <c r="L1401" s="187">
        <v>0</v>
      </c>
      <c r="M1401" s="187">
        <v>0</v>
      </c>
      <c r="N1401" s="187">
        <v>0</v>
      </c>
      <c r="O1401" t="s">
        <v>1860</v>
      </c>
    </row>
    <row r="1402" spans="1:15" hidden="1" x14ac:dyDescent="0.45">
      <c r="A1402" s="187">
        <v>2016</v>
      </c>
      <c r="B1402" t="s">
        <v>34</v>
      </c>
      <c r="C1402" t="s">
        <v>325</v>
      </c>
      <c r="D1402" t="s">
        <v>35</v>
      </c>
      <c r="E1402" t="s">
        <v>358</v>
      </c>
      <c r="F1402" t="s">
        <v>428</v>
      </c>
      <c r="G1402" t="s">
        <v>36</v>
      </c>
      <c r="H1402" t="s">
        <v>43</v>
      </c>
      <c r="I1402" s="187">
        <v>208.98104858398438</v>
      </c>
      <c r="J1402" s="187">
        <v>82.850471496582031</v>
      </c>
      <c r="K1402" s="187">
        <v>850.11016845703125</v>
      </c>
      <c r="L1402" s="187">
        <v>363.55282592773438</v>
      </c>
      <c r="M1402" s="187">
        <v>1505.4945068359375</v>
      </c>
      <c r="N1402" s="187">
        <v>572.53387451171875</v>
      </c>
      <c r="O1402" t="s">
        <v>1861</v>
      </c>
    </row>
    <row r="1403" spans="1:15" hidden="1" x14ac:dyDescent="0.45">
      <c r="A1403" s="187">
        <v>2016</v>
      </c>
      <c r="B1403" t="s">
        <v>34</v>
      </c>
      <c r="C1403" t="s">
        <v>325</v>
      </c>
      <c r="D1403" t="s">
        <v>35</v>
      </c>
      <c r="E1403" t="s">
        <v>358</v>
      </c>
      <c r="F1403" t="s">
        <v>428</v>
      </c>
      <c r="G1403" t="s">
        <v>37</v>
      </c>
      <c r="H1403" t="s">
        <v>43</v>
      </c>
      <c r="I1403" s="187">
        <v>169</v>
      </c>
      <c r="J1403" s="187">
        <v>67</v>
      </c>
      <c r="K1403" s="187">
        <v>687.47199999999998</v>
      </c>
      <c r="L1403" s="187">
        <v>294</v>
      </c>
      <c r="M1403" s="187">
        <v>1217.471923828125</v>
      </c>
      <c r="N1403" s="187">
        <v>463</v>
      </c>
      <c r="O1403" t="s">
        <v>1862</v>
      </c>
    </row>
    <row r="1404" spans="1:15" hidden="1" x14ac:dyDescent="0.45">
      <c r="A1404" s="187">
        <v>2016</v>
      </c>
      <c r="B1404" t="s">
        <v>34</v>
      </c>
      <c r="C1404" t="s">
        <v>325</v>
      </c>
      <c r="D1404" t="s">
        <v>35</v>
      </c>
      <c r="E1404" t="s">
        <v>358</v>
      </c>
      <c r="F1404" t="s">
        <v>429</v>
      </c>
      <c r="G1404" t="s">
        <v>36</v>
      </c>
      <c r="H1404" t="s">
        <v>43</v>
      </c>
      <c r="I1404" s="187">
        <v>208.98104858398438</v>
      </c>
      <c r="J1404" s="187">
        <v>82.850471496582031</v>
      </c>
      <c r="K1404" s="187">
        <v>758.76470947265625</v>
      </c>
      <c r="L1404" s="187">
        <v>363.55282592773438</v>
      </c>
      <c r="M1404" s="187">
        <v>1414.1490478515625</v>
      </c>
      <c r="N1404" s="187">
        <v>572.53387451171875</v>
      </c>
      <c r="O1404" t="s">
        <v>1863</v>
      </c>
    </row>
    <row r="1405" spans="1:15" hidden="1" x14ac:dyDescent="0.45">
      <c r="A1405" s="187">
        <v>2016</v>
      </c>
      <c r="B1405" t="s">
        <v>34</v>
      </c>
      <c r="C1405" t="s">
        <v>325</v>
      </c>
      <c r="D1405" t="s">
        <v>35</v>
      </c>
      <c r="E1405" t="s">
        <v>358</v>
      </c>
      <c r="F1405" t="s">
        <v>429</v>
      </c>
      <c r="G1405" t="s">
        <v>37</v>
      </c>
      <c r="H1405" t="s">
        <v>43</v>
      </c>
      <c r="I1405" s="187">
        <v>169</v>
      </c>
      <c r="J1405" s="187">
        <v>67</v>
      </c>
      <c r="K1405" s="187">
        <v>613.60221999999999</v>
      </c>
      <c r="L1405" s="187">
        <v>294</v>
      </c>
      <c r="M1405" s="187">
        <v>1143.602294921875</v>
      </c>
      <c r="N1405" s="187">
        <v>463</v>
      </c>
      <c r="O1405" t="s">
        <v>1864</v>
      </c>
    </row>
    <row r="1406" spans="1:15" hidden="1" x14ac:dyDescent="0.45">
      <c r="A1406" s="187">
        <v>2016</v>
      </c>
      <c r="B1406" t="s">
        <v>34</v>
      </c>
      <c r="C1406" t="s">
        <v>326</v>
      </c>
      <c r="D1406" t="s">
        <v>337</v>
      </c>
      <c r="E1406" t="s">
        <v>155</v>
      </c>
      <c r="F1406" t="s">
        <v>155</v>
      </c>
      <c r="G1406" t="s">
        <v>453</v>
      </c>
      <c r="H1406" t="s">
        <v>455</v>
      </c>
      <c r="I1406" s="187">
        <v>4523</v>
      </c>
      <c r="J1406" s="187">
        <v>662</v>
      </c>
      <c r="K1406" s="187">
        <v>5882.6909999999998</v>
      </c>
      <c r="L1406" s="187">
        <v>6399.0959999999995</v>
      </c>
      <c r="M1406" s="187">
        <v>17466.787109375</v>
      </c>
      <c r="N1406" s="187">
        <v>10922.095703125</v>
      </c>
      <c r="O1406" t="s">
        <v>1865</v>
      </c>
    </row>
    <row r="1407" spans="1:15" hidden="1" x14ac:dyDescent="0.45">
      <c r="A1407" s="187">
        <v>2016</v>
      </c>
      <c r="B1407" t="s">
        <v>34</v>
      </c>
      <c r="C1407" t="s">
        <v>327</v>
      </c>
      <c r="D1407" t="s">
        <v>337</v>
      </c>
      <c r="E1407" t="s">
        <v>359</v>
      </c>
      <c r="F1407" t="s">
        <v>430</v>
      </c>
      <c r="G1407" t="s">
        <v>453</v>
      </c>
      <c r="H1407" t="s">
        <v>456</v>
      </c>
      <c r="I1407" s="187">
        <v>62144</v>
      </c>
      <c r="J1407" s="187">
        <v>9863</v>
      </c>
      <c r="K1407" s="187">
        <v>105236</v>
      </c>
      <c r="L1407" s="187">
        <v>104322</v>
      </c>
      <c r="M1407" s="187">
        <v>281565</v>
      </c>
      <c r="N1407" s="187">
        <v>166466</v>
      </c>
      <c r="O1407" t="s">
        <v>1866</v>
      </c>
    </row>
    <row r="1408" spans="1:15" hidden="1" x14ac:dyDescent="0.45">
      <c r="A1408" s="187">
        <v>2016</v>
      </c>
      <c r="B1408" t="s">
        <v>34</v>
      </c>
      <c r="C1408" t="s">
        <v>327</v>
      </c>
      <c r="D1408" t="s">
        <v>337</v>
      </c>
      <c r="E1408" t="s">
        <v>360</v>
      </c>
      <c r="F1408" t="s">
        <v>151</v>
      </c>
      <c r="G1408" t="s">
        <v>453</v>
      </c>
      <c r="H1408" t="s">
        <v>457</v>
      </c>
      <c r="I1408" s="187">
        <v>25369.647540983609</v>
      </c>
      <c r="J1408" s="187">
        <v>3444.587344262296</v>
      </c>
      <c r="K1408" s="187">
        <v>23292.97406830599</v>
      </c>
      <c r="L1408" s="187">
        <v>38061.440562841533</v>
      </c>
      <c r="M1408" s="187">
        <v>90168.6484375</v>
      </c>
      <c r="N1408" s="187">
        <v>63431.08984375</v>
      </c>
      <c r="O1408" t="s">
        <v>1867</v>
      </c>
    </row>
    <row r="1409" spans="1:15" hidden="1" x14ac:dyDescent="0.45">
      <c r="A1409" s="187">
        <v>2016</v>
      </c>
      <c r="B1409" t="s">
        <v>34</v>
      </c>
      <c r="C1409" t="s">
        <v>327</v>
      </c>
      <c r="D1409" t="s">
        <v>337</v>
      </c>
      <c r="E1409" t="s">
        <v>360</v>
      </c>
      <c r="F1409" t="s">
        <v>6</v>
      </c>
      <c r="G1409" t="s">
        <v>453</v>
      </c>
      <c r="H1409" t="s">
        <v>454</v>
      </c>
      <c r="I1409" s="187">
        <v>0.81492297047096074</v>
      </c>
      <c r="J1409" s="187">
        <v>0.84720249410941384</v>
      </c>
      <c r="K1409" s="187">
        <v>0.70150946968985495</v>
      </c>
      <c r="L1409" s="187">
        <v>0.78217573702277443</v>
      </c>
      <c r="M1409" s="187">
        <v>0.78645265102386475</v>
      </c>
      <c r="N1409" s="187">
        <v>1.597098708152771</v>
      </c>
      <c r="O1409" t="s">
        <v>1868</v>
      </c>
    </row>
    <row r="1410" spans="1:15" hidden="1" x14ac:dyDescent="0.45">
      <c r="A1410" s="187">
        <v>2016</v>
      </c>
      <c r="B1410" t="s">
        <v>34</v>
      </c>
      <c r="C1410" t="s">
        <v>327</v>
      </c>
      <c r="D1410" t="s">
        <v>337</v>
      </c>
      <c r="E1410" t="s">
        <v>360</v>
      </c>
      <c r="F1410" t="s">
        <v>152</v>
      </c>
      <c r="G1410" t="s">
        <v>453</v>
      </c>
      <c r="H1410" t="s">
        <v>457</v>
      </c>
      <c r="I1410" s="187">
        <v>35097</v>
      </c>
      <c r="J1410" s="187">
        <v>4974.8087131842358</v>
      </c>
      <c r="K1410" s="187">
        <v>43006.990999999987</v>
      </c>
      <c r="L1410" s="187">
        <v>60433.235999999997</v>
      </c>
      <c r="M1410" s="187">
        <v>143512.03125</v>
      </c>
      <c r="N1410" s="187">
        <v>95530.234375</v>
      </c>
      <c r="O1410" t="s">
        <v>1869</v>
      </c>
    </row>
    <row r="1411" spans="1:15" hidden="1" x14ac:dyDescent="0.45">
      <c r="A1411" s="187">
        <v>2016</v>
      </c>
      <c r="B1411" t="s">
        <v>34</v>
      </c>
      <c r="C1411" t="s">
        <v>327</v>
      </c>
      <c r="D1411" t="s">
        <v>337</v>
      </c>
      <c r="E1411" t="s">
        <v>360</v>
      </c>
      <c r="F1411" t="s">
        <v>153</v>
      </c>
      <c r="G1411" t="s">
        <v>453</v>
      </c>
      <c r="H1411" t="s">
        <v>458</v>
      </c>
      <c r="I1411" s="187">
        <v>949506</v>
      </c>
      <c r="J1411" s="187">
        <v>124008.03200000001</v>
      </c>
      <c r="K1411" s="187">
        <v>1012724.3320000001</v>
      </c>
      <c r="L1411" s="187">
        <v>1484159.9939999999</v>
      </c>
      <c r="M1411" s="187">
        <v>3570398.25</v>
      </c>
      <c r="N1411" s="187">
        <v>2433666</v>
      </c>
      <c r="O1411" t="s">
        <v>1870</v>
      </c>
    </row>
    <row r="1412" spans="1:15" hidden="1" x14ac:dyDescent="0.45">
      <c r="A1412" s="187">
        <v>2016</v>
      </c>
      <c r="B1412" t="s">
        <v>34</v>
      </c>
      <c r="C1412" t="s">
        <v>327</v>
      </c>
      <c r="D1412" t="s">
        <v>337</v>
      </c>
      <c r="E1412" t="s">
        <v>360</v>
      </c>
      <c r="F1412" t="s">
        <v>432</v>
      </c>
      <c r="G1412" t="s">
        <v>453</v>
      </c>
      <c r="H1412" t="s">
        <v>456</v>
      </c>
      <c r="I1412" s="187">
        <v>0</v>
      </c>
      <c r="J1412" s="187">
        <v>0</v>
      </c>
      <c r="K1412" s="187">
        <v>0</v>
      </c>
      <c r="L1412" s="187">
        <v>1</v>
      </c>
      <c r="M1412" s="187">
        <v>1</v>
      </c>
      <c r="N1412" s="187">
        <v>1</v>
      </c>
      <c r="O1412" t="s">
        <v>1871</v>
      </c>
    </row>
    <row r="1413" spans="1:15" hidden="1" x14ac:dyDescent="0.45">
      <c r="A1413" s="187">
        <v>2016</v>
      </c>
      <c r="B1413" t="s">
        <v>34</v>
      </c>
      <c r="C1413" t="s">
        <v>327</v>
      </c>
      <c r="D1413" t="s">
        <v>337</v>
      </c>
      <c r="E1413" t="s">
        <v>360</v>
      </c>
      <c r="F1413" t="s">
        <v>154</v>
      </c>
      <c r="G1413" t="s">
        <v>453</v>
      </c>
      <c r="H1413" t="s">
        <v>459</v>
      </c>
      <c r="I1413" s="187">
        <v>9285291</v>
      </c>
      <c r="J1413" s="187">
        <v>1260718.968000001</v>
      </c>
      <c r="K1413" s="187">
        <v>8525228.5089999922</v>
      </c>
      <c r="L1413" s="187">
        <v>13930487.245999999</v>
      </c>
      <c r="M1413" s="187">
        <v>33001726</v>
      </c>
      <c r="N1413" s="187">
        <v>23215778</v>
      </c>
      <c r="O1413" t="s">
        <v>1872</v>
      </c>
    </row>
    <row r="1414" spans="1:15" hidden="1" x14ac:dyDescent="0.45">
      <c r="A1414" s="187">
        <v>2016</v>
      </c>
      <c r="B1414" t="s">
        <v>311</v>
      </c>
      <c r="C1414" t="s">
        <v>328</v>
      </c>
      <c r="D1414" t="s">
        <v>39</v>
      </c>
      <c r="E1414" t="s">
        <v>349</v>
      </c>
      <c r="F1414" t="s">
        <v>349</v>
      </c>
      <c r="G1414" t="s">
        <v>36</v>
      </c>
      <c r="H1414" t="s">
        <v>43</v>
      </c>
      <c r="I1414" s="187"/>
      <c r="J1414" s="187">
        <v>0</v>
      </c>
      <c r="K1414" s="187">
        <v>2857.2488061922454</v>
      </c>
      <c r="L1414" s="187">
        <v>0</v>
      </c>
      <c r="M1414" s="187">
        <v>2857.248779296875</v>
      </c>
      <c r="N1414" s="187">
        <v>0</v>
      </c>
      <c r="O1414" t="s">
        <v>1873</v>
      </c>
    </row>
    <row r="1415" spans="1:15" hidden="1" x14ac:dyDescent="0.45">
      <c r="A1415" s="187">
        <v>2016</v>
      </c>
      <c r="B1415" t="s">
        <v>309</v>
      </c>
      <c r="C1415" t="s">
        <v>328</v>
      </c>
      <c r="D1415" t="s">
        <v>39</v>
      </c>
      <c r="E1415" t="s">
        <v>349</v>
      </c>
      <c r="F1415" t="s">
        <v>349</v>
      </c>
      <c r="G1415" t="s">
        <v>36</v>
      </c>
      <c r="H1415" t="s">
        <v>43</v>
      </c>
      <c r="I1415" s="187"/>
      <c r="J1415" s="187">
        <v>0</v>
      </c>
      <c r="K1415" s="187">
        <v>3324.9114194349063</v>
      </c>
      <c r="L1415" s="187">
        <v>0</v>
      </c>
      <c r="M1415" s="187">
        <v>3324.911376953125</v>
      </c>
      <c r="N1415" s="187">
        <v>0</v>
      </c>
      <c r="O1415" t="s">
        <v>1874</v>
      </c>
    </row>
    <row r="1416" spans="1:15" hidden="1" x14ac:dyDescent="0.45">
      <c r="A1416" s="187">
        <v>2016</v>
      </c>
      <c r="B1416" t="s">
        <v>310</v>
      </c>
      <c r="C1416" t="s">
        <v>328</v>
      </c>
      <c r="D1416" t="s">
        <v>39</v>
      </c>
      <c r="E1416" t="s">
        <v>349</v>
      </c>
      <c r="F1416" t="s">
        <v>349</v>
      </c>
      <c r="G1416" t="s">
        <v>36</v>
      </c>
      <c r="H1416" t="s">
        <v>43</v>
      </c>
      <c r="I1416" s="187"/>
      <c r="J1416" s="187">
        <v>0</v>
      </c>
      <c r="K1416" s="187">
        <v>3490.9878808610324</v>
      </c>
      <c r="L1416" s="187">
        <v>0</v>
      </c>
      <c r="M1416" s="187">
        <v>3490.98779296875</v>
      </c>
      <c r="N1416" s="187">
        <v>0</v>
      </c>
      <c r="O1416" t="s">
        <v>1875</v>
      </c>
    </row>
    <row r="1417" spans="1:15" hidden="1" x14ac:dyDescent="0.45">
      <c r="A1417" s="187">
        <v>2016</v>
      </c>
      <c r="B1417" t="s">
        <v>312</v>
      </c>
      <c r="C1417" t="s">
        <v>328</v>
      </c>
      <c r="D1417" t="s">
        <v>39</v>
      </c>
      <c r="E1417" t="s">
        <v>349</v>
      </c>
      <c r="F1417" t="s">
        <v>349</v>
      </c>
      <c r="G1417" t="s">
        <v>36</v>
      </c>
      <c r="H1417" t="s">
        <v>43</v>
      </c>
      <c r="I1417" s="187">
        <v>0</v>
      </c>
      <c r="J1417" s="187">
        <v>0</v>
      </c>
      <c r="K1417" s="187">
        <v>2830.3388344929722</v>
      </c>
      <c r="L1417" s="187">
        <v>0</v>
      </c>
      <c r="M1417" s="187">
        <v>2830.3388671875</v>
      </c>
      <c r="N1417" s="187">
        <v>0</v>
      </c>
      <c r="O1417" t="s">
        <v>1876</v>
      </c>
    </row>
    <row r="1418" spans="1:15" hidden="1" x14ac:dyDescent="0.45">
      <c r="A1418" s="187">
        <v>2016</v>
      </c>
      <c r="B1418" t="s">
        <v>310</v>
      </c>
      <c r="C1418" t="s">
        <v>328</v>
      </c>
      <c r="D1418" t="s">
        <v>39</v>
      </c>
      <c r="E1418" t="s">
        <v>349</v>
      </c>
      <c r="F1418" t="s">
        <v>349</v>
      </c>
      <c r="G1418" t="s">
        <v>37</v>
      </c>
      <c r="H1418" t="s">
        <v>43</v>
      </c>
      <c r="I1418" s="187"/>
      <c r="J1418" s="187">
        <v>0</v>
      </c>
      <c r="K1418" s="187">
        <v>3111.3496598981178</v>
      </c>
      <c r="L1418" s="187">
        <v>0</v>
      </c>
      <c r="M1418" s="187">
        <v>3111.349609375</v>
      </c>
      <c r="N1418" s="187">
        <v>0</v>
      </c>
      <c r="O1418" t="s">
        <v>1879</v>
      </c>
    </row>
    <row r="1419" spans="1:15" hidden="1" x14ac:dyDescent="0.45">
      <c r="A1419" s="187">
        <v>2016</v>
      </c>
      <c r="B1419" t="s">
        <v>312</v>
      </c>
      <c r="C1419" t="s">
        <v>328</v>
      </c>
      <c r="D1419" t="s">
        <v>39</v>
      </c>
      <c r="E1419" t="s">
        <v>349</v>
      </c>
      <c r="F1419" t="s">
        <v>349</v>
      </c>
      <c r="G1419" t="s">
        <v>37</v>
      </c>
      <c r="H1419" t="s">
        <v>43</v>
      </c>
      <c r="I1419" s="187">
        <v>0</v>
      </c>
      <c r="J1419" s="187">
        <v>0</v>
      </c>
      <c r="K1419" s="187">
        <v>2440.4513099999999</v>
      </c>
      <c r="L1419" s="187">
        <v>0</v>
      </c>
      <c r="M1419" s="187">
        <v>2440.451416015625</v>
      </c>
      <c r="N1419" s="187">
        <v>0</v>
      </c>
      <c r="O1419" t="s">
        <v>1880</v>
      </c>
    </row>
    <row r="1420" spans="1:15" hidden="1" x14ac:dyDescent="0.45">
      <c r="A1420" s="187">
        <v>2016</v>
      </c>
      <c r="B1420" t="s">
        <v>309</v>
      </c>
      <c r="C1420" t="s">
        <v>328</v>
      </c>
      <c r="D1420" t="s">
        <v>39</v>
      </c>
      <c r="E1420" t="s">
        <v>349</v>
      </c>
      <c r="F1420" t="s">
        <v>349</v>
      </c>
      <c r="G1420" t="s">
        <v>37</v>
      </c>
      <c r="H1420" t="s">
        <v>43</v>
      </c>
      <c r="I1420" s="187"/>
      <c r="J1420" s="187">
        <v>0</v>
      </c>
      <c r="K1420" s="187">
        <v>2990.1262259799232</v>
      </c>
      <c r="L1420" s="187">
        <v>0</v>
      </c>
      <c r="M1420" s="187">
        <v>2990.126220703125</v>
      </c>
      <c r="N1420" s="187">
        <v>0</v>
      </c>
      <c r="O1420" t="s">
        <v>1878</v>
      </c>
    </row>
    <row r="1421" spans="1:15" hidden="1" x14ac:dyDescent="0.45">
      <c r="A1421" s="187">
        <v>2016</v>
      </c>
      <c r="B1421" t="s">
        <v>311</v>
      </c>
      <c r="C1421" t="s">
        <v>328</v>
      </c>
      <c r="D1421" t="s">
        <v>39</v>
      </c>
      <c r="E1421" t="s">
        <v>349</v>
      </c>
      <c r="F1421" t="s">
        <v>349</v>
      </c>
      <c r="G1421" t="s">
        <v>37</v>
      </c>
      <c r="H1421" t="s">
        <v>43</v>
      </c>
      <c r="I1421" s="187"/>
      <c r="J1421" s="187">
        <v>0</v>
      </c>
      <c r="K1421" s="187">
        <v>2486.8994253622168</v>
      </c>
      <c r="L1421" s="187">
        <v>0</v>
      </c>
      <c r="M1421" s="187">
        <v>2486.8994140625</v>
      </c>
      <c r="N1421" s="187">
        <v>0</v>
      </c>
      <c r="O1421" t="s">
        <v>1877</v>
      </c>
    </row>
    <row r="1422" spans="1:15" hidden="1" x14ac:dyDescent="0.45">
      <c r="A1422" s="187">
        <v>2016</v>
      </c>
      <c r="B1422" t="s">
        <v>311</v>
      </c>
      <c r="C1422" t="s">
        <v>328</v>
      </c>
      <c r="D1422" t="s">
        <v>39</v>
      </c>
      <c r="E1422" t="s">
        <v>21</v>
      </c>
      <c r="F1422" t="s">
        <v>21</v>
      </c>
      <c r="G1422" t="s">
        <v>36</v>
      </c>
      <c r="H1422" t="s">
        <v>43</v>
      </c>
      <c r="I1422" s="187"/>
      <c r="J1422" s="187">
        <v>891.27375513324205</v>
      </c>
      <c r="K1422" s="187">
        <v>7629.9569315579683</v>
      </c>
      <c r="L1422" s="187">
        <v>647.77543510337591</v>
      </c>
      <c r="M1422" s="187">
        <v>9169.005859375</v>
      </c>
      <c r="N1422" s="187">
        <v>647.77545166015625</v>
      </c>
      <c r="O1422" t="s">
        <v>1883</v>
      </c>
    </row>
    <row r="1423" spans="1:15" hidden="1" x14ac:dyDescent="0.45">
      <c r="A1423" s="187">
        <v>2016</v>
      </c>
      <c r="B1423" t="s">
        <v>309</v>
      </c>
      <c r="C1423" t="s">
        <v>328</v>
      </c>
      <c r="D1423" t="s">
        <v>39</v>
      </c>
      <c r="E1423" t="s">
        <v>21</v>
      </c>
      <c r="F1423" t="s">
        <v>21</v>
      </c>
      <c r="G1423" t="s">
        <v>36</v>
      </c>
      <c r="H1423" t="s">
        <v>43</v>
      </c>
      <c r="I1423" s="187"/>
      <c r="J1423" s="187">
        <v>1033.8771229798922</v>
      </c>
      <c r="K1423" s="187">
        <v>7667.6388844992307</v>
      </c>
      <c r="L1423" s="187">
        <v>10187.50118991592</v>
      </c>
      <c r="M1423" s="187">
        <v>18889.017578125</v>
      </c>
      <c r="N1423" s="187">
        <v>10187.5009765625</v>
      </c>
      <c r="O1423" t="s">
        <v>1884</v>
      </c>
    </row>
    <row r="1424" spans="1:15" hidden="1" x14ac:dyDescent="0.45">
      <c r="A1424" s="187">
        <v>2016</v>
      </c>
      <c r="B1424" t="s">
        <v>310</v>
      </c>
      <c r="C1424" t="s">
        <v>328</v>
      </c>
      <c r="D1424" t="s">
        <v>39</v>
      </c>
      <c r="E1424" t="s">
        <v>21</v>
      </c>
      <c r="F1424" t="s">
        <v>21</v>
      </c>
      <c r="G1424" t="s">
        <v>36</v>
      </c>
      <c r="H1424" t="s">
        <v>43</v>
      </c>
      <c r="I1424" s="187"/>
      <c r="J1424" s="187">
        <v>1018.0828192306143</v>
      </c>
      <c r="K1424" s="187">
        <v>8025.7411722578518</v>
      </c>
      <c r="L1424" s="187">
        <v>9421.6878950891751</v>
      </c>
      <c r="M1424" s="187">
        <v>18465.51171875</v>
      </c>
      <c r="N1424" s="187">
        <v>9421.6875</v>
      </c>
      <c r="O1424" t="s">
        <v>1882</v>
      </c>
    </row>
    <row r="1425" spans="1:15" hidden="1" x14ac:dyDescent="0.45">
      <c r="A1425" s="187">
        <v>2016</v>
      </c>
      <c r="B1425" t="s">
        <v>312</v>
      </c>
      <c r="C1425" t="s">
        <v>328</v>
      </c>
      <c r="D1425" t="s">
        <v>39</v>
      </c>
      <c r="E1425" t="s">
        <v>21</v>
      </c>
      <c r="F1425" t="s">
        <v>21</v>
      </c>
      <c r="G1425" t="s">
        <v>36</v>
      </c>
      <c r="H1425" t="s">
        <v>43</v>
      </c>
      <c r="I1425" s="187">
        <v>2819.0333003564847</v>
      </c>
      <c r="J1425" s="187">
        <v>887.21672074134676</v>
      </c>
      <c r="K1425" s="187">
        <v>7632.8754025121134</v>
      </c>
      <c r="L1425" s="187">
        <v>4354.9003743578523</v>
      </c>
      <c r="M1425" s="187">
        <v>15694.025390625</v>
      </c>
      <c r="N1425" s="187">
        <v>7173.93359375</v>
      </c>
      <c r="O1425" t="s">
        <v>1881</v>
      </c>
    </row>
    <row r="1426" spans="1:15" hidden="1" x14ac:dyDescent="0.45">
      <c r="A1426" s="187">
        <v>2016</v>
      </c>
      <c r="B1426" t="s">
        <v>311</v>
      </c>
      <c r="C1426" t="s">
        <v>328</v>
      </c>
      <c r="D1426" t="s">
        <v>39</v>
      </c>
      <c r="E1426" t="s">
        <v>21</v>
      </c>
      <c r="F1426" t="s">
        <v>21</v>
      </c>
      <c r="G1426" t="s">
        <v>37</v>
      </c>
      <c r="H1426" t="s">
        <v>43</v>
      </c>
      <c r="I1426" s="187"/>
      <c r="J1426" s="187">
        <v>781</v>
      </c>
      <c r="K1426" s="187">
        <v>6640.9811660459491</v>
      </c>
      <c r="L1426" s="187">
        <v>575</v>
      </c>
      <c r="M1426" s="187">
        <v>7996.98095703125</v>
      </c>
      <c r="N1426" s="187">
        <v>575</v>
      </c>
      <c r="O1426" t="s">
        <v>1885</v>
      </c>
    </row>
    <row r="1427" spans="1:15" hidden="1" x14ac:dyDescent="0.45">
      <c r="A1427" s="187">
        <v>2016</v>
      </c>
      <c r="B1427" t="s">
        <v>310</v>
      </c>
      <c r="C1427" t="s">
        <v>328</v>
      </c>
      <c r="D1427" t="s">
        <v>39</v>
      </c>
      <c r="E1427" t="s">
        <v>21</v>
      </c>
      <c r="F1427" t="s">
        <v>21</v>
      </c>
      <c r="G1427" t="s">
        <v>37</v>
      </c>
      <c r="H1427" t="s">
        <v>43</v>
      </c>
      <c r="I1427" s="187"/>
      <c r="J1427" s="187">
        <v>909</v>
      </c>
      <c r="K1427" s="187">
        <v>7152.9572484725622</v>
      </c>
      <c r="L1427" s="187">
        <v>8508</v>
      </c>
      <c r="M1427" s="187">
        <v>16569.95703125</v>
      </c>
      <c r="N1427" s="187">
        <v>8508</v>
      </c>
      <c r="O1427" t="s">
        <v>1888</v>
      </c>
    </row>
    <row r="1428" spans="1:15" hidden="1" x14ac:dyDescent="0.45">
      <c r="A1428" s="187">
        <v>2016</v>
      </c>
      <c r="B1428" t="s">
        <v>312</v>
      </c>
      <c r="C1428" t="s">
        <v>328</v>
      </c>
      <c r="D1428" t="s">
        <v>39</v>
      </c>
      <c r="E1428" t="s">
        <v>21</v>
      </c>
      <c r="F1428" t="s">
        <v>21</v>
      </c>
      <c r="G1428" t="s">
        <v>37</v>
      </c>
      <c r="H1428" t="s">
        <v>43</v>
      </c>
      <c r="I1428" s="187">
        <v>2430.7031465443042</v>
      </c>
      <c r="J1428" s="187">
        <v>765</v>
      </c>
      <c r="K1428" s="187">
        <v>6581.4242973719538</v>
      </c>
      <c r="L1428" s="187">
        <v>3755</v>
      </c>
      <c r="M1428" s="187">
        <v>13532.126953125</v>
      </c>
      <c r="N1428" s="187">
        <v>6185.703125</v>
      </c>
      <c r="O1428" t="s">
        <v>1886</v>
      </c>
    </row>
    <row r="1429" spans="1:15" hidden="1" x14ac:dyDescent="0.45">
      <c r="A1429" s="187">
        <v>2016</v>
      </c>
      <c r="B1429" t="s">
        <v>309</v>
      </c>
      <c r="C1429" t="s">
        <v>328</v>
      </c>
      <c r="D1429" t="s">
        <v>39</v>
      </c>
      <c r="E1429" t="s">
        <v>21</v>
      </c>
      <c r="F1429" t="s">
        <v>21</v>
      </c>
      <c r="G1429" t="s">
        <v>37</v>
      </c>
      <c r="H1429" t="s">
        <v>43</v>
      </c>
      <c r="I1429" s="187"/>
      <c r="J1429" s="187">
        <v>922.94439999999997</v>
      </c>
      <c r="K1429" s="187">
        <v>6895.5846420056632</v>
      </c>
      <c r="L1429" s="187">
        <v>9392</v>
      </c>
      <c r="M1429" s="187">
        <v>17210.529296875</v>
      </c>
      <c r="N1429" s="187">
        <v>9392</v>
      </c>
      <c r="O1429" t="s">
        <v>1887</v>
      </c>
    </row>
    <row r="1430" spans="1:15" hidden="1" x14ac:dyDescent="0.45">
      <c r="A1430" s="187">
        <v>2016</v>
      </c>
      <c r="B1430" t="s">
        <v>311</v>
      </c>
      <c r="C1430" t="s">
        <v>328</v>
      </c>
      <c r="D1430" t="s">
        <v>39</v>
      </c>
      <c r="E1430" t="s">
        <v>352</v>
      </c>
      <c r="F1430" t="s">
        <v>433</v>
      </c>
      <c r="G1430" t="s">
        <v>36</v>
      </c>
      <c r="H1430" t="s">
        <v>43</v>
      </c>
      <c r="I1430" s="187"/>
      <c r="J1430" s="187">
        <v>233.0127464400633</v>
      </c>
      <c r="K1430" s="187">
        <v>147.74988732644752</v>
      </c>
      <c r="L1430" s="187">
        <v>259.80921228067058</v>
      </c>
      <c r="M1430" s="187">
        <v>640.57183837890625</v>
      </c>
      <c r="N1430" s="187">
        <v>259.8092041015625</v>
      </c>
      <c r="O1430" t="s">
        <v>1892</v>
      </c>
    </row>
    <row r="1431" spans="1:15" hidden="1" x14ac:dyDescent="0.45">
      <c r="A1431" s="187">
        <v>2016</v>
      </c>
      <c r="B1431" t="s">
        <v>312</v>
      </c>
      <c r="C1431" t="s">
        <v>328</v>
      </c>
      <c r="D1431" t="s">
        <v>39</v>
      </c>
      <c r="E1431" t="s">
        <v>352</v>
      </c>
      <c r="F1431" t="s">
        <v>433</v>
      </c>
      <c r="G1431" t="s">
        <v>36</v>
      </c>
      <c r="H1431" t="s">
        <v>43</v>
      </c>
      <c r="I1431" s="187"/>
      <c r="J1431" s="187">
        <v>197.15927127585482</v>
      </c>
      <c r="K1431" s="187">
        <v>139.69430226145877</v>
      </c>
      <c r="L1431" s="187">
        <v>182.0823858253483</v>
      </c>
      <c r="M1431" s="187">
        <v>518.93597412109375</v>
      </c>
      <c r="N1431" s="187">
        <v>182.08238220214844</v>
      </c>
      <c r="O1431" t="s">
        <v>1891</v>
      </c>
    </row>
    <row r="1432" spans="1:15" hidden="1" x14ac:dyDescent="0.45">
      <c r="A1432" s="187">
        <v>2016</v>
      </c>
      <c r="B1432" t="s">
        <v>310</v>
      </c>
      <c r="C1432" t="s">
        <v>328</v>
      </c>
      <c r="D1432" t="s">
        <v>39</v>
      </c>
      <c r="E1432" t="s">
        <v>352</v>
      </c>
      <c r="F1432" t="s">
        <v>433</v>
      </c>
      <c r="G1432" t="s">
        <v>36</v>
      </c>
      <c r="H1432" t="s">
        <v>43</v>
      </c>
      <c r="I1432" s="187"/>
      <c r="J1432" s="187">
        <v>236.12666933101903</v>
      </c>
      <c r="K1432" s="187">
        <v>354.2601406309833</v>
      </c>
      <c r="L1432" s="187">
        <v>310.93907941609439</v>
      </c>
      <c r="M1432" s="187">
        <v>901.32586669921875</v>
      </c>
      <c r="N1432" s="187">
        <v>310.9390869140625</v>
      </c>
      <c r="O1432" t="s">
        <v>1890</v>
      </c>
    </row>
    <row r="1433" spans="1:15" hidden="1" x14ac:dyDescent="0.45">
      <c r="A1433" s="187">
        <v>2016</v>
      </c>
      <c r="B1433" t="s">
        <v>309</v>
      </c>
      <c r="C1433" t="s">
        <v>328</v>
      </c>
      <c r="D1433" t="s">
        <v>39</v>
      </c>
      <c r="E1433" t="s">
        <v>352</v>
      </c>
      <c r="F1433" t="s">
        <v>433</v>
      </c>
      <c r="G1433" t="s">
        <v>36</v>
      </c>
      <c r="H1433" t="s">
        <v>43</v>
      </c>
      <c r="I1433" s="187"/>
      <c r="J1433" s="187">
        <v>185.812017494082</v>
      </c>
      <c r="K1433" s="187">
        <v>398.78652762613081</v>
      </c>
      <c r="L1433" s="187">
        <v>313.26000385220237</v>
      </c>
      <c r="M1433" s="187">
        <v>897.8585205078125</v>
      </c>
      <c r="N1433" s="187">
        <v>313.260009765625</v>
      </c>
      <c r="O1433" t="s">
        <v>1889</v>
      </c>
    </row>
    <row r="1434" spans="1:15" hidden="1" x14ac:dyDescent="0.45">
      <c r="A1434" s="187">
        <v>2016</v>
      </c>
      <c r="B1434" t="s">
        <v>311</v>
      </c>
      <c r="C1434" t="s">
        <v>328</v>
      </c>
      <c r="D1434" t="s">
        <v>39</v>
      </c>
      <c r="E1434" t="s">
        <v>352</v>
      </c>
      <c r="F1434" t="s">
        <v>361</v>
      </c>
      <c r="G1434" t="s">
        <v>36</v>
      </c>
      <c r="H1434" t="s">
        <v>43</v>
      </c>
      <c r="I1434" s="187"/>
      <c r="J1434" s="187"/>
      <c r="K1434" s="187">
        <v>0</v>
      </c>
      <c r="L1434" s="187">
        <v>0</v>
      </c>
      <c r="M1434" s="187">
        <v>0</v>
      </c>
      <c r="N1434" s="187">
        <v>0</v>
      </c>
      <c r="O1434" t="s">
        <v>1894</v>
      </c>
    </row>
    <row r="1435" spans="1:15" hidden="1" x14ac:dyDescent="0.45">
      <c r="A1435" s="187">
        <v>2016</v>
      </c>
      <c r="B1435" t="s">
        <v>309</v>
      </c>
      <c r="C1435" t="s">
        <v>328</v>
      </c>
      <c r="D1435" t="s">
        <v>39</v>
      </c>
      <c r="E1435" t="s">
        <v>352</v>
      </c>
      <c r="F1435" t="s">
        <v>361</v>
      </c>
      <c r="G1435" t="s">
        <v>36</v>
      </c>
      <c r="H1435" t="s">
        <v>43</v>
      </c>
      <c r="I1435" s="187"/>
      <c r="J1435" s="187"/>
      <c r="K1435" s="187">
        <v>0</v>
      </c>
      <c r="L1435" s="187"/>
      <c r="M1435" s="187">
        <v>0</v>
      </c>
      <c r="N1435" s="187">
        <v>0</v>
      </c>
      <c r="O1435" t="s">
        <v>1896</v>
      </c>
    </row>
    <row r="1436" spans="1:15" hidden="1" x14ac:dyDescent="0.45">
      <c r="A1436" s="187">
        <v>2016</v>
      </c>
      <c r="B1436" t="s">
        <v>312</v>
      </c>
      <c r="C1436" t="s">
        <v>328</v>
      </c>
      <c r="D1436" t="s">
        <v>39</v>
      </c>
      <c r="E1436" t="s">
        <v>352</v>
      </c>
      <c r="F1436" t="s">
        <v>361</v>
      </c>
      <c r="G1436" t="s">
        <v>36</v>
      </c>
      <c r="H1436" t="s">
        <v>43</v>
      </c>
      <c r="I1436" s="187"/>
      <c r="J1436" s="187"/>
      <c r="K1436" s="187">
        <v>0</v>
      </c>
      <c r="L1436" s="187"/>
      <c r="M1436" s="187">
        <v>0</v>
      </c>
      <c r="N1436" s="187">
        <v>0</v>
      </c>
      <c r="O1436" t="s">
        <v>1895</v>
      </c>
    </row>
    <row r="1437" spans="1:15" hidden="1" x14ac:dyDescent="0.45">
      <c r="A1437" s="187">
        <v>2016</v>
      </c>
      <c r="B1437" t="s">
        <v>310</v>
      </c>
      <c r="C1437" t="s">
        <v>328</v>
      </c>
      <c r="D1437" t="s">
        <v>39</v>
      </c>
      <c r="E1437" t="s">
        <v>352</v>
      </c>
      <c r="F1437" t="s">
        <v>361</v>
      </c>
      <c r="G1437" t="s">
        <v>36</v>
      </c>
      <c r="H1437" t="s">
        <v>43</v>
      </c>
      <c r="I1437" s="187"/>
      <c r="J1437" s="187">
        <v>0</v>
      </c>
      <c r="K1437" s="187">
        <v>0</v>
      </c>
      <c r="L1437" s="187"/>
      <c r="M1437" s="187">
        <v>0</v>
      </c>
      <c r="N1437" s="187">
        <v>0</v>
      </c>
      <c r="O1437" t="s">
        <v>1893</v>
      </c>
    </row>
    <row r="1438" spans="1:15" hidden="1" x14ac:dyDescent="0.45">
      <c r="A1438" s="187">
        <v>2016</v>
      </c>
      <c r="B1438" t="s">
        <v>311</v>
      </c>
      <c r="C1438" t="s">
        <v>328</v>
      </c>
      <c r="D1438" t="s">
        <v>39</v>
      </c>
      <c r="E1438" t="s">
        <v>40</v>
      </c>
      <c r="F1438" t="s">
        <v>40</v>
      </c>
      <c r="G1438" t="s">
        <v>36</v>
      </c>
      <c r="H1438" t="s">
        <v>43</v>
      </c>
      <c r="I1438" s="187"/>
      <c r="J1438" s="187">
        <v>168.93424116904589</v>
      </c>
      <c r="K1438" s="187">
        <v>6153.5313150329766</v>
      </c>
      <c r="L1438" s="187">
        <v>9593.1347709374058</v>
      </c>
      <c r="M1438" s="187">
        <v>15915.6005859375</v>
      </c>
      <c r="N1438" s="187">
        <v>9593.134765625</v>
      </c>
      <c r="O1438" t="s">
        <v>1900</v>
      </c>
    </row>
    <row r="1439" spans="1:15" hidden="1" x14ac:dyDescent="0.45">
      <c r="A1439" s="187">
        <v>2016</v>
      </c>
      <c r="B1439" t="s">
        <v>309</v>
      </c>
      <c r="C1439" t="s">
        <v>328</v>
      </c>
      <c r="D1439" t="s">
        <v>39</v>
      </c>
      <c r="E1439" t="s">
        <v>40</v>
      </c>
      <c r="F1439" t="s">
        <v>40</v>
      </c>
      <c r="G1439" t="s">
        <v>36</v>
      </c>
      <c r="H1439" t="s">
        <v>43</v>
      </c>
      <c r="I1439" s="187"/>
      <c r="J1439" s="187">
        <v>624.13780235191655</v>
      </c>
      <c r="K1439" s="187">
        <v>6486.5999146430095</v>
      </c>
      <c r="L1439" s="187">
        <v>10266.113966548031</v>
      </c>
      <c r="M1439" s="187">
        <v>17376.8515625</v>
      </c>
      <c r="N1439" s="187">
        <v>10266.1142578125</v>
      </c>
      <c r="O1439" t="s">
        <v>1899</v>
      </c>
    </row>
    <row r="1440" spans="1:15" hidden="1" x14ac:dyDescent="0.45">
      <c r="A1440" s="187">
        <v>2016</v>
      </c>
      <c r="B1440" t="s">
        <v>312</v>
      </c>
      <c r="C1440" t="s">
        <v>328</v>
      </c>
      <c r="D1440" t="s">
        <v>39</v>
      </c>
      <c r="E1440" t="s">
        <v>40</v>
      </c>
      <c r="F1440" t="s">
        <v>40</v>
      </c>
      <c r="G1440" t="s">
        <v>36</v>
      </c>
      <c r="H1440" t="s">
        <v>43</v>
      </c>
      <c r="I1440" s="187">
        <v>4671.5111794923414</v>
      </c>
      <c r="J1440" s="187">
        <v>168.16526079411148</v>
      </c>
      <c r="K1440" s="187">
        <v>5853.4320426157674</v>
      </c>
      <c r="L1440" s="187">
        <v>4932.46106315418</v>
      </c>
      <c r="M1440" s="187">
        <v>15625.5693359375</v>
      </c>
      <c r="N1440" s="187">
        <v>9603.97265625</v>
      </c>
      <c r="O1440" t="s">
        <v>1897</v>
      </c>
    </row>
    <row r="1441" spans="1:15" hidden="1" x14ac:dyDescent="0.45">
      <c r="A1441" s="187">
        <v>2016</v>
      </c>
      <c r="B1441" t="s">
        <v>310</v>
      </c>
      <c r="C1441" t="s">
        <v>328</v>
      </c>
      <c r="D1441" t="s">
        <v>39</v>
      </c>
      <c r="E1441" t="s">
        <v>40</v>
      </c>
      <c r="F1441" t="s">
        <v>40</v>
      </c>
      <c r="G1441" t="s">
        <v>36</v>
      </c>
      <c r="H1441" t="s">
        <v>43</v>
      </c>
      <c r="I1441" s="187"/>
      <c r="J1441" s="187">
        <v>140.27326890951625</v>
      </c>
      <c r="K1441" s="187">
        <v>6038.5309161029591</v>
      </c>
      <c r="L1441" s="187">
        <v>9628.5909667307114</v>
      </c>
      <c r="M1441" s="187">
        <v>15807.3955078125</v>
      </c>
      <c r="N1441" s="187">
        <v>9628.5908203125</v>
      </c>
      <c r="O1441" t="s">
        <v>1898</v>
      </c>
    </row>
    <row r="1442" spans="1:15" hidden="1" x14ac:dyDescent="0.45">
      <c r="A1442" s="187">
        <v>2016</v>
      </c>
      <c r="B1442" t="s">
        <v>311</v>
      </c>
      <c r="C1442" t="s">
        <v>328</v>
      </c>
      <c r="D1442" t="s">
        <v>39</v>
      </c>
      <c r="E1442" t="s">
        <v>40</v>
      </c>
      <c r="F1442" t="s">
        <v>40</v>
      </c>
      <c r="G1442" t="s">
        <v>37</v>
      </c>
      <c r="H1442" t="s">
        <v>43</v>
      </c>
      <c r="I1442" s="187"/>
      <c r="J1442" s="187">
        <v>148</v>
      </c>
      <c r="K1442" s="187">
        <v>5355.9261126082929</v>
      </c>
      <c r="L1442" s="187">
        <v>8504</v>
      </c>
      <c r="M1442" s="187">
        <v>14007.92578125</v>
      </c>
      <c r="N1442" s="187">
        <v>8504</v>
      </c>
      <c r="O1442" t="s">
        <v>1901</v>
      </c>
    </row>
    <row r="1443" spans="1:15" hidden="1" x14ac:dyDescent="0.45">
      <c r="A1443" s="187">
        <v>2016</v>
      </c>
      <c r="B1443" t="s">
        <v>309</v>
      </c>
      <c r="C1443" t="s">
        <v>328</v>
      </c>
      <c r="D1443" t="s">
        <v>39</v>
      </c>
      <c r="E1443" t="s">
        <v>40</v>
      </c>
      <c r="F1443" t="s">
        <v>40</v>
      </c>
      <c r="G1443" t="s">
        <v>37</v>
      </c>
      <c r="H1443" t="s">
        <v>43</v>
      </c>
      <c r="I1443" s="187"/>
      <c r="J1443" s="187">
        <v>557.16920000000005</v>
      </c>
      <c r="K1443" s="187">
        <v>5833.4644372299226</v>
      </c>
      <c r="L1443" s="187">
        <v>9465</v>
      </c>
      <c r="M1443" s="187">
        <v>15855.6337890625</v>
      </c>
      <c r="N1443" s="187">
        <v>9465</v>
      </c>
      <c r="O1443" t="s">
        <v>1903</v>
      </c>
    </row>
    <row r="1444" spans="1:15" hidden="1" x14ac:dyDescent="0.45">
      <c r="A1444" s="187">
        <v>2016</v>
      </c>
      <c r="B1444" t="s">
        <v>312</v>
      </c>
      <c r="C1444" t="s">
        <v>328</v>
      </c>
      <c r="D1444" t="s">
        <v>39</v>
      </c>
      <c r="E1444" t="s">
        <v>40</v>
      </c>
      <c r="F1444" t="s">
        <v>40</v>
      </c>
      <c r="G1444" t="s">
        <v>37</v>
      </c>
      <c r="H1444" t="s">
        <v>43</v>
      </c>
      <c r="I1444" s="187">
        <v>4027.9967326647079</v>
      </c>
      <c r="J1444" s="187">
        <v>145</v>
      </c>
      <c r="K1444" s="187">
        <v>5047.1045100000001</v>
      </c>
      <c r="L1444" s="187">
        <v>4253</v>
      </c>
      <c r="M1444" s="187">
        <v>13473.1015625</v>
      </c>
      <c r="N1444" s="187">
        <v>8280.9970703125</v>
      </c>
      <c r="O1444" t="s">
        <v>1904</v>
      </c>
    </row>
    <row r="1445" spans="1:15" hidden="1" x14ac:dyDescent="0.45">
      <c r="A1445" s="187">
        <v>2016</v>
      </c>
      <c r="B1445" t="s">
        <v>310</v>
      </c>
      <c r="C1445" t="s">
        <v>328</v>
      </c>
      <c r="D1445" t="s">
        <v>39</v>
      </c>
      <c r="E1445" t="s">
        <v>40</v>
      </c>
      <c r="F1445" t="s">
        <v>40</v>
      </c>
      <c r="G1445" t="s">
        <v>37</v>
      </c>
      <c r="H1445" t="s">
        <v>43</v>
      </c>
      <c r="I1445" s="187"/>
      <c r="J1445" s="187">
        <v>125</v>
      </c>
      <c r="K1445" s="187">
        <v>5381.8522874583186</v>
      </c>
      <c r="L1445" s="187">
        <v>8694</v>
      </c>
      <c r="M1445" s="187">
        <v>14200.8515625</v>
      </c>
      <c r="N1445" s="187">
        <v>8694</v>
      </c>
      <c r="O1445" t="s">
        <v>1902</v>
      </c>
    </row>
    <row r="1446" spans="1:15" hidden="1" x14ac:dyDescent="0.45">
      <c r="A1446" s="187">
        <v>2016</v>
      </c>
      <c r="B1446" t="s">
        <v>310</v>
      </c>
      <c r="C1446" t="s">
        <v>328</v>
      </c>
      <c r="D1446" t="s">
        <v>39</v>
      </c>
      <c r="E1446" t="s">
        <v>41</v>
      </c>
      <c r="F1446" t="s">
        <v>41</v>
      </c>
      <c r="G1446" t="s">
        <v>36</v>
      </c>
      <c r="H1446" t="s">
        <v>43</v>
      </c>
      <c r="I1446" s="187"/>
      <c r="J1446" s="187">
        <v>1789.5857982329542</v>
      </c>
      <c r="K1446" s="187">
        <v>12235.328167004889</v>
      </c>
      <c r="L1446" s="187">
        <v>14030.833722674362</v>
      </c>
      <c r="M1446" s="187">
        <v>28055.748046875</v>
      </c>
      <c r="N1446" s="187">
        <v>14030.833984375</v>
      </c>
      <c r="O1446" t="s">
        <v>1905</v>
      </c>
    </row>
    <row r="1447" spans="1:15" hidden="1" x14ac:dyDescent="0.45">
      <c r="A1447" s="187">
        <v>2016</v>
      </c>
      <c r="B1447" t="s">
        <v>312</v>
      </c>
      <c r="C1447" t="s">
        <v>328</v>
      </c>
      <c r="D1447" t="s">
        <v>39</v>
      </c>
      <c r="E1447" t="s">
        <v>41</v>
      </c>
      <c r="F1447" t="s">
        <v>41</v>
      </c>
      <c r="G1447" t="s">
        <v>36</v>
      </c>
      <c r="H1447" t="s">
        <v>43</v>
      </c>
      <c r="I1447" s="187">
        <v>3589.1842225749856</v>
      </c>
      <c r="J1447" s="187">
        <v>1675.8538058447662</v>
      </c>
      <c r="K1447" s="187">
        <v>12400.096804908224</v>
      </c>
      <c r="L1447" s="187">
        <v>6644.2674419963078</v>
      </c>
      <c r="M1447" s="187">
        <v>24309.40234375</v>
      </c>
      <c r="N1447" s="187">
        <v>10233.4521484375</v>
      </c>
      <c r="O1447" t="s">
        <v>1908</v>
      </c>
    </row>
    <row r="1448" spans="1:15" hidden="1" x14ac:dyDescent="0.45">
      <c r="A1448" s="187">
        <v>2016</v>
      </c>
      <c r="B1448" t="s">
        <v>309</v>
      </c>
      <c r="C1448" t="s">
        <v>328</v>
      </c>
      <c r="D1448" t="s">
        <v>39</v>
      </c>
      <c r="E1448" t="s">
        <v>41</v>
      </c>
      <c r="F1448" t="s">
        <v>41</v>
      </c>
      <c r="G1448" t="s">
        <v>36</v>
      </c>
      <c r="H1448" t="s">
        <v>43</v>
      </c>
      <c r="I1448" s="187"/>
      <c r="J1448" s="187">
        <v>1057.6991765047746</v>
      </c>
      <c r="K1448" s="187">
        <v>12720.14669466544</v>
      </c>
      <c r="L1448" s="187">
        <v>15305.669389736884</v>
      </c>
      <c r="M1448" s="187">
        <v>29083.515625</v>
      </c>
      <c r="N1448" s="187">
        <v>15305.6689453125</v>
      </c>
      <c r="O1448" t="s">
        <v>1907</v>
      </c>
    </row>
    <row r="1449" spans="1:15" hidden="1" x14ac:dyDescent="0.45">
      <c r="A1449" s="187">
        <v>2016</v>
      </c>
      <c r="B1449" t="s">
        <v>311</v>
      </c>
      <c r="C1449" t="s">
        <v>328</v>
      </c>
      <c r="D1449" t="s">
        <v>39</v>
      </c>
      <c r="E1449" t="s">
        <v>41</v>
      </c>
      <c r="F1449" t="s">
        <v>41</v>
      </c>
      <c r="G1449" t="s">
        <v>36</v>
      </c>
      <c r="H1449" t="s">
        <v>43</v>
      </c>
      <c r="I1449" s="187"/>
      <c r="J1449" s="187">
        <v>1683.5170930294573</v>
      </c>
      <c r="K1449" s="187">
        <v>12189.872496506083</v>
      </c>
      <c r="L1449" s="187">
        <v>12276.276546194735</v>
      </c>
      <c r="M1449" s="187">
        <v>26149.666015625</v>
      </c>
      <c r="N1449" s="187">
        <v>12276.2763671875</v>
      </c>
      <c r="O1449" t="s">
        <v>1906</v>
      </c>
    </row>
    <row r="1450" spans="1:15" hidden="1" x14ac:dyDescent="0.45">
      <c r="A1450" s="187">
        <v>2016</v>
      </c>
      <c r="B1450" t="s">
        <v>311</v>
      </c>
      <c r="C1450" t="s">
        <v>328</v>
      </c>
      <c r="D1450" t="s">
        <v>39</v>
      </c>
      <c r="E1450" t="s">
        <v>41</v>
      </c>
      <c r="F1450" t="s">
        <v>41</v>
      </c>
      <c r="G1450" t="s">
        <v>37</v>
      </c>
      <c r="H1450" t="s">
        <v>43</v>
      </c>
      <c r="I1450" s="187"/>
      <c r="J1450" s="187">
        <v>1475</v>
      </c>
      <c r="K1450" s="187">
        <v>10609.85198107384</v>
      </c>
      <c r="L1450" s="187">
        <v>10884</v>
      </c>
      <c r="M1450" s="187">
        <v>22968.8515625</v>
      </c>
      <c r="N1450" s="187">
        <v>10884</v>
      </c>
      <c r="O1450" t="s">
        <v>1910</v>
      </c>
    </row>
    <row r="1451" spans="1:15" hidden="1" x14ac:dyDescent="0.45">
      <c r="A1451" s="187">
        <v>2016</v>
      </c>
      <c r="B1451" t="s">
        <v>309</v>
      </c>
      <c r="C1451" t="s">
        <v>328</v>
      </c>
      <c r="D1451" t="s">
        <v>39</v>
      </c>
      <c r="E1451" t="s">
        <v>41</v>
      </c>
      <c r="F1451" t="s">
        <v>41</v>
      </c>
      <c r="G1451" t="s">
        <v>37</v>
      </c>
      <c r="H1451" t="s">
        <v>43</v>
      </c>
      <c r="I1451" s="187"/>
      <c r="J1451" s="187">
        <v>944.21039999999994</v>
      </c>
      <c r="K1451" s="187">
        <v>11439.35564950938</v>
      </c>
      <c r="L1451" s="187">
        <v>14111</v>
      </c>
      <c r="M1451" s="187">
        <v>26494.56640625</v>
      </c>
      <c r="N1451" s="187">
        <v>14111</v>
      </c>
      <c r="O1451" t="s">
        <v>1911</v>
      </c>
    </row>
    <row r="1452" spans="1:15" hidden="1" x14ac:dyDescent="0.45">
      <c r="A1452" s="187">
        <v>2016</v>
      </c>
      <c r="B1452" t="s">
        <v>310</v>
      </c>
      <c r="C1452" t="s">
        <v>328</v>
      </c>
      <c r="D1452" t="s">
        <v>39</v>
      </c>
      <c r="E1452" t="s">
        <v>41</v>
      </c>
      <c r="F1452" t="s">
        <v>41</v>
      </c>
      <c r="G1452" t="s">
        <v>37</v>
      </c>
      <c r="H1452" t="s">
        <v>43</v>
      </c>
      <c r="I1452" s="187"/>
      <c r="J1452" s="187">
        <v>1598</v>
      </c>
      <c r="K1452" s="187">
        <v>10904.75975005767</v>
      </c>
      <c r="L1452" s="187">
        <v>12670</v>
      </c>
      <c r="M1452" s="187">
        <v>25172.759765625</v>
      </c>
      <c r="N1452" s="187">
        <v>12670</v>
      </c>
      <c r="O1452" t="s">
        <v>1909</v>
      </c>
    </row>
    <row r="1453" spans="1:15" hidden="1" x14ac:dyDescent="0.45">
      <c r="A1453" s="187">
        <v>2016</v>
      </c>
      <c r="B1453" t="s">
        <v>312</v>
      </c>
      <c r="C1453" t="s">
        <v>328</v>
      </c>
      <c r="D1453" t="s">
        <v>39</v>
      </c>
      <c r="E1453" t="s">
        <v>41</v>
      </c>
      <c r="F1453" t="s">
        <v>41</v>
      </c>
      <c r="G1453" t="s">
        <v>37</v>
      </c>
      <c r="H1453" t="s">
        <v>43</v>
      </c>
      <c r="I1453" s="187">
        <v>3094.7635071345039</v>
      </c>
      <c r="J1453" s="187">
        <v>1445</v>
      </c>
      <c r="K1453" s="187">
        <v>10691.946887371951</v>
      </c>
      <c r="L1453" s="187">
        <v>5729</v>
      </c>
      <c r="M1453" s="187">
        <v>20960.7109375</v>
      </c>
      <c r="N1453" s="187">
        <v>8823.763671875</v>
      </c>
      <c r="O1453" t="s">
        <v>1912</v>
      </c>
    </row>
    <row r="1454" spans="1:15" hidden="1" x14ac:dyDescent="0.45">
      <c r="A1454" s="187">
        <v>2016</v>
      </c>
      <c r="B1454" t="s">
        <v>312</v>
      </c>
      <c r="C1454" t="s">
        <v>328</v>
      </c>
      <c r="D1454" t="s">
        <v>39</v>
      </c>
      <c r="E1454" t="s">
        <v>361</v>
      </c>
      <c r="F1454" t="s">
        <v>361</v>
      </c>
      <c r="G1454" t="s">
        <v>36</v>
      </c>
      <c r="H1454" t="s">
        <v>43</v>
      </c>
      <c r="I1454" s="187"/>
      <c r="J1454" s="187">
        <v>0</v>
      </c>
      <c r="K1454" s="187"/>
      <c r="L1454" s="187"/>
      <c r="M1454" s="187">
        <v>0</v>
      </c>
      <c r="N1454" s="187">
        <v>0</v>
      </c>
      <c r="O1454" t="s">
        <v>1914</v>
      </c>
    </row>
    <row r="1455" spans="1:15" hidden="1" x14ac:dyDescent="0.45">
      <c r="A1455" s="187">
        <v>2016</v>
      </c>
      <c r="B1455" t="s">
        <v>311</v>
      </c>
      <c r="C1455" t="s">
        <v>328</v>
      </c>
      <c r="D1455" t="s">
        <v>39</v>
      </c>
      <c r="E1455" t="s">
        <v>361</v>
      </c>
      <c r="F1455" t="s">
        <v>361</v>
      </c>
      <c r="G1455" t="s">
        <v>36</v>
      </c>
      <c r="H1455" t="s">
        <v>43</v>
      </c>
      <c r="I1455" s="187"/>
      <c r="J1455" s="187">
        <v>0</v>
      </c>
      <c r="K1455" s="187"/>
      <c r="L1455" s="187"/>
      <c r="M1455" s="187">
        <v>0</v>
      </c>
      <c r="N1455" s="187">
        <v>0</v>
      </c>
      <c r="O1455" t="s">
        <v>1913</v>
      </c>
    </row>
    <row r="1456" spans="1:15" hidden="1" x14ac:dyDescent="0.45">
      <c r="A1456" s="187">
        <v>2016</v>
      </c>
      <c r="B1456" t="s">
        <v>309</v>
      </c>
      <c r="C1456" t="s">
        <v>328</v>
      </c>
      <c r="D1456" t="s">
        <v>39</v>
      </c>
      <c r="E1456" t="s">
        <v>361</v>
      </c>
      <c r="F1456" t="s">
        <v>361</v>
      </c>
      <c r="G1456" t="s">
        <v>36</v>
      </c>
      <c r="H1456" t="s">
        <v>43</v>
      </c>
      <c r="I1456" s="187"/>
      <c r="J1456" s="187">
        <v>0</v>
      </c>
      <c r="K1456" s="187"/>
      <c r="L1456" s="187">
        <v>0</v>
      </c>
      <c r="M1456" s="187">
        <v>0</v>
      </c>
      <c r="N1456" s="187">
        <v>0</v>
      </c>
      <c r="O1456" t="s">
        <v>1915</v>
      </c>
    </row>
    <row r="1457" spans="1:15" hidden="1" x14ac:dyDescent="0.45">
      <c r="A1457" s="187">
        <v>2016</v>
      </c>
      <c r="B1457" t="s">
        <v>310</v>
      </c>
      <c r="C1457" t="s">
        <v>328</v>
      </c>
      <c r="D1457" t="s">
        <v>39</v>
      </c>
      <c r="E1457" t="s">
        <v>361</v>
      </c>
      <c r="F1457" t="s">
        <v>361</v>
      </c>
      <c r="G1457" t="s">
        <v>36</v>
      </c>
      <c r="H1457" t="s">
        <v>43</v>
      </c>
      <c r="I1457" s="187"/>
      <c r="J1457" s="187"/>
      <c r="K1457" s="187"/>
      <c r="L1457" s="187"/>
      <c r="M1457" s="187">
        <v>0</v>
      </c>
      <c r="N1457" s="187">
        <v>0</v>
      </c>
      <c r="O1457" t="s">
        <v>1916</v>
      </c>
    </row>
    <row r="1458" spans="1:15" hidden="1" x14ac:dyDescent="0.45">
      <c r="A1458" s="187">
        <v>2016</v>
      </c>
      <c r="B1458" t="s">
        <v>309</v>
      </c>
      <c r="C1458" t="s">
        <v>328</v>
      </c>
      <c r="D1458" t="s">
        <v>39</v>
      </c>
      <c r="E1458" t="s">
        <v>362</v>
      </c>
      <c r="F1458" t="s">
        <v>362</v>
      </c>
      <c r="G1458" t="s">
        <v>36</v>
      </c>
      <c r="H1458" t="s">
        <v>43</v>
      </c>
      <c r="I1458" s="187"/>
      <c r="J1458" s="187">
        <v>612.22677558947532</v>
      </c>
      <c r="K1458" s="187">
        <v>2750.6085378961498</v>
      </c>
      <c r="L1458" s="187">
        <v>5485.0278241041515</v>
      </c>
      <c r="M1458" s="187">
        <v>8847.86328125</v>
      </c>
      <c r="N1458" s="187">
        <v>5485.02783203125</v>
      </c>
      <c r="O1458" t="s">
        <v>1917</v>
      </c>
    </row>
    <row r="1459" spans="1:15" hidden="1" x14ac:dyDescent="0.45">
      <c r="A1459" s="187">
        <v>2016</v>
      </c>
      <c r="B1459" t="s">
        <v>311</v>
      </c>
      <c r="C1459" t="s">
        <v>328</v>
      </c>
      <c r="D1459" t="s">
        <v>39</v>
      </c>
      <c r="E1459" t="s">
        <v>362</v>
      </c>
      <c r="F1459" t="s">
        <v>362</v>
      </c>
      <c r="G1459" t="s">
        <v>36</v>
      </c>
      <c r="H1459" t="s">
        <v>43</v>
      </c>
      <c r="I1459" s="187"/>
      <c r="J1459" s="187">
        <v>99.030417237026896</v>
      </c>
      <c r="K1459" s="187">
        <v>2862.6222534283838</v>
      </c>
      <c r="L1459" s="187">
        <v>5035.4054505697677</v>
      </c>
      <c r="M1459" s="187">
        <v>7997.05810546875</v>
      </c>
      <c r="N1459" s="187">
        <v>5035.4052734375</v>
      </c>
      <c r="O1459" t="s">
        <v>1918</v>
      </c>
    </row>
    <row r="1460" spans="1:15" hidden="1" x14ac:dyDescent="0.45">
      <c r="A1460" s="187">
        <v>2016</v>
      </c>
      <c r="B1460" t="s">
        <v>310</v>
      </c>
      <c r="C1460" t="s">
        <v>328</v>
      </c>
      <c r="D1460" t="s">
        <v>39</v>
      </c>
      <c r="E1460" t="s">
        <v>362</v>
      </c>
      <c r="F1460" t="s">
        <v>362</v>
      </c>
      <c r="G1460" t="s">
        <v>36</v>
      </c>
      <c r="H1460" t="s">
        <v>43</v>
      </c>
      <c r="I1460" s="187"/>
      <c r="J1460" s="187">
        <v>93.515512606344174</v>
      </c>
      <c r="K1460" s="187">
        <v>2135.7634332612442</v>
      </c>
      <c r="L1460" s="187">
        <v>5178.4215105763087</v>
      </c>
      <c r="M1460" s="187">
        <v>7407.70068359375</v>
      </c>
      <c r="N1460" s="187">
        <v>5178.42138671875</v>
      </c>
      <c r="O1460" t="s">
        <v>1920</v>
      </c>
    </row>
    <row r="1461" spans="1:15" hidden="1" x14ac:dyDescent="0.45">
      <c r="A1461" s="187">
        <v>2016</v>
      </c>
      <c r="B1461" t="s">
        <v>312</v>
      </c>
      <c r="C1461" t="s">
        <v>328</v>
      </c>
      <c r="D1461" t="s">
        <v>39</v>
      </c>
      <c r="E1461" t="s">
        <v>362</v>
      </c>
      <c r="F1461" t="s">
        <v>362</v>
      </c>
      <c r="G1461" t="s">
        <v>36</v>
      </c>
      <c r="H1461" t="s">
        <v>43</v>
      </c>
      <c r="I1461" s="187">
        <v>1997.6784677044498</v>
      </c>
      <c r="J1461" s="187">
        <v>98.57963563792741</v>
      </c>
      <c r="K1461" s="187">
        <v>2586.6967367361208</v>
      </c>
      <c r="L1461" s="187">
        <v>2836.77398553377</v>
      </c>
      <c r="M1461" s="187">
        <v>7519.728515625</v>
      </c>
      <c r="N1461" s="187">
        <v>4834.45263671875</v>
      </c>
      <c r="O1461" t="s">
        <v>1919</v>
      </c>
    </row>
    <row r="1462" spans="1:15" hidden="1" x14ac:dyDescent="0.45">
      <c r="A1462" s="187">
        <v>2016</v>
      </c>
      <c r="B1462" t="s">
        <v>309</v>
      </c>
      <c r="C1462" t="s">
        <v>328</v>
      </c>
      <c r="D1462" t="s">
        <v>39</v>
      </c>
      <c r="E1462" t="s">
        <v>362</v>
      </c>
      <c r="F1462" t="s">
        <v>362</v>
      </c>
      <c r="G1462" t="s">
        <v>37</v>
      </c>
      <c r="H1462" t="s">
        <v>43</v>
      </c>
      <c r="I1462" s="187"/>
      <c r="J1462" s="187">
        <v>546.53620000000001</v>
      </c>
      <c r="K1462" s="187">
        <v>2473.6498778561181</v>
      </c>
      <c r="L1462" s="187">
        <v>5057</v>
      </c>
      <c r="M1462" s="187">
        <v>8077.18603515625</v>
      </c>
      <c r="N1462" s="187">
        <v>5057</v>
      </c>
      <c r="O1462" t="s">
        <v>1924</v>
      </c>
    </row>
    <row r="1463" spans="1:15" hidden="1" x14ac:dyDescent="0.45">
      <c r="A1463" s="187">
        <v>2016</v>
      </c>
      <c r="B1463" t="s">
        <v>310</v>
      </c>
      <c r="C1463" t="s">
        <v>328</v>
      </c>
      <c r="D1463" t="s">
        <v>39</v>
      </c>
      <c r="E1463" t="s">
        <v>362</v>
      </c>
      <c r="F1463" t="s">
        <v>362</v>
      </c>
      <c r="G1463" t="s">
        <v>37</v>
      </c>
      <c r="H1463" t="s">
        <v>43</v>
      </c>
      <c r="I1463" s="187"/>
      <c r="J1463" s="187">
        <v>83</v>
      </c>
      <c r="K1463" s="187">
        <v>1903.503265689146</v>
      </c>
      <c r="L1463" s="187">
        <v>4676</v>
      </c>
      <c r="M1463" s="187">
        <v>6662.50341796875</v>
      </c>
      <c r="N1463" s="187">
        <v>4676</v>
      </c>
      <c r="O1463" t="s">
        <v>1922</v>
      </c>
    </row>
    <row r="1464" spans="1:15" hidden="1" x14ac:dyDescent="0.45">
      <c r="A1464" s="187">
        <v>2016</v>
      </c>
      <c r="B1464" t="s">
        <v>311</v>
      </c>
      <c r="C1464" t="s">
        <v>328</v>
      </c>
      <c r="D1464" t="s">
        <v>39</v>
      </c>
      <c r="E1464" t="s">
        <v>362</v>
      </c>
      <c r="F1464" t="s">
        <v>362</v>
      </c>
      <c r="G1464" t="s">
        <v>37</v>
      </c>
      <c r="H1464" t="s">
        <v>43</v>
      </c>
      <c r="I1464" s="187"/>
      <c r="J1464" s="187">
        <v>87</v>
      </c>
      <c r="K1464" s="187">
        <v>2491.576379925923</v>
      </c>
      <c r="L1464" s="187">
        <v>4464</v>
      </c>
      <c r="M1464" s="187">
        <v>7042.576171875</v>
      </c>
      <c r="N1464" s="187">
        <v>4464</v>
      </c>
      <c r="O1464" t="s">
        <v>1921</v>
      </c>
    </row>
    <row r="1465" spans="1:15" hidden="1" x14ac:dyDescent="0.45">
      <c r="A1465" s="187">
        <v>2016</v>
      </c>
      <c r="B1465" t="s">
        <v>312</v>
      </c>
      <c r="C1465" t="s">
        <v>328</v>
      </c>
      <c r="D1465" t="s">
        <v>39</v>
      </c>
      <c r="E1465" t="s">
        <v>362</v>
      </c>
      <c r="F1465" t="s">
        <v>362</v>
      </c>
      <c r="G1465" t="s">
        <v>37</v>
      </c>
      <c r="H1465" t="s">
        <v>43</v>
      </c>
      <c r="I1465" s="187">
        <v>1722.492365244131</v>
      </c>
      <c r="J1465" s="187">
        <v>85</v>
      </c>
      <c r="K1465" s="187">
        <v>2230.3716300000001</v>
      </c>
      <c r="L1465" s="187">
        <v>2446</v>
      </c>
      <c r="M1465" s="187">
        <v>6483.8642578125</v>
      </c>
      <c r="N1465" s="187">
        <v>4168.4921875</v>
      </c>
      <c r="O1465" t="s">
        <v>1923</v>
      </c>
    </row>
    <row r="1466" spans="1:15" hidden="1" x14ac:dyDescent="0.45">
      <c r="A1466" s="187">
        <v>2016</v>
      </c>
      <c r="B1466" t="s">
        <v>311</v>
      </c>
      <c r="C1466" t="s">
        <v>328</v>
      </c>
      <c r="D1466" t="s">
        <v>39</v>
      </c>
      <c r="E1466" t="s">
        <v>363</v>
      </c>
      <c r="F1466" t="s">
        <v>363</v>
      </c>
      <c r="G1466" t="s">
        <v>36</v>
      </c>
      <c r="H1466" t="s">
        <v>43</v>
      </c>
      <c r="I1466" s="187"/>
      <c r="J1466" s="187">
        <v>69.90382393201898</v>
      </c>
      <c r="K1466" s="187">
        <v>433.66025541234819</v>
      </c>
      <c r="L1466" s="187">
        <v>4557.7293203676381</v>
      </c>
      <c r="M1466" s="187">
        <v>5061.29345703125</v>
      </c>
      <c r="N1466" s="187">
        <v>4557.7294921875</v>
      </c>
      <c r="O1466" t="s">
        <v>1928</v>
      </c>
    </row>
    <row r="1467" spans="1:15" hidden="1" x14ac:dyDescent="0.45">
      <c r="A1467" s="187">
        <v>2016</v>
      </c>
      <c r="B1467" t="s">
        <v>310</v>
      </c>
      <c r="C1467" t="s">
        <v>328</v>
      </c>
      <c r="D1467" t="s">
        <v>39</v>
      </c>
      <c r="E1467" t="s">
        <v>363</v>
      </c>
      <c r="F1467" t="s">
        <v>363</v>
      </c>
      <c r="G1467" t="s">
        <v>36</v>
      </c>
      <c r="H1467" t="s">
        <v>43</v>
      </c>
      <c r="I1467" s="187"/>
      <c r="J1467" s="187">
        <v>46.757756303172087</v>
      </c>
      <c r="K1467" s="187">
        <v>411.77960198068365</v>
      </c>
      <c r="L1467" s="187">
        <v>4450.1694561544027</v>
      </c>
      <c r="M1467" s="187">
        <v>4908.70703125</v>
      </c>
      <c r="N1467" s="187">
        <v>4450.16943359375</v>
      </c>
      <c r="O1467" t="s">
        <v>1927</v>
      </c>
    </row>
    <row r="1468" spans="1:15" hidden="1" x14ac:dyDescent="0.45">
      <c r="A1468" s="187">
        <v>2016</v>
      </c>
      <c r="B1468" t="s">
        <v>309</v>
      </c>
      <c r="C1468" t="s">
        <v>328</v>
      </c>
      <c r="D1468" t="s">
        <v>39</v>
      </c>
      <c r="E1468" t="s">
        <v>363</v>
      </c>
      <c r="F1468" t="s">
        <v>363</v>
      </c>
      <c r="G1468" t="s">
        <v>36</v>
      </c>
      <c r="H1468" t="s">
        <v>43</v>
      </c>
      <c r="I1468" s="187"/>
      <c r="J1468" s="187">
        <v>11.911026762441155</v>
      </c>
      <c r="K1468" s="187">
        <v>411.07995731195206</v>
      </c>
      <c r="L1468" s="187">
        <v>4781.0861424438799</v>
      </c>
      <c r="M1468" s="187">
        <v>5204.0771484375</v>
      </c>
      <c r="N1468" s="187">
        <v>4781.0859375</v>
      </c>
      <c r="O1468" t="s">
        <v>1925</v>
      </c>
    </row>
    <row r="1469" spans="1:15" hidden="1" x14ac:dyDescent="0.45">
      <c r="A1469" s="187">
        <v>2016</v>
      </c>
      <c r="B1469" t="s">
        <v>312</v>
      </c>
      <c r="C1469" t="s">
        <v>328</v>
      </c>
      <c r="D1469" t="s">
        <v>39</v>
      </c>
      <c r="E1469" t="s">
        <v>363</v>
      </c>
      <c r="F1469" t="s">
        <v>363</v>
      </c>
      <c r="G1469" t="s">
        <v>36</v>
      </c>
      <c r="H1469" t="s">
        <v>43</v>
      </c>
      <c r="I1469" s="187">
        <v>2673.8327117878921</v>
      </c>
      <c r="J1469" s="187">
        <v>69.585625156184065</v>
      </c>
      <c r="K1469" s="187">
        <v>436.39647138667385</v>
      </c>
      <c r="L1469" s="187">
        <v>2095.68707762041</v>
      </c>
      <c r="M1469" s="187">
        <v>5275.501953125</v>
      </c>
      <c r="N1469" s="187">
        <v>4769.52001953125</v>
      </c>
      <c r="O1469" t="s">
        <v>1926</v>
      </c>
    </row>
    <row r="1470" spans="1:15" hidden="1" x14ac:dyDescent="0.45">
      <c r="A1470" s="187">
        <v>2016</v>
      </c>
      <c r="B1470" t="s">
        <v>312</v>
      </c>
      <c r="C1470" t="s">
        <v>328</v>
      </c>
      <c r="D1470" t="s">
        <v>39</v>
      </c>
      <c r="E1470" t="s">
        <v>363</v>
      </c>
      <c r="F1470" t="s">
        <v>363</v>
      </c>
      <c r="G1470" t="s">
        <v>37</v>
      </c>
      <c r="H1470" t="s">
        <v>43</v>
      </c>
      <c r="I1470" s="187">
        <v>2305.5043674205772</v>
      </c>
      <c r="J1470" s="187">
        <v>60</v>
      </c>
      <c r="K1470" s="187">
        <v>376.28156999999999</v>
      </c>
      <c r="L1470" s="187">
        <v>1807</v>
      </c>
      <c r="M1470" s="187">
        <v>4548.7861328125</v>
      </c>
      <c r="N1470" s="187">
        <v>4112.50439453125</v>
      </c>
      <c r="O1470" t="s">
        <v>1932</v>
      </c>
    </row>
    <row r="1471" spans="1:15" hidden="1" x14ac:dyDescent="0.45">
      <c r="A1471" s="187">
        <v>2016</v>
      </c>
      <c r="B1471" t="s">
        <v>309</v>
      </c>
      <c r="C1471" t="s">
        <v>328</v>
      </c>
      <c r="D1471" t="s">
        <v>39</v>
      </c>
      <c r="E1471" t="s">
        <v>363</v>
      </c>
      <c r="F1471" t="s">
        <v>363</v>
      </c>
      <c r="G1471" t="s">
        <v>37</v>
      </c>
      <c r="H1471" t="s">
        <v>43</v>
      </c>
      <c r="I1471" s="187"/>
      <c r="J1471" s="187">
        <v>10.632999999999999</v>
      </c>
      <c r="K1471" s="187">
        <v>369.68833339388141</v>
      </c>
      <c r="L1471" s="187">
        <v>4408</v>
      </c>
      <c r="M1471" s="187">
        <v>4788.3212890625</v>
      </c>
      <c r="N1471" s="187">
        <v>4408</v>
      </c>
      <c r="O1471" t="s">
        <v>1931</v>
      </c>
    </row>
    <row r="1472" spans="1:15" hidden="1" x14ac:dyDescent="0.45">
      <c r="A1472" s="187">
        <v>2016</v>
      </c>
      <c r="B1472" t="s">
        <v>310</v>
      </c>
      <c r="C1472" t="s">
        <v>328</v>
      </c>
      <c r="D1472" t="s">
        <v>39</v>
      </c>
      <c r="E1472" t="s">
        <v>363</v>
      </c>
      <c r="F1472" t="s">
        <v>363</v>
      </c>
      <c r="G1472" t="s">
        <v>37</v>
      </c>
      <c r="H1472" t="s">
        <v>43</v>
      </c>
      <c r="I1472" s="187"/>
      <c r="J1472" s="187">
        <v>42</v>
      </c>
      <c r="K1472" s="187">
        <v>366.99936187105419</v>
      </c>
      <c r="L1472" s="187">
        <v>4018</v>
      </c>
      <c r="M1472" s="187">
        <v>4426.99951171875</v>
      </c>
      <c r="N1472" s="187">
        <v>4018</v>
      </c>
      <c r="O1472" t="s">
        <v>1929</v>
      </c>
    </row>
    <row r="1473" spans="1:15" hidden="1" x14ac:dyDescent="0.45">
      <c r="A1473" s="187">
        <v>2016</v>
      </c>
      <c r="B1473" t="s">
        <v>311</v>
      </c>
      <c r="C1473" t="s">
        <v>328</v>
      </c>
      <c r="D1473" t="s">
        <v>39</v>
      </c>
      <c r="E1473" t="s">
        <v>363</v>
      </c>
      <c r="F1473" t="s">
        <v>363</v>
      </c>
      <c r="G1473" t="s">
        <v>37</v>
      </c>
      <c r="H1473" t="s">
        <v>43</v>
      </c>
      <c r="I1473" s="187"/>
      <c r="J1473" s="187">
        <v>61</v>
      </c>
      <c r="K1473" s="187">
        <v>377.45030732015209</v>
      </c>
      <c r="L1473" s="187">
        <v>4040</v>
      </c>
      <c r="M1473" s="187">
        <v>4478.4501953125</v>
      </c>
      <c r="N1473" s="187">
        <v>4040</v>
      </c>
      <c r="O1473" t="s">
        <v>1930</v>
      </c>
    </row>
    <row r="1474" spans="1:15" hidden="1" x14ac:dyDescent="0.45">
      <c r="A1474" s="187">
        <v>2016</v>
      </c>
      <c r="B1474" t="s">
        <v>311</v>
      </c>
      <c r="C1474" t="s">
        <v>328</v>
      </c>
      <c r="D1474" t="s">
        <v>39</v>
      </c>
      <c r="E1474" t="s">
        <v>364</v>
      </c>
      <c r="F1474" t="s">
        <v>364</v>
      </c>
      <c r="G1474" t="s">
        <v>36</v>
      </c>
      <c r="H1474" t="s">
        <v>43</v>
      </c>
      <c r="I1474" s="187"/>
      <c r="J1474" s="187">
        <v>792.24333789621517</v>
      </c>
      <c r="K1474" s="187">
        <v>4559.9155649481081</v>
      </c>
      <c r="L1474" s="187">
        <v>11628.501111091358</v>
      </c>
      <c r="M1474" s="187">
        <v>16980.66015625</v>
      </c>
      <c r="N1474" s="187">
        <v>11628.5009765625</v>
      </c>
      <c r="O1474" t="s">
        <v>1934</v>
      </c>
    </row>
    <row r="1475" spans="1:15" hidden="1" x14ac:dyDescent="0.45">
      <c r="A1475" s="187">
        <v>2016</v>
      </c>
      <c r="B1475" t="s">
        <v>309</v>
      </c>
      <c r="C1475" t="s">
        <v>328</v>
      </c>
      <c r="D1475" t="s">
        <v>39</v>
      </c>
      <c r="E1475" t="s">
        <v>364</v>
      </c>
      <c r="F1475" t="s">
        <v>364</v>
      </c>
      <c r="G1475" t="s">
        <v>36</v>
      </c>
      <c r="H1475" t="s">
        <v>43</v>
      </c>
      <c r="I1475" s="187"/>
      <c r="J1475" s="187">
        <v>23.82205352488231</v>
      </c>
      <c r="K1475" s="187">
        <v>5052.5078101662057</v>
      </c>
      <c r="L1475" s="187">
        <v>5118.1681998209642</v>
      </c>
      <c r="M1475" s="187">
        <v>10194.498046875</v>
      </c>
      <c r="N1475" s="187">
        <v>5118.16796875</v>
      </c>
      <c r="O1475" t="s">
        <v>1933</v>
      </c>
    </row>
    <row r="1476" spans="1:15" hidden="1" x14ac:dyDescent="0.45">
      <c r="A1476" s="187">
        <v>2016</v>
      </c>
      <c r="B1476" t="s">
        <v>310</v>
      </c>
      <c r="C1476" t="s">
        <v>328</v>
      </c>
      <c r="D1476" t="s">
        <v>39</v>
      </c>
      <c r="E1476" t="s">
        <v>364</v>
      </c>
      <c r="F1476" t="s">
        <v>364</v>
      </c>
      <c r="G1476" t="s">
        <v>36</v>
      </c>
      <c r="H1476" t="s">
        <v>43</v>
      </c>
      <c r="I1476" s="187"/>
      <c r="J1476" s="187">
        <v>771.50297900233943</v>
      </c>
      <c r="K1476" s="187">
        <v>4209.5869947470337</v>
      </c>
      <c r="L1476" s="187">
        <v>4609.1458275851883</v>
      </c>
      <c r="M1476" s="187">
        <v>9590.2353515625</v>
      </c>
      <c r="N1476" s="187">
        <v>4609.14599609375</v>
      </c>
      <c r="O1476" t="s">
        <v>1936</v>
      </c>
    </row>
    <row r="1477" spans="1:15" hidden="1" x14ac:dyDescent="0.45">
      <c r="A1477" s="187">
        <v>2016</v>
      </c>
      <c r="B1477" t="s">
        <v>312</v>
      </c>
      <c r="C1477" t="s">
        <v>328</v>
      </c>
      <c r="D1477" t="s">
        <v>39</v>
      </c>
      <c r="E1477" t="s">
        <v>364</v>
      </c>
      <c r="F1477" t="s">
        <v>364</v>
      </c>
      <c r="G1477" t="s">
        <v>36</v>
      </c>
      <c r="H1477" t="s">
        <v>43</v>
      </c>
      <c r="I1477" s="187">
        <v>770.15092221850125</v>
      </c>
      <c r="J1477" s="187">
        <v>788.63708510341928</v>
      </c>
      <c r="K1477" s="187">
        <v>4767.2214023961142</v>
      </c>
      <c r="L1477" s="187">
        <v>2289.3670676384554</v>
      </c>
      <c r="M1477" s="187">
        <v>8615.3759765625</v>
      </c>
      <c r="N1477" s="187">
        <v>3059.51806640625</v>
      </c>
      <c r="O1477" t="s">
        <v>1935</v>
      </c>
    </row>
    <row r="1478" spans="1:15" hidden="1" x14ac:dyDescent="0.45">
      <c r="A1478" s="187">
        <v>2016</v>
      </c>
      <c r="B1478" t="s">
        <v>312</v>
      </c>
      <c r="C1478" t="s">
        <v>328</v>
      </c>
      <c r="D1478" t="s">
        <v>39</v>
      </c>
      <c r="E1478" t="s">
        <v>364</v>
      </c>
      <c r="F1478" t="s">
        <v>364</v>
      </c>
      <c r="G1478" t="s">
        <v>37</v>
      </c>
      <c r="H1478" t="s">
        <v>43</v>
      </c>
      <c r="I1478" s="187">
        <v>664.06036059019993</v>
      </c>
      <c r="J1478" s="187">
        <v>680</v>
      </c>
      <c r="K1478" s="187">
        <v>4110.5225899999996</v>
      </c>
      <c r="L1478" s="187">
        <v>1974</v>
      </c>
      <c r="M1478" s="187">
        <v>7428.5830078125</v>
      </c>
      <c r="N1478" s="187">
        <v>2638.060302734375</v>
      </c>
      <c r="O1478" t="s">
        <v>1939</v>
      </c>
    </row>
    <row r="1479" spans="1:15" hidden="1" x14ac:dyDescent="0.45">
      <c r="A1479" s="187">
        <v>2016</v>
      </c>
      <c r="B1479" t="s">
        <v>310</v>
      </c>
      <c r="C1479" t="s">
        <v>328</v>
      </c>
      <c r="D1479" t="s">
        <v>39</v>
      </c>
      <c r="E1479" t="s">
        <v>364</v>
      </c>
      <c r="F1479" t="s">
        <v>364</v>
      </c>
      <c r="G1479" t="s">
        <v>37</v>
      </c>
      <c r="H1479" t="s">
        <v>43</v>
      </c>
      <c r="I1479" s="187"/>
      <c r="J1479" s="187">
        <v>689</v>
      </c>
      <c r="K1479" s="187">
        <v>3751.8025015851108</v>
      </c>
      <c r="L1479" s="187">
        <v>4162</v>
      </c>
      <c r="M1479" s="187">
        <v>8602.802734375</v>
      </c>
      <c r="N1479" s="187">
        <v>4162</v>
      </c>
      <c r="O1479" t="s">
        <v>1937</v>
      </c>
    </row>
    <row r="1480" spans="1:15" hidden="1" x14ac:dyDescent="0.45">
      <c r="A1480" s="187">
        <v>2016</v>
      </c>
      <c r="B1480" t="s">
        <v>311</v>
      </c>
      <c r="C1480" t="s">
        <v>328</v>
      </c>
      <c r="D1480" t="s">
        <v>39</v>
      </c>
      <c r="E1480" t="s">
        <v>364</v>
      </c>
      <c r="F1480" t="s">
        <v>364</v>
      </c>
      <c r="G1480" t="s">
        <v>37</v>
      </c>
      <c r="H1480" t="s">
        <v>43</v>
      </c>
      <c r="I1480" s="187"/>
      <c r="J1480" s="187">
        <v>694</v>
      </c>
      <c r="K1480" s="187">
        <v>3968.870815027889</v>
      </c>
      <c r="L1480" s="187">
        <v>10309</v>
      </c>
      <c r="M1480" s="187">
        <v>14971.87109375</v>
      </c>
      <c r="N1480" s="187">
        <v>10309</v>
      </c>
      <c r="O1480" t="s">
        <v>1940</v>
      </c>
    </row>
    <row r="1481" spans="1:15" hidden="1" x14ac:dyDescent="0.45">
      <c r="A1481" s="187">
        <v>2016</v>
      </c>
      <c r="B1481" t="s">
        <v>309</v>
      </c>
      <c r="C1481" t="s">
        <v>328</v>
      </c>
      <c r="D1481" t="s">
        <v>39</v>
      </c>
      <c r="E1481" t="s">
        <v>364</v>
      </c>
      <c r="F1481" t="s">
        <v>364</v>
      </c>
      <c r="G1481" t="s">
        <v>37</v>
      </c>
      <c r="H1481" t="s">
        <v>43</v>
      </c>
      <c r="I1481" s="187"/>
      <c r="J1481" s="187">
        <v>21.265999999999998</v>
      </c>
      <c r="K1481" s="187">
        <v>4543.7710075037176</v>
      </c>
      <c r="L1481" s="187">
        <v>4719</v>
      </c>
      <c r="M1481" s="187">
        <v>9284.037109375</v>
      </c>
      <c r="N1481" s="187">
        <v>4719</v>
      </c>
      <c r="O1481" t="s">
        <v>1938</v>
      </c>
    </row>
    <row r="1482" spans="1:15" hidden="1" x14ac:dyDescent="0.45">
      <c r="A1482" s="187">
        <v>2016</v>
      </c>
      <c r="B1482" t="s">
        <v>311</v>
      </c>
      <c r="C1482" t="s">
        <v>328</v>
      </c>
      <c r="D1482" t="s">
        <v>39</v>
      </c>
      <c r="E1482" t="s">
        <v>365</v>
      </c>
      <c r="F1482" t="s">
        <v>375</v>
      </c>
      <c r="G1482" t="s">
        <v>36</v>
      </c>
      <c r="H1482" t="s">
        <v>43</v>
      </c>
      <c r="I1482" s="187"/>
      <c r="J1482" s="187">
        <v>1852.4513341985032</v>
      </c>
      <c r="K1482" s="187">
        <v>18343.403811539047</v>
      </c>
      <c r="L1482" s="187">
        <v>21869.411317132141</v>
      </c>
      <c r="M1482" s="187">
        <v>42065.265625</v>
      </c>
      <c r="N1482" s="187">
        <v>21869.412109375</v>
      </c>
      <c r="O1482" t="s">
        <v>1944</v>
      </c>
    </row>
    <row r="1483" spans="1:15" hidden="1" x14ac:dyDescent="0.45">
      <c r="A1483" s="187">
        <v>2016</v>
      </c>
      <c r="B1483" t="s">
        <v>309</v>
      </c>
      <c r="C1483" t="s">
        <v>328</v>
      </c>
      <c r="D1483" t="s">
        <v>39</v>
      </c>
      <c r="E1483" t="s">
        <v>365</v>
      </c>
      <c r="F1483" t="s">
        <v>375</v>
      </c>
      <c r="G1483" t="s">
        <v>36</v>
      </c>
      <c r="H1483" t="s">
        <v>43</v>
      </c>
      <c r="I1483" s="187"/>
      <c r="J1483" s="187">
        <v>1681.8369788566911</v>
      </c>
      <c r="K1483" s="187">
        <v>19206.74660930844</v>
      </c>
      <c r="L1483" s="187">
        <v>25571.783356284915</v>
      </c>
      <c r="M1483" s="187">
        <v>46460.3671875</v>
      </c>
      <c r="N1483" s="187">
        <v>25571.783203125</v>
      </c>
      <c r="O1483" t="s">
        <v>1941</v>
      </c>
    </row>
    <row r="1484" spans="1:15" hidden="1" x14ac:dyDescent="0.45">
      <c r="A1484" s="187">
        <v>2016</v>
      </c>
      <c r="B1484" t="s">
        <v>312</v>
      </c>
      <c r="C1484" t="s">
        <v>328</v>
      </c>
      <c r="D1484" t="s">
        <v>39</v>
      </c>
      <c r="E1484" t="s">
        <v>365</v>
      </c>
      <c r="F1484" t="s">
        <v>375</v>
      </c>
      <c r="G1484" t="s">
        <v>36</v>
      </c>
      <c r="H1484" t="s">
        <v>43</v>
      </c>
      <c r="I1484" s="187">
        <v>8260.6954020673274</v>
      </c>
      <c r="J1484" s="187">
        <v>1844.0190666388776</v>
      </c>
      <c r="K1484" s="187">
        <v>18253.52884752399</v>
      </c>
      <c r="L1484" s="187">
        <v>11576.728505150488</v>
      </c>
      <c r="M1484" s="187">
        <v>39934.97265625</v>
      </c>
      <c r="N1484" s="187">
        <v>19837.423828125</v>
      </c>
      <c r="O1484" t="s">
        <v>1942</v>
      </c>
    </row>
    <row r="1485" spans="1:15" hidden="1" x14ac:dyDescent="0.45">
      <c r="A1485" s="187">
        <v>2016</v>
      </c>
      <c r="B1485" t="s">
        <v>310</v>
      </c>
      <c r="C1485" t="s">
        <v>328</v>
      </c>
      <c r="D1485" t="s">
        <v>39</v>
      </c>
      <c r="E1485" t="s">
        <v>365</v>
      </c>
      <c r="F1485" t="s">
        <v>375</v>
      </c>
      <c r="G1485" t="s">
        <v>36</v>
      </c>
      <c r="H1485" t="s">
        <v>43</v>
      </c>
      <c r="I1485" s="187"/>
      <c r="J1485" s="187">
        <v>1929.8590671424706</v>
      </c>
      <c r="K1485" s="187">
        <v>18273.859083107851</v>
      </c>
      <c r="L1485" s="187">
        <v>23659.424689405074</v>
      </c>
      <c r="M1485" s="187">
        <v>43863.14453125</v>
      </c>
      <c r="N1485" s="187">
        <v>23659.423828125</v>
      </c>
      <c r="O1485" t="s">
        <v>1943</v>
      </c>
    </row>
    <row r="1486" spans="1:15" hidden="1" x14ac:dyDescent="0.45">
      <c r="A1486" s="187">
        <v>2016</v>
      </c>
      <c r="B1486" t="s">
        <v>311</v>
      </c>
      <c r="C1486" t="s">
        <v>328</v>
      </c>
      <c r="D1486" t="s">
        <v>39</v>
      </c>
      <c r="E1486" t="s">
        <v>365</v>
      </c>
      <c r="F1486" t="s">
        <v>375</v>
      </c>
      <c r="G1486" t="s">
        <v>37</v>
      </c>
      <c r="H1486" t="s">
        <v>43</v>
      </c>
      <c r="I1486" s="187"/>
      <c r="J1486" s="187">
        <v>1623</v>
      </c>
      <c r="K1486" s="187">
        <v>15965.778093682129</v>
      </c>
      <c r="L1486" s="187">
        <v>19388</v>
      </c>
      <c r="M1486" s="187">
        <v>36976.77734375</v>
      </c>
      <c r="N1486" s="187">
        <v>19388</v>
      </c>
      <c r="O1486" t="s">
        <v>1945</v>
      </c>
    </row>
    <row r="1487" spans="1:15" hidden="1" x14ac:dyDescent="0.45">
      <c r="A1487" s="187">
        <v>2016</v>
      </c>
      <c r="B1487" t="s">
        <v>312</v>
      </c>
      <c r="C1487" t="s">
        <v>328</v>
      </c>
      <c r="D1487" t="s">
        <v>39</v>
      </c>
      <c r="E1487" t="s">
        <v>365</v>
      </c>
      <c r="F1487" t="s">
        <v>375</v>
      </c>
      <c r="G1487" t="s">
        <v>37</v>
      </c>
      <c r="H1487" t="s">
        <v>43</v>
      </c>
      <c r="I1487" s="187">
        <v>7122.7602397992123</v>
      </c>
      <c r="J1487" s="187">
        <v>1590</v>
      </c>
      <c r="K1487" s="187">
        <v>15739.05139737195</v>
      </c>
      <c r="L1487" s="187">
        <v>9982</v>
      </c>
      <c r="M1487" s="187">
        <v>34433.8125</v>
      </c>
      <c r="N1487" s="187">
        <v>17104.759765625</v>
      </c>
      <c r="O1487" t="s">
        <v>1948</v>
      </c>
    </row>
    <row r="1488" spans="1:15" hidden="1" x14ac:dyDescent="0.45">
      <c r="A1488" s="187">
        <v>2016</v>
      </c>
      <c r="B1488" t="s">
        <v>309</v>
      </c>
      <c r="C1488" t="s">
        <v>328</v>
      </c>
      <c r="D1488" t="s">
        <v>39</v>
      </c>
      <c r="E1488" t="s">
        <v>365</v>
      </c>
      <c r="F1488" t="s">
        <v>375</v>
      </c>
      <c r="G1488" t="s">
        <v>37</v>
      </c>
      <c r="H1488" t="s">
        <v>43</v>
      </c>
      <c r="I1488" s="187"/>
      <c r="J1488" s="187">
        <v>1501.3796</v>
      </c>
      <c r="K1488" s="187">
        <v>17272.820086739299</v>
      </c>
      <c r="L1488" s="187">
        <v>23576</v>
      </c>
      <c r="M1488" s="187">
        <v>42350.19921875</v>
      </c>
      <c r="N1488" s="187">
        <v>23576</v>
      </c>
      <c r="O1488" t="s">
        <v>1947</v>
      </c>
    </row>
    <row r="1489" spans="1:15" hidden="1" x14ac:dyDescent="0.45">
      <c r="A1489" s="187">
        <v>2016</v>
      </c>
      <c r="B1489" t="s">
        <v>310</v>
      </c>
      <c r="C1489" t="s">
        <v>328</v>
      </c>
      <c r="D1489" t="s">
        <v>39</v>
      </c>
      <c r="E1489" t="s">
        <v>365</v>
      </c>
      <c r="F1489" t="s">
        <v>375</v>
      </c>
      <c r="G1489" t="s">
        <v>37</v>
      </c>
      <c r="H1489" t="s">
        <v>43</v>
      </c>
      <c r="I1489" s="187"/>
      <c r="J1489" s="187">
        <v>1723</v>
      </c>
      <c r="K1489" s="187">
        <v>16286.61203751599</v>
      </c>
      <c r="L1489" s="187">
        <v>21364</v>
      </c>
      <c r="M1489" s="187">
        <v>39373.609375</v>
      </c>
      <c r="N1489" s="187">
        <v>21364</v>
      </c>
      <c r="O1489" t="s">
        <v>1946</v>
      </c>
    </row>
    <row r="1490" spans="1:15" hidden="1" x14ac:dyDescent="0.45">
      <c r="A1490" s="187">
        <v>2016</v>
      </c>
      <c r="B1490" t="s">
        <v>34</v>
      </c>
      <c r="C1490" t="s">
        <v>329</v>
      </c>
      <c r="D1490" t="s">
        <v>39</v>
      </c>
      <c r="E1490" t="s">
        <v>349</v>
      </c>
      <c r="F1490" t="s">
        <v>349</v>
      </c>
      <c r="G1490" t="s">
        <v>36</v>
      </c>
      <c r="H1490" t="s">
        <v>43</v>
      </c>
      <c r="I1490" s="187">
        <v>0</v>
      </c>
      <c r="J1490" s="187">
        <v>0</v>
      </c>
      <c r="K1490" s="187">
        <v>2945.413818359375</v>
      </c>
      <c r="L1490" s="187">
        <v>0</v>
      </c>
      <c r="M1490" s="187">
        <v>2945.413818359375</v>
      </c>
      <c r="N1490" s="187">
        <v>0</v>
      </c>
      <c r="O1490" t="s">
        <v>1949</v>
      </c>
    </row>
    <row r="1491" spans="1:15" hidden="1" x14ac:dyDescent="0.45">
      <c r="A1491" s="187">
        <v>2016</v>
      </c>
      <c r="B1491" t="s">
        <v>34</v>
      </c>
      <c r="C1491" t="s">
        <v>329</v>
      </c>
      <c r="D1491" t="s">
        <v>39</v>
      </c>
      <c r="E1491" t="s">
        <v>349</v>
      </c>
      <c r="F1491" t="s">
        <v>349</v>
      </c>
      <c r="G1491" t="s">
        <v>37</v>
      </c>
      <c r="H1491" t="s">
        <v>43</v>
      </c>
      <c r="I1491" s="187">
        <v>0</v>
      </c>
      <c r="J1491" s="187">
        <v>0</v>
      </c>
      <c r="K1491" s="187">
        <v>2539.67445</v>
      </c>
      <c r="L1491" s="187">
        <v>0</v>
      </c>
      <c r="M1491" s="187">
        <v>2539.674560546875</v>
      </c>
      <c r="N1491" s="187">
        <v>0</v>
      </c>
      <c r="O1491" t="s">
        <v>1950</v>
      </c>
    </row>
    <row r="1492" spans="1:15" hidden="1" x14ac:dyDescent="0.45">
      <c r="A1492" s="187">
        <v>2016</v>
      </c>
      <c r="B1492" t="s">
        <v>34</v>
      </c>
      <c r="C1492" t="s">
        <v>329</v>
      </c>
      <c r="D1492" t="s">
        <v>39</v>
      </c>
      <c r="E1492" t="s">
        <v>21</v>
      </c>
      <c r="F1492" t="s">
        <v>21</v>
      </c>
      <c r="G1492" t="s">
        <v>36</v>
      </c>
      <c r="H1492" t="s">
        <v>43</v>
      </c>
      <c r="I1492" s="187">
        <v>2298.645263671875</v>
      </c>
      <c r="J1492" s="187">
        <v>924.32904052734375</v>
      </c>
      <c r="K1492" s="187">
        <v>7307.10693359375</v>
      </c>
      <c r="L1492" s="187">
        <v>4794.44970703125</v>
      </c>
      <c r="M1492" s="187">
        <v>15324.53125</v>
      </c>
      <c r="N1492" s="187">
        <v>7093.0947265625</v>
      </c>
      <c r="O1492" t="s">
        <v>1951</v>
      </c>
    </row>
    <row r="1493" spans="1:15" hidden="1" x14ac:dyDescent="0.45">
      <c r="A1493" s="187">
        <v>2016</v>
      </c>
      <c r="B1493" t="s">
        <v>34</v>
      </c>
      <c r="C1493" t="s">
        <v>329</v>
      </c>
      <c r="D1493" t="s">
        <v>39</v>
      </c>
      <c r="E1493" t="s">
        <v>21</v>
      </c>
      <c r="F1493" t="s">
        <v>21</v>
      </c>
      <c r="G1493" t="s">
        <v>37</v>
      </c>
      <c r="H1493" t="s">
        <v>43</v>
      </c>
      <c r="I1493" s="187">
        <v>1982</v>
      </c>
      <c r="J1493" s="187">
        <v>797</v>
      </c>
      <c r="K1493" s="187">
        <v>6300.5314488881813</v>
      </c>
      <c r="L1493" s="187">
        <v>4134</v>
      </c>
      <c r="M1493" s="187">
        <v>13213.53125</v>
      </c>
      <c r="N1493" s="187">
        <v>6116</v>
      </c>
      <c r="O1493" t="s">
        <v>1952</v>
      </c>
    </row>
    <row r="1494" spans="1:15" hidden="1" x14ac:dyDescent="0.45">
      <c r="A1494" s="187">
        <v>2016</v>
      </c>
      <c r="B1494" t="s">
        <v>34</v>
      </c>
      <c r="C1494" t="s">
        <v>329</v>
      </c>
      <c r="D1494" t="s">
        <v>39</v>
      </c>
      <c r="E1494" t="s">
        <v>40</v>
      </c>
      <c r="F1494" t="s">
        <v>40</v>
      </c>
      <c r="G1494" t="s">
        <v>36</v>
      </c>
      <c r="H1494" t="s">
        <v>43</v>
      </c>
      <c r="I1494" s="187">
        <v>4649.4794921875</v>
      </c>
      <c r="J1494" s="187">
        <v>122.93460083007813</v>
      </c>
      <c r="K1494" s="187">
        <v>6043.73193359375</v>
      </c>
      <c r="L1494" s="187">
        <v>5176.0107421875</v>
      </c>
      <c r="M1494" s="187">
        <v>15992.1572265625</v>
      </c>
      <c r="N1494" s="187">
        <v>9825.490234375</v>
      </c>
      <c r="O1494" t="s">
        <v>1953</v>
      </c>
    </row>
    <row r="1495" spans="1:15" hidden="1" x14ac:dyDescent="0.45">
      <c r="A1495" s="187">
        <v>2016</v>
      </c>
      <c r="B1495" t="s">
        <v>34</v>
      </c>
      <c r="C1495" t="s">
        <v>329</v>
      </c>
      <c r="D1495" t="s">
        <v>39</v>
      </c>
      <c r="E1495" t="s">
        <v>40</v>
      </c>
      <c r="F1495" t="s">
        <v>40</v>
      </c>
      <c r="G1495" t="s">
        <v>37</v>
      </c>
      <c r="H1495" t="s">
        <v>43</v>
      </c>
      <c r="I1495" s="187">
        <v>4009</v>
      </c>
      <c r="J1495" s="187">
        <v>106</v>
      </c>
      <c r="K1495" s="187">
        <v>5211.1902399999999</v>
      </c>
      <c r="L1495" s="187">
        <v>4463</v>
      </c>
      <c r="M1495" s="187">
        <v>13789.1904296875</v>
      </c>
      <c r="N1495" s="187">
        <v>8472</v>
      </c>
      <c r="O1495" t="s">
        <v>1954</v>
      </c>
    </row>
    <row r="1496" spans="1:15" hidden="1" x14ac:dyDescent="0.45">
      <c r="A1496" s="187">
        <v>2016</v>
      </c>
      <c r="B1496" t="s">
        <v>34</v>
      </c>
      <c r="C1496" t="s">
        <v>329</v>
      </c>
      <c r="D1496" t="s">
        <v>39</v>
      </c>
      <c r="E1496" t="s">
        <v>41</v>
      </c>
      <c r="F1496" t="s">
        <v>41</v>
      </c>
      <c r="G1496" t="s">
        <v>36</v>
      </c>
      <c r="H1496" t="s">
        <v>43</v>
      </c>
      <c r="I1496" s="187">
        <v>3207.897216796875</v>
      </c>
      <c r="J1496" s="187">
        <v>1704.8477783203125</v>
      </c>
      <c r="K1496" s="187">
        <v>12786.2734375</v>
      </c>
      <c r="L1496" s="187">
        <v>7025.82861328125</v>
      </c>
      <c r="M1496" s="187">
        <v>24724.84765625</v>
      </c>
      <c r="N1496" s="187">
        <v>10233.7255859375</v>
      </c>
      <c r="O1496" t="s">
        <v>1955</v>
      </c>
    </row>
    <row r="1497" spans="1:15" hidden="1" x14ac:dyDescent="0.45">
      <c r="A1497" s="187">
        <v>2016</v>
      </c>
      <c r="B1497" t="s">
        <v>34</v>
      </c>
      <c r="C1497" t="s">
        <v>329</v>
      </c>
      <c r="D1497" t="s">
        <v>39</v>
      </c>
      <c r="E1497" t="s">
        <v>41</v>
      </c>
      <c r="F1497" t="s">
        <v>41</v>
      </c>
      <c r="G1497" t="s">
        <v>37</v>
      </c>
      <c r="H1497" t="s">
        <v>43</v>
      </c>
      <c r="I1497" s="187">
        <v>2766</v>
      </c>
      <c r="J1497" s="187">
        <v>1470</v>
      </c>
      <c r="K1497" s="187">
        <v>11024.926697730711</v>
      </c>
      <c r="L1497" s="187">
        <v>6058</v>
      </c>
      <c r="M1497" s="187">
        <v>21318.92578125</v>
      </c>
      <c r="N1497" s="187">
        <v>8824</v>
      </c>
      <c r="O1497" t="s">
        <v>1956</v>
      </c>
    </row>
    <row r="1498" spans="1:15" hidden="1" x14ac:dyDescent="0.45">
      <c r="A1498" s="187">
        <v>2016</v>
      </c>
      <c r="B1498" t="s">
        <v>34</v>
      </c>
      <c r="C1498" t="s">
        <v>329</v>
      </c>
      <c r="D1498" t="s">
        <v>39</v>
      </c>
      <c r="E1498" t="s">
        <v>362</v>
      </c>
      <c r="F1498" t="s">
        <v>362</v>
      </c>
      <c r="G1498" t="s">
        <v>36</v>
      </c>
      <c r="H1498" t="s">
        <v>43</v>
      </c>
      <c r="I1498" s="187">
        <v>2101.48583984375</v>
      </c>
      <c r="J1498" s="187">
        <v>75.384429931640625</v>
      </c>
      <c r="K1498" s="187">
        <v>2672.272705078125</v>
      </c>
      <c r="L1498" s="187">
        <v>2904.0400390625</v>
      </c>
      <c r="M1498" s="187">
        <v>7753.18310546875</v>
      </c>
      <c r="N1498" s="187">
        <v>5005.52587890625</v>
      </c>
      <c r="O1498" t="s">
        <v>1957</v>
      </c>
    </row>
    <row r="1499" spans="1:15" hidden="1" x14ac:dyDescent="0.45">
      <c r="A1499" s="187">
        <v>2016</v>
      </c>
      <c r="B1499" t="s">
        <v>34</v>
      </c>
      <c r="C1499" t="s">
        <v>329</v>
      </c>
      <c r="D1499" t="s">
        <v>39</v>
      </c>
      <c r="E1499" t="s">
        <v>362</v>
      </c>
      <c r="F1499" t="s">
        <v>362</v>
      </c>
      <c r="G1499" t="s">
        <v>37</v>
      </c>
      <c r="H1499" t="s">
        <v>43</v>
      </c>
      <c r="I1499" s="187">
        <v>1812</v>
      </c>
      <c r="J1499" s="187">
        <v>65</v>
      </c>
      <c r="K1499" s="187">
        <v>2304.15933</v>
      </c>
      <c r="L1499" s="187">
        <v>2504</v>
      </c>
      <c r="M1499" s="187">
        <v>6685.1591796875</v>
      </c>
      <c r="N1499" s="187">
        <v>4316</v>
      </c>
      <c r="O1499" t="s">
        <v>1958</v>
      </c>
    </row>
    <row r="1500" spans="1:15" hidden="1" x14ac:dyDescent="0.45">
      <c r="A1500" s="187">
        <v>2016</v>
      </c>
      <c r="B1500" t="s">
        <v>34</v>
      </c>
      <c r="C1500" t="s">
        <v>329</v>
      </c>
      <c r="D1500" t="s">
        <v>39</v>
      </c>
      <c r="E1500" t="s">
        <v>363</v>
      </c>
      <c r="F1500" t="s">
        <v>363</v>
      </c>
      <c r="G1500" t="s">
        <v>36</v>
      </c>
      <c r="H1500" t="s">
        <v>43</v>
      </c>
      <c r="I1500" s="187">
        <v>2547.99365234375</v>
      </c>
      <c r="J1500" s="187">
        <v>47.550178527832031</v>
      </c>
      <c r="K1500" s="187">
        <v>426.04547119140625</v>
      </c>
      <c r="L1500" s="187">
        <v>2271.970703125</v>
      </c>
      <c r="M1500" s="187">
        <v>5293.56005859375</v>
      </c>
      <c r="N1500" s="187">
        <v>4819.96435546875</v>
      </c>
      <c r="O1500" t="s">
        <v>1959</v>
      </c>
    </row>
    <row r="1501" spans="1:15" hidden="1" x14ac:dyDescent="0.45">
      <c r="A1501" s="187">
        <v>2016</v>
      </c>
      <c r="B1501" t="s">
        <v>34</v>
      </c>
      <c r="C1501" t="s">
        <v>329</v>
      </c>
      <c r="D1501" t="s">
        <v>39</v>
      </c>
      <c r="E1501" t="s">
        <v>363</v>
      </c>
      <c r="F1501" t="s">
        <v>363</v>
      </c>
      <c r="G1501" t="s">
        <v>37</v>
      </c>
      <c r="H1501" t="s">
        <v>43</v>
      </c>
      <c r="I1501" s="187">
        <v>2197</v>
      </c>
      <c r="J1501" s="187">
        <v>41</v>
      </c>
      <c r="K1501" s="187">
        <v>367.35646000000003</v>
      </c>
      <c r="L1501" s="187">
        <v>1959</v>
      </c>
      <c r="M1501" s="187">
        <v>4564.3564453125</v>
      </c>
      <c r="N1501" s="187">
        <v>4156</v>
      </c>
      <c r="O1501" t="s">
        <v>1960</v>
      </c>
    </row>
    <row r="1502" spans="1:15" hidden="1" x14ac:dyDescent="0.45">
      <c r="A1502" s="187">
        <v>2016</v>
      </c>
      <c r="B1502" t="s">
        <v>34</v>
      </c>
      <c r="C1502" t="s">
        <v>329</v>
      </c>
      <c r="D1502" t="s">
        <v>39</v>
      </c>
      <c r="E1502" t="s">
        <v>364</v>
      </c>
      <c r="F1502" t="s">
        <v>364</v>
      </c>
      <c r="G1502" t="s">
        <v>36</v>
      </c>
      <c r="H1502" t="s">
        <v>43</v>
      </c>
      <c r="I1502" s="187">
        <v>909.252197265625</v>
      </c>
      <c r="J1502" s="187">
        <v>780.51873779296875</v>
      </c>
      <c r="K1502" s="187">
        <v>5479.16650390625</v>
      </c>
      <c r="L1502" s="187">
        <v>2231.379150390625</v>
      </c>
      <c r="M1502" s="187">
        <v>9400.31640625</v>
      </c>
      <c r="N1502" s="187">
        <v>3140.63134765625</v>
      </c>
      <c r="O1502" t="s">
        <v>1961</v>
      </c>
    </row>
    <row r="1503" spans="1:15" hidden="1" x14ac:dyDescent="0.45">
      <c r="A1503" s="187">
        <v>2016</v>
      </c>
      <c r="B1503" t="s">
        <v>34</v>
      </c>
      <c r="C1503" t="s">
        <v>329</v>
      </c>
      <c r="D1503" t="s">
        <v>39</v>
      </c>
      <c r="E1503" t="s">
        <v>364</v>
      </c>
      <c r="F1503" t="s">
        <v>364</v>
      </c>
      <c r="G1503" t="s">
        <v>37</v>
      </c>
      <c r="H1503" t="s">
        <v>43</v>
      </c>
      <c r="I1503" s="187">
        <v>784</v>
      </c>
      <c r="J1503" s="187">
        <v>673</v>
      </c>
      <c r="K1503" s="187">
        <v>4724.3952488425257</v>
      </c>
      <c r="L1503" s="187">
        <v>1924</v>
      </c>
      <c r="M1503" s="187">
        <v>8105.39501953125</v>
      </c>
      <c r="N1503" s="187">
        <v>2708</v>
      </c>
      <c r="O1503" t="s">
        <v>1962</v>
      </c>
    </row>
    <row r="1504" spans="1:15" hidden="1" x14ac:dyDescent="0.45">
      <c r="A1504" s="187">
        <v>2016</v>
      </c>
      <c r="B1504" t="s">
        <v>34</v>
      </c>
      <c r="C1504" t="s">
        <v>329</v>
      </c>
      <c r="D1504" t="s">
        <v>39</v>
      </c>
      <c r="E1504" t="s">
        <v>365</v>
      </c>
      <c r="F1504" t="s">
        <v>375</v>
      </c>
      <c r="G1504" t="s">
        <v>36</v>
      </c>
      <c r="H1504" t="s">
        <v>43</v>
      </c>
      <c r="I1504" s="187">
        <v>7857.376953125</v>
      </c>
      <c r="J1504" s="187">
        <v>1827.782470703125</v>
      </c>
      <c r="K1504" s="187">
        <v>18830.005859375</v>
      </c>
      <c r="L1504" s="187">
        <v>12201.83984375</v>
      </c>
      <c r="M1504" s="187">
        <v>40717.00390625</v>
      </c>
      <c r="N1504" s="187">
        <v>20059.216796875</v>
      </c>
      <c r="O1504" t="s">
        <v>1963</v>
      </c>
    </row>
    <row r="1505" spans="1:15" hidden="1" x14ac:dyDescent="0.45">
      <c r="A1505" s="187">
        <v>2016</v>
      </c>
      <c r="B1505" t="s">
        <v>34</v>
      </c>
      <c r="C1505" t="s">
        <v>329</v>
      </c>
      <c r="D1505" t="s">
        <v>39</v>
      </c>
      <c r="E1505" t="s">
        <v>365</v>
      </c>
      <c r="F1505" t="s">
        <v>375</v>
      </c>
      <c r="G1505" t="s">
        <v>37</v>
      </c>
      <c r="H1505" t="s">
        <v>43</v>
      </c>
      <c r="I1505" s="187">
        <v>6775</v>
      </c>
      <c r="J1505" s="187">
        <v>1576</v>
      </c>
      <c r="K1505" s="187">
        <v>16236.116937730711</v>
      </c>
      <c r="L1505" s="187">
        <v>10521</v>
      </c>
      <c r="M1505" s="187">
        <v>35108.1171875</v>
      </c>
      <c r="N1505" s="187">
        <v>17296</v>
      </c>
      <c r="O1505" t="s">
        <v>1964</v>
      </c>
    </row>
    <row r="1506" spans="1:15" hidden="1" x14ac:dyDescent="0.45">
      <c r="A1506" s="187">
        <v>2016</v>
      </c>
      <c r="B1506" t="s">
        <v>34</v>
      </c>
      <c r="C1506" t="s">
        <v>320</v>
      </c>
      <c r="D1506" t="s">
        <v>336</v>
      </c>
      <c r="E1506" t="s">
        <v>102</v>
      </c>
      <c r="F1506" t="s">
        <v>14</v>
      </c>
      <c r="G1506" t="s">
        <v>36</v>
      </c>
      <c r="H1506" t="s">
        <v>43</v>
      </c>
      <c r="I1506" s="187">
        <v>1804.161865234375</v>
      </c>
      <c r="J1506" s="187">
        <v>87.796768188476563</v>
      </c>
      <c r="K1506" s="187">
        <v>0</v>
      </c>
      <c r="L1506" s="187">
        <v>0</v>
      </c>
      <c r="M1506" s="187">
        <v>1891.9586181640625</v>
      </c>
      <c r="N1506" s="187">
        <v>1804.161865234375</v>
      </c>
      <c r="O1506" t="s">
        <v>1965</v>
      </c>
    </row>
    <row r="1507" spans="1:15" hidden="1" x14ac:dyDescent="0.45">
      <c r="A1507" s="187">
        <v>2016</v>
      </c>
      <c r="B1507" t="s">
        <v>34</v>
      </c>
      <c r="C1507" t="s">
        <v>320</v>
      </c>
      <c r="D1507" t="s">
        <v>336</v>
      </c>
      <c r="E1507" t="s">
        <v>102</v>
      </c>
      <c r="F1507" t="s">
        <v>14</v>
      </c>
      <c r="G1507" t="s">
        <v>37</v>
      </c>
      <c r="H1507" t="s">
        <v>43</v>
      </c>
      <c r="I1507" s="187">
        <v>1459</v>
      </c>
      <c r="J1507" s="187">
        <v>71</v>
      </c>
      <c r="K1507" s="187">
        <v>0</v>
      </c>
      <c r="L1507" s="187">
        <v>0</v>
      </c>
      <c r="M1507" s="187">
        <v>1530</v>
      </c>
      <c r="N1507" s="187">
        <v>1459</v>
      </c>
      <c r="O1507" t="s">
        <v>1966</v>
      </c>
    </row>
    <row r="1508" spans="1:15" hidden="1" x14ac:dyDescent="0.45">
      <c r="A1508" s="187">
        <v>2016</v>
      </c>
      <c r="B1508" t="s">
        <v>34</v>
      </c>
      <c r="C1508" t="s">
        <v>320</v>
      </c>
      <c r="D1508" t="s">
        <v>336</v>
      </c>
      <c r="E1508" t="s">
        <v>102</v>
      </c>
      <c r="F1508" t="s">
        <v>374</v>
      </c>
      <c r="G1508" t="s">
        <v>36</v>
      </c>
      <c r="H1508" t="s">
        <v>43</v>
      </c>
      <c r="I1508" s="187">
        <v>0</v>
      </c>
      <c r="J1508" s="187">
        <v>0</v>
      </c>
      <c r="K1508" s="187">
        <v>0</v>
      </c>
      <c r="L1508" s="187">
        <v>0</v>
      </c>
      <c r="M1508" s="187">
        <v>0</v>
      </c>
      <c r="N1508" s="187">
        <v>0</v>
      </c>
      <c r="O1508" t="s">
        <v>1967</v>
      </c>
    </row>
    <row r="1509" spans="1:15" hidden="1" x14ac:dyDescent="0.45">
      <c r="A1509" s="187">
        <v>2016</v>
      </c>
      <c r="B1509" t="s">
        <v>34</v>
      </c>
      <c r="C1509" t="s">
        <v>320</v>
      </c>
      <c r="D1509" t="s">
        <v>336</v>
      </c>
      <c r="E1509" t="s">
        <v>102</v>
      </c>
      <c r="F1509" t="s">
        <v>374</v>
      </c>
      <c r="G1509" t="s">
        <v>37</v>
      </c>
      <c r="H1509" t="s">
        <v>43</v>
      </c>
      <c r="I1509" s="187">
        <v>0</v>
      </c>
      <c r="J1509" s="187">
        <v>0</v>
      </c>
      <c r="K1509" s="187">
        <v>0</v>
      </c>
      <c r="L1509" s="187">
        <v>0</v>
      </c>
      <c r="M1509" s="187">
        <v>0</v>
      </c>
      <c r="N1509" s="187">
        <v>0</v>
      </c>
      <c r="O1509" t="s">
        <v>1968</v>
      </c>
    </row>
    <row r="1510" spans="1:15" hidden="1" x14ac:dyDescent="0.45">
      <c r="A1510" s="187">
        <v>2016</v>
      </c>
      <c r="B1510" t="s">
        <v>34</v>
      </c>
      <c r="C1510" t="s">
        <v>320</v>
      </c>
      <c r="D1510" t="s">
        <v>336</v>
      </c>
      <c r="E1510" t="s">
        <v>102</v>
      </c>
      <c r="F1510" t="s">
        <v>375</v>
      </c>
      <c r="G1510" t="s">
        <v>36</v>
      </c>
      <c r="H1510" t="s">
        <v>43</v>
      </c>
      <c r="I1510" s="187">
        <v>2579.30712890625</v>
      </c>
      <c r="J1510" s="187">
        <v>306.1767578125</v>
      </c>
      <c r="K1510" s="187">
        <v>0</v>
      </c>
      <c r="L1510" s="187">
        <v>40.59161376953125</v>
      </c>
      <c r="M1510" s="187">
        <v>2926.075439453125</v>
      </c>
      <c r="N1510" s="187">
        <v>2619.898681640625</v>
      </c>
      <c r="O1510" t="s">
        <v>1969</v>
      </c>
    </row>
    <row r="1511" spans="1:15" hidden="1" x14ac:dyDescent="0.45">
      <c r="A1511" s="187">
        <v>2016</v>
      </c>
      <c r="B1511" t="s">
        <v>34</v>
      </c>
      <c r="C1511" t="s">
        <v>320</v>
      </c>
      <c r="D1511" t="s">
        <v>336</v>
      </c>
      <c r="E1511" t="s">
        <v>102</v>
      </c>
      <c r="F1511" t="s">
        <v>375</v>
      </c>
      <c r="G1511" t="s">
        <v>37</v>
      </c>
      <c r="H1511" t="s">
        <v>43</v>
      </c>
      <c r="I1511" s="187">
        <v>2224</v>
      </c>
      <c r="J1511" s="187">
        <v>264</v>
      </c>
      <c r="K1511" s="187">
        <v>0</v>
      </c>
      <c r="L1511" s="187">
        <v>35</v>
      </c>
      <c r="M1511" s="187">
        <v>2523</v>
      </c>
      <c r="N1511" s="187">
        <v>2259</v>
      </c>
      <c r="O1511" t="s">
        <v>1970</v>
      </c>
    </row>
    <row r="1512" spans="1:15" hidden="1" x14ac:dyDescent="0.45">
      <c r="A1512" s="187">
        <v>2016</v>
      </c>
      <c r="B1512" t="s">
        <v>34</v>
      </c>
      <c r="C1512" t="s">
        <v>320</v>
      </c>
      <c r="D1512" t="s">
        <v>336</v>
      </c>
      <c r="E1512" t="s">
        <v>102</v>
      </c>
      <c r="F1512" t="s">
        <v>376</v>
      </c>
      <c r="G1512" t="s">
        <v>36</v>
      </c>
      <c r="H1512" t="s">
        <v>43</v>
      </c>
      <c r="I1512" s="187">
        <v>0</v>
      </c>
      <c r="J1512" s="187">
        <v>0</v>
      </c>
      <c r="K1512" s="187">
        <v>0</v>
      </c>
      <c r="L1512" s="187">
        <v>0</v>
      </c>
      <c r="M1512" s="187">
        <v>0</v>
      </c>
      <c r="N1512" s="187">
        <v>0</v>
      </c>
      <c r="O1512" t="s">
        <v>1971</v>
      </c>
    </row>
    <row r="1513" spans="1:15" hidden="1" x14ac:dyDescent="0.45">
      <c r="A1513" s="187">
        <v>2016</v>
      </c>
      <c r="B1513" t="s">
        <v>34</v>
      </c>
      <c r="C1513" t="s">
        <v>320</v>
      </c>
      <c r="D1513" t="s">
        <v>336</v>
      </c>
      <c r="E1513" t="s">
        <v>102</v>
      </c>
      <c r="F1513" t="s">
        <v>376</v>
      </c>
      <c r="G1513" t="s">
        <v>37</v>
      </c>
      <c r="H1513" t="s">
        <v>43</v>
      </c>
      <c r="I1513" s="187">
        <v>0</v>
      </c>
      <c r="J1513" s="187">
        <v>0</v>
      </c>
      <c r="K1513" s="187">
        <v>0</v>
      </c>
      <c r="L1513" s="187">
        <v>0</v>
      </c>
      <c r="M1513" s="187">
        <v>0</v>
      </c>
      <c r="N1513" s="187">
        <v>0</v>
      </c>
      <c r="O1513" t="s">
        <v>1972</v>
      </c>
    </row>
    <row r="1514" spans="1:15" hidden="1" x14ac:dyDescent="0.45">
      <c r="A1514" s="187">
        <v>2016</v>
      </c>
      <c r="B1514" t="s">
        <v>34</v>
      </c>
      <c r="C1514" t="s">
        <v>320</v>
      </c>
      <c r="D1514" t="s">
        <v>336</v>
      </c>
      <c r="E1514" t="s">
        <v>102</v>
      </c>
      <c r="F1514" t="s">
        <v>347</v>
      </c>
      <c r="G1514" t="s">
        <v>36</v>
      </c>
      <c r="H1514" t="s">
        <v>43</v>
      </c>
      <c r="I1514" s="187">
        <v>-1679.9560546875</v>
      </c>
      <c r="J1514" s="187">
        <v>0</v>
      </c>
      <c r="K1514" s="187">
        <v>0</v>
      </c>
      <c r="L1514" s="187">
        <v>4704.55859375</v>
      </c>
      <c r="M1514" s="187">
        <v>3024.6025390625</v>
      </c>
      <c r="N1514" s="187">
        <v>3024.6025390625</v>
      </c>
      <c r="O1514" t="s">
        <v>1973</v>
      </c>
    </row>
    <row r="1515" spans="1:15" hidden="1" x14ac:dyDescent="0.45">
      <c r="A1515" s="187">
        <v>2016</v>
      </c>
      <c r="B1515" t="s">
        <v>34</v>
      </c>
      <c r="C1515" t="s">
        <v>320</v>
      </c>
      <c r="D1515" t="s">
        <v>336</v>
      </c>
      <c r="E1515" t="s">
        <v>102</v>
      </c>
      <c r="F1515" t="s">
        <v>347</v>
      </c>
      <c r="G1515" t="s">
        <v>37</v>
      </c>
      <c r="H1515" t="s">
        <v>43</v>
      </c>
      <c r="I1515" s="187">
        <v>-1478</v>
      </c>
      <c r="J1515" s="187">
        <v>0</v>
      </c>
      <c r="K1515" s="187">
        <v>0</v>
      </c>
      <c r="L1515" s="187">
        <v>4139</v>
      </c>
      <c r="M1515" s="187">
        <v>2661</v>
      </c>
      <c r="N1515" s="187">
        <v>2661</v>
      </c>
      <c r="O1515" t="s">
        <v>1974</v>
      </c>
    </row>
    <row r="1516" spans="1:15" hidden="1" x14ac:dyDescent="0.45">
      <c r="A1516" s="187">
        <v>2016</v>
      </c>
      <c r="B1516" t="s">
        <v>34</v>
      </c>
      <c r="C1516" t="s">
        <v>330</v>
      </c>
      <c r="D1516" t="s">
        <v>338</v>
      </c>
      <c r="E1516" t="s">
        <v>366</v>
      </c>
      <c r="F1516" t="s">
        <v>434</v>
      </c>
      <c r="G1516" t="s">
        <v>36</v>
      </c>
      <c r="H1516" t="s">
        <v>43</v>
      </c>
      <c r="I1516" s="187">
        <v>15755.92429750199</v>
      </c>
      <c r="J1516" s="187">
        <v>2530</v>
      </c>
      <c r="K1516" s="187">
        <v>47680.251757830709</v>
      </c>
      <c r="L1516" s="187">
        <v>48044.160272616144</v>
      </c>
      <c r="M1516" s="187">
        <v>114010.3359375</v>
      </c>
      <c r="N1516" s="187">
        <v>63800.0859375</v>
      </c>
      <c r="O1516" t="s">
        <v>1975</v>
      </c>
    </row>
    <row r="1517" spans="1:15" hidden="1" x14ac:dyDescent="0.45">
      <c r="A1517" s="187">
        <v>2016</v>
      </c>
      <c r="B1517" t="s">
        <v>34</v>
      </c>
      <c r="C1517" t="s">
        <v>330</v>
      </c>
      <c r="D1517" t="s">
        <v>338</v>
      </c>
      <c r="E1517" t="s">
        <v>366</v>
      </c>
      <c r="F1517" t="s">
        <v>435</v>
      </c>
      <c r="G1517" t="s">
        <v>36</v>
      </c>
      <c r="H1517" t="s">
        <v>43</v>
      </c>
      <c r="I1517" s="187">
        <v>967.52900588080252</v>
      </c>
      <c r="J1517" s="187">
        <v>148</v>
      </c>
      <c r="K1517" s="187">
        <v>2978.2548087684931</v>
      </c>
      <c r="L1517" s="187">
        <v>3968.6694593338411</v>
      </c>
      <c r="M1517" s="187">
        <v>8062.45361328125</v>
      </c>
      <c r="N1517" s="187">
        <v>4936.1982421875</v>
      </c>
      <c r="O1517" t="s">
        <v>1976</v>
      </c>
    </row>
    <row r="1518" spans="1:15" hidden="1" x14ac:dyDescent="0.45">
      <c r="A1518" s="187">
        <v>2016</v>
      </c>
      <c r="B1518" t="s">
        <v>34</v>
      </c>
      <c r="C1518" t="s">
        <v>330</v>
      </c>
      <c r="D1518" t="s">
        <v>338</v>
      </c>
      <c r="E1518" t="s">
        <v>366</v>
      </c>
      <c r="F1518" t="s">
        <v>436</v>
      </c>
      <c r="G1518" t="s">
        <v>36</v>
      </c>
      <c r="H1518" t="s">
        <v>43</v>
      </c>
      <c r="I1518" s="187">
        <v>1419.262031109665</v>
      </c>
      <c r="J1518" s="187">
        <v>6987</v>
      </c>
      <c r="K1518" s="187">
        <v>4650.4347363974921</v>
      </c>
      <c r="L1518" s="187">
        <v>10044.678873833331</v>
      </c>
      <c r="M1518" s="187">
        <v>23101.375</v>
      </c>
      <c r="N1518" s="187">
        <v>11463.94140625</v>
      </c>
      <c r="O1518" t="s">
        <v>1977</v>
      </c>
    </row>
    <row r="1519" spans="1:15" hidden="1" x14ac:dyDescent="0.45">
      <c r="A1519" s="187">
        <v>2016</v>
      </c>
      <c r="B1519" t="s">
        <v>34</v>
      </c>
      <c r="C1519" t="s">
        <v>330</v>
      </c>
      <c r="D1519" t="s">
        <v>338</v>
      </c>
      <c r="E1519" t="s">
        <v>366</v>
      </c>
      <c r="F1519" t="s">
        <v>437</v>
      </c>
      <c r="G1519" t="s">
        <v>36</v>
      </c>
      <c r="H1519" t="s">
        <v>43</v>
      </c>
      <c r="I1519" s="187">
        <v>77525.008095941463</v>
      </c>
      <c r="J1519" s="187">
        <v>5467</v>
      </c>
      <c r="K1519" s="187">
        <v>172343.28864797871</v>
      </c>
      <c r="L1519" s="187">
        <v>240256.43229153039</v>
      </c>
      <c r="M1519" s="187">
        <v>495591.71875</v>
      </c>
      <c r="N1519" s="187">
        <v>317781.4375</v>
      </c>
      <c r="O1519" t="s">
        <v>1978</v>
      </c>
    </row>
    <row r="1520" spans="1:15" hidden="1" x14ac:dyDescent="0.45">
      <c r="A1520" s="187">
        <v>2016</v>
      </c>
      <c r="B1520" t="s">
        <v>34</v>
      </c>
      <c r="C1520" t="s">
        <v>330</v>
      </c>
      <c r="D1520" t="s">
        <v>338</v>
      </c>
      <c r="E1520" t="s">
        <v>366</v>
      </c>
      <c r="F1520" t="s">
        <v>44</v>
      </c>
      <c r="G1520" t="s">
        <v>36</v>
      </c>
      <c r="H1520" t="s">
        <v>43</v>
      </c>
      <c r="I1520" s="187">
        <v>3882.4790136093052</v>
      </c>
      <c r="J1520" s="187">
        <v>253</v>
      </c>
      <c r="K1520" s="187">
        <v>7759.6780089368731</v>
      </c>
      <c r="L1520" s="187">
        <v>8643.1924479937043</v>
      </c>
      <c r="M1520" s="187">
        <v>20538.349609375</v>
      </c>
      <c r="N1520" s="187">
        <v>12525.671875</v>
      </c>
      <c r="O1520" t="s">
        <v>1979</v>
      </c>
    </row>
    <row r="1521" spans="1:15" hidden="1" x14ac:dyDescent="0.45">
      <c r="A1521" s="187">
        <v>2016</v>
      </c>
      <c r="B1521" t="s">
        <v>34</v>
      </c>
      <c r="C1521" t="s">
        <v>330</v>
      </c>
      <c r="D1521" t="s">
        <v>338</v>
      </c>
      <c r="E1521" t="s">
        <v>366</v>
      </c>
      <c r="F1521" t="s">
        <v>438</v>
      </c>
      <c r="G1521" t="s">
        <v>36</v>
      </c>
      <c r="H1521" t="s">
        <v>43</v>
      </c>
      <c r="I1521" s="187">
        <v>24228.101308286539</v>
      </c>
      <c r="J1521" s="187">
        <v>6600</v>
      </c>
      <c r="K1521" s="187">
        <v>96746.875175316396</v>
      </c>
      <c r="L1521" s="187">
        <v>56236.722650101357</v>
      </c>
      <c r="M1521" s="187">
        <v>183811.703125</v>
      </c>
      <c r="N1521" s="187">
        <v>80464.8203125</v>
      </c>
      <c r="O1521" t="s">
        <v>1980</v>
      </c>
    </row>
    <row r="1522" spans="1:15" hidden="1" x14ac:dyDescent="0.45">
      <c r="A1522" s="187">
        <v>2016</v>
      </c>
      <c r="B1522" t="s">
        <v>34</v>
      </c>
      <c r="C1522" t="s">
        <v>330</v>
      </c>
      <c r="D1522" t="s">
        <v>338</v>
      </c>
      <c r="E1522" t="s">
        <v>366</v>
      </c>
      <c r="F1522" t="s">
        <v>439</v>
      </c>
      <c r="G1522" t="s">
        <v>36</v>
      </c>
      <c r="H1522" t="s">
        <v>43</v>
      </c>
      <c r="I1522" s="187">
        <v>3616.011938423535</v>
      </c>
      <c r="J1522" s="187">
        <v>453</v>
      </c>
      <c r="K1522" s="187">
        <v>474.62058423496529</v>
      </c>
      <c r="L1522" s="187">
        <v>885.69994499677614</v>
      </c>
      <c r="M1522" s="187">
        <v>5429.33203125</v>
      </c>
      <c r="N1522" s="187">
        <v>4501.7119140625</v>
      </c>
      <c r="O1522" t="s">
        <v>1981</v>
      </c>
    </row>
    <row r="1523" spans="1:15" hidden="1" x14ac:dyDescent="0.45">
      <c r="A1523" s="187">
        <v>2016</v>
      </c>
      <c r="B1523" t="s">
        <v>34</v>
      </c>
      <c r="C1523" t="s">
        <v>330</v>
      </c>
      <c r="D1523" t="s">
        <v>338</v>
      </c>
      <c r="E1523" t="s">
        <v>366</v>
      </c>
      <c r="F1523" t="s">
        <v>440</v>
      </c>
      <c r="G1523" t="s">
        <v>36</v>
      </c>
      <c r="H1523" t="s">
        <v>43</v>
      </c>
      <c r="I1523" s="187">
        <v>3807.2415336715808</v>
      </c>
      <c r="J1523" s="187">
        <v>183</v>
      </c>
      <c r="K1523" s="187">
        <v>6759.3057046415233</v>
      </c>
      <c r="L1523" s="187">
        <v>4463.4462636003009</v>
      </c>
      <c r="M1523" s="187">
        <v>15212.9931640625</v>
      </c>
      <c r="N1523" s="187">
        <v>8270.6875</v>
      </c>
      <c r="O1523" t="s">
        <v>1982</v>
      </c>
    </row>
    <row r="1524" spans="1:15" hidden="1" x14ac:dyDescent="0.45">
      <c r="A1524" s="187">
        <v>2016</v>
      </c>
      <c r="B1524" t="s">
        <v>34</v>
      </c>
      <c r="C1524" t="s">
        <v>330</v>
      </c>
      <c r="D1524" t="s">
        <v>338</v>
      </c>
      <c r="E1524" t="s">
        <v>366</v>
      </c>
      <c r="F1524" t="s">
        <v>441</v>
      </c>
      <c r="G1524" t="s">
        <v>36</v>
      </c>
      <c r="H1524" t="s">
        <v>43</v>
      </c>
      <c r="I1524" s="187">
        <v>131883.63751167571</v>
      </c>
      <c r="J1524" s="187">
        <v>22950</v>
      </c>
      <c r="K1524" s="187">
        <v>351954.38662623178</v>
      </c>
      <c r="L1524" s="187">
        <v>375662.46172988467</v>
      </c>
      <c r="M1524" s="187">
        <v>882450.5</v>
      </c>
      <c r="N1524" s="187">
        <v>507546.09375</v>
      </c>
      <c r="O1524" t="s">
        <v>1983</v>
      </c>
    </row>
    <row r="1525" spans="1:15" hidden="1" x14ac:dyDescent="0.45">
      <c r="A1525" s="187">
        <v>2016</v>
      </c>
      <c r="B1525" t="s">
        <v>34</v>
      </c>
      <c r="C1525" t="s">
        <v>331</v>
      </c>
      <c r="D1525" t="s">
        <v>339</v>
      </c>
      <c r="E1525" t="s">
        <v>7</v>
      </c>
      <c r="F1525" t="s">
        <v>442</v>
      </c>
      <c r="G1525" t="s">
        <v>453</v>
      </c>
      <c r="H1525" t="s">
        <v>456</v>
      </c>
      <c r="I1525" s="187">
        <v>11.36413884589874</v>
      </c>
      <c r="J1525" s="187">
        <v>36.858006042296068</v>
      </c>
      <c r="K1525" s="187">
        <v>15.605103174720551</v>
      </c>
      <c r="L1525" s="187">
        <v>11.64226947056272</v>
      </c>
      <c r="M1525" s="187">
        <v>75.469520568847656</v>
      </c>
      <c r="N1525" s="187">
        <v>23.00640869140625</v>
      </c>
      <c r="O1525" t="s">
        <v>1984</v>
      </c>
    </row>
    <row r="1526" spans="1:15" hidden="1" x14ac:dyDescent="0.45">
      <c r="A1526" s="187">
        <v>2016</v>
      </c>
      <c r="B1526" t="s">
        <v>34</v>
      </c>
      <c r="C1526" t="s">
        <v>332</v>
      </c>
      <c r="D1526" t="s">
        <v>339</v>
      </c>
      <c r="E1526" t="s">
        <v>110</v>
      </c>
      <c r="F1526" t="s">
        <v>443</v>
      </c>
      <c r="G1526" t="s">
        <v>453</v>
      </c>
      <c r="H1526" t="s">
        <v>456</v>
      </c>
      <c r="I1526" s="187">
        <v>292</v>
      </c>
      <c r="J1526" s="187">
        <v>158</v>
      </c>
      <c r="K1526" s="187">
        <v>216</v>
      </c>
      <c r="L1526" s="187">
        <v>440</v>
      </c>
      <c r="M1526" s="187">
        <v>1106</v>
      </c>
      <c r="N1526" s="187">
        <v>732</v>
      </c>
      <c r="O1526" t="s">
        <v>1985</v>
      </c>
    </row>
    <row r="1527" spans="1:15" hidden="1" x14ac:dyDescent="0.45">
      <c r="A1527" s="187">
        <v>2016</v>
      </c>
      <c r="B1527" t="s">
        <v>34</v>
      </c>
      <c r="C1527" t="s">
        <v>332</v>
      </c>
      <c r="D1527" t="s">
        <v>339</v>
      </c>
      <c r="E1527" t="s">
        <v>110</v>
      </c>
      <c r="F1527" t="s">
        <v>444</v>
      </c>
      <c r="G1527" t="s">
        <v>453</v>
      </c>
      <c r="H1527" t="s">
        <v>456</v>
      </c>
      <c r="I1527" s="187">
        <v>51</v>
      </c>
      <c r="J1527" s="187">
        <v>65</v>
      </c>
      <c r="K1527" s="187">
        <v>457</v>
      </c>
      <c r="L1527" s="187">
        <v>64</v>
      </c>
      <c r="M1527" s="187">
        <v>637</v>
      </c>
      <c r="N1527" s="187">
        <v>115</v>
      </c>
      <c r="O1527" t="s">
        <v>1986</v>
      </c>
    </row>
    <row r="1528" spans="1:15" hidden="1" x14ac:dyDescent="0.45">
      <c r="A1528" s="187">
        <v>2016</v>
      </c>
      <c r="B1528" t="s">
        <v>34</v>
      </c>
      <c r="C1528" t="s">
        <v>333</v>
      </c>
      <c r="D1528" t="s">
        <v>339</v>
      </c>
      <c r="E1528" t="s">
        <v>111</v>
      </c>
      <c r="F1528" t="s">
        <v>188</v>
      </c>
      <c r="G1528" t="s">
        <v>453</v>
      </c>
      <c r="H1528" t="s">
        <v>460</v>
      </c>
      <c r="I1528" s="187">
        <v>77.423155189032883</v>
      </c>
      <c r="J1528" s="187">
        <v>147.03278688524591</v>
      </c>
      <c r="K1528" s="187">
        <v>112.72782874617739</v>
      </c>
      <c r="L1528" s="187">
        <v>147.2033138807837</v>
      </c>
      <c r="M1528" s="187">
        <v>121.09677124023438</v>
      </c>
      <c r="N1528" s="187">
        <v>224.62646484375</v>
      </c>
      <c r="O1528" t="s">
        <v>1987</v>
      </c>
    </row>
    <row r="1529" spans="1:15" hidden="1" x14ac:dyDescent="0.45">
      <c r="A1529" s="187">
        <v>2016</v>
      </c>
      <c r="B1529" t="s">
        <v>34</v>
      </c>
      <c r="C1529" t="s">
        <v>333</v>
      </c>
      <c r="D1529" t="s">
        <v>339</v>
      </c>
      <c r="E1529" t="s">
        <v>111</v>
      </c>
      <c r="F1529" t="s">
        <v>445</v>
      </c>
      <c r="G1529" t="s">
        <v>453</v>
      </c>
      <c r="H1529" t="s">
        <v>460</v>
      </c>
      <c r="I1529" s="187">
        <v>81.666176037680316</v>
      </c>
      <c r="J1529" s="187">
        <v>99.428571428571431</v>
      </c>
      <c r="K1529" s="187">
        <v>65.79742765273312</v>
      </c>
      <c r="L1529" s="187">
        <v>108.6856533658239</v>
      </c>
      <c r="M1529" s="187">
        <v>88.894454956054688</v>
      </c>
      <c r="N1529" s="187">
        <v>190.35182189941406</v>
      </c>
      <c r="O1529" t="s">
        <v>1988</v>
      </c>
    </row>
    <row r="1530" spans="1:15" hidden="1" x14ac:dyDescent="0.45">
      <c r="A1530" s="187">
        <v>2016</v>
      </c>
      <c r="B1530" t="s">
        <v>34</v>
      </c>
      <c r="C1530" t="s">
        <v>333</v>
      </c>
      <c r="D1530" t="s">
        <v>339</v>
      </c>
      <c r="E1530" t="s">
        <v>0</v>
      </c>
      <c r="F1530" t="s">
        <v>188</v>
      </c>
      <c r="G1530" t="s">
        <v>453</v>
      </c>
      <c r="H1530" t="s">
        <v>460</v>
      </c>
      <c r="I1530" s="187">
        <v>722.9</v>
      </c>
      <c r="J1530" s="187">
        <v>2.7832428238944922</v>
      </c>
      <c r="K1530" s="187">
        <v>1406.839172582246</v>
      </c>
      <c r="L1530" s="187">
        <v>1412.5630000000001</v>
      </c>
      <c r="M1530" s="187">
        <v>886.2713623046875</v>
      </c>
      <c r="N1530" s="187">
        <v>2135.463134765625</v>
      </c>
      <c r="O1530" t="s">
        <v>1989</v>
      </c>
    </row>
    <row r="1531" spans="1:15" hidden="1" x14ac:dyDescent="0.45">
      <c r="A1531" s="187">
        <v>2016</v>
      </c>
      <c r="B1531" t="s">
        <v>34</v>
      </c>
      <c r="C1531" t="s">
        <v>333</v>
      </c>
      <c r="D1531" t="s">
        <v>339</v>
      </c>
      <c r="E1531" t="s">
        <v>0</v>
      </c>
      <c r="F1531" t="s">
        <v>445</v>
      </c>
      <c r="G1531" t="s">
        <v>453</v>
      </c>
      <c r="H1531" t="s">
        <v>460</v>
      </c>
      <c r="I1531" s="187">
        <v>277.42</v>
      </c>
      <c r="J1531" s="187">
        <v>0.16198603568657871</v>
      </c>
      <c r="K1531" s="187">
        <v>195.2427295626288</v>
      </c>
      <c r="L1531" s="187">
        <v>356.815</v>
      </c>
      <c r="M1531" s="187">
        <v>207.40992736816406</v>
      </c>
      <c r="N1531" s="187">
        <v>634.2349853515625</v>
      </c>
      <c r="O1531" t="s">
        <v>1990</v>
      </c>
    </row>
    <row r="1532" spans="1:15" hidden="1" x14ac:dyDescent="0.45">
      <c r="A1532" s="187">
        <v>2016</v>
      </c>
      <c r="B1532" t="s">
        <v>34</v>
      </c>
      <c r="C1532" t="s">
        <v>333</v>
      </c>
      <c r="D1532" t="s">
        <v>339</v>
      </c>
      <c r="E1532" t="s">
        <v>42</v>
      </c>
      <c r="F1532" t="s">
        <v>188</v>
      </c>
      <c r="G1532" t="s">
        <v>453</v>
      </c>
      <c r="H1532" t="s">
        <v>460</v>
      </c>
      <c r="I1532" s="187">
        <v>9.3369999999999997</v>
      </c>
      <c r="J1532" s="187">
        <v>1.89294026377036E-2</v>
      </c>
      <c r="K1532" s="187">
        <v>12.47996336157545</v>
      </c>
      <c r="L1532" s="187">
        <v>9.5960000000000001</v>
      </c>
      <c r="M1532" s="187">
        <v>7.857973575592041</v>
      </c>
      <c r="N1532" s="187">
        <v>18.933000564575195</v>
      </c>
      <c r="O1532" t="s">
        <v>1991</v>
      </c>
    </row>
    <row r="1533" spans="1:15" hidden="1" x14ac:dyDescent="0.45">
      <c r="A1533" s="187">
        <v>2016</v>
      </c>
      <c r="B1533" t="s">
        <v>34</v>
      </c>
      <c r="C1533" t="s">
        <v>333</v>
      </c>
      <c r="D1533" t="s">
        <v>339</v>
      </c>
      <c r="E1533" t="s">
        <v>42</v>
      </c>
      <c r="F1533" t="s">
        <v>445</v>
      </c>
      <c r="G1533" t="s">
        <v>453</v>
      </c>
      <c r="H1533" t="s">
        <v>460</v>
      </c>
      <c r="I1533" s="187">
        <v>3.3969999999999998</v>
      </c>
      <c r="J1533" s="187">
        <v>1.6291698991466E-3</v>
      </c>
      <c r="K1533" s="187">
        <v>2.967330738111595</v>
      </c>
      <c r="L1533" s="187">
        <v>3.2829999999999999</v>
      </c>
      <c r="M1533" s="187">
        <v>2.4122400283813477</v>
      </c>
      <c r="N1533" s="187">
        <v>6.6800003051757813</v>
      </c>
      <c r="O1533" t="s">
        <v>1992</v>
      </c>
    </row>
    <row r="1534" spans="1:15" hidden="1" x14ac:dyDescent="0.45">
      <c r="A1534" s="187">
        <v>2016</v>
      </c>
      <c r="B1534" t="s">
        <v>34</v>
      </c>
      <c r="C1534" t="s">
        <v>319</v>
      </c>
      <c r="D1534" t="s">
        <v>335</v>
      </c>
      <c r="E1534" t="s">
        <v>10</v>
      </c>
      <c r="F1534" t="s">
        <v>372</v>
      </c>
      <c r="G1534" t="s">
        <v>453</v>
      </c>
      <c r="H1534" t="s">
        <v>454</v>
      </c>
      <c r="I1534" s="187">
        <v>7.8942892022590694E-2</v>
      </c>
      <c r="J1534" s="187">
        <v>6.4959582753639306E-2</v>
      </c>
      <c r="K1534" s="187">
        <v>5.1330819390830999E-2</v>
      </c>
      <c r="L1534" s="187">
        <v>6.5055409141044601E-2</v>
      </c>
      <c r="M1534" s="187">
        <v>6.5072178840637207E-2</v>
      </c>
      <c r="N1534" s="187">
        <v>0.14399830996990204</v>
      </c>
      <c r="O1534" t="s">
        <v>1993</v>
      </c>
    </row>
    <row r="1535" spans="1:15" hidden="1" x14ac:dyDescent="0.45">
      <c r="A1535" s="187">
        <v>2016</v>
      </c>
      <c r="B1535" t="s">
        <v>34</v>
      </c>
      <c r="C1535" t="s">
        <v>319</v>
      </c>
      <c r="D1535" t="s">
        <v>335</v>
      </c>
      <c r="E1535" t="s">
        <v>10</v>
      </c>
      <c r="F1535" t="s">
        <v>373</v>
      </c>
      <c r="G1535" t="s">
        <v>453</v>
      </c>
      <c r="H1535" t="s">
        <v>454</v>
      </c>
      <c r="I1535" s="187">
        <v>8.5238412022590707E-2</v>
      </c>
      <c r="J1535" s="187">
        <v>7.1255102753639193E-2</v>
      </c>
      <c r="K1535" s="187">
        <v>5.7084259390830998E-2</v>
      </c>
      <c r="L1535" s="187">
        <v>7.13509291410446E-2</v>
      </c>
      <c r="M1535" s="187">
        <v>7.1232177317142487E-2</v>
      </c>
      <c r="N1535" s="187">
        <v>0.15658934414386749</v>
      </c>
      <c r="O1535" t="s">
        <v>1994</v>
      </c>
    </row>
    <row r="1536" spans="1:15" hidden="1" x14ac:dyDescent="0.45">
      <c r="A1536" s="187">
        <v>2016</v>
      </c>
      <c r="B1536" t="s">
        <v>34</v>
      </c>
      <c r="C1536" t="s">
        <v>321</v>
      </c>
      <c r="D1536" t="s">
        <v>335</v>
      </c>
      <c r="E1536" t="s">
        <v>341</v>
      </c>
      <c r="F1536" t="s">
        <v>375</v>
      </c>
      <c r="G1536" t="s">
        <v>36</v>
      </c>
      <c r="H1536" t="s">
        <v>43</v>
      </c>
      <c r="I1536" s="187">
        <v>7700.74560546875</v>
      </c>
      <c r="J1536" s="187">
        <v>1791.346923828125</v>
      </c>
      <c r="K1536" s="187">
        <v>18454.642578125</v>
      </c>
      <c r="L1536" s="187">
        <v>11958.6044921875</v>
      </c>
      <c r="M1536" s="187">
        <v>39905.33984375</v>
      </c>
      <c r="N1536" s="187">
        <v>19659.349609375</v>
      </c>
      <c r="O1536" t="s">
        <v>1995</v>
      </c>
    </row>
    <row r="1537" spans="1:15" hidden="1" x14ac:dyDescent="0.45">
      <c r="A1537" s="187">
        <v>2016</v>
      </c>
      <c r="B1537" t="s">
        <v>34</v>
      </c>
      <c r="C1537" t="s">
        <v>321</v>
      </c>
      <c r="D1537" t="s">
        <v>335</v>
      </c>
      <c r="E1537" t="s">
        <v>341</v>
      </c>
      <c r="F1537" t="s">
        <v>375</v>
      </c>
      <c r="G1537" t="s">
        <v>37</v>
      </c>
      <c r="H1537" t="s">
        <v>43</v>
      </c>
      <c r="I1537" s="187">
        <v>6775</v>
      </c>
      <c r="J1537" s="187">
        <v>1576</v>
      </c>
      <c r="K1537" s="187">
        <v>16236.1171875</v>
      </c>
      <c r="L1537" s="187">
        <v>10521</v>
      </c>
      <c r="M1537" s="187">
        <v>35108.1171875</v>
      </c>
      <c r="N1537" s="187">
        <v>17296</v>
      </c>
      <c r="O1537" t="s">
        <v>1996</v>
      </c>
    </row>
    <row r="1538" spans="1:15" hidden="1" x14ac:dyDescent="0.45">
      <c r="A1538" s="187">
        <v>2016</v>
      </c>
      <c r="B1538" t="s">
        <v>34</v>
      </c>
      <c r="C1538" t="s">
        <v>321</v>
      </c>
      <c r="D1538" t="s">
        <v>335</v>
      </c>
      <c r="E1538" t="s">
        <v>341</v>
      </c>
      <c r="F1538" t="s">
        <v>377</v>
      </c>
      <c r="G1538" t="s">
        <v>36</v>
      </c>
      <c r="H1538" t="s">
        <v>43</v>
      </c>
      <c r="I1538" s="187">
        <v>552.40771484375</v>
      </c>
      <c r="J1538" s="187">
        <v>84.111465454101563</v>
      </c>
      <c r="K1538" s="187">
        <v>2316.20458984375</v>
      </c>
      <c r="L1538" s="187">
        <v>2541.5302734375</v>
      </c>
      <c r="M1538" s="187">
        <v>5494.25390625</v>
      </c>
      <c r="N1538" s="187">
        <v>3093.93798828125</v>
      </c>
      <c r="O1538" t="s">
        <v>1997</v>
      </c>
    </row>
    <row r="1539" spans="1:15" hidden="1" x14ac:dyDescent="0.45">
      <c r="A1539" s="187">
        <v>2016</v>
      </c>
      <c r="B1539" t="s">
        <v>34</v>
      </c>
      <c r="C1539" t="s">
        <v>321</v>
      </c>
      <c r="D1539" t="s">
        <v>335</v>
      </c>
      <c r="E1539" t="s">
        <v>341</v>
      </c>
      <c r="F1539" t="s">
        <v>377</v>
      </c>
      <c r="G1539" t="s">
        <v>37</v>
      </c>
      <c r="H1539" t="s">
        <v>43</v>
      </c>
      <c r="I1539" s="187">
        <v>486</v>
      </c>
      <c r="J1539" s="187">
        <v>74</v>
      </c>
      <c r="K1539" s="187">
        <v>2037.7618408203125</v>
      </c>
      <c r="L1539" s="187">
        <v>2236</v>
      </c>
      <c r="M1539" s="187">
        <v>4833.76171875</v>
      </c>
      <c r="N1539" s="187">
        <v>2722</v>
      </c>
      <c r="O1539" t="s">
        <v>1998</v>
      </c>
    </row>
    <row r="1540" spans="1:15" hidden="1" x14ac:dyDescent="0.45">
      <c r="A1540" s="187">
        <v>2016</v>
      </c>
      <c r="B1540" t="s">
        <v>34</v>
      </c>
      <c r="C1540" t="s">
        <v>321</v>
      </c>
      <c r="D1540" t="s">
        <v>335</v>
      </c>
      <c r="E1540" t="s">
        <v>342</v>
      </c>
      <c r="F1540" t="s">
        <v>342</v>
      </c>
      <c r="G1540" t="s">
        <v>36</v>
      </c>
      <c r="H1540" t="s">
        <v>43</v>
      </c>
      <c r="I1540" s="187">
        <v>21233.59765625</v>
      </c>
      <c r="J1540" s="187">
        <v>3436.06689453125</v>
      </c>
      <c r="K1540" s="187">
        <v>36725.76953125</v>
      </c>
      <c r="L1540" s="187">
        <v>44760.9375</v>
      </c>
      <c r="M1540" s="187">
        <v>106156.375</v>
      </c>
      <c r="N1540" s="187">
        <v>65994.53125</v>
      </c>
      <c r="O1540" t="s">
        <v>1999</v>
      </c>
    </row>
    <row r="1541" spans="1:15" hidden="1" x14ac:dyDescent="0.45">
      <c r="A1541" s="187">
        <v>2016</v>
      </c>
      <c r="B1541" t="s">
        <v>34</v>
      </c>
      <c r="C1541" t="s">
        <v>321</v>
      </c>
      <c r="D1541" t="s">
        <v>335</v>
      </c>
      <c r="E1541" t="s">
        <v>342</v>
      </c>
      <c r="F1541" t="s">
        <v>342</v>
      </c>
      <c r="G1541" t="s">
        <v>37</v>
      </c>
      <c r="H1541" t="s">
        <v>43</v>
      </c>
      <c r="I1541" s="187">
        <v>18681</v>
      </c>
      <c r="J1541" s="187">
        <v>3023</v>
      </c>
      <c r="K1541" s="187">
        <v>32310.779296875</v>
      </c>
      <c r="L1541" s="187">
        <v>39380</v>
      </c>
      <c r="M1541" s="187">
        <v>93394.78125</v>
      </c>
      <c r="N1541" s="187">
        <v>58061</v>
      </c>
      <c r="O1541" t="s">
        <v>2000</v>
      </c>
    </row>
    <row r="1542" spans="1:15" hidden="1" x14ac:dyDescent="0.45">
      <c r="A1542" s="187">
        <v>2016</v>
      </c>
      <c r="B1542" t="s">
        <v>34</v>
      </c>
      <c r="C1542" t="s">
        <v>321</v>
      </c>
      <c r="D1542" t="s">
        <v>335</v>
      </c>
      <c r="E1542" t="s">
        <v>343</v>
      </c>
      <c r="F1542" t="s">
        <v>343</v>
      </c>
      <c r="G1542" t="s">
        <v>36</v>
      </c>
      <c r="H1542" t="s">
        <v>43</v>
      </c>
      <c r="I1542" s="187">
        <v>12111.5380859375</v>
      </c>
      <c r="J1542" s="187">
        <v>1769.53076171875</v>
      </c>
      <c r="K1542" s="187">
        <v>20906.91796875</v>
      </c>
      <c r="L1542" s="187">
        <v>27534.46875</v>
      </c>
      <c r="M1542" s="187">
        <v>62322.453125</v>
      </c>
      <c r="N1542" s="187">
        <v>39646.0078125</v>
      </c>
      <c r="O1542" t="s">
        <v>2001</v>
      </c>
    </row>
    <row r="1543" spans="1:15" hidden="1" x14ac:dyDescent="0.45">
      <c r="A1543" s="187">
        <v>2016</v>
      </c>
      <c r="B1543" t="s">
        <v>34</v>
      </c>
      <c r="C1543" t="s">
        <v>321</v>
      </c>
      <c r="D1543" t="s">
        <v>335</v>
      </c>
      <c r="E1543" t="s">
        <v>343</v>
      </c>
      <c r="F1543" t="s">
        <v>343</v>
      </c>
      <c r="G1543" t="s">
        <v>37</v>
      </c>
      <c r="H1543" t="s">
        <v>43</v>
      </c>
      <c r="I1543" s="187">
        <v>10655.548828125</v>
      </c>
      <c r="J1543" s="187">
        <v>1556.8065185546875</v>
      </c>
      <c r="K1543" s="187">
        <v>18393.591796875</v>
      </c>
      <c r="L1543" s="187">
        <v>24224.41015625</v>
      </c>
      <c r="M1543" s="187">
        <v>54830.359375</v>
      </c>
      <c r="N1543" s="187">
        <v>34879.9609375</v>
      </c>
      <c r="O1543" t="s">
        <v>2002</v>
      </c>
    </row>
    <row r="1544" spans="1:15" hidden="1" x14ac:dyDescent="0.45">
      <c r="A1544" s="187">
        <v>2016</v>
      </c>
      <c r="B1544" t="s">
        <v>34</v>
      </c>
      <c r="C1544" t="s">
        <v>321</v>
      </c>
      <c r="D1544" t="s">
        <v>335</v>
      </c>
      <c r="E1544" t="s">
        <v>344</v>
      </c>
      <c r="F1544" t="s">
        <v>344</v>
      </c>
      <c r="G1544" t="s">
        <v>36</v>
      </c>
      <c r="H1544" t="s">
        <v>43</v>
      </c>
      <c r="I1544" s="187">
        <v>16125.8349609375</v>
      </c>
      <c r="J1544" s="187">
        <v>2498.740478515625</v>
      </c>
      <c r="K1544" s="187">
        <v>27048.806640625</v>
      </c>
      <c r="L1544" s="187">
        <v>35709.98828125</v>
      </c>
      <c r="M1544" s="187">
        <v>81383.375</v>
      </c>
      <c r="N1544" s="187">
        <v>51835.82421875</v>
      </c>
      <c r="O1544" t="s">
        <v>2003</v>
      </c>
    </row>
    <row r="1545" spans="1:15" hidden="1" x14ac:dyDescent="0.45">
      <c r="A1545" s="187">
        <v>2016</v>
      </c>
      <c r="B1545" t="s">
        <v>34</v>
      </c>
      <c r="C1545" t="s">
        <v>321</v>
      </c>
      <c r="D1545" t="s">
        <v>335</v>
      </c>
      <c r="E1545" t="s">
        <v>344</v>
      </c>
      <c r="F1545" t="s">
        <v>344</v>
      </c>
      <c r="G1545" t="s">
        <v>37</v>
      </c>
      <c r="H1545" t="s">
        <v>43</v>
      </c>
      <c r="I1545" s="187">
        <v>14187.2666015625</v>
      </c>
      <c r="J1545" s="187">
        <v>2198.354248046875</v>
      </c>
      <c r="K1545" s="187">
        <v>23797.1328125</v>
      </c>
      <c r="L1545" s="187">
        <v>31417.109375</v>
      </c>
      <c r="M1545" s="187">
        <v>71599.859375</v>
      </c>
      <c r="N1545" s="187">
        <v>45604.375</v>
      </c>
      <c r="O1545" t="s">
        <v>2004</v>
      </c>
    </row>
    <row r="1546" spans="1:15" hidden="1" x14ac:dyDescent="0.45">
      <c r="A1546" s="187">
        <v>2016</v>
      </c>
      <c r="B1546" t="s">
        <v>34</v>
      </c>
      <c r="C1546" t="s">
        <v>321</v>
      </c>
      <c r="D1546" t="s">
        <v>335</v>
      </c>
      <c r="E1546" t="s">
        <v>345</v>
      </c>
      <c r="F1546" t="s">
        <v>378</v>
      </c>
      <c r="G1546" t="s">
        <v>36</v>
      </c>
      <c r="H1546" t="s">
        <v>43</v>
      </c>
      <c r="I1546" s="187">
        <v>4014.29638671875</v>
      </c>
      <c r="J1546" s="187">
        <v>729.20965576171875</v>
      </c>
      <c r="K1546" s="187">
        <v>6141.88720703125</v>
      </c>
      <c r="L1546" s="187">
        <v>8080.19384765625</v>
      </c>
      <c r="M1546" s="187">
        <v>18965.5859375</v>
      </c>
      <c r="N1546" s="187">
        <v>12094.490234375</v>
      </c>
      <c r="O1546" t="s">
        <v>2005</v>
      </c>
    </row>
    <row r="1547" spans="1:15" hidden="1" x14ac:dyDescent="0.45">
      <c r="A1547" s="187">
        <v>2016</v>
      </c>
      <c r="B1547" t="s">
        <v>34</v>
      </c>
      <c r="C1547" t="s">
        <v>321</v>
      </c>
      <c r="D1547" t="s">
        <v>335</v>
      </c>
      <c r="E1547" t="s">
        <v>345</v>
      </c>
      <c r="F1547" t="s">
        <v>378</v>
      </c>
      <c r="G1547" t="s">
        <v>37</v>
      </c>
      <c r="H1547" t="s">
        <v>43</v>
      </c>
      <c r="I1547" s="187">
        <v>3531.717529296875</v>
      </c>
      <c r="J1547" s="187">
        <v>641.54766845703125</v>
      </c>
      <c r="K1547" s="187">
        <v>5403.5400390625</v>
      </c>
      <c r="L1547" s="187">
        <v>7108.8330078125</v>
      </c>
      <c r="M1547" s="187">
        <v>16685.63671875</v>
      </c>
      <c r="N1547" s="187">
        <v>10640.55078125</v>
      </c>
      <c r="O1547" t="s">
        <v>2006</v>
      </c>
    </row>
    <row r="1548" spans="1:15" hidden="1" x14ac:dyDescent="0.45">
      <c r="A1548" s="187">
        <v>2016</v>
      </c>
      <c r="B1548" t="s">
        <v>34</v>
      </c>
      <c r="C1548" t="s">
        <v>321</v>
      </c>
      <c r="D1548" t="s">
        <v>335</v>
      </c>
      <c r="E1548" t="s">
        <v>346</v>
      </c>
      <c r="F1548" t="s">
        <v>379</v>
      </c>
      <c r="G1548" t="s">
        <v>36</v>
      </c>
      <c r="H1548" t="s">
        <v>43</v>
      </c>
      <c r="I1548" s="187">
        <v>0</v>
      </c>
      <c r="J1548" s="187">
        <v>0</v>
      </c>
      <c r="K1548" s="187">
        <v>0</v>
      </c>
      <c r="L1548" s="187">
        <v>95.325660705566406</v>
      </c>
      <c r="M1548" s="187">
        <v>95.325660705566406</v>
      </c>
      <c r="N1548" s="187">
        <v>95.325660705566406</v>
      </c>
      <c r="O1548" t="s">
        <v>2007</v>
      </c>
    </row>
    <row r="1549" spans="1:15" hidden="1" x14ac:dyDescent="0.45">
      <c r="A1549" s="187">
        <v>2016</v>
      </c>
      <c r="B1549" t="s">
        <v>34</v>
      </c>
      <c r="C1549" t="s">
        <v>321</v>
      </c>
      <c r="D1549" t="s">
        <v>335</v>
      </c>
      <c r="E1549" t="s">
        <v>346</v>
      </c>
      <c r="F1549" t="s">
        <v>379</v>
      </c>
      <c r="G1549" t="s">
        <v>37</v>
      </c>
      <c r="H1549" t="s">
        <v>43</v>
      </c>
      <c r="I1549" s="187">
        <v>0</v>
      </c>
      <c r="J1549" s="187">
        <v>0</v>
      </c>
      <c r="K1549" s="187">
        <v>0</v>
      </c>
      <c r="L1549" s="187">
        <v>83.866081237792969</v>
      </c>
      <c r="M1549" s="187">
        <v>83.866081237792969</v>
      </c>
      <c r="N1549" s="187">
        <v>83.866081237792969</v>
      </c>
      <c r="O1549" t="s">
        <v>2008</v>
      </c>
    </row>
    <row r="1550" spans="1:15" hidden="1" x14ac:dyDescent="0.45">
      <c r="A1550" s="187">
        <v>2016</v>
      </c>
      <c r="B1550" t="s">
        <v>34</v>
      </c>
      <c r="C1550" t="s">
        <v>321</v>
      </c>
      <c r="D1550" t="s">
        <v>335</v>
      </c>
      <c r="E1550" t="s">
        <v>347</v>
      </c>
      <c r="F1550" t="s">
        <v>380</v>
      </c>
      <c r="G1550" t="s">
        <v>36</v>
      </c>
      <c r="H1550" t="s">
        <v>43</v>
      </c>
      <c r="I1550" s="187">
        <v>0</v>
      </c>
      <c r="J1550" s="187">
        <v>0</v>
      </c>
      <c r="K1550" s="187">
        <v>-427.09756469726563</v>
      </c>
      <c r="L1550" s="187">
        <v>-82.974822998046875</v>
      </c>
      <c r="M1550" s="187">
        <v>-510.0723876953125</v>
      </c>
      <c r="N1550" s="187">
        <v>-82.974822998046875</v>
      </c>
      <c r="O1550" t="s">
        <v>2009</v>
      </c>
    </row>
    <row r="1551" spans="1:15" hidden="1" x14ac:dyDescent="0.45">
      <c r="A1551" s="187">
        <v>2016</v>
      </c>
      <c r="B1551" t="s">
        <v>34</v>
      </c>
      <c r="C1551" t="s">
        <v>321</v>
      </c>
      <c r="D1551" t="s">
        <v>335</v>
      </c>
      <c r="E1551" t="s">
        <v>347</v>
      </c>
      <c r="F1551" t="s">
        <v>380</v>
      </c>
      <c r="G1551" t="s">
        <v>37</v>
      </c>
      <c r="H1551" t="s">
        <v>43</v>
      </c>
      <c r="I1551" s="187">
        <v>0</v>
      </c>
      <c r="J1551" s="187">
        <v>0</v>
      </c>
      <c r="K1551" s="187">
        <v>-375.75399780273438</v>
      </c>
      <c r="L1551" s="187">
        <v>-73</v>
      </c>
      <c r="M1551" s="187">
        <v>-448.75399780273438</v>
      </c>
      <c r="N1551" s="187">
        <v>-73</v>
      </c>
      <c r="O1551" t="s">
        <v>2010</v>
      </c>
    </row>
    <row r="1552" spans="1:15" hidden="1" x14ac:dyDescent="0.45">
      <c r="A1552" s="187">
        <v>2016</v>
      </c>
      <c r="B1552" t="s">
        <v>34</v>
      </c>
      <c r="C1552" t="s">
        <v>321</v>
      </c>
      <c r="D1552" t="s">
        <v>335</v>
      </c>
      <c r="E1552" t="s">
        <v>347</v>
      </c>
      <c r="F1552" t="s">
        <v>11</v>
      </c>
      <c r="G1552" t="s">
        <v>36</v>
      </c>
      <c r="H1552" t="s">
        <v>43</v>
      </c>
      <c r="I1552" s="187">
        <v>29415.142578125</v>
      </c>
      <c r="J1552" s="187">
        <v>5288.79248046875</v>
      </c>
      <c r="K1552" s="187">
        <v>57506.140625</v>
      </c>
      <c r="L1552" s="187">
        <v>59286.078125</v>
      </c>
      <c r="M1552" s="187">
        <v>151496.15625</v>
      </c>
      <c r="N1552" s="187">
        <v>88701.21875</v>
      </c>
      <c r="O1552" t="s">
        <v>2011</v>
      </c>
    </row>
    <row r="1553" spans="1:15" hidden="1" x14ac:dyDescent="0.45">
      <c r="A1553" s="187">
        <v>2016</v>
      </c>
      <c r="B1553" t="s">
        <v>34</v>
      </c>
      <c r="C1553" t="s">
        <v>321</v>
      </c>
      <c r="D1553" t="s">
        <v>335</v>
      </c>
      <c r="E1553" t="s">
        <v>347</v>
      </c>
      <c r="F1553" t="s">
        <v>11</v>
      </c>
      <c r="G1553" t="s">
        <v>37</v>
      </c>
      <c r="H1553" t="s">
        <v>43</v>
      </c>
      <c r="I1553" s="187">
        <v>25879</v>
      </c>
      <c r="J1553" s="187">
        <v>4653</v>
      </c>
      <c r="K1553" s="187">
        <v>50593.03515625</v>
      </c>
      <c r="L1553" s="187">
        <v>52159</v>
      </c>
      <c r="M1553" s="187">
        <v>133284.03125</v>
      </c>
      <c r="N1553" s="187">
        <v>78038</v>
      </c>
      <c r="O1553" t="s">
        <v>2012</v>
      </c>
    </row>
    <row r="1554" spans="1:15" hidden="1" x14ac:dyDescent="0.45">
      <c r="A1554" s="187">
        <v>2016</v>
      </c>
      <c r="B1554" t="s">
        <v>34</v>
      </c>
      <c r="C1554" t="s">
        <v>321</v>
      </c>
      <c r="D1554" t="s">
        <v>335</v>
      </c>
      <c r="E1554" t="s">
        <v>347</v>
      </c>
      <c r="F1554" t="s">
        <v>381</v>
      </c>
      <c r="G1554" t="s">
        <v>36</v>
      </c>
      <c r="H1554" t="s">
        <v>43</v>
      </c>
      <c r="I1554" s="187">
        <v>71.608406066894531</v>
      </c>
      <c r="J1554" s="187">
        <v>22.732828140258789</v>
      </c>
      <c r="K1554" s="187">
        <v>417.57638549804688</v>
      </c>
      <c r="L1554" s="187">
        <v>57.968711853027344</v>
      </c>
      <c r="M1554" s="187">
        <v>569.88629150390625</v>
      </c>
      <c r="N1554" s="187">
        <v>129.57711791992188</v>
      </c>
      <c r="O1554" t="s">
        <v>2013</v>
      </c>
    </row>
    <row r="1555" spans="1:15" hidden="1" x14ac:dyDescent="0.45">
      <c r="A1555" s="187">
        <v>2016</v>
      </c>
      <c r="B1555" t="s">
        <v>34</v>
      </c>
      <c r="C1555" t="s">
        <v>321</v>
      </c>
      <c r="D1555" t="s">
        <v>335</v>
      </c>
      <c r="E1555" t="s">
        <v>347</v>
      </c>
      <c r="F1555" t="s">
        <v>381</v>
      </c>
      <c r="G1555" t="s">
        <v>37</v>
      </c>
      <c r="H1555" t="s">
        <v>43</v>
      </c>
      <c r="I1555" s="187">
        <v>63</v>
      </c>
      <c r="J1555" s="187">
        <v>20</v>
      </c>
      <c r="K1555" s="187">
        <v>367.37741088867188</v>
      </c>
      <c r="L1555" s="187">
        <v>51</v>
      </c>
      <c r="M1555" s="187">
        <v>501.37741088867188</v>
      </c>
      <c r="N1555" s="187">
        <v>114</v>
      </c>
      <c r="O1555" t="s">
        <v>2014</v>
      </c>
    </row>
    <row r="1556" spans="1:15" hidden="1" x14ac:dyDescent="0.45">
      <c r="A1556" s="187">
        <v>2016</v>
      </c>
      <c r="B1556" t="s">
        <v>34</v>
      </c>
      <c r="C1556" t="s">
        <v>321</v>
      </c>
      <c r="D1556" t="s">
        <v>335</v>
      </c>
      <c r="E1556" t="s">
        <v>347</v>
      </c>
      <c r="F1556" t="s">
        <v>347</v>
      </c>
      <c r="G1556" t="s">
        <v>36</v>
      </c>
      <c r="H1556" t="s">
        <v>43</v>
      </c>
      <c r="I1556" s="187">
        <v>29486.751953125</v>
      </c>
      <c r="J1556" s="187">
        <v>5311.525390625</v>
      </c>
      <c r="K1556" s="187">
        <v>57496.61328125</v>
      </c>
      <c r="L1556" s="187">
        <v>59261.07421875</v>
      </c>
      <c r="M1556" s="187">
        <v>151555.96875</v>
      </c>
      <c r="N1556" s="187">
        <v>88747.828125</v>
      </c>
      <c r="O1556" t="s">
        <v>2015</v>
      </c>
    </row>
    <row r="1557" spans="1:15" hidden="1" x14ac:dyDescent="0.45">
      <c r="A1557" s="187">
        <v>2016</v>
      </c>
      <c r="B1557" t="s">
        <v>34</v>
      </c>
      <c r="C1557" t="s">
        <v>321</v>
      </c>
      <c r="D1557" t="s">
        <v>335</v>
      </c>
      <c r="E1557" t="s">
        <v>347</v>
      </c>
      <c r="F1557" t="s">
        <v>347</v>
      </c>
      <c r="G1557" t="s">
        <v>37</v>
      </c>
      <c r="H1557" t="s">
        <v>43</v>
      </c>
      <c r="I1557" s="187">
        <v>25942</v>
      </c>
      <c r="J1557" s="187">
        <v>4673</v>
      </c>
      <c r="K1557" s="187">
        <v>50584.65625</v>
      </c>
      <c r="L1557" s="187">
        <v>52137</v>
      </c>
      <c r="M1557" s="187">
        <v>133336.65625</v>
      </c>
      <c r="N1557" s="187">
        <v>78079</v>
      </c>
      <c r="O1557" t="s">
        <v>2016</v>
      </c>
    </row>
    <row r="1558" spans="1:15" hidden="1" x14ac:dyDescent="0.45">
      <c r="A1558" s="187">
        <v>2017</v>
      </c>
      <c r="B1558" t="s">
        <v>311</v>
      </c>
      <c r="C1558" t="s">
        <v>322</v>
      </c>
      <c r="D1558" t="s">
        <v>35</v>
      </c>
      <c r="E1558" t="s">
        <v>348</v>
      </c>
      <c r="F1558" t="s">
        <v>382</v>
      </c>
      <c r="G1558" t="s">
        <v>36</v>
      </c>
      <c r="H1558" t="s">
        <v>43</v>
      </c>
      <c r="I1558" s="187"/>
      <c r="J1558" s="187">
        <v>1192.4000046824287</v>
      </c>
      <c r="K1558" s="187">
        <v>19374.265681754187</v>
      </c>
      <c r="L1558" s="187">
        <v>40045.510745489781</v>
      </c>
      <c r="M1558" s="187">
        <v>60612.17578125</v>
      </c>
      <c r="N1558" s="187">
        <v>40045.51171875</v>
      </c>
      <c r="O1558" t="s">
        <v>2017</v>
      </c>
    </row>
    <row r="1559" spans="1:15" hidden="1" x14ac:dyDescent="0.45">
      <c r="A1559" s="187">
        <v>2017</v>
      </c>
      <c r="B1559" t="s">
        <v>310</v>
      </c>
      <c r="C1559" t="s">
        <v>322</v>
      </c>
      <c r="D1559" t="s">
        <v>35</v>
      </c>
      <c r="E1559" t="s">
        <v>348</v>
      </c>
      <c r="F1559" t="s">
        <v>382</v>
      </c>
      <c r="G1559" t="s">
        <v>36</v>
      </c>
      <c r="H1559" t="s">
        <v>43</v>
      </c>
      <c r="I1559" s="187"/>
      <c r="J1559" s="187">
        <v>954.63620153653858</v>
      </c>
      <c r="K1559" s="187">
        <v>20396.432396547931</v>
      </c>
      <c r="L1559" s="187">
        <v>33456.729561795619</v>
      </c>
      <c r="M1559" s="187">
        <v>54807.796875</v>
      </c>
      <c r="N1559" s="187">
        <v>33456.73046875</v>
      </c>
      <c r="O1559" t="s">
        <v>2021</v>
      </c>
    </row>
    <row r="1560" spans="1:15" hidden="1" x14ac:dyDescent="0.45">
      <c r="A1560" s="187">
        <v>2017</v>
      </c>
      <c r="B1560" t="s">
        <v>313</v>
      </c>
      <c r="C1560" t="s">
        <v>322</v>
      </c>
      <c r="D1560" t="s">
        <v>35</v>
      </c>
      <c r="E1560" t="s">
        <v>348</v>
      </c>
      <c r="F1560" t="s">
        <v>382</v>
      </c>
      <c r="G1560" t="s">
        <v>36</v>
      </c>
      <c r="H1560" t="s">
        <v>43</v>
      </c>
      <c r="I1560" s="187">
        <v>24354.178421305347</v>
      </c>
      <c r="J1560" s="187">
        <v>1031.384903972106</v>
      </c>
      <c r="K1560" s="187">
        <v>20656.511963240111</v>
      </c>
      <c r="L1560" s="187">
        <v>28528.992883855608</v>
      </c>
      <c r="M1560" s="187">
        <v>74571.0703125</v>
      </c>
      <c r="N1560" s="187">
        <v>52883.171875</v>
      </c>
      <c r="O1560" t="s">
        <v>2020</v>
      </c>
    </row>
    <row r="1561" spans="1:15" hidden="1" x14ac:dyDescent="0.45">
      <c r="A1561" s="187">
        <v>2017</v>
      </c>
      <c r="B1561" t="s">
        <v>309</v>
      </c>
      <c r="C1561" t="s">
        <v>322</v>
      </c>
      <c r="D1561" t="s">
        <v>35</v>
      </c>
      <c r="E1561" t="s">
        <v>348</v>
      </c>
      <c r="F1561" t="s">
        <v>382</v>
      </c>
      <c r="G1561" t="s">
        <v>36</v>
      </c>
      <c r="H1561" t="s">
        <v>43</v>
      </c>
      <c r="I1561" s="187"/>
      <c r="J1561" s="187">
        <v>1020.0075104263225</v>
      </c>
      <c r="K1561" s="187">
        <v>17548.066977253191</v>
      </c>
      <c r="L1561" s="187">
        <v>24625.895608864073</v>
      </c>
      <c r="M1561" s="187">
        <v>43193.96875</v>
      </c>
      <c r="N1561" s="187">
        <v>24625.896484375</v>
      </c>
      <c r="O1561" t="s">
        <v>2018</v>
      </c>
    </row>
    <row r="1562" spans="1:15" hidden="1" x14ac:dyDescent="0.45">
      <c r="A1562" s="187">
        <v>2017</v>
      </c>
      <c r="B1562" t="s">
        <v>312</v>
      </c>
      <c r="C1562" t="s">
        <v>322</v>
      </c>
      <c r="D1562" t="s">
        <v>35</v>
      </c>
      <c r="E1562" t="s">
        <v>348</v>
      </c>
      <c r="F1562" t="s">
        <v>382</v>
      </c>
      <c r="G1562" t="s">
        <v>36</v>
      </c>
      <c r="H1562" t="s">
        <v>43</v>
      </c>
      <c r="I1562" s="187">
        <v>17985.927749058694</v>
      </c>
      <c r="J1562" s="187">
        <v>1126.519128953493</v>
      </c>
      <c r="K1562" s="187">
        <v>19609.643847852265</v>
      </c>
      <c r="L1562" s="187">
        <v>29094.118623510189</v>
      </c>
      <c r="M1562" s="187">
        <v>67816.2109375</v>
      </c>
      <c r="N1562" s="187">
        <v>47080.046875</v>
      </c>
      <c r="O1562" t="s">
        <v>2019</v>
      </c>
    </row>
    <row r="1563" spans="1:15" hidden="1" x14ac:dyDescent="0.45">
      <c r="A1563" s="187">
        <v>2017</v>
      </c>
      <c r="B1563" t="s">
        <v>312</v>
      </c>
      <c r="C1563" t="s">
        <v>322</v>
      </c>
      <c r="D1563" t="s">
        <v>35</v>
      </c>
      <c r="E1563" t="s">
        <v>348</v>
      </c>
      <c r="F1563" t="s">
        <v>382</v>
      </c>
      <c r="G1563" t="s">
        <v>37</v>
      </c>
      <c r="H1563" t="s">
        <v>43</v>
      </c>
      <c r="I1563" s="187">
        <v>14617.688823080131</v>
      </c>
      <c r="J1563" s="187">
        <v>929</v>
      </c>
      <c r="K1563" s="187">
        <v>16127.121551515889</v>
      </c>
      <c r="L1563" s="187">
        <v>23942</v>
      </c>
      <c r="M1563" s="187">
        <v>55615.8125</v>
      </c>
      <c r="N1563" s="187">
        <v>38559.6875</v>
      </c>
      <c r="O1563" t="s">
        <v>2023</v>
      </c>
    </row>
    <row r="1564" spans="1:15" hidden="1" x14ac:dyDescent="0.45">
      <c r="A1564" s="187">
        <v>2017</v>
      </c>
      <c r="B1564" t="s">
        <v>313</v>
      </c>
      <c r="C1564" t="s">
        <v>322</v>
      </c>
      <c r="D1564" t="s">
        <v>35</v>
      </c>
      <c r="E1564" t="s">
        <v>348</v>
      </c>
      <c r="F1564" t="s">
        <v>382</v>
      </c>
      <c r="G1564" t="s">
        <v>37</v>
      </c>
      <c r="H1564" t="s">
        <v>43</v>
      </c>
      <c r="I1564" s="187">
        <v>20330.86536363636</v>
      </c>
      <c r="J1564" s="187">
        <v>861</v>
      </c>
      <c r="K1564" s="187">
        <v>17244.053826902571</v>
      </c>
      <c r="L1564" s="187">
        <v>23816</v>
      </c>
      <c r="M1564" s="187">
        <v>62251.91796875</v>
      </c>
      <c r="N1564" s="187">
        <v>44146.8671875</v>
      </c>
      <c r="O1564" t="s">
        <v>2024</v>
      </c>
    </row>
    <row r="1565" spans="1:15" hidden="1" x14ac:dyDescent="0.45">
      <c r="A1565" s="187">
        <v>2017</v>
      </c>
      <c r="B1565" t="s">
        <v>311</v>
      </c>
      <c r="C1565" t="s">
        <v>322</v>
      </c>
      <c r="D1565" t="s">
        <v>35</v>
      </c>
      <c r="E1565" t="s">
        <v>348</v>
      </c>
      <c r="F1565" t="s">
        <v>382</v>
      </c>
      <c r="G1565" t="s">
        <v>37</v>
      </c>
      <c r="H1565" t="s">
        <v>43</v>
      </c>
      <c r="I1565" s="187"/>
      <c r="J1565" s="187">
        <v>974</v>
      </c>
      <c r="K1565" s="187">
        <v>15697.423830019499</v>
      </c>
      <c r="L1565" s="187">
        <v>33315</v>
      </c>
      <c r="M1565" s="187">
        <v>49986.421875</v>
      </c>
      <c r="N1565" s="187">
        <v>33315</v>
      </c>
      <c r="O1565" t="s">
        <v>2022</v>
      </c>
    </row>
    <row r="1566" spans="1:15" hidden="1" x14ac:dyDescent="0.45">
      <c r="A1566" s="187">
        <v>2017</v>
      </c>
      <c r="B1566" t="s">
        <v>309</v>
      </c>
      <c r="C1566" t="s">
        <v>322</v>
      </c>
      <c r="D1566" t="s">
        <v>35</v>
      </c>
      <c r="E1566" t="s">
        <v>348</v>
      </c>
      <c r="F1566" t="s">
        <v>382</v>
      </c>
      <c r="G1566" t="s">
        <v>37</v>
      </c>
      <c r="H1566" t="s">
        <v>43</v>
      </c>
      <c r="I1566" s="187"/>
      <c r="J1566" s="187">
        <v>834.14099999999985</v>
      </c>
      <c r="K1566" s="187">
        <v>14504.97066759237</v>
      </c>
      <c r="L1566" s="187">
        <v>21043</v>
      </c>
      <c r="M1566" s="187">
        <v>36382.109375</v>
      </c>
      <c r="N1566" s="187">
        <v>21043</v>
      </c>
      <c r="O1566" t="s">
        <v>2025</v>
      </c>
    </row>
    <row r="1567" spans="1:15" hidden="1" x14ac:dyDescent="0.45">
      <c r="A1567" s="187">
        <v>2017</v>
      </c>
      <c r="B1567" t="s">
        <v>310</v>
      </c>
      <c r="C1567" t="s">
        <v>322</v>
      </c>
      <c r="D1567" t="s">
        <v>35</v>
      </c>
      <c r="E1567" t="s">
        <v>348</v>
      </c>
      <c r="F1567" t="s">
        <v>382</v>
      </c>
      <c r="G1567" t="s">
        <v>37</v>
      </c>
      <c r="H1567" t="s">
        <v>43</v>
      </c>
      <c r="I1567" s="187"/>
      <c r="J1567" s="187">
        <v>778</v>
      </c>
      <c r="K1567" s="187">
        <v>16617.70286335221</v>
      </c>
      <c r="L1567" s="187">
        <v>27836</v>
      </c>
      <c r="M1567" s="187">
        <v>45231.703125</v>
      </c>
      <c r="N1567" s="187">
        <v>27836</v>
      </c>
      <c r="O1567" t="s">
        <v>2026</v>
      </c>
    </row>
    <row r="1568" spans="1:15" hidden="1" x14ac:dyDescent="0.45">
      <c r="A1568" s="187">
        <v>2017</v>
      </c>
      <c r="B1568" t="s">
        <v>312</v>
      </c>
      <c r="C1568" t="s">
        <v>322</v>
      </c>
      <c r="D1568" t="s">
        <v>35</v>
      </c>
      <c r="E1568" t="s">
        <v>19</v>
      </c>
      <c r="F1568" t="s">
        <v>19</v>
      </c>
      <c r="G1568" t="s">
        <v>36</v>
      </c>
      <c r="H1568" t="s">
        <v>43</v>
      </c>
      <c r="I1568" s="187">
        <v>1200.4662682635026</v>
      </c>
      <c r="J1568" s="187">
        <v>0</v>
      </c>
      <c r="K1568" s="187">
        <v>354.71740410114228</v>
      </c>
      <c r="L1568" s="187">
        <v>2799.6040701983625</v>
      </c>
      <c r="M1568" s="187">
        <v>4354.78759765625</v>
      </c>
      <c r="N1568" s="187">
        <v>4000.0703125</v>
      </c>
      <c r="O1568" t="s">
        <v>2029</v>
      </c>
    </row>
    <row r="1569" spans="1:15" hidden="1" x14ac:dyDescent="0.45">
      <c r="A1569" s="187">
        <v>2017</v>
      </c>
      <c r="B1569" t="s">
        <v>313</v>
      </c>
      <c r="C1569" t="s">
        <v>322</v>
      </c>
      <c r="D1569" t="s">
        <v>35</v>
      </c>
      <c r="E1569" t="s">
        <v>19</v>
      </c>
      <c r="F1569" t="s">
        <v>19</v>
      </c>
      <c r="G1569" t="s">
        <v>36</v>
      </c>
      <c r="H1569" t="s">
        <v>43</v>
      </c>
      <c r="I1569" s="187">
        <v>1012.6414898113028</v>
      </c>
      <c r="J1569" s="187">
        <v>11.978918745320629</v>
      </c>
      <c r="K1569" s="187">
        <v>327.68901226464982</v>
      </c>
      <c r="L1569" s="187">
        <v>2223.2873191315084</v>
      </c>
      <c r="M1569" s="187">
        <v>3575.5966796875</v>
      </c>
      <c r="N1569" s="187">
        <v>3235.9287109375</v>
      </c>
      <c r="O1569" t="s">
        <v>2030</v>
      </c>
    </row>
    <row r="1570" spans="1:15" hidden="1" x14ac:dyDescent="0.45">
      <c r="A1570" s="187">
        <v>2017</v>
      </c>
      <c r="B1570" t="s">
        <v>309</v>
      </c>
      <c r="C1570" t="s">
        <v>322</v>
      </c>
      <c r="D1570" t="s">
        <v>35</v>
      </c>
      <c r="E1570" t="s">
        <v>19</v>
      </c>
      <c r="F1570" t="s">
        <v>19</v>
      </c>
      <c r="G1570" t="s">
        <v>36</v>
      </c>
      <c r="H1570" t="s">
        <v>43</v>
      </c>
      <c r="I1570" s="187"/>
      <c r="J1570" s="187">
        <v>0</v>
      </c>
      <c r="K1570" s="187">
        <v>150.70942137818534</v>
      </c>
      <c r="L1570" s="187">
        <v>3025.5807192385982</v>
      </c>
      <c r="M1570" s="187">
        <v>3176.2900390625</v>
      </c>
      <c r="N1570" s="187">
        <v>3025.580810546875</v>
      </c>
      <c r="O1570" t="s">
        <v>2028</v>
      </c>
    </row>
    <row r="1571" spans="1:15" hidden="1" x14ac:dyDescent="0.45">
      <c r="A1571" s="187">
        <v>2017</v>
      </c>
      <c r="B1571" t="s">
        <v>310</v>
      </c>
      <c r="C1571" t="s">
        <v>322</v>
      </c>
      <c r="D1571" t="s">
        <v>35</v>
      </c>
      <c r="E1571" t="s">
        <v>19</v>
      </c>
      <c r="F1571" t="s">
        <v>19</v>
      </c>
      <c r="G1571" t="s">
        <v>36</v>
      </c>
      <c r="H1571" t="s">
        <v>43</v>
      </c>
      <c r="I1571" s="187"/>
      <c r="J1571" s="187">
        <v>0</v>
      </c>
      <c r="K1571" s="187">
        <v>147.10184761219691</v>
      </c>
      <c r="L1571" s="187">
        <v>6159.3650811467078</v>
      </c>
      <c r="M1571" s="187">
        <v>6306.466796875</v>
      </c>
      <c r="N1571" s="187">
        <v>6159.365234375</v>
      </c>
      <c r="O1571" t="s">
        <v>2031</v>
      </c>
    </row>
    <row r="1572" spans="1:15" hidden="1" x14ac:dyDescent="0.45">
      <c r="A1572" s="187">
        <v>2017</v>
      </c>
      <c r="B1572" t="s">
        <v>311</v>
      </c>
      <c r="C1572" t="s">
        <v>322</v>
      </c>
      <c r="D1572" t="s">
        <v>35</v>
      </c>
      <c r="E1572" t="s">
        <v>19</v>
      </c>
      <c r="F1572" t="s">
        <v>19</v>
      </c>
      <c r="G1572" t="s">
        <v>36</v>
      </c>
      <c r="H1572" t="s">
        <v>43</v>
      </c>
      <c r="I1572" s="187"/>
      <c r="J1572" s="187">
        <v>0</v>
      </c>
      <c r="K1572" s="187">
        <v>141.07876839897216</v>
      </c>
      <c r="L1572" s="187">
        <v>5278.4423736690615</v>
      </c>
      <c r="M1572" s="187">
        <v>5419.52099609375</v>
      </c>
      <c r="N1572" s="187">
        <v>5278.4423828125</v>
      </c>
      <c r="O1572" t="s">
        <v>2027</v>
      </c>
    </row>
    <row r="1573" spans="1:15" hidden="1" x14ac:dyDescent="0.45">
      <c r="A1573" s="187">
        <v>2017</v>
      </c>
      <c r="B1573" t="s">
        <v>312</v>
      </c>
      <c r="C1573" t="s">
        <v>322</v>
      </c>
      <c r="D1573" t="s">
        <v>35</v>
      </c>
      <c r="E1573" t="s">
        <v>19</v>
      </c>
      <c r="F1573" t="s">
        <v>19</v>
      </c>
      <c r="G1573" t="s">
        <v>37</v>
      </c>
      <c r="H1573" t="s">
        <v>43</v>
      </c>
      <c r="I1573" s="187">
        <v>975.65399999999988</v>
      </c>
      <c r="J1573" s="187">
        <v>0</v>
      </c>
      <c r="K1573" s="187">
        <v>291.72231463060672</v>
      </c>
      <c r="L1573" s="187">
        <v>2304</v>
      </c>
      <c r="M1573" s="187">
        <v>3571.37646484375</v>
      </c>
      <c r="N1573" s="187">
        <v>3279.654052734375</v>
      </c>
      <c r="O1573" t="s">
        <v>2032</v>
      </c>
    </row>
    <row r="1574" spans="1:15" hidden="1" x14ac:dyDescent="0.45">
      <c r="A1574" s="187">
        <v>2017</v>
      </c>
      <c r="B1574" t="s">
        <v>309</v>
      </c>
      <c r="C1574" t="s">
        <v>322</v>
      </c>
      <c r="D1574" t="s">
        <v>35</v>
      </c>
      <c r="E1574" t="s">
        <v>19</v>
      </c>
      <c r="F1574" t="s">
        <v>19</v>
      </c>
      <c r="G1574" t="s">
        <v>37</v>
      </c>
      <c r="H1574" t="s">
        <v>43</v>
      </c>
      <c r="I1574" s="187"/>
      <c r="J1574" s="187">
        <v>0</v>
      </c>
      <c r="K1574" s="187">
        <v>124.57416188655201</v>
      </c>
      <c r="L1574" s="187">
        <v>2585</v>
      </c>
      <c r="M1574" s="187">
        <v>2709.57421875</v>
      </c>
      <c r="N1574" s="187">
        <v>2585</v>
      </c>
      <c r="O1574" t="s">
        <v>2034</v>
      </c>
    </row>
    <row r="1575" spans="1:15" hidden="1" x14ac:dyDescent="0.45">
      <c r="A1575" s="187">
        <v>2017</v>
      </c>
      <c r="B1575" t="s">
        <v>311</v>
      </c>
      <c r="C1575" t="s">
        <v>322</v>
      </c>
      <c r="D1575" t="s">
        <v>35</v>
      </c>
      <c r="E1575" t="s">
        <v>19</v>
      </c>
      <c r="F1575" t="s">
        <v>19</v>
      </c>
      <c r="G1575" t="s">
        <v>37</v>
      </c>
      <c r="H1575" t="s">
        <v>43</v>
      </c>
      <c r="I1575" s="187"/>
      <c r="J1575" s="187">
        <v>0</v>
      </c>
      <c r="K1575" s="187">
        <v>114.30488552974749</v>
      </c>
      <c r="L1575" s="187">
        <v>4391</v>
      </c>
      <c r="M1575" s="187">
        <v>4505.3046875</v>
      </c>
      <c r="N1575" s="187">
        <v>4391</v>
      </c>
      <c r="O1575" t="s">
        <v>2036</v>
      </c>
    </row>
    <row r="1576" spans="1:15" hidden="1" x14ac:dyDescent="0.45">
      <c r="A1576" s="187">
        <v>2017</v>
      </c>
      <c r="B1576" t="s">
        <v>310</v>
      </c>
      <c r="C1576" t="s">
        <v>322</v>
      </c>
      <c r="D1576" t="s">
        <v>35</v>
      </c>
      <c r="E1576" t="s">
        <v>19</v>
      </c>
      <c r="F1576" t="s">
        <v>19</v>
      </c>
      <c r="G1576" t="s">
        <v>37</v>
      </c>
      <c r="H1576" t="s">
        <v>43</v>
      </c>
      <c r="I1576" s="187"/>
      <c r="J1576" s="187">
        <v>0</v>
      </c>
      <c r="K1576" s="187">
        <v>119.7428390829794</v>
      </c>
      <c r="L1576" s="187">
        <v>5125</v>
      </c>
      <c r="M1576" s="187">
        <v>5244.74267578125</v>
      </c>
      <c r="N1576" s="187">
        <v>5125</v>
      </c>
      <c r="O1576" t="s">
        <v>2035</v>
      </c>
    </row>
    <row r="1577" spans="1:15" hidden="1" x14ac:dyDescent="0.45">
      <c r="A1577" s="187">
        <v>2017</v>
      </c>
      <c r="B1577" t="s">
        <v>313</v>
      </c>
      <c r="C1577" t="s">
        <v>322</v>
      </c>
      <c r="D1577" t="s">
        <v>35</v>
      </c>
      <c r="E1577" t="s">
        <v>19</v>
      </c>
      <c r="F1577" t="s">
        <v>19</v>
      </c>
      <c r="G1577" t="s">
        <v>37</v>
      </c>
      <c r="H1577" t="s">
        <v>43</v>
      </c>
      <c r="I1577" s="187">
        <v>845.35299999999995</v>
      </c>
      <c r="J1577" s="187">
        <v>10</v>
      </c>
      <c r="K1577" s="187">
        <v>273.55475000000001</v>
      </c>
      <c r="L1577" s="187">
        <v>1856</v>
      </c>
      <c r="M1577" s="187">
        <v>2984.90771484375</v>
      </c>
      <c r="N1577" s="187">
        <v>2701.35302734375</v>
      </c>
      <c r="O1577" t="s">
        <v>2033</v>
      </c>
    </row>
    <row r="1578" spans="1:15" hidden="1" x14ac:dyDescent="0.45">
      <c r="A1578" s="187">
        <v>2017</v>
      </c>
      <c r="B1578" t="s">
        <v>312</v>
      </c>
      <c r="C1578" t="s">
        <v>322</v>
      </c>
      <c r="D1578" t="s">
        <v>35</v>
      </c>
      <c r="E1578" t="s">
        <v>349</v>
      </c>
      <c r="F1578" t="s">
        <v>349</v>
      </c>
      <c r="G1578" t="s">
        <v>36</v>
      </c>
      <c r="H1578" t="s">
        <v>43</v>
      </c>
      <c r="I1578" s="187">
        <v>5076.4216506627308</v>
      </c>
      <c r="J1578" s="187">
        <v>370.97227078600207</v>
      </c>
      <c r="K1578" s="187">
        <v>2517.9316870655339</v>
      </c>
      <c r="L1578" s="187">
        <v>2032.9280439072913</v>
      </c>
      <c r="M1578" s="187">
        <v>9998.25390625</v>
      </c>
      <c r="N1578" s="187">
        <v>7109.35009765625</v>
      </c>
      <c r="O1578" t="s">
        <v>2039</v>
      </c>
    </row>
    <row r="1579" spans="1:15" hidden="1" x14ac:dyDescent="0.45">
      <c r="A1579" s="187">
        <v>2017</v>
      </c>
      <c r="B1579" t="s">
        <v>309</v>
      </c>
      <c r="C1579" t="s">
        <v>322</v>
      </c>
      <c r="D1579" t="s">
        <v>35</v>
      </c>
      <c r="E1579" t="s">
        <v>349</v>
      </c>
      <c r="F1579" t="s">
        <v>349</v>
      </c>
      <c r="G1579" t="s">
        <v>36</v>
      </c>
      <c r="H1579" t="s">
        <v>43</v>
      </c>
      <c r="I1579" s="187"/>
      <c r="J1579" s="187">
        <v>529.87403139029743</v>
      </c>
      <c r="K1579" s="187">
        <v>3767.7355344546336</v>
      </c>
      <c r="L1579" s="187">
        <v>1971.1313967719063</v>
      </c>
      <c r="M1579" s="187">
        <v>6268.74072265625</v>
      </c>
      <c r="N1579" s="187">
        <v>1971.13134765625</v>
      </c>
      <c r="O1579" t="s">
        <v>2040</v>
      </c>
    </row>
    <row r="1580" spans="1:15" hidden="1" x14ac:dyDescent="0.45">
      <c r="A1580" s="187">
        <v>2017</v>
      </c>
      <c r="B1580" t="s">
        <v>313</v>
      </c>
      <c r="C1580" t="s">
        <v>322</v>
      </c>
      <c r="D1580" t="s">
        <v>35</v>
      </c>
      <c r="E1580" t="s">
        <v>349</v>
      </c>
      <c r="F1580" t="s">
        <v>349</v>
      </c>
      <c r="G1580" t="s">
        <v>36</v>
      </c>
      <c r="H1580" t="s">
        <v>43</v>
      </c>
      <c r="I1580" s="187">
        <v>5005.1180783848313</v>
      </c>
      <c r="J1580" s="187">
        <v>392.9085348465166</v>
      </c>
      <c r="K1580" s="187">
        <v>2275.4675730385566</v>
      </c>
      <c r="L1580" s="187">
        <v>1599.1856525003038</v>
      </c>
      <c r="M1580" s="187">
        <v>9272.6806640625</v>
      </c>
      <c r="N1580" s="187">
        <v>6604.3037109375</v>
      </c>
      <c r="O1580" t="s">
        <v>2038</v>
      </c>
    </row>
    <row r="1581" spans="1:15" hidden="1" x14ac:dyDescent="0.45">
      <c r="A1581" s="187">
        <v>2017</v>
      </c>
      <c r="B1581" t="s">
        <v>310</v>
      </c>
      <c r="C1581" t="s">
        <v>322</v>
      </c>
      <c r="D1581" t="s">
        <v>35</v>
      </c>
      <c r="E1581" t="s">
        <v>349</v>
      </c>
      <c r="F1581" t="s">
        <v>349</v>
      </c>
      <c r="G1581" t="s">
        <v>36</v>
      </c>
      <c r="H1581" t="s">
        <v>43</v>
      </c>
      <c r="I1581" s="187"/>
      <c r="J1581" s="187">
        <v>340.00741424589046</v>
      </c>
      <c r="K1581" s="187">
        <v>3452.5426016403112</v>
      </c>
      <c r="L1581" s="187">
        <v>3761.0050898891573</v>
      </c>
      <c r="M1581" s="187">
        <v>7553.55517578125</v>
      </c>
      <c r="N1581" s="187">
        <v>3761.005126953125</v>
      </c>
      <c r="O1581" t="s">
        <v>2037</v>
      </c>
    </row>
    <row r="1582" spans="1:15" hidden="1" x14ac:dyDescent="0.45">
      <c r="A1582" s="187">
        <v>2017</v>
      </c>
      <c r="B1582" t="s">
        <v>311</v>
      </c>
      <c r="C1582" t="s">
        <v>322</v>
      </c>
      <c r="D1582" t="s">
        <v>35</v>
      </c>
      <c r="E1582" t="s">
        <v>349</v>
      </c>
      <c r="F1582" t="s">
        <v>349</v>
      </c>
      <c r="G1582" t="s">
        <v>36</v>
      </c>
      <c r="H1582" t="s">
        <v>43</v>
      </c>
      <c r="I1582" s="187"/>
      <c r="J1582" s="187">
        <v>644.02353194077705</v>
      </c>
      <c r="K1582" s="187">
        <v>4366.9705156059181</v>
      </c>
      <c r="L1582" s="187">
        <v>4366.6070759707336</v>
      </c>
      <c r="M1582" s="187">
        <v>9377.6015625</v>
      </c>
      <c r="N1582" s="187">
        <v>4366.60693359375</v>
      </c>
      <c r="O1582" t="s">
        <v>2041</v>
      </c>
    </row>
    <row r="1583" spans="1:15" hidden="1" x14ac:dyDescent="0.45">
      <c r="A1583" s="187">
        <v>2017</v>
      </c>
      <c r="B1583" t="s">
        <v>311</v>
      </c>
      <c r="C1583" t="s">
        <v>322</v>
      </c>
      <c r="D1583" t="s">
        <v>35</v>
      </c>
      <c r="E1583" t="s">
        <v>349</v>
      </c>
      <c r="F1583" t="s">
        <v>349</v>
      </c>
      <c r="G1583" t="s">
        <v>37</v>
      </c>
      <c r="H1583" t="s">
        <v>43</v>
      </c>
      <c r="I1583" s="187"/>
      <c r="J1583" s="187">
        <v>526</v>
      </c>
      <c r="K1583" s="187">
        <v>3538.2082687769862</v>
      </c>
      <c r="L1583" s="187">
        <v>3633</v>
      </c>
      <c r="M1583" s="187">
        <v>7697.2080078125</v>
      </c>
      <c r="N1583" s="187">
        <v>3633</v>
      </c>
      <c r="O1583" t="s">
        <v>2042</v>
      </c>
    </row>
    <row r="1584" spans="1:15" hidden="1" x14ac:dyDescent="0.45">
      <c r="A1584" s="187">
        <v>2017</v>
      </c>
      <c r="B1584" t="s">
        <v>309</v>
      </c>
      <c r="C1584" t="s">
        <v>322</v>
      </c>
      <c r="D1584" t="s">
        <v>35</v>
      </c>
      <c r="E1584" t="s">
        <v>349</v>
      </c>
      <c r="F1584" t="s">
        <v>349</v>
      </c>
      <c r="G1584" t="s">
        <v>37</v>
      </c>
      <c r="H1584" t="s">
        <v>43</v>
      </c>
      <c r="I1584" s="187"/>
      <c r="J1584" s="187">
        <v>433.32</v>
      </c>
      <c r="K1584" s="187">
        <v>3114.3540471637989</v>
      </c>
      <c r="L1584" s="187">
        <v>1685</v>
      </c>
      <c r="M1584" s="187">
        <v>5232.673828125</v>
      </c>
      <c r="N1584" s="187">
        <v>1685</v>
      </c>
      <c r="O1584" t="s">
        <v>2045</v>
      </c>
    </row>
    <row r="1585" spans="1:15" hidden="1" x14ac:dyDescent="0.45">
      <c r="A1585" s="187">
        <v>2017</v>
      </c>
      <c r="B1585" t="s">
        <v>313</v>
      </c>
      <c r="C1585" t="s">
        <v>322</v>
      </c>
      <c r="D1585" t="s">
        <v>35</v>
      </c>
      <c r="E1585" t="s">
        <v>349</v>
      </c>
      <c r="F1585" t="s">
        <v>349</v>
      </c>
      <c r="G1585" t="s">
        <v>37</v>
      </c>
      <c r="H1585" t="s">
        <v>43</v>
      </c>
      <c r="I1585" s="187">
        <v>4178.2719999999999</v>
      </c>
      <c r="J1585" s="187">
        <v>328</v>
      </c>
      <c r="K1585" s="187">
        <v>1899.56007</v>
      </c>
      <c r="L1585" s="187">
        <v>1335</v>
      </c>
      <c r="M1585" s="187">
        <v>7740.83203125</v>
      </c>
      <c r="N1585" s="187">
        <v>5513.27197265625</v>
      </c>
      <c r="O1585" t="s">
        <v>2046</v>
      </c>
    </row>
    <row r="1586" spans="1:15" hidden="1" x14ac:dyDescent="0.45">
      <c r="A1586" s="187">
        <v>2017</v>
      </c>
      <c r="B1586" t="s">
        <v>312</v>
      </c>
      <c r="C1586" t="s">
        <v>322</v>
      </c>
      <c r="D1586" t="s">
        <v>35</v>
      </c>
      <c r="E1586" t="s">
        <v>349</v>
      </c>
      <c r="F1586" t="s">
        <v>349</v>
      </c>
      <c r="G1586" t="s">
        <v>37</v>
      </c>
      <c r="H1586" t="s">
        <v>43</v>
      </c>
      <c r="I1586" s="187">
        <v>4125.7561499999993</v>
      </c>
      <c r="J1586" s="187">
        <v>306</v>
      </c>
      <c r="K1586" s="187">
        <v>2070.766337766343</v>
      </c>
      <c r="L1586" s="187">
        <v>1673</v>
      </c>
      <c r="M1586" s="187">
        <v>8175.5224609375</v>
      </c>
      <c r="N1586" s="187">
        <v>5798.75634765625</v>
      </c>
      <c r="O1586" t="s">
        <v>2044</v>
      </c>
    </row>
    <row r="1587" spans="1:15" hidden="1" x14ac:dyDescent="0.45">
      <c r="A1587" s="187">
        <v>2017</v>
      </c>
      <c r="B1587" t="s">
        <v>310</v>
      </c>
      <c r="C1587" t="s">
        <v>322</v>
      </c>
      <c r="D1587" t="s">
        <v>35</v>
      </c>
      <c r="E1587" t="s">
        <v>349</v>
      </c>
      <c r="F1587" t="s">
        <v>349</v>
      </c>
      <c r="G1587" t="s">
        <v>37</v>
      </c>
      <c r="H1587" t="s">
        <v>43</v>
      </c>
      <c r="I1587" s="187"/>
      <c r="J1587" s="187">
        <v>277</v>
      </c>
      <c r="K1587" s="187">
        <v>2812.9280464998901</v>
      </c>
      <c r="L1587" s="187">
        <v>3129</v>
      </c>
      <c r="M1587" s="187">
        <v>6218.927734375</v>
      </c>
      <c r="N1587" s="187">
        <v>3129</v>
      </c>
      <c r="O1587" t="s">
        <v>2043</v>
      </c>
    </row>
    <row r="1588" spans="1:15" hidden="1" x14ac:dyDescent="0.45">
      <c r="A1588" s="187">
        <v>2017</v>
      </c>
      <c r="B1588" t="s">
        <v>312</v>
      </c>
      <c r="C1588" t="s">
        <v>322</v>
      </c>
      <c r="D1588" t="s">
        <v>35</v>
      </c>
      <c r="E1588" t="s">
        <v>46</v>
      </c>
      <c r="F1588" t="s">
        <v>46</v>
      </c>
      <c r="G1588" t="s">
        <v>37</v>
      </c>
      <c r="H1588" t="s">
        <v>43</v>
      </c>
      <c r="I1588" s="187">
        <v>13506.91458308013</v>
      </c>
      <c r="J1588" s="187">
        <v>929</v>
      </c>
      <c r="K1588" s="187">
        <v>15317.335155602041</v>
      </c>
      <c r="L1588" s="187">
        <v>20567</v>
      </c>
      <c r="M1588" s="187">
        <v>50320.25</v>
      </c>
      <c r="N1588" s="187">
        <v>34073.9140625</v>
      </c>
      <c r="O1588" t="s">
        <v>2048</v>
      </c>
    </row>
    <row r="1589" spans="1:15" hidden="1" x14ac:dyDescent="0.45">
      <c r="A1589" s="187">
        <v>2017</v>
      </c>
      <c r="B1589" t="s">
        <v>313</v>
      </c>
      <c r="C1589" t="s">
        <v>322</v>
      </c>
      <c r="D1589" t="s">
        <v>35</v>
      </c>
      <c r="E1589" t="s">
        <v>46</v>
      </c>
      <c r="F1589" t="s">
        <v>46</v>
      </c>
      <c r="G1589" t="s">
        <v>37</v>
      </c>
      <c r="H1589" t="s">
        <v>43</v>
      </c>
      <c r="I1589" s="187">
        <v>16630.376800242419</v>
      </c>
      <c r="J1589" s="187">
        <v>861</v>
      </c>
      <c r="K1589" s="187">
        <v>16493.96609963118</v>
      </c>
      <c r="L1589" s="187"/>
      <c r="M1589" s="187">
        <v>33985.34375</v>
      </c>
      <c r="N1589" s="187">
        <v>16630.376953125</v>
      </c>
      <c r="O1589" t="s">
        <v>2049</v>
      </c>
    </row>
    <row r="1590" spans="1:15" hidden="1" x14ac:dyDescent="0.45">
      <c r="A1590" s="187">
        <v>2017</v>
      </c>
      <c r="B1590" t="s">
        <v>311</v>
      </c>
      <c r="C1590" t="s">
        <v>322</v>
      </c>
      <c r="D1590" t="s">
        <v>35</v>
      </c>
      <c r="E1590" t="s">
        <v>46</v>
      </c>
      <c r="F1590" t="s">
        <v>46</v>
      </c>
      <c r="G1590" t="s">
        <v>37</v>
      </c>
      <c r="H1590" t="s">
        <v>43</v>
      </c>
      <c r="I1590" s="187"/>
      <c r="J1590" s="187">
        <v>974</v>
      </c>
      <c r="K1590" s="187">
        <v>15148.48555901175</v>
      </c>
      <c r="L1590" s="187">
        <v>26188</v>
      </c>
      <c r="M1590" s="187">
        <v>42310.484375</v>
      </c>
      <c r="N1590" s="187">
        <v>26188</v>
      </c>
      <c r="O1590" t="s">
        <v>2047</v>
      </c>
    </row>
    <row r="1591" spans="1:15" hidden="1" x14ac:dyDescent="0.45">
      <c r="A1591" s="187">
        <v>2017</v>
      </c>
      <c r="B1591" t="s">
        <v>310</v>
      </c>
      <c r="C1591" t="s">
        <v>322</v>
      </c>
      <c r="D1591" t="s">
        <v>35</v>
      </c>
      <c r="E1591" t="s">
        <v>350</v>
      </c>
      <c r="F1591" t="s">
        <v>350</v>
      </c>
      <c r="G1591" t="s">
        <v>37</v>
      </c>
      <c r="H1591" t="s">
        <v>43</v>
      </c>
      <c r="I1591" s="187"/>
      <c r="J1591" s="187">
        <v>778</v>
      </c>
      <c r="K1591" s="187">
        <v>16010.06008595083</v>
      </c>
      <c r="L1591" s="187">
        <v>21772</v>
      </c>
      <c r="M1591" s="187">
        <v>38560.0625</v>
      </c>
      <c r="N1591" s="187">
        <v>21772</v>
      </c>
      <c r="O1591" t="s">
        <v>2054</v>
      </c>
    </row>
    <row r="1592" spans="1:15" hidden="1" x14ac:dyDescent="0.45">
      <c r="A1592" s="187">
        <v>2017</v>
      </c>
      <c r="B1592" t="s">
        <v>313</v>
      </c>
      <c r="C1592" t="s">
        <v>322</v>
      </c>
      <c r="D1592" t="s">
        <v>35</v>
      </c>
      <c r="E1592" t="s">
        <v>350</v>
      </c>
      <c r="F1592" t="s">
        <v>350</v>
      </c>
      <c r="G1592" t="s">
        <v>37</v>
      </c>
      <c r="H1592" t="s">
        <v>43</v>
      </c>
      <c r="I1592" s="187">
        <v>18933.512456567489</v>
      </c>
      <c r="J1592" s="187">
        <v>861</v>
      </c>
      <c r="K1592" s="187">
        <v>16830.36538345931</v>
      </c>
      <c r="L1592" s="187">
        <v>20421</v>
      </c>
      <c r="M1592" s="187">
        <v>57045.87890625</v>
      </c>
      <c r="N1592" s="187">
        <v>39354.51171875</v>
      </c>
      <c r="O1592" t="s">
        <v>2051</v>
      </c>
    </row>
    <row r="1593" spans="1:15" hidden="1" x14ac:dyDescent="0.45">
      <c r="A1593" s="187">
        <v>2017</v>
      </c>
      <c r="B1593" t="s">
        <v>311</v>
      </c>
      <c r="C1593" t="s">
        <v>322</v>
      </c>
      <c r="D1593" t="s">
        <v>35</v>
      </c>
      <c r="E1593" t="s">
        <v>350</v>
      </c>
      <c r="F1593" t="s">
        <v>350</v>
      </c>
      <c r="G1593" t="s">
        <v>37</v>
      </c>
      <c r="H1593" t="s">
        <v>43</v>
      </c>
      <c r="I1593" s="187"/>
      <c r="J1593" s="187">
        <v>974</v>
      </c>
      <c r="K1593" s="187">
        <v>15105.016881506741</v>
      </c>
      <c r="L1593" s="187">
        <v>26188</v>
      </c>
      <c r="M1593" s="187">
        <v>42267.015625</v>
      </c>
      <c r="N1593" s="187">
        <v>26188</v>
      </c>
      <c r="O1593" t="s">
        <v>2050</v>
      </c>
    </row>
    <row r="1594" spans="1:15" hidden="1" x14ac:dyDescent="0.45">
      <c r="A1594" s="187">
        <v>2017</v>
      </c>
      <c r="B1594" t="s">
        <v>312</v>
      </c>
      <c r="C1594" t="s">
        <v>322</v>
      </c>
      <c r="D1594" t="s">
        <v>35</v>
      </c>
      <c r="E1594" t="s">
        <v>350</v>
      </c>
      <c r="F1594" t="s">
        <v>350</v>
      </c>
      <c r="G1594" t="s">
        <v>37</v>
      </c>
      <c r="H1594" t="s">
        <v>43</v>
      </c>
      <c r="I1594" s="187">
        <v>14028.41866533786</v>
      </c>
      <c r="J1594" s="187">
        <v>929</v>
      </c>
      <c r="K1594" s="187">
        <v>15495.417231517409</v>
      </c>
      <c r="L1594" s="187">
        <v>20065</v>
      </c>
      <c r="M1594" s="187">
        <v>50517.8359375</v>
      </c>
      <c r="N1594" s="187">
        <v>34093.41796875</v>
      </c>
      <c r="O1594" t="s">
        <v>2052</v>
      </c>
    </row>
    <row r="1595" spans="1:15" hidden="1" x14ac:dyDescent="0.45">
      <c r="A1595" s="187">
        <v>2017</v>
      </c>
      <c r="B1595" t="s">
        <v>309</v>
      </c>
      <c r="C1595" t="s">
        <v>322</v>
      </c>
      <c r="D1595" t="s">
        <v>35</v>
      </c>
      <c r="E1595" t="s">
        <v>350</v>
      </c>
      <c r="F1595" t="s">
        <v>350</v>
      </c>
      <c r="G1595" t="s">
        <v>37</v>
      </c>
      <c r="H1595" t="s">
        <v>43</v>
      </c>
      <c r="I1595" s="187"/>
      <c r="J1595" s="187">
        <v>834.14099999999985</v>
      </c>
      <c r="K1595" s="187">
        <v>14029.45180023397</v>
      </c>
      <c r="L1595" s="187">
        <v>17446</v>
      </c>
      <c r="M1595" s="187">
        <v>32309.59375</v>
      </c>
      <c r="N1595" s="187">
        <v>17446</v>
      </c>
      <c r="O1595" t="s">
        <v>2053</v>
      </c>
    </row>
    <row r="1596" spans="1:15" hidden="1" x14ac:dyDescent="0.45">
      <c r="A1596" s="187">
        <v>2017</v>
      </c>
      <c r="B1596" t="s">
        <v>312</v>
      </c>
      <c r="C1596" t="s">
        <v>322</v>
      </c>
      <c r="D1596" t="s">
        <v>35</v>
      </c>
      <c r="E1596" t="s">
        <v>16</v>
      </c>
      <c r="F1596" t="s">
        <v>16</v>
      </c>
      <c r="G1596" t="s">
        <v>36</v>
      </c>
      <c r="H1596" t="s">
        <v>43</v>
      </c>
      <c r="I1596" s="187">
        <v>5894.6467509178483</v>
      </c>
      <c r="J1596" s="187">
        <v>129.84029477510072</v>
      </c>
      <c r="K1596" s="187">
        <v>5173.6684748244061</v>
      </c>
      <c r="L1596" s="187">
        <v>20898.104587611451</v>
      </c>
      <c r="M1596" s="187">
        <v>32096.26171875</v>
      </c>
      <c r="N1596" s="187">
        <v>26792.751953125</v>
      </c>
      <c r="O1596" t="s">
        <v>2057</v>
      </c>
    </row>
    <row r="1597" spans="1:15" hidden="1" x14ac:dyDescent="0.45">
      <c r="A1597" s="187">
        <v>2017</v>
      </c>
      <c r="B1597" t="s">
        <v>310</v>
      </c>
      <c r="C1597" t="s">
        <v>322</v>
      </c>
      <c r="D1597" t="s">
        <v>35</v>
      </c>
      <c r="E1597" t="s">
        <v>16</v>
      </c>
      <c r="F1597" t="s">
        <v>16</v>
      </c>
      <c r="G1597" t="s">
        <v>36</v>
      </c>
      <c r="H1597" t="s">
        <v>43</v>
      </c>
      <c r="I1597" s="187"/>
      <c r="J1597" s="187">
        <v>104.61766592181245</v>
      </c>
      <c r="K1597" s="187">
        <v>5385.3076473448682</v>
      </c>
      <c r="L1597" s="187">
        <v>18241.397774292021</v>
      </c>
      <c r="M1597" s="187">
        <v>23731.322265625</v>
      </c>
      <c r="N1597" s="187">
        <v>18241.3984375</v>
      </c>
      <c r="O1597" t="s">
        <v>2058</v>
      </c>
    </row>
    <row r="1598" spans="1:15" hidden="1" x14ac:dyDescent="0.45">
      <c r="A1598" s="187">
        <v>2017</v>
      </c>
      <c r="B1598" t="s">
        <v>311</v>
      </c>
      <c r="C1598" t="s">
        <v>322</v>
      </c>
      <c r="D1598" t="s">
        <v>35</v>
      </c>
      <c r="E1598" t="s">
        <v>16</v>
      </c>
      <c r="F1598" t="s">
        <v>16</v>
      </c>
      <c r="G1598" t="s">
        <v>36</v>
      </c>
      <c r="H1598" t="s">
        <v>43</v>
      </c>
      <c r="I1598" s="187"/>
      <c r="J1598" s="187">
        <v>127.5294122655004</v>
      </c>
      <c r="K1598" s="187">
        <v>5123.124218120126</v>
      </c>
      <c r="L1598" s="187">
        <v>21243.849495187056</v>
      </c>
      <c r="M1598" s="187">
        <v>26494.50390625</v>
      </c>
      <c r="N1598" s="187">
        <v>21243.849609375</v>
      </c>
      <c r="O1598" t="s">
        <v>2055</v>
      </c>
    </row>
    <row r="1599" spans="1:15" hidden="1" x14ac:dyDescent="0.45">
      <c r="A1599" s="187">
        <v>2017</v>
      </c>
      <c r="B1599" t="s">
        <v>313</v>
      </c>
      <c r="C1599" t="s">
        <v>322</v>
      </c>
      <c r="D1599" t="s">
        <v>35</v>
      </c>
      <c r="E1599" t="s">
        <v>16</v>
      </c>
      <c r="F1599" t="s">
        <v>16</v>
      </c>
      <c r="G1599" t="s">
        <v>36</v>
      </c>
      <c r="H1599" t="s">
        <v>43</v>
      </c>
      <c r="I1599" s="187">
        <v>12801.700798075013</v>
      </c>
      <c r="J1599" s="187">
        <v>143.74702494384752</v>
      </c>
      <c r="K1599" s="187">
        <v>8002.0723403114443</v>
      </c>
      <c r="L1599" s="187">
        <v>21535.700120337424</v>
      </c>
      <c r="M1599" s="187">
        <v>42483.22265625</v>
      </c>
      <c r="N1599" s="187">
        <v>34337.40234375</v>
      </c>
      <c r="O1599" t="s">
        <v>2059</v>
      </c>
    </row>
    <row r="1600" spans="1:15" hidden="1" x14ac:dyDescent="0.45">
      <c r="A1600" s="187">
        <v>2017</v>
      </c>
      <c r="B1600" t="s">
        <v>309</v>
      </c>
      <c r="C1600" t="s">
        <v>322</v>
      </c>
      <c r="D1600" t="s">
        <v>35</v>
      </c>
      <c r="E1600" t="s">
        <v>16</v>
      </c>
      <c r="F1600" t="s">
        <v>16</v>
      </c>
      <c r="G1600" t="s">
        <v>36</v>
      </c>
      <c r="H1600" t="s">
        <v>43</v>
      </c>
      <c r="I1600" s="187"/>
      <c r="J1600" s="187">
        <v>105.97480627805948</v>
      </c>
      <c r="K1600" s="187">
        <v>4887.5065352945494</v>
      </c>
      <c r="L1600" s="187">
        <v>13372.695867212631</v>
      </c>
      <c r="M1600" s="187">
        <v>18366.177734375</v>
      </c>
      <c r="N1600" s="187">
        <v>13372.6962890625</v>
      </c>
      <c r="O1600" t="s">
        <v>2056</v>
      </c>
    </row>
    <row r="1601" spans="1:15" hidden="1" x14ac:dyDescent="0.45">
      <c r="A1601" s="187">
        <v>2017</v>
      </c>
      <c r="B1601" t="s">
        <v>312</v>
      </c>
      <c r="C1601" t="s">
        <v>322</v>
      </c>
      <c r="D1601" t="s">
        <v>35</v>
      </c>
      <c r="E1601" t="s">
        <v>16</v>
      </c>
      <c r="F1601" t="s">
        <v>16</v>
      </c>
      <c r="G1601" t="s">
        <v>37</v>
      </c>
      <c r="H1601" t="s">
        <v>43</v>
      </c>
      <c r="I1601" s="187">
        <v>4790.7515880801293</v>
      </c>
      <c r="J1601" s="187">
        <v>107</v>
      </c>
      <c r="K1601" s="187">
        <v>4254.8646476247604</v>
      </c>
      <c r="L1601" s="187">
        <v>17197</v>
      </c>
      <c r="M1601" s="187">
        <v>26349.6171875</v>
      </c>
      <c r="N1601" s="187">
        <v>21987.751953125</v>
      </c>
      <c r="O1601" t="s">
        <v>2061</v>
      </c>
    </row>
    <row r="1602" spans="1:15" hidden="1" x14ac:dyDescent="0.45">
      <c r="A1602" s="187">
        <v>2017</v>
      </c>
      <c r="B1602" t="s">
        <v>313</v>
      </c>
      <c r="C1602" t="s">
        <v>322</v>
      </c>
      <c r="D1602" t="s">
        <v>35</v>
      </c>
      <c r="E1602" t="s">
        <v>16</v>
      </c>
      <c r="F1602" t="s">
        <v>16</v>
      </c>
      <c r="G1602" t="s">
        <v>37</v>
      </c>
      <c r="H1602" t="s">
        <v>43</v>
      </c>
      <c r="I1602" s="187">
        <v>10686.85836363636</v>
      </c>
      <c r="J1602" s="187">
        <v>120</v>
      </c>
      <c r="K1602" s="187">
        <v>6680.129075453764</v>
      </c>
      <c r="L1602" s="187">
        <v>17978</v>
      </c>
      <c r="M1602" s="187">
        <v>35464.98828125</v>
      </c>
      <c r="N1602" s="187">
        <v>28664.859375</v>
      </c>
      <c r="O1602" t="s">
        <v>2063</v>
      </c>
    </row>
    <row r="1603" spans="1:15" hidden="1" x14ac:dyDescent="0.45">
      <c r="A1603" s="187">
        <v>2017</v>
      </c>
      <c r="B1603" t="s">
        <v>310</v>
      </c>
      <c r="C1603" t="s">
        <v>322</v>
      </c>
      <c r="D1603" t="s">
        <v>35</v>
      </c>
      <c r="E1603" t="s">
        <v>16</v>
      </c>
      <c r="F1603" t="s">
        <v>16</v>
      </c>
      <c r="G1603" t="s">
        <v>37</v>
      </c>
      <c r="H1603" t="s">
        <v>43</v>
      </c>
      <c r="I1603" s="187"/>
      <c r="J1603" s="187">
        <v>85</v>
      </c>
      <c r="K1603" s="187">
        <v>4387.6309920258864</v>
      </c>
      <c r="L1603" s="187">
        <v>15177</v>
      </c>
      <c r="M1603" s="187">
        <v>19649.630859375</v>
      </c>
      <c r="N1603" s="187">
        <v>15177</v>
      </c>
      <c r="O1603" t="s">
        <v>2060</v>
      </c>
    </row>
    <row r="1604" spans="1:15" hidden="1" x14ac:dyDescent="0.45">
      <c r="A1604" s="187">
        <v>2017</v>
      </c>
      <c r="B1604" t="s">
        <v>311</v>
      </c>
      <c r="C1604" t="s">
        <v>322</v>
      </c>
      <c r="D1604" t="s">
        <v>35</v>
      </c>
      <c r="E1604" t="s">
        <v>16</v>
      </c>
      <c r="F1604" t="s">
        <v>16</v>
      </c>
      <c r="G1604" t="s">
        <v>37</v>
      </c>
      <c r="H1604" t="s">
        <v>43</v>
      </c>
      <c r="I1604" s="187"/>
      <c r="J1604" s="187">
        <v>104</v>
      </c>
      <c r="K1604" s="187">
        <v>4150.8593670935716</v>
      </c>
      <c r="L1604" s="187">
        <v>17673</v>
      </c>
      <c r="M1604" s="187">
        <v>21927.859375</v>
      </c>
      <c r="N1604" s="187">
        <v>17673</v>
      </c>
      <c r="O1604" t="s">
        <v>2064</v>
      </c>
    </row>
    <row r="1605" spans="1:15" hidden="1" x14ac:dyDescent="0.45">
      <c r="A1605" s="187">
        <v>2017</v>
      </c>
      <c r="B1605" t="s">
        <v>309</v>
      </c>
      <c r="C1605" t="s">
        <v>322</v>
      </c>
      <c r="D1605" t="s">
        <v>35</v>
      </c>
      <c r="E1605" t="s">
        <v>16</v>
      </c>
      <c r="F1605" t="s">
        <v>16</v>
      </c>
      <c r="G1605" t="s">
        <v>37</v>
      </c>
      <c r="H1605" t="s">
        <v>43</v>
      </c>
      <c r="I1605" s="187"/>
      <c r="J1605" s="187">
        <v>86.663999999999987</v>
      </c>
      <c r="K1605" s="187">
        <v>4039.9400699808798</v>
      </c>
      <c r="L1605" s="187">
        <v>11427</v>
      </c>
      <c r="M1605" s="187">
        <v>15553.603515625</v>
      </c>
      <c r="N1605" s="187">
        <v>11427</v>
      </c>
      <c r="O1605" t="s">
        <v>2062</v>
      </c>
    </row>
    <row r="1606" spans="1:15" hidden="1" x14ac:dyDescent="0.45">
      <c r="A1606" s="187">
        <v>2017</v>
      </c>
      <c r="B1606" t="s">
        <v>310</v>
      </c>
      <c r="C1606" t="s">
        <v>322</v>
      </c>
      <c r="D1606" t="s">
        <v>35</v>
      </c>
      <c r="E1606" t="s">
        <v>351</v>
      </c>
      <c r="F1606" t="s">
        <v>351</v>
      </c>
      <c r="G1606" t="s">
        <v>37</v>
      </c>
      <c r="H1606" t="s">
        <v>43</v>
      </c>
      <c r="I1606" s="187"/>
      <c r="J1606" s="187">
        <v>0</v>
      </c>
      <c r="K1606" s="187">
        <v>32.239225046459048</v>
      </c>
      <c r="L1606" s="187">
        <v>169</v>
      </c>
      <c r="M1606" s="187">
        <v>201.23922729492188</v>
      </c>
      <c r="N1606" s="187">
        <v>169</v>
      </c>
      <c r="O1606" t="s">
        <v>2067</v>
      </c>
    </row>
    <row r="1607" spans="1:15" hidden="1" x14ac:dyDescent="0.45">
      <c r="A1607" s="187">
        <v>2017</v>
      </c>
      <c r="B1607" t="s">
        <v>311</v>
      </c>
      <c r="C1607" t="s">
        <v>322</v>
      </c>
      <c r="D1607" t="s">
        <v>35</v>
      </c>
      <c r="E1607" t="s">
        <v>351</v>
      </c>
      <c r="F1607" t="s">
        <v>351</v>
      </c>
      <c r="G1607" t="s">
        <v>37</v>
      </c>
      <c r="H1607" t="s">
        <v>43</v>
      </c>
      <c r="I1607" s="187"/>
      <c r="J1607" s="187">
        <v>0</v>
      </c>
      <c r="K1607" s="187">
        <v>46.931948541559933</v>
      </c>
      <c r="L1607" s="187">
        <v>181</v>
      </c>
      <c r="M1607" s="187">
        <v>227.93194580078125</v>
      </c>
      <c r="N1607" s="187">
        <v>181</v>
      </c>
      <c r="O1607" t="s">
        <v>2068</v>
      </c>
    </row>
    <row r="1608" spans="1:15" hidden="1" x14ac:dyDescent="0.45">
      <c r="A1608" s="187">
        <v>2017</v>
      </c>
      <c r="B1608" t="s">
        <v>312</v>
      </c>
      <c r="C1608" t="s">
        <v>322</v>
      </c>
      <c r="D1608" t="s">
        <v>35</v>
      </c>
      <c r="E1608" t="s">
        <v>351</v>
      </c>
      <c r="F1608" t="s">
        <v>351</v>
      </c>
      <c r="G1608" t="s">
        <v>37</v>
      </c>
      <c r="H1608" t="s">
        <v>43</v>
      </c>
      <c r="I1608" s="187">
        <v>580.63184796937594</v>
      </c>
      <c r="J1608" s="187">
        <v>0</v>
      </c>
      <c r="K1608" s="187">
        <v>39.965967698915527</v>
      </c>
      <c r="L1608" s="187">
        <v>98</v>
      </c>
      <c r="M1608" s="187">
        <v>718.5977783203125</v>
      </c>
      <c r="N1608" s="187">
        <v>678.6318359375</v>
      </c>
      <c r="O1608" t="s">
        <v>2065</v>
      </c>
    </row>
    <row r="1609" spans="1:15" hidden="1" x14ac:dyDescent="0.45">
      <c r="A1609" s="187">
        <v>2017</v>
      </c>
      <c r="B1609" t="s">
        <v>309</v>
      </c>
      <c r="C1609" t="s">
        <v>322</v>
      </c>
      <c r="D1609" t="s">
        <v>35</v>
      </c>
      <c r="E1609" t="s">
        <v>351</v>
      </c>
      <c r="F1609" t="s">
        <v>351</v>
      </c>
      <c r="G1609" t="s">
        <v>37</v>
      </c>
      <c r="H1609" t="s">
        <v>43</v>
      </c>
      <c r="I1609" s="187"/>
      <c r="J1609" s="187">
        <v>0</v>
      </c>
      <c r="K1609" s="187">
        <v>185.42888268127271</v>
      </c>
      <c r="L1609" s="187">
        <v>124</v>
      </c>
      <c r="M1609" s="187">
        <v>309.42889404296875</v>
      </c>
      <c r="N1609" s="187">
        <v>124</v>
      </c>
      <c r="O1609" t="s">
        <v>2069</v>
      </c>
    </row>
    <row r="1610" spans="1:15" hidden="1" x14ac:dyDescent="0.45">
      <c r="A1610" s="187">
        <v>2017</v>
      </c>
      <c r="B1610" t="s">
        <v>313</v>
      </c>
      <c r="C1610" t="s">
        <v>322</v>
      </c>
      <c r="D1610" t="s">
        <v>35</v>
      </c>
      <c r="E1610" t="s">
        <v>351</v>
      </c>
      <c r="F1610" t="s">
        <v>351</v>
      </c>
      <c r="G1610" t="s">
        <v>37</v>
      </c>
      <c r="H1610" t="s">
        <v>43</v>
      </c>
      <c r="I1610" s="187">
        <v>80.504172931127286</v>
      </c>
      <c r="J1610" s="187">
        <v>0</v>
      </c>
      <c r="K1610" s="187">
        <v>57.6</v>
      </c>
      <c r="L1610" s="187">
        <v>337</v>
      </c>
      <c r="M1610" s="187">
        <v>475.10418701171875</v>
      </c>
      <c r="N1610" s="187">
        <v>417.50418090820313</v>
      </c>
      <c r="O1610" t="s">
        <v>2066</v>
      </c>
    </row>
    <row r="1611" spans="1:15" hidden="1" x14ac:dyDescent="0.45">
      <c r="A1611" s="187">
        <v>2017</v>
      </c>
      <c r="B1611" t="s">
        <v>312</v>
      </c>
      <c r="C1611" t="s">
        <v>322</v>
      </c>
      <c r="D1611" t="s">
        <v>35</v>
      </c>
      <c r="E1611" t="s">
        <v>352</v>
      </c>
      <c r="F1611" t="s">
        <v>361</v>
      </c>
      <c r="G1611" t="s">
        <v>36</v>
      </c>
      <c r="H1611" t="s">
        <v>43</v>
      </c>
      <c r="I1611" s="187"/>
      <c r="J1611" s="187">
        <v>0</v>
      </c>
      <c r="K1611" s="187">
        <v>0</v>
      </c>
      <c r="L1611" s="187"/>
      <c r="M1611" s="187">
        <v>0</v>
      </c>
      <c r="N1611" s="187">
        <v>0</v>
      </c>
      <c r="O1611" t="s">
        <v>2073</v>
      </c>
    </row>
    <row r="1612" spans="1:15" hidden="1" x14ac:dyDescent="0.45">
      <c r="A1612" s="187">
        <v>2017</v>
      </c>
      <c r="B1612" t="s">
        <v>313</v>
      </c>
      <c r="C1612" t="s">
        <v>322</v>
      </c>
      <c r="D1612" t="s">
        <v>35</v>
      </c>
      <c r="E1612" t="s">
        <v>352</v>
      </c>
      <c r="F1612" t="s">
        <v>361</v>
      </c>
      <c r="G1612" t="s">
        <v>36</v>
      </c>
      <c r="H1612" t="s">
        <v>43</v>
      </c>
      <c r="I1612" s="187"/>
      <c r="J1612" s="187">
        <v>0</v>
      </c>
      <c r="K1612" s="187">
        <v>0</v>
      </c>
      <c r="L1612" s="187"/>
      <c r="M1612" s="187">
        <v>0</v>
      </c>
      <c r="N1612" s="187">
        <v>0</v>
      </c>
      <c r="O1612" t="s">
        <v>2070</v>
      </c>
    </row>
    <row r="1613" spans="1:15" hidden="1" x14ac:dyDescent="0.45">
      <c r="A1613" s="187">
        <v>2017</v>
      </c>
      <c r="B1613" t="s">
        <v>309</v>
      </c>
      <c r="C1613" t="s">
        <v>322</v>
      </c>
      <c r="D1613" t="s">
        <v>35</v>
      </c>
      <c r="E1613" t="s">
        <v>352</v>
      </c>
      <c r="F1613" t="s">
        <v>361</v>
      </c>
      <c r="G1613" t="s">
        <v>36</v>
      </c>
      <c r="H1613" t="s">
        <v>43</v>
      </c>
      <c r="I1613" s="187"/>
      <c r="J1613" s="187">
        <v>0</v>
      </c>
      <c r="K1613" s="187">
        <v>0</v>
      </c>
      <c r="L1613" s="187">
        <v>0</v>
      </c>
      <c r="M1613" s="187">
        <v>0</v>
      </c>
      <c r="N1613" s="187">
        <v>0</v>
      </c>
      <c r="O1613" t="s">
        <v>2072</v>
      </c>
    </row>
    <row r="1614" spans="1:15" hidden="1" x14ac:dyDescent="0.45">
      <c r="A1614" s="187">
        <v>2017</v>
      </c>
      <c r="B1614" t="s">
        <v>310</v>
      </c>
      <c r="C1614" t="s">
        <v>322</v>
      </c>
      <c r="D1614" t="s">
        <v>35</v>
      </c>
      <c r="E1614" t="s">
        <v>352</v>
      </c>
      <c r="F1614" t="s">
        <v>361</v>
      </c>
      <c r="G1614" t="s">
        <v>36</v>
      </c>
      <c r="H1614" t="s">
        <v>43</v>
      </c>
      <c r="I1614" s="187"/>
      <c r="J1614" s="187">
        <v>0</v>
      </c>
      <c r="K1614" s="187">
        <v>0</v>
      </c>
      <c r="L1614" s="187"/>
      <c r="M1614" s="187">
        <v>0</v>
      </c>
      <c r="N1614" s="187">
        <v>0</v>
      </c>
      <c r="O1614" t="s">
        <v>2074</v>
      </c>
    </row>
    <row r="1615" spans="1:15" hidden="1" x14ac:dyDescent="0.45">
      <c r="A1615" s="187">
        <v>2017</v>
      </c>
      <c r="B1615" t="s">
        <v>311</v>
      </c>
      <c r="C1615" t="s">
        <v>322</v>
      </c>
      <c r="D1615" t="s">
        <v>35</v>
      </c>
      <c r="E1615" t="s">
        <v>352</v>
      </c>
      <c r="F1615" t="s">
        <v>361</v>
      </c>
      <c r="G1615" t="s">
        <v>36</v>
      </c>
      <c r="H1615" t="s">
        <v>43</v>
      </c>
      <c r="I1615" s="187"/>
      <c r="J1615" s="187">
        <v>0</v>
      </c>
      <c r="K1615" s="187">
        <v>0</v>
      </c>
      <c r="L1615" s="187"/>
      <c r="M1615" s="187">
        <v>0</v>
      </c>
      <c r="N1615" s="187">
        <v>0</v>
      </c>
      <c r="O1615" t="s">
        <v>2071</v>
      </c>
    </row>
    <row r="1616" spans="1:15" hidden="1" x14ac:dyDescent="0.45">
      <c r="A1616" s="187">
        <v>2017</v>
      </c>
      <c r="B1616" t="s">
        <v>312</v>
      </c>
      <c r="C1616" t="s">
        <v>322</v>
      </c>
      <c r="D1616" t="s">
        <v>35</v>
      </c>
      <c r="E1616" t="s">
        <v>353</v>
      </c>
      <c r="F1616" t="s">
        <v>383</v>
      </c>
      <c r="G1616" t="s">
        <v>36</v>
      </c>
      <c r="H1616" t="s">
        <v>43</v>
      </c>
      <c r="I1616" s="187">
        <v>17064.373272862937</v>
      </c>
      <c r="J1616" s="187">
        <v>1083.2390306951261</v>
      </c>
      <c r="K1616" s="187">
        <v>16989.530226121238</v>
      </c>
      <c r="L1616" s="187">
        <v>27568.186016343767</v>
      </c>
      <c r="M1616" s="187">
        <v>62705.328125</v>
      </c>
      <c r="N1616" s="187">
        <v>44632.55859375</v>
      </c>
      <c r="O1616" t="s">
        <v>2077</v>
      </c>
    </row>
    <row r="1617" spans="1:15" hidden="1" x14ac:dyDescent="0.45">
      <c r="A1617" s="187">
        <v>2017</v>
      </c>
      <c r="B1617" t="s">
        <v>310</v>
      </c>
      <c r="C1617" t="s">
        <v>322</v>
      </c>
      <c r="D1617" t="s">
        <v>35</v>
      </c>
      <c r="E1617" t="s">
        <v>353</v>
      </c>
      <c r="F1617" t="s">
        <v>383</v>
      </c>
      <c r="G1617" t="s">
        <v>36</v>
      </c>
      <c r="H1617" t="s">
        <v>43</v>
      </c>
      <c r="I1617" s="187"/>
      <c r="J1617" s="187">
        <v>758.47807793314018</v>
      </c>
      <c r="K1617" s="187">
        <v>17731.710002084626</v>
      </c>
      <c r="L1617" s="187">
        <v>32302.012074183614</v>
      </c>
      <c r="M1617" s="187">
        <v>50792.19921875</v>
      </c>
      <c r="N1617" s="187">
        <v>32302.01171875</v>
      </c>
      <c r="O1617" t="s">
        <v>2075</v>
      </c>
    </row>
    <row r="1618" spans="1:15" hidden="1" x14ac:dyDescent="0.45">
      <c r="A1618" s="187">
        <v>2017</v>
      </c>
      <c r="B1618" t="s">
        <v>313</v>
      </c>
      <c r="C1618" t="s">
        <v>322</v>
      </c>
      <c r="D1618" t="s">
        <v>35</v>
      </c>
      <c r="E1618" t="s">
        <v>353</v>
      </c>
      <c r="F1618" t="s">
        <v>383</v>
      </c>
      <c r="G1618" t="s">
        <v>36</v>
      </c>
      <c r="H1618" t="s">
        <v>43</v>
      </c>
      <c r="I1618" s="187">
        <v>23360.668462622194</v>
      </c>
      <c r="J1618" s="187">
        <v>987.06290461441972</v>
      </c>
      <c r="K1618" s="187">
        <v>17673.309385041441</v>
      </c>
      <c r="L1618" s="187">
        <v>26677.052045829038</v>
      </c>
      <c r="M1618" s="187">
        <v>68698.09375</v>
      </c>
      <c r="N1618" s="187">
        <v>50037.71875</v>
      </c>
      <c r="O1618" t="s">
        <v>2079</v>
      </c>
    </row>
    <row r="1619" spans="1:15" hidden="1" x14ac:dyDescent="0.45">
      <c r="A1619" s="187">
        <v>2017</v>
      </c>
      <c r="B1619" t="s">
        <v>309</v>
      </c>
      <c r="C1619" t="s">
        <v>322</v>
      </c>
      <c r="D1619" t="s">
        <v>35</v>
      </c>
      <c r="E1619" t="s">
        <v>353</v>
      </c>
      <c r="F1619" t="s">
        <v>383</v>
      </c>
      <c r="G1619" t="s">
        <v>36</v>
      </c>
      <c r="H1619" t="s">
        <v>43</v>
      </c>
      <c r="I1619" s="187"/>
      <c r="J1619" s="187">
        <v>794.81104708544615</v>
      </c>
      <c r="K1619" s="187">
        <v>16435.314529555246</v>
      </c>
      <c r="L1619" s="187">
        <v>22535.542555029348</v>
      </c>
      <c r="M1619" s="187">
        <v>39765.66796875</v>
      </c>
      <c r="N1619" s="187">
        <v>22535.54296875</v>
      </c>
      <c r="O1619" t="s">
        <v>2078</v>
      </c>
    </row>
    <row r="1620" spans="1:15" hidden="1" x14ac:dyDescent="0.45">
      <c r="A1620" s="187">
        <v>2017</v>
      </c>
      <c r="B1620" t="s">
        <v>311</v>
      </c>
      <c r="C1620" t="s">
        <v>322</v>
      </c>
      <c r="D1620" t="s">
        <v>35</v>
      </c>
      <c r="E1620" t="s">
        <v>353</v>
      </c>
      <c r="F1620" t="s">
        <v>383</v>
      </c>
      <c r="G1620" t="s">
        <v>36</v>
      </c>
      <c r="H1620" t="s">
        <v>43</v>
      </c>
      <c r="I1620" s="187"/>
      <c r="J1620" s="187">
        <v>1007.4823568974531</v>
      </c>
      <c r="K1620" s="187">
        <v>16708.655512093799</v>
      </c>
      <c r="L1620" s="187">
        <v>38035.647208185495</v>
      </c>
      <c r="M1620" s="187">
        <v>55751.78515625</v>
      </c>
      <c r="N1620" s="187">
        <v>38035.6484375</v>
      </c>
      <c r="O1620" t="s">
        <v>2076</v>
      </c>
    </row>
    <row r="1621" spans="1:15" hidden="1" x14ac:dyDescent="0.45">
      <c r="A1621" s="187">
        <v>2017</v>
      </c>
      <c r="B1621" t="s">
        <v>310</v>
      </c>
      <c r="C1621" t="s">
        <v>322</v>
      </c>
      <c r="D1621" t="s">
        <v>35</v>
      </c>
      <c r="E1621" t="s">
        <v>353</v>
      </c>
      <c r="F1621" t="s">
        <v>383</v>
      </c>
      <c r="G1621" t="s">
        <v>37</v>
      </c>
      <c r="H1621" t="s">
        <v>43</v>
      </c>
      <c r="I1621" s="187"/>
      <c r="J1621" s="187">
        <v>618</v>
      </c>
      <c r="K1621" s="187">
        <v>14446.644248185239</v>
      </c>
      <c r="L1621" s="187">
        <v>26875</v>
      </c>
      <c r="M1621" s="187">
        <v>41939.64453125</v>
      </c>
      <c r="N1621" s="187">
        <v>26875</v>
      </c>
      <c r="O1621" t="s">
        <v>2082</v>
      </c>
    </row>
    <row r="1622" spans="1:15" hidden="1" x14ac:dyDescent="0.45">
      <c r="A1622" s="187">
        <v>2017</v>
      </c>
      <c r="B1622" t="s">
        <v>311</v>
      </c>
      <c r="C1622" t="s">
        <v>322</v>
      </c>
      <c r="D1622" t="s">
        <v>35</v>
      </c>
      <c r="E1622" t="s">
        <v>353</v>
      </c>
      <c r="F1622" t="s">
        <v>383</v>
      </c>
      <c r="G1622" t="s">
        <v>37</v>
      </c>
      <c r="H1622" t="s">
        <v>43</v>
      </c>
      <c r="I1622" s="187"/>
      <c r="J1622" s="187">
        <v>823</v>
      </c>
      <c r="K1622" s="187">
        <v>13537.69229303664</v>
      </c>
      <c r="L1622" s="187">
        <v>31643</v>
      </c>
      <c r="M1622" s="187">
        <v>46003.69140625</v>
      </c>
      <c r="N1622" s="187">
        <v>31643</v>
      </c>
      <c r="O1622" t="s">
        <v>2084</v>
      </c>
    </row>
    <row r="1623" spans="1:15" hidden="1" x14ac:dyDescent="0.45">
      <c r="A1623" s="187">
        <v>2017</v>
      </c>
      <c r="B1623" t="s">
        <v>313</v>
      </c>
      <c r="C1623" t="s">
        <v>322</v>
      </c>
      <c r="D1623" t="s">
        <v>35</v>
      </c>
      <c r="E1623" t="s">
        <v>353</v>
      </c>
      <c r="F1623" t="s">
        <v>383</v>
      </c>
      <c r="G1623" t="s">
        <v>37</v>
      </c>
      <c r="H1623" t="s">
        <v>43</v>
      </c>
      <c r="I1623" s="187">
        <v>19501.483363636358</v>
      </c>
      <c r="J1623" s="187">
        <v>824</v>
      </c>
      <c r="K1623" s="187">
        <v>14753.676655453761</v>
      </c>
      <c r="L1623" s="187">
        <v>22270</v>
      </c>
      <c r="M1623" s="187">
        <v>57349.16015625</v>
      </c>
      <c r="N1623" s="187">
        <v>41771.484375</v>
      </c>
      <c r="O1623" t="s">
        <v>2081</v>
      </c>
    </row>
    <row r="1624" spans="1:15" hidden="1" x14ac:dyDescent="0.45">
      <c r="A1624" s="187">
        <v>2017</v>
      </c>
      <c r="B1624" t="s">
        <v>309</v>
      </c>
      <c r="C1624" t="s">
        <v>322</v>
      </c>
      <c r="D1624" t="s">
        <v>35</v>
      </c>
      <c r="E1624" t="s">
        <v>353</v>
      </c>
      <c r="F1624" t="s">
        <v>383</v>
      </c>
      <c r="G1624" t="s">
        <v>37</v>
      </c>
      <c r="H1624" t="s">
        <v>43</v>
      </c>
      <c r="I1624" s="187"/>
      <c r="J1624" s="187">
        <v>649.9799999999999</v>
      </c>
      <c r="K1624" s="187">
        <v>13585.18607621415</v>
      </c>
      <c r="L1624" s="187">
        <v>19257</v>
      </c>
      <c r="M1624" s="187">
        <v>33492.1640625</v>
      </c>
      <c r="N1624" s="187">
        <v>19257</v>
      </c>
      <c r="O1624" t="s">
        <v>2080</v>
      </c>
    </row>
    <row r="1625" spans="1:15" hidden="1" x14ac:dyDescent="0.45">
      <c r="A1625" s="187">
        <v>2017</v>
      </c>
      <c r="B1625" t="s">
        <v>312</v>
      </c>
      <c r="C1625" t="s">
        <v>322</v>
      </c>
      <c r="D1625" t="s">
        <v>35</v>
      </c>
      <c r="E1625" t="s">
        <v>353</v>
      </c>
      <c r="F1625" t="s">
        <v>383</v>
      </c>
      <c r="G1625" t="s">
        <v>37</v>
      </c>
      <c r="H1625" t="s">
        <v>43</v>
      </c>
      <c r="I1625" s="187">
        <v>13868.714583080129</v>
      </c>
      <c r="J1625" s="187">
        <v>893</v>
      </c>
      <c r="K1625" s="187">
        <v>13972.32000671033</v>
      </c>
      <c r="L1625" s="187">
        <v>22686</v>
      </c>
      <c r="M1625" s="187">
        <v>51420.03515625</v>
      </c>
      <c r="N1625" s="187">
        <v>36554.71484375</v>
      </c>
      <c r="O1625" t="s">
        <v>2083</v>
      </c>
    </row>
    <row r="1626" spans="1:15" hidden="1" x14ac:dyDescent="0.45">
      <c r="A1626" s="187">
        <v>2017</v>
      </c>
      <c r="B1626" t="s">
        <v>313</v>
      </c>
      <c r="C1626" t="s">
        <v>322</v>
      </c>
      <c r="D1626" t="s">
        <v>35</v>
      </c>
      <c r="E1626" t="s">
        <v>38</v>
      </c>
      <c r="F1626" t="s">
        <v>38</v>
      </c>
      <c r="G1626" t="s">
        <v>36</v>
      </c>
      <c r="H1626" t="s">
        <v>43</v>
      </c>
      <c r="I1626" s="187">
        <v>993.50995868315124</v>
      </c>
      <c r="J1626" s="187">
        <v>44.321999357686323</v>
      </c>
      <c r="K1626" s="187">
        <v>2983.202578198664</v>
      </c>
      <c r="L1626" s="187">
        <v>1851.9408380265691</v>
      </c>
      <c r="M1626" s="187">
        <v>5872.97509765625</v>
      </c>
      <c r="N1626" s="187">
        <v>2845.45068359375</v>
      </c>
      <c r="O1626" t="s">
        <v>2087</v>
      </c>
    </row>
    <row r="1627" spans="1:15" hidden="1" x14ac:dyDescent="0.45">
      <c r="A1627" s="187">
        <v>2017</v>
      </c>
      <c r="B1627" t="s">
        <v>312</v>
      </c>
      <c r="C1627" t="s">
        <v>322</v>
      </c>
      <c r="D1627" t="s">
        <v>35</v>
      </c>
      <c r="E1627" t="s">
        <v>38</v>
      </c>
      <c r="F1627" t="s">
        <v>38</v>
      </c>
      <c r="G1627" t="s">
        <v>36</v>
      </c>
      <c r="H1627" t="s">
        <v>43</v>
      </c>
      <c r="I1627" s="187">
        <v>921.554476195755</v>
      </c>
      <c r="J1627" s="187">
        <v>43.280098258366905</v>
      </c>
      <c r="K1627" s="187">
        <v>2620.1136217310323</v>
      </c>
      <c r="L1627" s="187">
        <v>1525.9326071664218</v>
      </c>
      <c r="M1627" s="187">
        <v>5110.880859375</v>
      </c>
      <c r="N1627" s="187">
        <v>2447.487060546875</v>
      </c>
      <c r="O1627" t="s">
        <v>2088</v>
      </c>
    </row>
    <row r="1628" spans="1:15" hidden="1" x14ac:dyDescent="0.45">
      <c r="A1628" s="187">
        <v>2017</v>
      </c>
      <c r="B1628" t="s">
        <v>310</v>
      </c>
      <c r="C1628" t="s">
        <v>322</v>
      </c>
      <c r="D1628" t="s">
        <v>35</v>
      </c>
      <c r="E1628" t="s">
        <v>38</v>
      </c>
      <c r="F1628" t="s">
        <v>38</v>
      </c>
      <c r="G1628" t="s">
        <v>36</v>
      </c>
      <c r="H1628" t="s">
        <v>43</v>
      </c>
      <c r="I1628" s="187"/>
      <c r="J1628" s="187">
        <v>196.15812360339834</v>
      </c>
      <c r="K1628" s="187">
        <v>2664.722394463312</v>
      </c>
      <c r="L1628" s="187">
        <v>1154.7174876120048</v>
      </c>
      <c r="M1628" s="187">
        <v>4015.59814453125</v>
      </c>
      <c r="N1628" s="187">
        <v>1154.717529296875</v>
      </c>
      <c r="O1628" t="s">
        <v>2085</v>
      </c>
    </row>
    <row r="1629" spans="1:15" hidden="1" x14ac:dyDescent="0.45">
      <c r="A1629" s="187">
        <v>2017</v>
      </c>
      <c r="B1629" t="s">
        <v>311</v>
      </c>
      <c r="C1629" t="s">
        <v>322</v>
      </c>
      <c r="D1629" t="s">
        <v>35</v>
      </c>
      <c r="E1629" t="s">
        <v>38</v>
      </c>
      <c r="F1629" t="s">
        <v>38</v>
      </c>
      <c r="G1629" t="s">
        <v>36</v>
      </c>
      <c r="H1629" t="s">
        <v>43</v>
      </c>
      <c r="I1629" s="187"/>
      <c r="J1629" s="187">
        <v>184.91764778497557</v>
      </c>
      <c r="K1629" s="187">
        <v>2665.6101696603928</v>
      </c>
      <c r="L1629" s="187">
        <v>2009.8635373042862</v>
      </c>
      <c r="M1629" s="187">
        <v>4860.3916015625</v>
      </c>
      <c r="N1629" s="187">
        <v>2009.863525390625</v>
      </c>
      <c r="O1629" t="s">
        <v>2089</v>
      </c>
    </row>
    <row r="1630" spans="1:15" hidden="1" x14ac:dyDescent="0.45">
      <c r="A1630" s="187">
        <v>2017</v>
      </c>
      <c r="B1630" t="s">
        <v>309</v>
      </c>
      <c r="C1630" t="s">
        <v>322</v>
      </c>
      <c r="D1630" t="s">
        <v>35</v>
      </c>
      <c r="E1630" t="s">
        <v>38</v>
      </c>
      <c r="F1630" t="s">
        <v>38</v>
      </c>
      <c r="G1630" t="s">
        <v>36</v>
      </c>
      <c r="H1630" t="s">
        <v>43</v>
      </c>
      <c r="I1630" s="187"/>
      <c r="J1630" s="187">
        <v>225.19646334087639</v>
      </c>
      <c r="K1630" s="187">
        <v>1112.7524476979497</v>
      </c>
      <c r="L1630" s="187">
        <v>2090.3530538347231</v>
      </c>
      <c r="M1630" s="187">
        <v>3428.302001953125</v>
      </c>
      <c r="N1630" s="187">
        <v>2090.35302734375</v>
      </c>
      <c r="O1630" t="s">
        <v>2086</v>
      </c>
    </row>
    <row r="1631" spans="1:15" hidden="1" x14ac:dyDescent="0.45">
      <c r="A1631" s="187">
        <v>2017</v>
      </c>
      <c r="B1631" t="s">
        <v>313</v>
      </c>
      <c r="C1631" t="s">
        <v>322</v>
      </c>
      <c r="D1631" t="s">
        <v>35</v>
      </c>
      <c r="E1631" t="s">
        <v>38</v>
      </c>
      <c r="F1631" t="s">
        <v>38</v>
      </c>
      <c r="G1631" t="s">
        <v>37</v>
      </c>
      <c r="H1631" t="s">
        <v>43</v>
      </c>
      <c r="I1631" s="187">
        <v>829.38199999999995</v>
      </c>
      <c r="J1631" s="187">
        <v>37</v>
      </c>
      <c r="K1631" s="187">
        <v>2490.3771714488039</v>
      </c>
      <c r="L1631" s="187">
        <v>1546</v>
      </c>
      <c r="M1631" s="187">
        <v>4902.75927734375</v>
      </c>
      <c r="N1631" s="187">
        <v>2375.382080078125</v>
      </c>
      <c r="O1631" t="s">
        <v>2092</v>
      </c>
    </row>
    <row r="1632" spans="1:15" hidden="1" x14ac:dyDescent="0.45">
      <c r="A1632" s="187">
        <v>2017</v>
      </c>
      <c r="B1632" t="s">
        <v>312</v>
      </c>
      <c r="C1632" t="s">
        <v>322</v>
      </c>
      <c r="D1632" t="s">
        <v>35</v>
      </c>
      <c r="E1632" t="s">
        <v>38</v>
      </c>
      <c r="F1632" t="s">
        <v>38</v>
      </c>
      <c r="G1632" t="s">
        <v>37</v>
      </c>
      <c r="H1632" t="s">
        <v>43</v>
      </c>
      <c r="I1632" s="187">
        <v>748.9742399999999</v>
      </c>
      <c r="J1632" s="187">
        <v>36</v>
      </c>
      <c r="K1632" s="187">
        <v>2154.8015448055571</v>
      </c>
      <c r="L1632" s="187">
        <v>1256</v>
      </c>
      <c r="M1632" s="187">
        <v>4195.77587890625</v>
      </c>
      <c r="N1632" s="187">
        <v>2004.9742431640625</v>
      </c>
      <c r="O1632" t="s">
        <v>2091</v>
      </c>
    </row>
    <row r="1633" spans="1:15" hidden="1" x14ac:dyDescent="0.45">
      <c r="A1633" s="187">
        <v>2017</v>
      </c>
      <c r="B1633" t="s">
        <v>310</v>
      </c>
      <c r="C1633" t="s">
        <v>322</v>
      </c>
      <c r="D1633" t="s">
        <v>35</v>
      </c>
      <c r="E1633" t="s">
        <v>38</v>
      </c>
      <c r="F1633" t="s">
        <v>38</v>
      </c>
      <c r="G1633" t="s">
        <v>37</v>
      </c>
      <c r="H1633" t="s">
        <v>43</v>
      </c>
      <c r="I1633" s="187"/>
      <c r="J1633" s="187">
        <v>160</v>
      </c>
      <c r="K1633" s="187">
        <v>2171.0586151669741</v>
      </c>
      <c r="L1633" s="187">
        <v>961</v>
      </c>
      <c r="M1633" s="187">
        <v>3292.05859375</v>
      </c>
      <c r="N1633" s="187">
        <v>961</v>
      </c>
      <c r="O1633" t="s">
        <v>2090</v>
      </c>
    </row>
    <row r="1634" spans="1:15" hidden="1" x14ac:dyDescent="0.45">
      <c r="A1634" s="187">
        <v>2017</v>
      </c>
      <c r="B1634" t="s">
        <v>311</v>
      </c>
      <c r="C1634" t="s">
        <v>322</v>
      </c>
      <c r="D1634" t="s">
        <v>35</v>
      </c>
      <c r="E1634" t="s">
        <v>38</v>
      </c>
      <c r="F1634" t="s">
        <v>38</v>
      </c>
      <c r="G1634" t="s">
        <v>37</v>
      </c>
      <c r="H1634" t="s">
        <v>43</v>
      </c>
      <c r="I1634" s="187"/>
      <c r="J1634" s="187">
        <v>151</v>
      </c>
      <c r="K1634" s="187">
        <v>2159.7315369828671</v>
      </c>
      <c r="L1634" s="187">
        <v>1672</v>
      </c>
      <c r="M1634" s="187">
        <v>3982.7314453125</v>
      </c>
      <c r="N1634" s="187">
        <v>1672</v>
      </c>
      <c r="O1634" t="s">
        <v>2093</v>
      </c>
    </row>
    <row r="1635" spans="1:15" hidden="1" x14ac:dyDescent="0.45">
      <c r="A1635" s="187">
        <v>2017</v>
      </c>
      <c r="B1635" t="s">
        <v>309</v>
      </c>
      <c r="C1635" t="s">
        <v>322</v>
      </c>
      <c r="D1635" t="s">
        <v>35</v>
      </c>
      <c r="E1635" t="s">
        <v>38</v>
      </c>
      <c r="F1635" t="s">
        <v>38</v>
      </c>
      <c r="G1635" t="s">
        <v>37</v>
      </c>
      <c r="H1635" t="s">
        <v>43</v>
      </c>
      <c r="I1635" s="187"/>
      <c r="J1635" s="187">
        <v>184.161</v>
      </c>
      <c r="K1635" s="187">
        <v>919.78459137821449</v>
      </c>
      <c r="L1635" s="187">
        <v>1786</v>
      </c>
      <c r="M1635" s="187">
        <v>2889.945556640625</v>
      </c>
      <c r="N1635" s="187">
        <v>1786</v>
      </c>
      <c r="O1635" t="s">
        <v>2094</v>
      </c>
    </row>
    <row r="1636" spans="1:15" hidden="1" x14ac:dyDescent="0.45">
      <c r="A1636" s="187">
        <v>2017</v>
      </c>
      <c r="B1636" t="s">
        <v>309</v>
      </c>
      <c r="C1636" t="s">
        <v>322</v>
      </c>
      <c r="D1636" t="s">
        <v>35</v>
      </c>
      <c r="E1636" t="s">
        <v>354</v>
      </c>
      <c r="F1636" t="s">
        <v>384</v>
      </c>
      <c r="G1636" t="s">
        <v>36</v>
      </c>
      <c r="H1636" t="s">
        <v>43</v>
      </c>
      <c r="I1636" s="187"/>
      <c r="J1636" s="187">
        <v>0</v>
      </c>
      <c r="K1636" s="187">
        <v>0</v>
      </c>
      <c r="L1636" s="187">
        <v>0</v>
      </c>
      <c r="M1636" s="187">
        <v>0</v>
      </c>
      <c r="N1636" s="187">
        <v>0</v>
      </c>
      <c r="O1636" t="s">
        <v>2096</v>
      </c>
    </row>
    <row r="1637" spans="1:15" hidden="1" x14ac:dyDescent="0.45">
      <c r="A1637" s="187">
        <v>2017</v>
      </c>
      <c r="B1637" t="s">
        <v>310</v>
      </c>
      <c r="C1637" t="s">
        <v>322</v>
      </c>
      <c r="D1637" t="s">
        <v>35</v>
      </c>
      <c r="E1637" t="s">
        <v>354</v>
      </c>
      <c r="F1637" t="s">
        <v>384</v>
      </c>
      <c r="G1637" t="s">
        <v>36</v>
      </c>
      <c r="H1637" t="s">
        <v>43</v>
      </c>
      <c r="I1637" s="187"/>
      <c r="J1637" s="187">
        <v>0</v>
      </c>
      <c r="K1637" s="187">
        <v>0</v>
      </c>
      <c r="L1637" s="187">
        <v>0</v>
      </c>
      <c r="M1637" s="187">
        <v>0</v>
      </c>
      <c r="N1637" s="187">
        <v>0</v>
      </c>
      <c r="O1637" t="s">
        <v>2098</v>
      </c>
    </row>
    <row r="1638" spans="1:15" hidden="1" x14ac:dyDescent="0.45">
      <c r="A1638" s="187">
        <v>2017</v>
      </c>
      <c r="B1638" t="s">
        <v>312</v>
      </c>
      <c r="C1638" t="s">
        <v>322</v>
      </c>
      <c r="D1638" t="s">
        <v>35</v>
      </c>
      <c r="E1638" t="s">
        <v>354</v>
      </c>
      <c r="F1638" t="s">
        <v>384</v>
      </c>
      <c r="G1638" t="s">
        <v>36</v>
      </c>
      <c r="H1638" t="s">
        <v>43</v>
      </c>
      <c r="I1638" s="187">
        <v>0</v>
      </c>
      <c r="J1638" s="187">
        <v>0</v>
      </c>
      <c r="K1638" s="187">
        <v>0</v>
      </c>
      <c r="L1638" s="187">
        <v>0</v>
      </c>
      <c r="M1638" s="187">
        <v>0</v>
      </c>
      <c r="N1638" s="187">
        <v>0</v>
      </c>
      <c r="O1638" t="s">
        <v>2095</v>
      </c>
    </row>
    <row r="1639" spans="1:15" hidden="1" x14ac:dyDescent="0.45">
      <c r="A1639" s="187">
        <v>2017</v>
      </c>
      <c r="B1639" t="s">
        <v>313</v>
      </c>
      <c r="C1639" t="s">
        <v>322</v>
      </c>
      <c r="D1639" t="s">
        <v>35</v>
      </c>
      <c r="E1639" t="s">
        <v>354</v>
      </c>
      <c r="F1639" t="s">
        <v>384</v>
      </c>
      <c r="G1639" t="s">
        <v>36</v>
      </c>
      <c r="H1639" t="s">
        <v>43</v>
      </c>
      <c r="I1639" s="187">
        <v>0</v>
      </c>
      <c r="J1639" s="187">
        <v>0</v>
      </c>
      <c r="K1639" s="187">
        <v>0</v>
      </c>
      <c r="L1639" s="187">
        <v>524.67664104504354</v>
      </c>
      <c r="M1639" s="187">
        <v>524.6766357421875</v>
      </c>
      <c r="N1639" s="187">
        <v>524.6766357421875</v>
      </c>
      <c r="O1639" t="s">
        <v>2099</v>
      </c>
    </row>
    <row r="1640" spans="1:15" hidden="1" x14ac:dyDescent="0.45">
      <c r="A1640" s="187">
        <v>2017</v>
      </c>
      <c r="B1640" t="s">
        <v>311</v>
      </c>
      <c r="C1640" t="s">
        <v>322</v>
      </c>
      <c r="D1640" t="s">
        <v>35</v>
      </c>
      <c r="E1640" t="s">
        <v>354</v>
      </c>
      <c r="F1640" t="s">
        <v>384</v>
      </c>
      <c r="G1640" t="s">
        <v>36</v>
      </c>
      <c r="H1640" t="s">
        <v>43</v>
      </c>
      <c r="I1640" s="187"/>
      <c r="J1640" s="187">
        <v>0</v>
      </c>
      <c r="K1640" s="187">
        <v>0</v>
      </c>
      <c r="L1640" s="187">
        <v>0</v>
      </c>
      <c r="M1640" s="187">
        <v>0</v>
      </c>
      <c r="N1640" s="187">
        <v>0</v>
      </c>
      <c r="O1640" t="s">
        <v>2097</v>
      </c>
    </row>
    <row r="1641" spans="1:15" hidden="1" x14ac:dyDescent="0.45">
      <c r="A1641" s="187">
        <v>2017</v>
      </c>
      <c r="B1641" t="s">
        <v>309</v>
      </c>
      <c r="C1641" t="s">
        <v>322</v>
      </c>
      <c r="D1641" t="s">
        <v>35</v>
      </c>
      <c r="E1641" t="s">
        <v>354</v>
      </c>
      <c r="F1641" t="s">
        <v>384</v>
      </c>
      <c r="G1641" t="s">
        <v>37</v>
      </c>
      <c r="H1641" t="s">
        <v>43</v>
      </c>
      <c r="I1641" s="187"/>
      <c r="J1641" s="187">
        <v>0</v>
      </c>
      <c r="K1641" s="187">
        <v>0</v>
      </c>
      <c r="L1641" s="187">
        <v>0</v>
      </c>
      <c r="M1641" s="187">
        <v>0</v>
      </c>
      <c r="N1641" s="187">
        <v>0</v>
      </c>
      <c r="O1641" t="s">
        <v>2100</v>
      </c>
    </row>
    <row r="1642" spans="1:15" hidden="1" x14ac:dyDescent="0.45">
      <c r="A1642" s="187">
        <v>2017</v>
      </c>
      <c r="B1642" t="s">
        <v>313</v>
      </c>
      <c r="C1642" t="s">
        <v>322</v>
      </c>
      <c r="D1642" t="s">
        <v>35</v>
      </c>
      <c r="E1642" t="s">
        <v>354</v>
      </c>
      <c r="F1642" t="s">
        <v>384</v>
      </c>
      <c r="G1642" t="s">
        <v>37</v>
      </c>
      <c r="H1642" t="s">
        <v>43</v>
      </c>
      <c r="I1642" s="187"/>
      <c r="J1642" s="187">
        <v>0</v>
      </c>
      <c r="K1642" s="187">
        <v>0</v>
      </c>
      <c r="L1642" s="187">
        <v>438</v>
      </c>
      <c r="M1642" s="187">
        <v>438</v>
      </c>
      <c r="N1642" s="187">
        <v>438</v>
      </c>
      <c r="O1642" t="s">
        <v>2101</v>
      </c>
    </row>
    <row r="1643" spans="1:15" hidden="1" x14ac:dyDescent="0.45">
      <c r="A1643" s="187">
        <v>2017</v>
      </c>
      <c r="B1643" t="s">
        <v>311</v>
      </c>
      <c r="C1643" t="s">
        <v>322</v>
      </c>
      <c r="D1643" t="s">
        <v>35</v>
      </c>
      <c r="E1643" t="s">
        <v>354</v>
      </c>
      <c r="F1643" t="s">
        <v>384</v>
      </c>
      <c r="G1643" t="s">
        <v>37</v>
      </c>
      <c r="H1643" t="s">
        <v>43</v>
      </c>
      <c r="I1643" s="187"/>
      <c r="J1643" s="187">
        <v>0</v>
      </c>
      <c r="K1643" s="187">
        <v>0</v>
      </c>
      <c r="L1643" s="187">
        <v>0</v>
      </c>
      <c r="M1643" s="187">
        <v>0</v>
      </c>
      <c r="N1643" s="187">
        <v>0</v>
      </c>
      <c r="O1643" t="s">
        <v>2103</v>
      </c>
    </row>
    <row r="1644" spans="1:15" hidden="1" x14ac:dyDescent="0.45">
      <c r="A1644" s="187">
        <v>2017</v>
      </c>
      <c r="B1644" t="s">
        <v>310</v>
      </c>
      <c r="C1644" t="s">
        <v>322</v>
      </c>
      <c r="D1644" t="s">
        <v>35</v>
      </c>
      <c r="E1644" t="s">
        <v>354</v>
      </c>
      <c r="F1644" t="s">
        <v>384</v>
      </c>
      <c r="G1644" t="s">
        <v>37</v>
      </c>
      <c r="H1644" t="s">
        <v>43</v>
      </c>
      <c r="I1644" s="187"/>
      <c r="J1644" s="187">
        <v>0</v>
      </c>
      <c r="K1644" s="187">
        <v>0</v>
      </c>
      <c r="L1644" s="187">
        <v>0</v>
      </c>
      <c r="M1644" s="187">
        <v>0</v>
      </c>
      <c r="N1644" s="187">
        <v>0</v>
      </c>
      <c r="O1644" t="s">
        <v>2104</v>
      </c>
    </row>
    <row r="1645" spans="1:15" hidden="1" x14ac:dyDescent="0.45">
      <c r="A1645" s="187">
        <v>2017</v>
      </c>
      <c r="B1645" t="s">
        <v>312</v>
      </c>
      <c r="C1645" t="s">
        <v>322</v>
      </c>
      <c r="D1645" t="s">
        <v>35</v>
      </c>
      <c r="E1645" t="s">
        <v>354</v>
      </c>
      <c r="F1645" t="s">
        <v>384</v>
      </c>
      <c r="G1645" t="s">
        <v>37</v>
      </c>
      <c r="H1645" t="s">
        <v>43</v>
      </c>
      <c r="I1645" s="187"/>
      <c r="J1645" s="187">
        <v>0</v>
      </c>
      <c r="K1645" s="187">
        <v>0</v>
      </c>
      <c r="L1645" s="187">
        <v>0</v>
      </c>
      <c r="M1645" s="187">
        <v>0</v>
      </c>
      <c r="N1645" s="187">
        <v>0</v>
      </c>
      <c r="O1645" t="s">
        <v>2102</v>
      </c>
    </row>
    <row r="1646" spans="1:15" hidden="1" x14ac:dyDescent="0.45">
      <c r="A1646" s="187">
        <v>2017</v>
      </c>
      <c r="B1646" t="s">
        <v>312</v>
      </c>
      <c r="C1646" t="s">
        <v>322</v>
      </c>
      <c r="D1646" t="s">
        <v>35</v>
      </c>
      <c r="E1646" t="s">
        <v>354</v>
      </c>
      <c r="F1646" t="s">
        <v>385</v>
      </c>
      <c r="G1646" t="s">
        <v>36</v>
      </c>
      <c r="H1646" t="s">
        <v>43</v>
      </c>
      <c r="I1646" s="187">
        <v>0</v>
      </c>
      <c r="J1646" s="187">
        <v>168.17409608965428</v>
      </c>
      <c r="K1646" s="187">
        <v>3007.6999520351842</v>
      </c>
      <c r="L1646" s="187">
        <v>289.35837121308163</v>
      </c>
      <c r="M1646" s="187">
        <v>3465.232421875</v>
      </c>
      <c r="N1646" s="187">
        <v>289.35836791992188</v>
      </c>
      <c r="O1646" t="s">
        <v>2105</v>
      </c>
    </row>
    <row r="1647" spans="1:15" hidden="1" x14ac:dyDescent="0.45">
      <c r="A1647" s="187">
        <v>2017</v>
      </c>
      <c r="B1647" t="s">
        <v>309</v>
      </c>
      <c r="C1647" t="s">
        <v>322</v>
      </c>
      <c r="D1647" t="s">
        <v>35</v>
      </c>
      <c r="E1647" t="s">
        <v>354</v>
      </c>
      <c r="F1647" t="s">
        <v>385</v>
      </c>
      <c r="G1647" t="s">
        <v>36</v>
      </c>
      <c r="H1647" t="s">
        <v>43</v>
      </c>
      <c r="I1647" s="187"/>
      <c r="J1647" s="187">
        <v>52.987403139029738</v>
      </c>
      <c r="K1647" s="187">
        <v>1868.7968250894983</v>
      </c>
      <c r="L1647" s="187">
        <v>0</v>
      </c>
      <c r="M1647" s="187">
        <v>1921.7841796875</v>
      </c>
      <c r="N1647" s="187">
        <v>0</v>
      </c>
      <c r="O1647" t="s">
        <v>2106</v>
      </c>
    </row>
    <row r="1648" spans="1:15" hidden="1" x14ac:dyDescent="0.45">
      <c r="A1648" s="187">
        <v>2017</v>
      </c>
      <c r="B1648" t="s">
        <v>311</v>
      </c>
      <c r="C1648" t="s">
        <v>322</v>
      </c>
      <c r="D1648" t="s">
        <v>35</v>
      </c>
      <c r="E1648" t="s">
        <v>354</v>
      </c>
      <c r="F1648" t="s">
        <v>385</v>
      </c>
      <c r="G1648" t="s">
        <v>36</v>
      </c>
      <c r="H1648" t="s">
        <v>43</v>
      </c>
      <c r="I1648" s="187"/>
      <c r="J1648" s="187">
        <v>51.011764906200156</v>
      </c>
      <c r="K1648" s="187">
        <v>2533.4855612118836</v>
      </c>
      <c r="L1648" s="187">
        <v>842.96941507495762</v>
      </c>
      <c r="M1648" s="187">
        <v>3427.466796875</v>
      </c>
      <c r="N1648" s="187">
        <v>842.96942138671875</v>
      </c>
      <c r="O1648" t="s">
        <v>2108</v>
      </c>
    </row>
    <row r="1649" spans="1:15" hidden="1" x14ac:dyDescent="0.45">
      <c r="A1649" s="187">
        <v>2017</v>
      </c>
      <c r="B1649" t="s">
        <v>310</v>
      </c>
      <c r="C1649" t="s">
        <v>322</v>
      </c>
      <c r="D1649" t="s">
        <v>35</v>
      </c>
      <c r="E1649" t="s">
        <v>354</v>
      </c>
      <c r="F1649" t="s">
        <v>385</v>
      </c>
      <c r="G1649" t="s">
        <v>36</v>
      </c>
      <c r="H1649" t="s">
        <v>43</v>
      </c>
      <c r="I1649" s="187"/>
      <c r="J1649" s="187">
        <v>52.308832960906223</v>
      </c>
      <c r="K1649" s="187">
        <v>1822.433370008529</v>
      </c>
      <c r="L1649" s="187">
        <v>0</v>
      </c>
      <c r="M1649" s="187">
        <v>1874.7421875</v>
      </c>
      <c r="N1649" s="187">
        <v>0</v>
      </c>
      <c r="O1649" t="s">
        <v>2109</v>
      </c>
    </row>
    <row r="1650" spans="1:15" hidden="1" x14ac:dyDescent="0.45">
      <c r="A1650" s="187">
        <v>2017</v>
      </c>
      <c r="B1650" t="s">
        <v>313</v>
      </c>
      <c r="C1650" t="s">
        <v>322</v>
      </c>
      <c r="D1650" t="s">
        <v>35</v>
      </c>
      <c r="E1650" t="s">
        <v>354</v>
      </c>
      <c r="F1650" t="s">
        <v>385</v>
      </c>
      <c r="G1650" t="s">
        <v>36</v>
      </c>
      <c r="H1650" t="s">
        <v>43</v>
      </c>
      <c r="I1650" s="187">
        <v>0</v>
      </c>
      <c r="J1650" s="187">
        <v>164.1111868108926</v>
      </c>
      <c r="K1650" s="187">
        <v>2281.8395791813487</v>
      </c>
      <c r="L1650" s="187">
        <v>198.85005117232242</v>
      </c>
      <c r="M1650" s="187">
        <v>2644.80078125</v>
      </c>
      <c r="N1650" s="187">
        <v>198.85005187988281</v>
      </c>
      <c r="O1650" t="s">
        <v>2107</v>
      </c>
    </row>
    <row r="1651" spans="1:15" hidden="1" x14ac:dyDescent="0.45">
      <c r="A1651" s="187">
        <v>2017</v>
      </c>
      <c r="B1651" t="s">
        <v>313</v>
      </c>
      <c r="C1651" t="s">
        <v>322</v>
      </c>
      <c r="D1651" t="s">
        <v>35</v>
      </c>
      <c r="E1651" t="s">
        <v>354</v>
      </c>
      <c r="F1651" t="s">
        <v>385</v>
      </c>
      <c r="G1651" t="s">
        <v>37</v>
      </c>
      <c r="H1651" t="s">
        <v>43</v>
      </c>
      <c r="I1651" s="187"/>
      <c r="J1651" s="187">
        <v>137</v>
      </c>
      <c r="K1651" s="187">
        <v>1904.87942</v>
      </c>
      <c r="L1651" s="187">
        <v>166</v>
      </c>
      <c r="M1651" s="187">
        <v>2207.87939453125</v>
      </c>
      <c r="N1651" s="187">
        <v>166</v>
      </c>
      <c r="O1651" t="s">
        <v>2110</v>
      </c>
    </row>
    <row r="1652" spans="1:15" hidden="1" x14ac:dyDescent="0.45">
      <c r="A1652" s="187">
        <v>2017</v>
      </c>
      <c r="B1652" t="s">
        <v>309</v>
      </c>
      <c r="C1652" t="s">
        <v>322</v>
      </c>
      <c r="D1652" t="s">
        <v>35</v>
      </c>
      <c r="E1652" t="s">
        <v>354</v>
      </c>
      <c r="F1652" t="s">
        <v>385</v>
      </c>
      <c r="G1652" t="s">
        <v>37</v>
      </c>
      <c r="H1652" t="s">
        <v>43</v>
      </c>
      <c r="I1652" s="187"/>
      <c r="J1652" s="187">
        <v>43.331999999999987</v>
      </c>
      <c r="K1652" s="187">
        <v>1544.7196073932439</v>
      </c>
      <c r="L1652" s="187">
        <v>0</v>
      </c>
      <c r="M1652" s="187">
        <v>1588.0516357421875</v>
      </c>
      <c r="N1652" s="187">
        <v>0</v>
      </c>
      <c r="O1652" t="s">
        <v>2111</v>
      </c>
    </row>
    <row r="1653" spans="1:15" hidden="1" x14ac:dyDescent="0.45">
      <c r="A1653" s="187">
        <v>2017</v>
      </c>
      <c r="B1653" t="s">
        <v>310</v>
      </c>
      <c r="C1653" t="s">
        <v>322</v>
      </c>
      <c r="D1653" t="s">
        <v>35</v>
      </c>
      <c r="E1653" t="s">
        <v>354</v>
      </c>
      <c r="F1653" t="s">
        <v>385</v>
      </c>
      <c r="G1653" t="s">
        <v>37</v>
      </c>
      <c r="H1653" t="s">
        <v>43</v>
      </c>
      <c r="I1653" s="187"/>
      <c r="J1653" s="187">
        <v>43</v>
      </c>
      <c r="K1653" s="187">
        <v>1484.811204628945</v>
      </c>
      <c r="L1653" s="187">
        <v>0</v>
      </c>
      <c r="M1653" s="187">
        <v>1527.8111572265625</v>
      </c>
      <c r="N1653" s="187">
        <v>0</v>
      </c>
      <c r="O1653" t="s">
        <v>2112</v>
      </c>
    </row>
    <row r="1654" spans="1:15" hidden="1" x14ac:dyDescent="0.45">
      <c r="A1654" s="187">
        <v>2017</v>
      </c>
      <c r="B1654" t="s">
        <v>311</v>
      </c>
      <c r="C1654" t="s">
        <v>322</v>
      </c>
      <c r="D1654" t="s">
        <v>35</v>
      </c>
      <c r="E1654" t="s">
        <v>354</v>
      </c>
      <c r="F1654" t="s">
        <v>385</v>
      </c>
      <c r="G1654" t="s">
        <v>37</v>
      </c>
      <c r="H1654" t="s">
        <v>43</v>
      </c>
      <c r="I1654" s="187"/>
      <c r="J1654" s="187">
        <v>42</v>
      </c>
      <c r="K1654" s="187">
        <v>2052.6814938349171</v>
      </c>
      <c r="L1654" s="187">
        <v>701</v>
      </c>
      <c r="M1654" s="187">
        <v>2795.681396484375</v>
      </c>
      <c r="N1654" s="187">
        <v>701</v>
      </c>
      <c r="O1654" t="s">
        <v>2114</v>
      </c>
    </row>
    <row r="1655" spans="1:15" hidden="1" x14ac:dyDescent="0.45">
      <c r="A1655" s="187">
        <v>2017</v>
      </c>
      <c r="B1655" t="s">
        <v>312</v>
      </c>
      <c r="C1655" t="s">
        <v>322</v>
      </c>
      <c r="D1655" t="s">
        <v>35</v>
      </c>
      <c r="E1655" t="s">
        <v>354</v>
      </c>
      <c r="F1655" t="s">
        <v>385</v>
      </c>
      <c r="G1655" t="s">
        <v>37</v>
      </c>
      <c r="H1655" t="s">
        <v>43</v>
      </c>
      <c r="I1655" s="187"/>
      <c r="J1655" s="187">
        <v>139</v>
      </c>
      <c r="K1655" s="187">
        <v>2473.5555165257351</v>
      </c>
      <c r="L1655" s="187">
        <v>238</v>
      </c>
      <c r="M1655" s="187">
        <v>2850.555419921875</v>
      </c>
      <c r="N1655" s="187">
        <v>238</v>
      </c>
      <c r="O1655" t="s">
        <v>2113</v>
      </c>
    </row>
    <row r="1656" spans="1:15" hidden="1" x14ac:dyDescent="0.45">
      <c r="A1656" s="187">
        <v>2017</v>
      </c>
      <c r="B1656" t="s">
        <v>312</v>
      </c>
      <c r="C1656" t="s">
        <v>322</v>
      </c>
      <c r="D1656" t="s">
        <v>35</v>
      </c>
      <c r="E1656" t="s">
        <v>354</v>
      </c>
      <c r="F1656" t="s">
        <v>386</v>
      </c>
      <c r="G1656" t="s">
        <v>36</v>
      </c>
      <c r="H1656" t="s">
        <v>43</v>
      </c>
      <c r="I1656" s="187">
        <v>0</v>
      </c>
      <c r="J1656" s="187">
        <v>24.731484719066806</v>
      </c>
      <c r="K1656" s="187">
        <v>4259.5606951284653</v>
      </c>
      <c r="L1656" s="187">
        <v>319.03615287596176</v>
      </c>
      <c r="M1656" s="187">
        <v>4603.328125</v>
      </c>
      <c r="N1656" s="187">
        <v>319.03616333007813</v>
      </c>
      <c r="O1656" t="s">
        <v>2119</v>
      </c>
    </row>
    <row r="1657" spans="1:15" hidden="1" x14ac:dyDescent="0.45">
      <c r="A1657" s="187">
        <v>2017</v>
      </c>
      <c r="B1657" t="s">
        <v>311</v>
      </c>
      <c r="C1657" t="s">
        <v>322</v>
      </c>
      <c r="D1657" t="s">
        <v>35</v>
      </c>
      <c r="E1657" t="s">
        <v>354</v>
      </c>
      <c r="F1657" t="s">
        <v>386</v>
      </c>
      <c r="G1657" t="s">
        <v>36</v>
      </c>
      <c r="H1657" t="s">
        <v>43</v>
      </c>
      <c r="I1657" s="187"/>
      <c r="J1657" s="187">
        <v>127.5294122655004</v>
      </c>
      <c r="K1657" s="187">
        <v>2877.7164330472065</v>
      </c>
      <c r="L1657" s="187">
        <v>147.93411822798046</v>
      </c>
      <c r="M1657" s="187">
        <v>3153.179931640625</v>
      </c>
      <c r="N1657" s="187">
        <v>147.93411254882813</v>
      </c>
      <c r="O1657" t="s">
        <v>2115</v>
      </c>
    </row>
    <row r="1658" spans="1:15" hidden="1" x14ac:dyDescent="0.45">
      <c r="A1658" s="187">
        <v>2017</v>
      </c>
      <c r="B1658" t="s">
        <v>313</v>
      </c>
      <c r="C1658" t="s">
        <v>322</v>
      </c>
      <c r="D1658" t="s">
        <v>35</v>
      </c>
      <c r="E1658" t="s">
        <v>354</v>
      </c>
      <c r="F1658" t="s">
        <v>386</v>
      </c>
      <c r="G1658" t="s">
        <v>36</v>
      </c>
      <c r="H1658" t="s">
        <v>43</v>
      </c>
      <c r="I1658" s="187">
        <v>0</v>
      </c>
      <c r="J1658" s="187">
        <v>23.957837490641257</v>
      </c>
      <c r="K1658" s="187">
        <v>3129.1937320447496</v>
      </c>
      <c r="L1658" s="187">
        <v>0</v>
      </c>
      <c r="M1658" s="187">
        <v>3153.151611328125</v>
      </c>
      <c r="N1658" s="187">
        <v>0</v>
      </c>
      <c r="O1658" t="s">
        <v>2117</v>
      </c>
    </row>
    <row r="1659" spans="1:15" hidden="1" x14ac:dyDescent="0.45">
      <c r="A1659" s="187">
        <v>2017</v>
      </c>
      <c r="B1659" t="s">
        <v>310</v>
      </c>
      <c r="C1659" t="s">
        <v>322</v>
      </c>
      <c r="D1659" t="s">
        <v>35</v>
      </c>
      <c r="E1659" t="s">
        <v>354</v>
      </c>
      <c r="F1659" t="s">
        <v>386</v>
      </c>
      <c r="G1659" t="s">
        <v>36</v>
      </c>
      <c r="H1659" t="s">
        <v>43</v>
      </c>
      <c r="I1659" s="187"/>
      <c r="J1659" s="187">
        <v>209.23533184362489</v>
      </c>
      <c r="K1659" s="187">
        <v>4511.9922951017597</v>
      </c>
      <c r="L1659" s="187">
        <v>160.84966135478663</v>
      </c>
      <c r="M1659" s="187">
        <v>4882.0771484375</v>
      </c>
      <c r="N1659" s="187">
        <v>160.84965515136719</v>
      </c>
      <c r="O1659" t="s">
        <v>2118</v>
      </c>
    </row>
    <row r="1660" spans="1:15" hidden="1" x14ac:dyDescent="0.45">
      <c r="A1660" s="187">
        <v>2017</v>
      </c>
      <c r="B1660" t="s">
        <v>309</v>
      </c>
      <c r="C1660" t="s">
        <v>322</v>
      </c>
      <c r="D1660" t="s">
        <v>35</v>
      </c>
      <c r="E1660" t="s">
        <v>354</v>
      </c>
      <c r="F1660" t="s">
        <v>386</v>
      </c>
      <c r="G1660" t="s">
        <v>36</v>
      </c>
      <c r="H1660" t="s">
        <v>43</v>
      </c>
      <c r="I1660" s="187"/>
      <c r="J1660" s="187">
        <v>66.234253923787179</v>
      </c>
      <c r="K1660" s="187">
        <v>934.39841254474914</v>
      </c>
      <c r="L1660" s="187">
        <v>161.61157957404072</v>
      </c>
      <c r="M1660" s="187">
        <v>1162.2442626953125</v>
      </c>
      <c r="N1660" s="187">
        <v>161.611572265625</v>
      </c>
      <c r="O1660" t="s">
        <v>2116</v>
      </c>
    </row>
    <row r="1661" spans="1:15" hidden="1" x14ac:dyDescent="0.45">
      <c r="A1661" s="187">
        <v>2017</v>
      </c>
      <c r="B1661" t="s">
        <v>310</v>
      </c>
      <c r="C1661" t="s">
        <v>322</v>
      </c>
      <c r="D1661" t="s">
        <v>35</v>
      </c>
      <c r="E1661" t="s">
        <v>354</v>
      </c>
      <c r="F1661" t="s">
        <v>386</v>
      </c>
      <c r="G1661" t="s">
        <v>37</v>
      </c>
      <c r="H1661" t="s">
        <v>43</v>
      </c>
      <c r="I1661" s="187"/>
      <c r="J1661" s="187">
        <v>170</v>
      </c>
      <c r="K1661" s="187">
        <v>3676.1051598474678</v>
      </c>
      <c r="L1661" s="187">
        <v>134</v>
      </c>
      <c r="M1661" s="187">
        <v>3980.105224609375</v>
      </c>
      <c r="N1661" s="187">
        <v>134</v>
      </c>
      <c r="O1661" t="s">
        <v>2122</v>
      </c>
    </row>
    <row r="1662" spans="1:15" hidden="1" x14ac:dyDescent="0.45">
      <c r="A1662" s="187">
        <v>2017</v>
      </c>
      <c r="B1662" t="s">
        <v>311</v>
      </c>
      <c r="C1662" t="s">
        <v>322</v>
      </c>
      <c r="D1662" t="s">
        <v>35</v>
      </c>
      <c r="E1662" t="s">
        <v>354</v>
      </c>
      <c r="F1662" t="s">
        <v>386</v>
      </c>
      <c r="G1662" t="s">
        <v>37</v>
      </c>
      <c r="H1662" t="s">
        <v>43</v>
      </c>
      <c r="I1662" s="187"/>
      <c r="J1662" s="187">
        <v>104</v>
      </c>
      <c r="K1662" s="187">
        <v>2331.5843425588819</v>
      </c>
      <c r="L1662" s="187">
        <v>123</v>
      </c>
      <c r="M1662" s="187">
        <v>2558.584228515625</v>
      </c>
      <c r="N1662" s="187">
        <v>123</v>
      </c>
      <c r="O1662" t="s">
        <v>2123</v>
      </c>
    </row>
    <row r="1663" spans="1:15" hidden="1" x14ac:dyDescent="0.45">
      <c r="A1663" s="187">
        <v>2017</v>
      </c>
      <c r="B1663" t="s">
        <v>312</v>
      </c>
      <c r="C1663" t="s">
        <v>322</v>
      </c>
      <c r="D1663" t="s">
        <v>35</v>
      </c>
      <c r="E1663" t="s">
        <v>354</v>
      </c>
      <c r="F1663" t="s">
        <v>386</v>
      </c>
      <c r="G1663" t="s">
        <v>37</v>
      </c>
      <c r="H1663" t="s">
        <v>43</v>
      </c>
      <c r="I1663" s="187"/>
      <c r="J1663" s="187">
        <v>20</v>
      </c>
      <c r="K1663" s="187">
        <v>3503.0953962950211</v>
      </c>
      <c r="L1663" s="187">
        <v>263</v>
      </c>
      <c r="M1663" s="187">
        <v>3786.095458984375</v>
      </c>
      <c r="N1663" s="187">
        <v>263</v>
      </c>
      <c r="O1663" t="s">
        <v>2124</v>
      </c>
    </row>
    <row r="1664" spans="1:15" hidden="1" x14ac:dyDescent="0.45">
      <c r="A1664" s="187">
        <v>2017</v>
      </c>
      <c r="B1664" t="s">
        <v>309</v>
      </c>
      <c r="C1664" t="s">
        <v>322</v>
      </c>
      <c r="D1664" t="s">
        <v>35</v>
      </c>
      <c r="E1664" t="s">
        <v>354</v>
      </c>
      <c r="F1664" t="s">
        <v>386</v>
      </c>
      <c r="G1664" t="s">
        <v>37</v>
      </c>
      <c r="H1664" t="s">
        <v>43</v>
      </c>
      <c r="I1664" s="187"/>
      <c r="J1664" s="187">
        <v>54.164999999999999</v>
      </c>
      <c r="K1664" s="187">
        <v>772.35980369662218</v>
      </c>
      <c r="L1664" s="187">
        <v>139</v>
      </c>
      <c r="M1664" s="187">
        <v>965.5247802734375</v>
      </c>
      <c r="N1664" s="187">
        <v>139</v>
      </c>
      <c r="O1664" t="s">
        <v>2121</v>
      </c>
    </row>
    <row r="1665" spans="1:15" hidden="1" x14ac:dyDescent="0.45">
      <c r="A1665" s="187">
        <v>2017</v>
      </c>
      <c r="B1665" t="s">
        <v>313</v>
      </c>
      <c r="C1665" t="s">
        <v>322</v>
      </c>
      <c r="D1665" t="s">
        <v>35</v>
      </c>
      <c r="E1665" t="s">
        <v>354</v>
      </c>
      <c r="F1665" t="s">
        <v>386</v>
      </c>
      <c r="G1665" t="s">
        <v>37</v>
      </c>
      <c r="H1665" t="s">
        <v>43</v>
      </c>
      <c r="I1665" s="187"/>
      <c r="J1665" s="187">
        <v>20</v>
      </c>
      <c r="K1665" s="187">
        <v>2612.2505700000002</v>
      </c>
      <c r="L1665" s="187">
        <v>0</v>
      </c>
      <c r="M1665" s="187">
        <v>2632.25048828125</v>
      </c>
      <c r="N1665" s="187">
        <v>0</v>
      </c>
      <c r="O1665" t="s">
        <v>2120</v>
      </c>
    </row>
    <row r="1666" spans="1:15" hidden="1" x14ac:dyDescent="0.45">
      <c r="A1666" s="187">
        <v>2017</v>
      </c>
      <c r="B1666" t="s">
        <v>311</v>
      </c>
      <c r="C1666" t="s">
        <v>322</v>
      </c>
      <c r="D1666" t="s">
        <v>35</v>
      </c>
      <c r="E1666" t="s">
        <v>354</v>
      </c>
      <c r="F1666" t="s">
        <v>387</v>
      </c>
      <c r="G1666" t="s">
        <v>36</v>
      </c>
      <c r="H1666" t="s">
        <v>43</v>
      </c>
      <c r="I1666" s="187"/>
      <c r="J1666" s="187">
        <v>178.54117717170055</v>
      </c>
      <c r="K1666" s="187">
        <v>5411.2019942590905</v>
      </c>
      <c r="L1666" s="187">
        <v>990.90353330293806</v>
      </c>
      <c r="M1666" s="187">
        <v>6580.646484375</v>
      </c>
      <c r="N1666" s="187">
        <v>990.90350341796875</v>
      </c>
      <c r="O1666" t="s">
        <v>2125</v>
      </c>
    </row>
    <row r="1667" spans="1:15" hidden="1" x14ac:dyDescent="0.45">
      <c r="A1667" s="187">
        <v>2017</v>
      </c>
      <c r="B1667" t="s">
        <v>313</v>
      </c>
      <c r="C1667" t="s">
        <v>322</v>
      </c>
      <c r="D1667" t="s">
        <v>35</v>
      </c>
      <c r="E1667" t="s">
        <v>354</v>
      </c>
      <c r="F1667" t="s">
        <v>387</v>
      </c>
      <c r="G1667" t="s">
        <v>36</v>
      </c>
      <c r="H1667" t="s">
        <v>43</v>
      </c>
      <c r="I1667" s="187">
        <v>0</v>
      </c>
      <c r="J1667" s="187">
        <v>188.06902430153386</v>
      </c>
      <c r="K1667" s="187">
        <v>5411.0333112260969</v>
      </c>
      <c r="L1667" s="187">
        <v>723.52669221736596</v>
      </c>
      <c r="M1667" s="187">
        <v>6322.62939453125</v>
      </c>
      <c r="N1667" s="187">
        <v>723.52667236328125</v>
      </c>
      <c r="O1667" t="s">
        <v>2128</v>
      </c>
    </row>
    <row r="1668" spans="1:15" hidden="1" x14ac:dyDescent="0.45">
      <c r="A1668" s="187">
        <v>2017</v>
      </c>
      <c r="B1668" t="s">
        <v>312</v>
      </c>
      <c r="C1668" t="s">
        <v>322</v>
      </c>
      <c r="D1668" t="s">
        <v>35</v>
      </c>
      <c r="E1668" t="s">
        <v>354</v>
      </c>
      <c r="F1668" t="s">
        <v>387</v>
      </c>
      <c r="G1668" t="s">
        <v>36</v>
      </c>
      <c r="H1668" t="s">
        <v>43</v>
      </c>
      <c r="I1668" s="187">
        <v>0</v>
      </c>
      <c r="J1668" s="187">
        <v>192.90558080872108</v>
      </c>
      <c r="K1668" s="187">
        <v>7267.26064716365</v>
      </c>
      <c r="L1668" s="187">
        <v>608.39452408904344</v>
      </c>
      <c r="M1668" s="187">
        <v>8068.560546875</v>
      </c>
      <c r="N1668" s="187">
        <v>608.39453125</v>
      </c>
      <c r="O1668" t="s">
        <v>2126</v>
      </c>
    </row>
    <row r="1669" spans="1:15" hidden="1" x14ac:dyDescent="0.45">
      <c r="A1669" s="187">
        <v>2017</v>
      </c>
      <c r="B1669" t="s">
        <v>310</v>
      </c>
      <c r="C1669" t="s">
        <v>322</v>
      </c>
      <c r="D1669" t="s">
        <v>35</v>
      </c>
      <c r="E1669" t="s">
        <v>354</v>
      </c>
      <c r="F1669" t="s">
        <v>387</v>
      </c>
      <c r="G1669" t="s">
        <v>36</v>
      </c>
      <c r="H1669" t="s">
        <v>43</v>
      </c>
      <c r="I1669" s="187"/>
      <c r="J1669" s="187">
        <v>261.54416480453114</v>
      </c>
      <c r="K1669" s="187">
        <v>6334.4256651102869</v>
      </c>
      <c r="L1669" s="187">
        <v>160.84966135478663</v>
      </c>
      <c r="M1669" s="187">
        <v>6756.8193359375</v>
      </c>
      <c r="N1669" s="187">
        <v>160.84965515136719</v>
      </c>
      <c r="O1669" t="s">
        <v>2127</v>
      </c>
    </row>
    <row r="1670" spans="1:15" hidden="1" x14ac:dyDescent="0.45">
      <c r="A1670" s="187">
        <v>2017</v>
      </c>
      <c r="B1670" t="s">
        <v>309</v>
      </c>
      <c r="C1670" t="s">
        <v>322</v>
      </c>
      <c r="D1670" t="s">
        <v>35</v>
      </c>
      <c r="E1670" t="s">
        <v>354</v>
      </c>
      <c r="F1670" t="s">
        <v>387</v>
      </c>
      <c r="G1670" t="s">
        <v>36</v>
      </c>
      <c r="H1670" t="s">
        <v>43</v>
      </c>
      <c r="I1670" s="187"/>
      <c r="J1670" s="187">
        <v>119.22165706281692</v>
      </c>
      <c r="K1670" s="187">
        <v>2803.195237634247</v>
      </c>
      <c r="L1670" s="187">
        <v>161.61157957404072</v>
      </c>
      <c r="M1670" s="187">
        <v>3084.028564453125</v>
      </c>
      <c r="N1670" s="187">
        <v>161.611572265625</v>
      </c>
      <c r="O1670" t="s">
        <v>2129</v>
      </c>
    </row>
    <row r="1671" spans="1:15" hidden="1" x14ac:dyDescent="0.45">
      <c r="A1671" s="187">
        <v>2017</v>
      </c>
      <c r="B1671" t="s">
        <v>312</v>
      </c>
      <c r="C1671" t="s">
        <v>322</v>
      </c>
      <c r="D1671" t="s">
        <v>35</v>
      </c>
      <c r="E1671" t="s">
        <v>354</v>
      </c>
      <c r="F1671" t="s">
        <v>387</v>
      </c>
      <c r="G1671" t="s">
        <v>37</v>
      </c>
      <c r="H1671" t="s">
        <v>43</v>
      </c>
      <c r="I1671" s="187">
        <v>0</v>
      </c>
      <c r="J1671" s="187">
        <v>159</v>
      </c>
      <c r="K1671" s="187">
        <v>5976.6509128207563</v>
      </c>
      <c r="L1671" s="187">
        <v>501</v>
      </c>
      <c r="M1671" s="187">
        <v>6636.65087890625</v>
      </c>
      <c r="N1671" s="187">
        <v>501</v>
      </c>
      <c r="O1671" t="s">
        <v>2131</v>
      </c>
    </row>
    <row r="1672" spans="1:15" hidden="1" x14ac:dyDescent="0.45">
      <c r="A1672" s="187">
        <v>2017</v>
      </c>
      <c r="B1672" t="s">
        <v>311</v>
      </c>
      <c r="C1672" t="s">
        <v>322</v>
      </c>
      <c r="D1672" t="s">
        <v>35</v>
      </c>
      <c r="E1672" t="s">
        <v>354</v>
      </c>
      <c r="F1672" t="s">
        <v>387</v>
      </c>
      <c r="G1672" t="s">
        <v>37</v>
      </c>
      <c r="H1672" t="s">
        <v>43</v>
      </c>
      <c r="I1672" s="187"/>
      <c r="J1672" s="187">
        <v>146</v>
      </c>
      <c r="K1672" s="187">
        <v>4384.265836393799</v>
      </c>
      <c r="L1672" s="187">
        <v>824</v>
      </c>
      <c r="M1672" s="187">
        <v>5354.265625</v>
      </c>
      <c r="N1672" s="187">
        <v>824</v>
      </c>
      <c r="O1672" t="s">
        <v>2132</v>
      </c>
    </row>
    <row r="1673" spans="1:15" hidden="1" x14ac:dyDescent="0.45">
      <c r="A1673" s="187">
        <v>2017</v>
      </c>
      <c r="B1673" t="s">
        <v>309</v>
      </c>
      <c r="C1673" t="s">
        <v>322</v>
      </c>
      <c r="D1673" t="s">
        <v>35</v>
      </c>
      <c r="E1673" t="s">
        <v>354</v>
      </c>
      <c r="F1673" t="s">
        <v>387</v>
      </c>
      <c r="G1673" t="s">
        <v>37</v>
      </c>
      <c r="H1673" t="s">
        <v>43</v>
      </c>
      <c r="I1673" s="187"/>
      <c r="J1673" s="187">
        <v>97.496999999999986</v>
      </c>
      <c r="K1673" s="187">
        <v>2317.079411089866</v>
      </c>
      <c r="L1673" s="187">
        <v>139</v>
      </c>
      <c r="M1673" s="187">
        <v>2553.576416015625</v>
      </c>
      <c r="N1673" s="187">
        <v>139</v>
      </c>
      <c r="O1673" t="s">
        <v>2130</v>
      </c>
    </row>
    <row r="1674" spans="1:15" hidden="1" x14ac:dyDescent="0.45">
      <c r="A1674" s="187">
        <v>2017</v>
      </c>
      <c r="B1674" t="s">
        <v>310</v>
      </c>
      <c r="C1674" t="s">
        <v>322</v>
      </c>
      <c r="D1674" t="s">
        <v>35</v>
      </c>
      <c r="E1674" t="s">
        <v>354</v>
      </c>
      <c r="F1674" t="s">
        <v>387</v>
      </c>
      <c r="G1674" t="s">
        <v>37</v>
      </c>
      <c r="H1674" t="s">
        <v>43</v>
      </c>
      <c r="I1674" s="187"/>
      <c r="J1674" s="187">
        <v>213</v>
      </c>
      <c r="K1674" s="187">
        <v>5160.9163644764121</v>
      </c>
      <c r="L1674" s="187">
        <v>134</v>
      </c>
      <c r="M1674" s="187">
        <v>5507.91650390625</v>
      </c>
      <c r="N1674" s="187">
        <v>134</v>
      </c>
      <c r="O1674" t="s">
        <v>2134</v>
      </c>
    </row>
    <row r="1675" spans="1:15" hidden="1" x14ac:dyDescent="0.45">
      <c r="A1675" s="187">
        <v>2017</v>
      </c>
      <c r="B1675" t="s">
        <v>313</v>
      </c>
      <c r="C1675" t="s">
        <v>322</v>
      </c>
      <c r="D1675" t="s">
        <v>35</v>
      </c>
      <c r="E1675" t="s">
        <v>354</v>
      </c>
      <c r="F1675" t="s">
        <v>387</v>
      </c>
      <c r="G1675" t="s">
        <v>37</v>
      </c>
      <c r="H1675" t="s">
        <v>43</v>
      </c>
      <c r="I1675" s="187">
        <v>0</v>
      </c>
      <c r="J1675" s="187">
        <v>157</v>
      </c>
      <c r="K1675" s="187">
        <v>4517.1299899999995</v>
      </c>
      <c r="L1675" s="187">
        <v>604</v>
      </c>
      <c r="M1675" s="187">
        <v>5278.1298828125</v>
      </c>
      <c r="N1675" s="187">
        <v>604</v>
      </c>
      <c r="O1675" t="s">
        <v>2133</v>
      </c>
    </row>
    <row r="1676" spans="1:15" hidden="1" x14ac:dyDescent="0.45">
      <c r="A1676" s="187">
        <v>2017</v>
      </c>
      <c r="B1676" t="s">
        <v>310</v>
      </c>
      <c r="C1676" t="s">
        <v>322</v>
      </c>
      <c r="D1676" t="s">
        <v>35</v>
      </c>
      <c r="E1676" t="s">
        <v>17</v>
      </c>
      <c r="F1676" t="s">
        <v>17</v>
      </c>
      <c r="G1676" t="s">
        <v>36</v>
      </c>
      <c r="H1676" t="s">
        <v>43</v>
      </c>
      <c r="I1676" s="187"/>
      <c r="J1676" s="187">
        <v>52.308832960906223</v>
      </c>
      <c r="K1676" s="187">
        <v>2412.3322403769571</v>
      </c>
      <c r="L1676" s="187">
        <v>3979.3944675009407</v>
      </c>
      <c r="M1676" s="187">
        <v>6444.03564453125</v>
      </c>
      <c r="N1676" s="187">
        <v>3979.39453125</v>
      </c>
      <c r="O1676" t="s">
        <v>2139</v>
      </c>
    </row>
    <row r="1677" spans="1:15" hidden="1" x14ac:dyDescent="0.45">
      <c r="A1677" s="187">
        <v>2017</v>
      </c>
      <c r="B1677" t="s">
        <v>311</v>
      </c>
      <c r="C1677" t="s">
        <v>322</v>
      </c>
      <c r="D1677" t="s">
        <v>35</v>
      </c>
      <c r="E1677" t="s">
        <v>17</v>
      </c>
      <c r="F1677" t="s">
        <v>17</v>
      </c>
      <c r="G1677" t="s">
        <v>36</v>
      </c>
      <c r="H1677" t="s">
        <v>43</v>
      </c>
      <c r="I1677" s="187"/>
      <c r="J1677" s="187">
        <v>57.388235519475181</v>
      </c>
      <c r="K1677" s="187">
        <v>1666.2800157096917</v>
      </c>
      <c r="L1677" s="187">
        <v>6155.8447300557045</v>
      </c>
      <c r="M1677" s="187">
        <v>7879.51318359375</v>
      </c>
      <c r="N1677" s="187">
        <v>6155.8447265625</v>
      </c>
      <c r="O1677" t="s">
        <v>2138</v>
      </c>
    </row>
    <row r="1678" spans="1:15" hidden="1" x14ac:dyDescent="0.45">
      <c r="A1678" s="187">
        <v>2017</v>
      </c>
      <c r="B1678" t="s">
        <v>312</v>
      </c>
      <c r="C1678" t="s">
        <v>322</v>
      </c>
      <c r="D1678" t="s">
        <v>35</v>
      </c>
      <c r="E1678" t="s">
        <v>17</v>
      </c>
      <c r="F1678" t="s">
        <v>17</v>
      </c>
      <c r="G1678" t="s">
        <v>36</v>
      </c>
      <c r="H1678" t="s">
        <v>43</v>
      </c>
      <c r="I1678" s="187">
        <v>4892.8386030188622</v>
      </c>
      <c r="J1678" s="187">
        <v>389.52088432530218</v>
      </c>
      <c r="K1678" s="187">
        <v>1675.952012966502</v>
      </c>
      <c r="L1678" s="187">
        <v>1229.1547905376201</v>
      </c>
      <c r="M1678" s="187">
        <v>8187.46630859375</v>
      </c>
      <c r="N1678" s="187">
        <v>6121.9931640625</v>
      </c>
      <c r="O1678" t="s">
        <v>2136</v>
      </c>
    </row>
    <row r="1679" spans="1:15" hidden="1" x14ac:dyDescent="0.45">
      <c r="A1679" s="187">
        <v>2017</v>
      </c>
      <c r="B1679" t="s">
        <v>313</v>
      </c>
      <c r="C1679" t="s">
        <v>322</v>
      </c>
      <c r="D1679" t="s">
        <v>35</v>
      </c>
      <c r="E1679" t="s">
        <v>17</v>
      </c>
      <c r="F1679" t="s">
        <v>17</v>
      </c>
      <c r="G1679" t="s">
        <v>36</v>
      </c>
      <c r="H1679" t="s">
        <v>43</v>
      </c>
      <c r="I1679" s="187">
        <v>4541.2080963510498</v>
      </c>
      <c r="J1679" s="187">
        <v>250.35940177720113</v>
      </c>
      <c r="K1679" s="187">
        <v>1657.0471482006949</v>
      </c>
      <c r="L1679" s="187">
        <v>595.35226164243522</v>
      </c>
      <c r="M1679" s="187">
        <v>7043.966796875</v>
      </c>
      <c r="N1679" s="187">
        <v>5136.56005859375</v>
      </c>
      <c r="O1679" t="s">
        <v>2135</v>
      </c>
    </row>
    <row r="1680" spans="1:15" hidden="1" x14ac:dyDescent="0.45">
      <c r="A1680" s="187">
        <v>2017</v>
      </c>
      <c r="B1680" t="s">
        <v>309</v>
      </c>
      <c r="C1680" t="s">
        <v>322</v>
      </c>
      <c r="D1680" t="s">
        <v>35</v>
      </c>
      <c r="E1680" t="s">
        <v>17</v>
      </c>
      <c r="F1680" t="s">
        <v>17</v>
      </c>
      <c r="G1680" t="s">
        <v>36</v>
      </c>
      <c r="H1680" t="s">
        <v>43</v>
      </c>
      <c r="I1680" s="187"/>
      <c r="J1680" s="187">
        <v>39.740552354272303</v>
      </c>
      <c r="K1680" s="187">
        <v>4826.1678007936307</v>
      </c>
      <c r="L1680" s="187">
        <v>4004.5229922321728</v>
      </c>
      <c r="M1680" s="187">
        <v>8870.431640625</v>
      </c>
      <c r="N1680" s="187">
        <v>4004.52294921875</v>
      </c>
      <c r="O1680" t="s">
        <v>2137</v>
      </c>
    </row>
    <row r="1681" spans="1:15" hidden="1" x14ac:dyDescent="0.45">
      <c r="A1681" s="187">
        <v>2017</v>
      </c>
      <c r="B1681" t="s">
        <v>312</v>
      </c>
      <c r="C1681" t="s">
        <v>322</v>
      </c>
      <c r="D1681" t="s">
        <v>35</v>
      </c>
      <c r="E1681" t="s">
        <v>17</v>
      </c>
      <c r="F1681" t="s">
        <v>17</v>
      </c>
      <c r="G1681" t="s">
        <v>37</v>
      </c>
      <c r="H1681" t="s">
        <v>43</v>
      </c>
      <c r="I1681" s="187">
        <v>3976.5528450000002</v>
      </c>
      <c r="J1681" s="187">
        <v>321</v>
      </c>
      <c r="K1681" s="187">
        <v>1378.3157938678601</v>
      </c>
      <c r="L1681" s="187">
        <v>1011</v>
      </c>
      <c r="M1681" s="187">
        <v>6686.86865234375</v>
      </c>
      <c r="N1681" s="187">
        <v>4987.552734375</v>
      </c>
      <c r="O1681" t="s">
        <v>2142</v>
      </c>
    </row>
    <row r="1682" spans="1:15" hidden="1" x14ac:dyDescent="0.45">
      <c r="A1682" s="187">
        <v>2017</v>
      </c>
      <c r="B1682" t="s">
        <v>309</v>
      </c>
      <c r="C1682" t="s">
        <v>322</v>
      </c>
      <c r="D1682" t="s">
        <v>35</v>
      </c>
      <c r="E1682" t="s">
        <v>17</v>
      </c>
      <c r="F1682" t="s">
        <v>17</v>
      </c>
      <c r="G1682" t="s">
        <v>37</v>
      </c>
      <c r="H1682" t="s">
        <v>43</v>
      </c>
      <c r="I1682" s="187"/>
      <c r="J1682" s="187">
        <v>32.499000000000002</v>
      </c>
      <c r="K1682" s="187">
        <v>3989.238386093054</v>
      </c>
      <c r="L1682" s="187">
        <v>3421</v>
      </c>
      <c r="M1682" s="187">
        <v>7442.7373046875</v>
      </c>
      <c r="N1682" s="187">
        <v>3421</v>
      </c>
      <c r="O1682" t="s">
        <v>2143</v>
      </c>
    </row>
    <row r="1683" spans="1:15" hidden="1" x14ac:dyDescent="0.45">
      <c r="A1683" s="187">
        <v>2017</v>
      </c>
      <c r="B1683" t="s">
        <v>311</v>
      </c>
      <c r="C1683" t="s">
        <v>322</v>
      </c>
      <c r="D1683" t="s">
        <v>35</v>
      </c>
      <c r="E1683" t="s">
        <v>17</v>
      </c>
      <c r="F1683" t="s">
        <v>17</v>
      </c>
      <c r="G1683" t="s">
        <v>37</v>
      </c>
      <c r="H1683" t="s">
        <v>43</v>
      </c>
      <c r="I1683" s="187"/>
      <c r="J1683" s="187">
        <v>47</v>
      </c>
      <c r="K1683" s="187">
        <v>1350.0539352425319</v>
      </c>
      <c r="L1683" s="187">
        <v>5122</v>
      </c>
      <c r="M1683" s="187">
        <v>6519.0537109375</v>
      </c>
      <c r="N1683" s="187">
        <v>5122</v>
      </c>
      <c r="O1683" t="s">
        <v>2141</v>
      </c>
    </row>
    <row r="1684" spans="1:15" hidden="1" x14ac:dyDescent="0.45">
      <c r="A1684" s="187">
        <v>2017</v>
      </c>
      <c r="B1684" t="s">
        <v>310</v>
      </c>
      <c r="C1684" t="s">
        <v>322</v>
      </c>
      <c r="D1684" t="s">
        <v>35</v>
      </c>
      <c r="E1684" t="s">
        <v>17</v>
      </c>
      <c r="F1684" t="s">
        <v>17</v>
      </c>
      <c r="G1684" t="s">
        <v>37</v>
      </c>
      <c r="H1684" t="s">
        <v>43</v>
      </c>
      <c r="I1684" s="187"/>
      <c r="J1684" s="187">
        <v>43</v>
      </c>
      <c r="K1684" s="187">
        <v>1965.4260061000689</v>
      </c>
      <c r="L1684" s="187">
        <v>3310</v>
      </c>
      <c r="M1684" s="187">
        <v>5318.42578125</v>
      </c>
      <c r="N1684" s="187">
        <v>3310</v>
      </c>
      <c r="O1684" t="s">
        <v>2140</v>
      </c>
    </row>
    <row r="1685" spans="1:15" hidden="1" x14ac:dyDescent="0.45">
      <c r="A1685" s="187">
        <v>2017</v>
      </c>
      <c r="B1685" t="s">
        <v>313</v>
      </c>
      <c r="C1685" t="s">
        <v>322</v>
      </c>
      <c r="D1685" t="s">
        <v>35</v>
      </c>
      <c r="E1685" t="s">
        <v>17</v>
      </c>
      <c r="F1685" t="s">
        <v>17</v>
      </c>
      <c r="G1685" t="s">
        <v>37</v>
      </c>
      <c r="H1685" t="s">
        <v>43</v>
      </c>
      <c r="I1685" s="187">
        <v>3791</v>
      </c>
      <c r="J1685" s="187">
        <v>209</v>
      </c>
      <c r="K1685" s="187">
        <v>1383.30277</v>
      </c>
      <c r="L1685" s="187">
        <v>497</v>
      </c>
      <c r="M1685" s="187">
        <v>5880.302734375</v>
      </c>
      <c r="N1685" s="187">
        <v>4288</v>
      </c>
      <c r="O1685" t="s">
        <v>2144</v>
      </c>
    </row>
    <row r="1686" spans="1:15" hidden="1" x14ac:dyDescent="0.45">
      <c r="A1686" s="187">
        <v>2017</v>
      </c>
      <c r="B1686" t="s">
        <v>313</v>
      </c>
      <c r="C1686" t="s">
        <v>322</v>
      </c>
      <c r="D1686" t="s">
        <v>35</v>
      </c>
      <c r="E1686" t="s">
        <v>45</v>
      </c>
      <c r="F1686" t="s">
        <v>45</v>
      </c>
      <c r="G1686" t="s">
        <v>37</v>
      </c>
      <c r="H1686" t="s">
        <v>43</v>
      </c>
      <c r="I1686" s="187">
        <v>1477.85708</v>
      </c>
      <c r="J1686" s="187">
        <v>0</v>
      </c>
      <c r="K1686" s="187">
        <v>471.28844344325847</v>
      </c>
      <c r="L1686" s="187">
        <v>3732</v>
      </c>
      <c r="M1686" s="187">
        <v>5681.1455078125</v>
      </c>
      <c r="N1686" s="187">
        <v>5209.85693359375</v>
      </c>
      <c r="O1686" t="s">
        <v>2148</v>
      </c>
    </row>
    <row r="1687" spans="1:15" hidden="1" x14ac:dyDescent="0.45">
      <c r="A1687" s="187">
        <v>2017</v>
      </c>
      <c r="B1687" t="s">
        <v>311</v>
      </c>
      <c r="C1687" t="s">
        <v>322</v>
      </c>
      <c r="D1687" t="s">
        <v>35</v>
      </c>
      <c r="E1687" t="s">
        <v>45</v>
      </c>
      <c r="F1687" t="s">
        <v>45</v>
      </c>
      <c r="G1687" t="s">
        <v>37</v>
      </c>
      <c r="H1687" t="s">
        <v>43</v>
      </c>
      <c r="I1687" s="187"/>
      <c r="J1687" s="187">
        <v>0</v>
      </c>
      <c r="K1687" s="187">
        <v>639.33889705432762</v>
      </c>
      <c r="L1687" s="187">
        <v>7308</v>
      </c>
      <c r="M1687" s="187">
        <v>7947.3388671875</v>
      </c>
      <c r="N1687" s="187">
        <v>7308</v>
      </c>
      <c r="O1687" t="s">
        <v>2146</v>
      </c>
    </row>
    <row r="1688" spans="1:15" hidden="1" x14ac:dyDescent="0.45">
      <c r="A1688" s="187">
        <v>2017</v>
      </c>
      <c r="B1688" t="s">
        <v>309</v>
      </c>
      <c r="C1688" t="s">
        <v>322</v>
      </c>
      <c r="D1688" t="s">
        <v>35</v>
      </c>
      <c r="E1688" t="s">
        <v>45</v>
      </c>
      <c r="F1688" t="s">
        <v>45</v>
      </c>
      <c r="G1688" t="s">
        <v>37</v>
      </c>
      <c r="H1688" t="s">
        <v>43</v>
      </c>
      <c r="I1688" s="187"/>
      <c r="J1688" s="187">
        <v>0</v>
      </c>
      <c r="K1688" s="187">
        <v>660.94775003967402</v>
      </c>
      <c r="L1688" s="187">
        <v>3721</v>
      </c>
      <c r="M1688" s="187">
        <v>4381.94775390625</v>
      </c>
      <c r="N1688" s="187">
        <v>3721</v>
      </c>
      <c r="O1688" t="s">
        <v>2147</v>
      </c>
    </row>
    <row r="1689" spans="1:15" hidden="1" x14ac:dyDescent="0.45">
      <c r="A1689" s="187">
        <v>2017</v>
      </c>
      <c r="B1689" t="s">
        <v>310</v>
      </c>
      <c r="C1689" t="s">
        <v>322</v>
      </c>
      <c r="D1689" t="s">
        <v>35</v>
      </c>
      <c r="E1689" t="s">
        <v>45</v>
      </c>
      <c r="F1689" t="s">
        <v>45</v>
      </c>
      <c r="G1689" t="s">
        <v>37</v>
      </c>
      <c r="H1689" t="s">
        <v>43</v>
      </c>
      <c r="I1689" s="187"/>
      <c r="J1689" s="187">
        <v>0</v>
      </c>
      <c r="K1689" s="187">
        <v>639.88200244784127</v>
      </c>
      <c r="L1689" s="187">
        <v>6233</v>
      </c>
      <c r="M1689" s="187">
        <v>6872.8818359375</v>
      </c>
      <c r="N1689" s="187">
        <v>6233</v>
      </c>
      <c r="O1689" t="s">
        <v>2145</v>
      </c>
    </row>
    <row r="1690" spans="1:15" hidden="1" x14ac:dyDescent="0.45">
      <c r="A1690" s="187">
        <v>2017</v>
      </c>
      <c r="B1690" t="s">
        <v>312</v>
      </c>
      <c r="C1690" t="s">
        <v>322</v>
      </c>
      <c r="D1690" t="s">
        <v>35</v>
      </c>
      <c r="E1690" t="s">
        <v>45</v>
      </c>
      <c r="F1690" t="s">
        <v>45</v>
      </c>
      <c r="G1690" t="s">
        <v>37</v>
      </c>
      <c r="H1690" t="s">
        <v>43</v>
      </c>
      <c r="I1690" s="187">
        <v>1169.9020057116441</v>
      </c>
      <c r="J1690" s="187">
        <v>0</v>
      </c>
      <c r="K1690" s="187">
        <v>671.67028769738624</v>
      </c>
      <c r="L1690" s="187">
        <v>3975</v>
      </c>
      <c r="M1690" s="187">
        <v>5816.572265625</v>
      </c>
      <c r="N1690" s="187">
        <v>5144.90185546875</v>
      </c>
      <c r="O1690" t="s">
        <v>2149</v>
      </c>
    </row>
    <row r="1691" spans="1:15" hidden="1" x14ac:dyDescent="0.45">
      <c r="A1691" s="187">
        <v>2017</v>
      </c>
      <c r="B1691" t="s">
        <v>309</v>
      </c>
      <c r="C1691" t="s">
        <v>322</v>
      </c>
      <c r="D1691" t="s">
        <v>35</v>
      </c>
      <c r="E1691" t="s">
        <v>355</v>
      </c>
      <c r="F1691" t="s">
        <v>355</v>
      </c>
      <c r="G1691" t="s">
        <v>37</v>
      </c>
      <c r="H1691" t="s">
        <v>43</v>
      </c>
      <c r="I1691" s="187"/>
      <c r="J1691" s="187">
        <v>834.14099999999985</v>
      </c>
      <c r="K1691" s="187">
        <v>13327.979210222269</v>
      </c>
      <c r="L1691" s="187">
        <v>17446</v>
      </c>
      <c r="M1691" s="187">
        <v>31608.12109375</v>
      </c>
      <c r="N1691" s="187">
        <v>17446</v>
      </c>
      <c r="O1691" t="s">
        <v>2150</v>
      </c>
    </row>
    <row r="1692" spans="1:15" hidden="1" x14ac:dyDescent="0.45">
      <c r="A1692" s="187">
        <v>2017</v>
      </c>
      <c r="B1692" t="s">
        <v>313</v>
      </c>
      <c r="C1692" t="s">
        <v>322</v>
      </c>
      <c r="D1692" t="s">
        <v>35</v>
      </c>
      <c r="E1692" t="s">
        <v>355</v>
      </c>
      <c r="F1692" t="s">
        <v>355</v>
      </c>
      <c r="G1692" t="s">
        <v>37</v>
      </c>
      <c r="H1692" t="s">
        <v>43</v>
      </c>
      <c r="I1692" s="187"/>
      <c r="J1692" s="187"/>
      <c r="K1692" s="187"/>
      <c r="L1692" s="187">
        <v>21076</v>
      </c>
      <c r="M1692" s="187">
        <v>21076</v>
      </c>
      <c r="N1692" s="187">
        <v>21076</v>
      </c>
      <c r="O1692" t="s">
        <v>2151</v>
      </c>
    </row>
    <row r="1693" spans="1:15" hidden="1" x14ac:dyDescent="0.45">
      <c r="A1693" s="187">
        <v>2017</v>
      </c>
      <c r="B1693" t="s">
        <v>310</v>
      </c>
      <c r="C1693" t="s">
        <v>322</v>
      </c>
      <c r="D1693" t="s">
        <v>35</v>
      </c>
      <c r="E1693" t="s">
        <v>355</v>
      </c>
      <c r="F1693" t="s">
        <v>355</v>
      </c>
      <c r="G1693" t="s">
        <v>37</v>
      </c>
      <c r="H1693" t="s">
        <v>43</v>
      </c>
      <c r="I1693" s="187"/>
      <c r="J1693" s="187">
        <v>778</v>
      </c>
      <c r="K1693" s="187">
        <v>15991.31424979851</v>
      </c>
      <c r="L1693" s="187">
        <v>21772</v>
      </c>
      <c r="M1693" s="187">
        <v>38541.3125</v>
      </c>
      <c r="N1693" s="187">
        <v>21772</v>
      </c>
      <c r="O1693" t="s">
        <v>2152</v>
      </c>
    </row>
    <row r="1694" spans="1:15" hidden="1" x14ac:dyDescent="0.45">
      <c r="A1694" s="187">
        <v>2017</v>
      </c>
      <c r="B1694" t="s">
        <v>313</v>
      </c>
      <c r="C1694" t="s">
        <v>322</v>
      </c>
      <c r="D1694" t="s">
        <v>35</v>
      </c>
      <c r="E1694" t="s">
        <v>356</v>
      </c>
      <c r="F1694" t="s">
        <v>356</v>
      </c>
      <c r="G1694" t="s">
        <v>37</v>
      </c>
      <c r="H1694" t="s">
        <v>43</v>
      </c>
      <c r="I1694" s="187"/>
      <c r="J1694" s="187">
        <v>0</v>
      </c>
      <c r="K1694" s="187">
        <v>0</v>
      </c>
      <c r="L1694" s="187">
        <v>0</v>
      </c>
      <c r="M1694" s="187">
        <v>0</v>
      </c>
      <c r="N1694" s="187">
        <v>0</v>
      </c>
      <c r="O1694" t="s">
        <v>2153</v>
      </c>
    </row>
    <row r="1695" spans="1:15" hidden="1" x14ac:dyDescent="0.45">
      <c r="A1695" s="187">
        <v>2017</v>
      </c>
      <c r="B1695" t="s">
        <v>310</v>
      </c>
      <c r="C1695" t="s">
        <v>322</v>
      </c>
      <c r="D1695" t="s">
        <v>35</v>
      </c>
      <c r="E1695" t="s">
        <v>356</v>
      </c>
      <c r="F1695" t="s">
        <v>356</v>
      </c>
      <c r="G1695" t="s">
        <v>37</v>
      </c>
      <c r="H1695" t="s">
        <v>43</v>
      </c>
      <c r="I1695" s="187"/>
      <c r="J1695" s="187">
        <v>0</v>
      </c>
      <c r="K1695" s="187">
        <v>0</v>
      </c>
      <c r="L1695" s="187">
        <v>0</v>
      </c>
      <c r="M1695" s="187">
        <v>0</v>
      </c>
      <c r="N1695" s="187">
        <v>0</v>
      </c>
      <c r="O1695" t="s">
        <v>2157</v>
      </c>
    </row>
    <row r="1696" spans="1:15" hidden="1" x14ac:dyDescent="0.45">
      <c r="A1696" s="187">
        <v>2017</v>
      </c>
      <c r="B1696" t="s">
        <v>311</v>
      </c>
      <c r="C1696" t="s">
        <v>322</v>
      </c>
      <c r="D1696" t="s">
        <v>35</v>
      </c>
      <c r="E1696" t="s">
        <v>356</v>
      </c>
      <c r="F1696" t="s">
        <v>356</v>
      </c>
      <c r="G1696" t="s">
        <v>37</v>
      </c>
      <c r="H1696" t="s">
        <v>43</v>
      </c>
      <c r="I1696" s="187"/>
      <c r="J1696" s="187">
        <v>0</v>
      </c>
      <c r="K1696" s="187">
        <v>0</v>
      </c>
      <c r="L1696" s="187">
        <v>0</v>
      </c>
      <c r="M1696" s="187">
        <v>0</v>
      </c>
      <c r="N1696" s="187">
        <v>0</v>
      </c>
      <c r="O1696" t="s">
        <v>2156</v>
      </c>
    </row>
    <row r="1697" spans="1:15" hidden="1" x14ac:dyDescent="0.45">
      <c r="A1697" s="187">
        <v>2017</v>
      </c>
      <c r="B1697" t="s">
        <v>312</v>
      </c>
      <c r="C1697" t="s">
        <v>322</v>
      </c>
      <c r="D1697" t="s">
        <v>35</v>
      </c>
      <c r="E1697" t="s">
        <v>356</v>
      </c>
      <c r="F1697" t="s">
        <v>356</v>
      </c>
      <c r="G1697" t="s">
        <v>37</v>
      </c>
      <c r="H1697" t="s">
        <v>43</v>
      </c>
      <c r="I1697" s="187">
        <v>0</v>
      </c>
      <c r="J1697" s="187">
        <v>0</v>
      </c>
      <c r="K1697" s="187">
        <v>0</v>
      </c>
      <c r="L1697" s="187">
        <v>0</v>
      </c>
      <c r="M1697" s="187">
        <v>0</v>
      </c>
      <c r="N1697" s="187">
        <v>0</v>
      </c>
      <c r="O1697" t="s">
        <v>2154</v>
      </c>
    </row>
    <row r="1698" spans="1:15" hidden="1" x14ac:dyDescent="0.45">
      <c r="A1698" s="187">
        <v>2017</v>
      </c>
      <c r="B1698" t="s">
        <v>309</v>
      </c>
      <c r="C1698" t="s">
        <v>322</v>
      </c>
      <c r="D1698" t="s">
        <v>35</v>
      </c>
      <c r="E1698" t="s">
        <v>356</v>
      </c>
      <c r="F1698" t="s">
        <v>356</v>
      </c>
      <c r="G1698" t="s">
        <v>37</v>
      </c>
      <c r="H1698" t="s">
        <v>43</v>
      </c>
      <c r="I1698" s="187"/>
      <c r="J1698" s="187">
        <v>0</v>
      </c>
      <c r="K1698" s="187">
        <v>0</v>
      </c>
      <c r="L1698" s="187">
        <v>0</v>
      </c>
      <c r="M1698" s="187">
        <v>0</v>
      </c>
      <c r="N1698" s="187">
        <v>0</v>
      </c>
      <c r="O1698" t="s">
        <v>2155</v>
      </c>
    </row>
    <row r="1699" spans="1:15" hidden="1" x14ac:dyDescent="0.45">
      <c r="A1699" s="187">
        <v>2017</v>
      </c>
      <c r="B1699" t="s">
        <v>311</v>
      </c>
      <c r="C1699" t="s">
        <v>323</v>
      </c>
      <c r="D1699" t="s">
        <v>35</v>
      </c>
      <c r="E1699" t="s">
        <v>349</v>
      </c>
      <c r="F1699" t="s">
        <v>388</v>
      </c>
      <c r="G1699" t="s">
        <v>36</v>
      </c>
      <c r="H1699" t="s">
        <v>43</v>
      </c>
      <c r="I1699" s="187"/>
      <c r="J1699" s="187">
        <v>644.02353194077705</v>
      </c>
      <c r="K1699" s="187">
        <v>4366.9705156059181</v>
      </c>
      <c r="L1699" s="187">
        <v>4366.6070759707336</v>
      </c>
      <c r="M1699" s="187">
        <v>9377.6015625</v>
      </c>
      <c r="N1699" s="187">
        <v>4366.60693359375</v>
      </c>
      <c r="O1699" t="s">
        <v>2162</v>
      </c>
    </row>
    <row r="1700" spans="1:15" hidden="1" x14ac:dyDescent="0.45">
      <c r="A1700" s="187">
        <v>2017</v>
      </c>
      <c r="B1700" t="s">
        <v>309</v>
      </c>
      <c r="C1700" t="s">
        <v>323</v>
      </c>
      <c r="D1700" t="s">
        <v>35</v>
      </c>
      <c r="E1700" t="s">
        <v>349</v>
      </c>
      <c r="F1700" t="s">
        <v>388</v>
      </c>
      <c r="G1700" t="s">
        <v>36</v>
      </c>
      <c r="H1700" t="s">
        <v>43</v>
      </c>
      <c r="I1700" s="187"/>
      <c r="J1700" s="187">
        <v>529.87403139029743</v>
      </c>
      <c r="K1700" s="187">
        <v>3767.7355344546336</v>
      </c>
      <c r="L1700" s="187">
        <v>1971.1313967719063</v>
      </c>
      <c r="M1700" s="187">
        <v>6268.74072265625</v>
      </c>
      <c r="N1700" s="187">
        <v>1971.13134765625</v>
      </c>
      <c r="O1700" t="s">
        <v>2160</v>
      </c>
    </row>
    <row r="1701" spans="1:15" hidden="1" x14ac:dyDescent="0.45">
      <c r="A1701" s="187">
        <v>2017</v>
      </c>
      <c r="B1701" t="s">
        <v>310</v>
      </c>
      <c r="C1701" t="s">
        <v>323</v>
      </c>
      <c r="D1701" t="s">
        <v>35</v>
      </c>
      <c r="E1701" t="s">
        <v>349</v>
      </c>
      <c r="F1701" t="s">
        <v>388</v>
      </c>
      <c r="G1701" t="s">
        <v>36</v>
      </c>
      <c r="H1701" t="s">
        <v>43</v>
      </c>
      <c r="I1701" s="187"/>
      <c r="J1701" s="187">
        <v>340.00741424589046</v>
      </c>
      <c r="K1701" s="187">
        <v>3452.5426016403112</v>
      </c>
      <c r="L1701" s="187">
        <v>3761.0050898891573</v>
      </c>
      <c r="M1701" s="187">
        <v>7553.55517578125</v>
      </c>
      <c r="N1701" s="187">
        <v>3761.005126953125</v>
      </c>
      <c r="O1701" t="s">
        <v>2158</v>
      </c>
    </row>
    <row r="1702" spans="1:15" hidden="1" x14ac:dyDescent="0.45">
      <c r="A1702" s="187">
        <v>2017</v>
      </c>
      <c r="B1702" t="s">
        <v>312</v>
      </c>
      <c r="C1702" t="s">
        <v>323</v>
      </c>
      <c r="D1702" t="s">
        <v>35</v>
      </c>
      <c r="E1702" t="s">
        <v>349</v>
      </c>
      <c r="F1702" t="s">
        <v>388</v>
      </c>
      <c r="G1702" t="s">
        <v>36</v>
      </c>
      <c r="H1702" t="s">
        <v>43</v>
      </c>
      <c r="I1702" s="187">
        <v>5076.4216506627308</v>
      </c>
      <c r="J1702" s="187">
        <v>370.97227078600207</v>
      </c>
      <c r="K1702" s="187">
        <v>2517.9316870655339</v>
      </c>
      <c r="L1702" s="187">
        <v>2032.9280439072913</v>
      </c>
      <c r="M1702" s="187">
        <v>9998.25390625</v>
      </c>
      <c r="N1702" s="187">
        <v>7109.35009765625</v>
      </c>
      <c r="O1702" t="s">
        <v>2161</v>
      </c>
    </row>
    <row r="1703" spans="1:15" hidden="1" x14ac:dyDescent="0.45">
      <c r="A1703" s="187">
        <v>2017</v>
      </c>
      <c r="B1703" t="s">
        <v>313</v>
      </c>
      <c r="C1703" t="s">
        <v>323</v>
      </c>
      <c r="D1703" t="s">
        <v>35</v>
      </c>
      <c r="E1703" t="s">
        <v>349</v>
      </c>
      <c r="F1703" t="s">
        <v>388</v>
      </c>
      <c r="G1703" t="s">
        <v>36</v>
      </c>
      <c r="H1703" t="s">
        <v>43</v>
      </c>
      <c r="I1703" s="187">
        <v>5005.1180783848313</v>
      </c>
      <c r="J1703" s="187">
        <v>392.9085348465166</v>
      </c>
      <c r="K1703" s="187">
        <v>2275.4675730385566</v>
      </c>
      <c r="L1703" s="187">
        <v>1599.1856525003038</v>
      </c>
      <c r="M1703" s="187">
        <v>9272.6806640625</v>
      </c>
      <c r="N1703" s="187">
        <v>6604.3037109375</v>
      </c>
      <c r="O1703" t="s">
        <v>2159</v>
      </c>
    </row>
    <row r="1704" spans="1:15" hidden="1" x14ac:dyDescent="0.45">
      <c r="A1704" s="187">
        <v>2017</v>
      </c>
      <c r="B1704" t="s">
        <v>313</v>
      </c>
      <c r="C1704" t="s">
        <v>323</v>
      </c>
      <c r="D1704" t="s">
        <v>35</v>
      </c>
      <c r="E1704" t="s">
        <v>349</v>
      </c>
      <c r="F1704" t="s">
        <v>389</v>
      </c>
      <c r="G1704" t="s">
        <v>36</v>
      </c>
      <c r="H1704" t="s">
        <v>43</v>
      </c>
      <c r="I1704" s="187"/>
      <c r="J1704" s="187">
        <v>0</v>
      </c>
      <c r="K1704" s="187">
        <v>0</v>
      </c>
      <c r="L1704" s="187"/>
      <c r="M1704" s="187">
        <v>0</v>
      </c>
      <c r="N1704" s="187">
        <v>0</v>
      </c>
      <c r="O1704" t="s">
        <v>2163</v>
      </c>
    </row>
    <row r="1705" spans="1:15" hidden="1" x14ac:dyDescent="0.45">
      <c r="A1705" s="187">
        <v>2017</v>
      </c>
      <c r="B1705" t="s">
        <v>312</v>
      </c>
      <c r="C1705" t="s">
        <v>323</v>
      </c>
      <c r="D1705" t="s">
        <v>35</v>
      </c>
      <c r="E1705" t="s">
        <v>349</v>
      </c>
      <c r="F1705" t="s">
        <v>389</v>
      </c>
      <c r="G1705" t="s">
        <v>36</v>
      </c>
      <c r="H1705" t="s">
        <v>43</v>
      </c>
      <c r="I1705" s="187"/>
      <c r="J1705" s="187">
        <v>0</v>
      </c>
      <c r="K1705" s="187">
        <v>0</v>
      </c>
      <c r="L1705" s="187">
        <v>0</v>
      </c>
      <c r="M1705" s="187">
        <v>0</v>
      </c>
      <c r="N1705" s="187">
        <v>0</v>
      </c>
      <c r="O1705" t="s">
        <v>2166</v>
      </c>
    </row>
    <row r="1706" spans="1:15" hidden="1" x14ac:dyDescent="0.45">
      <c r="A1706" s="187">
        <v>2017</v>
      </c>
      <c r="B1706" t="s">
        <v>310</v>
      </c>
      <c r="C1706" t="s">
        <v>323</v>
      </c>
      <c r="D1706" t="s">
        <v>35</v>
      </c>
      <c r="E1706" t="s">
        <v>349</v>
      </c>
      <c r="F1706" t="s">
        <v>389</v>
      </c>
      <c r="G1706" t="s">
        <v>36</v>
      </c>
      <c r="H1706" t="s">
        <v>43</v>
      </c>
      <c r="I1706" s="187"/>
      <c r="J1706" s="187">
        <v>0</v>
      </c>
      <c r="K1706" s="187">
        <v>0</v>
      </c>
      <c r="L1706" s="187">
        <v>0</v>
      </c>
      <c r="M1706" s="187">
        <v>0</v>
      </c>
      <c r="N1706" s="187">
        <v>0</v>
      </c>
      <c r="O1706" t="s">
        <v>2167</v>
      </c>
    </row>
    <row r="1707" spans="1:15" hidden="1" x14ac:dyDescent="0.45">
      <c r="A1707" s="187">
        <v>2017</v>
      </c>
      <c r="B1707" t="s">
        <v>311</v>
      </c>
      <c r="C1707" t="s">
        <v>323</v>
      </c>
      <c r="D1707" t="s">
        <v>35</v>
      </c>
      <c r="E1707" t="s">
        <v>349</v>
      </c>
      <c r="F1707" t="s">
        <v>389</v>
      </c>
      <c r="G1707" t="s">
        <v>36</v>
      </c>
      <c r="H1707" t="s">
        <v>43</v>
      </c>
      <c r="I1707" s="187"/>
      <c r="J1707" s="187">
        <v>0</v>
      </c>
      <c r="K1707" s="187">
        <v>0</v>
      </c>
      <c r="L1707" s="187">
        <v>0</v>
      </c>
      <c r="M1707" s="187">
        <v>0</v>
      </c>
      <c r="N1707" s="187">
        <v>0</v>
      </c>
      <c r="O1707" t="s">
        <v>2164</v>
      </c>
    </row>
    <row r="1708" spans="1:15" hidden="1" x14ac:dyDescent="0.45">
      <c r="A1708" s="187">
        <v>2017</v>
      </c>
      <c r="B1708" t="s">
        <v>309</v>
      </c>
      <c r="C1708" t="s">
        <v>323</v>
      </c>
      <c r="D1708" t="s">
        <v>35</v>
      </c>
      <c r="E1708" t="s">
        <v>349</v>
      </c>
      <c r="F1708" t="s">
        <v>389</v>
      </c>
      <c r="G1708" t="s">
        <v>36</v>
      </c>
      <c r="H1708" t="s">
        <v>43</v>
      </c>
      <c r="I1708" s="187"/>
      <c r="J1708" s="187"/>
      <c r="K1708" s="187">
        <v>0</v>
      </c>
      <c r="L1708" s="187">
        <v>0</v>
      </c>
      <c r="M1708" s="187">
        <v>0</v>
      </c>
      <c r="N1708" s="187">
        <v>0</v>
      </c>
      <c r="O1708" t="s">
        <v>2165</v>
      </c>
    </row>
    <row r="1709" spans="1:15" hidden="1" x14ac:dyDescent="0.45">
      <c r="A1709" s="187">
        <v>2017</v>
      </c>
      <c r="B1709" t="s">
        <v>309</v>
      </c>
      <c r="C1709" t="s">
        <v>323</v>
      </c>
      <c r="D1709" t="s">
        <v>35</v>
      </c>
      <c r="E1709" t="s">
        <v>349</v>
      </c>
      <c r="F1709" t="s">
        <v>390</v>
      </c>
      <c r="G1709" t="s">
        <v>36</v>
      </c>
      <c r="H1709" t="s">
        <v>43</v>
      </c>
      <c r="I1709" s="187"/>
      <c r="J1709" s="187">
        <v>529.87403139029743</v>
      </c>
      <c r="K1709" s="187">
        <v>3767.7355344546336</v>
      </c>
      <c r="L1709" s="187">
        <v>1971.1313967719063</v>
      </c>
      <c r="M1709" s="187">
        <v>6268.74072265625</v>
      </c>
      <c r="N1709" s="187">
        <v>1971.13134765625</v>
      </c>
      <c r="O1709" t="s">
        <v>2168</v>
      </c>
    </row>
    <row r="1710" spans="1:15" hidden="1" x14ac:dyDescent="0.45">
      <c r="A1710" s="187">
        <v>2017</v>
      </c>
      <c r="B1710" t="s">
        <v>311</v>
      </c>
      <c r="C1710" t="s">
        <v>323</v>
      </c>
      <c r="D1710" t="s">
        <v>35</v>
      </c>
      <c r="E1710" t="s">
        <v>349</v>
      </c>
      <c r="F1710" t="s">
        <v>390</v>
      </c>
      <c r="G1710" t="s">
        <v>36</v>
      </c>
      <c r="H1710" t="s">
        <v>43</v>
      </c>
      <c r="I1710" s="187"/>
      <c r="J1710" s="187">
        <v>644.02353194077705</v>
      </c>
      <c r="K1710" s="187">
        <v>4366.9705156059181</v>
      </c>
      <c r="L1710" s="187">
        <v>4366.6070759707336</v>
      </c>
      <c r="M1710" s="187">
        <v>9377.6015625</v>
      </c>
      <c r="N1710" s="187">
        <v>4366.60693359375</v>
      </c>
      <c r="O1710" t="s">
        <v>2171</v>
      </c>
    </row>
    <row r="1711" spans="1:15" hidden="1" x14ac:dyDescent="0.45">
      <c r="A1711" s="187">
        <v>2017</v>
      </c>
      <c r="B1711" t="s">
        <v>312</v>
      </c>
      <c r="C1711" t="s">
        <v>323</v>
      </c>
      <c r="D1711" t="s">
        <v>35</v>
      </c>
      <c r="E1711" t="s">
        <v>349</v>
      </c>
      <c r="F1711" t="s">
        <v>390</v>
      </c>
      <c r="G1711" t="s">
        <v>36</v>
      </c>
      <c r="H1711" t="s">
        <v>43</v>
      </c>
      <c r="I1711" s="187">
        <v>5076.4216506627308</v>
      </c>
      <c r="J1711" s="187">
        <v>370.97227078600207</v>
      </c>
      <c r="K1711" s="187">
        <v>2517.9316870655339</v>
      </c>
      <c r="L1711" s="187">
        <v>2032.9280439072913</v>
      </c>
      <c r="M1711" s="187">
        <v>9998.25390625</v>
      </c>
      <c r="N1711" s="187">
        <v>7109.35009765625</v>
      </c>
      <c r="O1711" t="s">
        <v>2172</v>
      </c>
    </row>
    <row r="1712" spans="1:15" hidden="1" x14ac:dyDescent="0.45">
      <c r="A1712" s="187">
        <v>2017</v>
      </c>
      <c r="B1712" t="s">
        <v>313</v>
      </c>
      <c r="C1712" t="s">
        <v>323</v>
      </c>
      <c r="D1712" t="s">
        <v>35</v>
      </c>
      <c r="E1712" t="s">
        <v>349</v>
      </c>
      <c r="F1712" t="s">
        <v>390</v>
      </c>
      <c r="G1712" t="s">
        <v>36</v>
      </c>
      <c r="H1712" t="s">
        <v>43</v>
      </c>
      <c r="I1712" s="187">
        <v>5005.1180783848313</v>
      </c>
      <c r="J1712" s="187">
        <v>392.9085348465166</v>
      </c>
      <c r="K1712" s="187">
        <v>2275.4675730385566</v>
      </c>
      <c r="L1712" s="187">
        <v>1599.1856525003038</v>
      </c>
      <c r="M1712" s="187">
        <v>9272.6806640625</v>
      </c>
      <c r="N1712" s="187">
        <v>6604.3037109375</v>
      </c>
      <c r="O1712" t="s">
        <v>2169</v>
      </c>
    </row>
    <row r="1713" spans="1:15" hidden="1" x14ac:dyDescent="0.45">
      <c r="A1713" s="187">
        <v>2017</v>
      </c>
      <c r="B1713" t="s">
        <v>310</v>
      </c>
      <c r="C1713" t="s">
        <v>323</v>
      </c>
      <c r="D1713" t="s">
        <v>35</v>
      </c>
      <c r="E1713" t="s">
        <v>349</v>
      </c>
      <c r="F1713" t="s">
        <v>390</v>
      </c>
      <c r="G1713" t="s">
        <v>36</v>
      </c>
      <c r="H1713" t="s">
        <v>43</v>
      </c>
      <c r="I1713" s="187"/>
      <c r="J1713" s="187">
        <v>340.00741424589046</v>
      </c>
      <c r="K1713" s="187">
        <v>3452.5426016403112</v>
      </c>
      <c r="L1713" s="187">
        <v>3761.0050898891573</v>
      </c>
      <c r="M1713" s="187">
        <v>7553.55517578125</v>
      </c>
      <c r="N1713" s="187">
        <v>3761.005126953125</v>
      </c>
      <c r="O1713" t="s">
        <v>2170</v>
      </c>
    </row>
    <row r="1714" spans="1:15" hidden="1" x14ac:dyDescent="0.45">
      <c r="A1714" s="187">
        <v>2017</v>
      </c>
      <c r="B1714" t="s">
        <v>309</v>
      </c>
      <c r="C1714" t="s">
        <v>323</v>
      </c>
      <c r="D1714" t="s">
        <v>35</v>
      </c>
      <c r="E1714" t="s">
        <v>349</v>
      </c>
      <c r="F1714" t="s">
        <v>391</v>
      </c>
      <c r="G1714" t="s">
        <v>36</v>
      </c>
      <c r="H1714" t="s">
        <v>43</v>
      </c>
      <c r="I1714" s="187"/>
      <c r="J1714" s="187">
        <v>0</v>
      </c>
      <c r="K1714" s="187">
        <v>88.589487936085575</v>
      </c>
      <c r="L1714" s="187">
        <v>982.91632822900169</v>
      </c>
      <c r="M1714" s="187">
        <v>1071.505859375</v>
      </c>
      <c r="N1714" s="187">
        <v>982.91632080078125</v>
      </c>
      <c r="O1714" t="s">
        <v>2173</v>
      </c>
    </row>
    <row r="1715" spans="1:15" hidden="1" x14ac:dyDescent="0.45">
      <c r="A1715" s="187">
        <v>2017</v>
      </c>
      <c r="B1715" t="s">
        <v>310</v>
      </c>
      <c r="C1715" t="s">
        <v>323</v>
      </c>
      <c r="D1715" t="s">
        <v>35</v>
      </c>
      <c r="E1715" t="s">
        <v>349</v>
      </c>
      <c r="F1715" t="s">
        <v>391</v>
      </c>
      <c r="G1715" t="s">
        <v>36</v>
      </c>
      <c r="H1715" t="s">
        <v>43</v>
      </c>
      <c r="I1715" s="187"/>
      <c r="J1715" s="187">
        <v>0</v>
      </c>
      <c r="K1715" s="187">
        <v>86.39164882943254</v>
      </c>
      <c r="L1715" s="187">
        <v>976.8674555449237</v>
      </c>
      <c r="M1715" s="187">
        <v>1063.2591552734375</v>
      </c>
      <c r="N1715" s="187">
        <v>976.867431640625</v>
      </c>
      <c r="O1715" t="s">
        <v>2176</v>
      </c>
    </row>
    <row r="1716" spans="1:15" hidden="1" x14ac:dyDescent="0.45">
      <c r="A1716" s="187">
        <v>2017</v>
      </c>
      <c r="B1716" t="s">
        <v>313</v>
      </c>
      <c r="C1716" t="s">
        <v>323</v>
      </c>
      <c r="D1716" t="s">
        <v>35</v>
      </c>
      <c r="E1716" t="s">
        <v>349</v>
      </c>
      <c r="F1716" t="s">
        <v>391</v>
      </c>
      <c r="G1716" t="s">
        <v>36</v>
      </c>
      <c r="H1716" t="s">
        <v>43</v>
      </c>
      <c r="I1716" s="187">
        <v>1725.922612825796</v>
      </c>
      <c r="J1716" s="187">
        <v>0</v>
      </c>
      <c r="K1716" s="187">
        <v>239.44461313078784</v>
      </c>
      <c r="L1716" s="187">
        <v>132.96599807305896</v>
      </c>
      <c r="M1716" s="187">
        <v>2098.333251953125</v>
      </c>
      <c r="N1716" s="187">
        <v>1858.8885498046875</v>
      </c>
      <c r="O1716" t="s">
        <v>2174</v>
      </c>
    </row>
    <row r="1717" spans="1:15" hidden="1" x14ac:dyDescent="0.45">
      <c r="A1717" s="187">
        <v>2017</v>
      </c>
      <c r="B1717" t="s">
        <v>312</v>
      </c>
      <c r="C1717" t="s">
        <v>323</v>
      </c>
      <c r="D1717" t="s">
        <v>35</v>
      </c>
      <c r="E1717" t="s">
        <v>349</v>
      </c>
      <c r="F1717" t="s">
        <v>391</v>
      </c>
      <c r="G1717" t="s">
        <v>36</v>
      </c>
      <c r="H1717" t="s">
        <v>43</v>
      </c>
      <c r="I1717" s="187">
        <v>1781.6561591615725</v>
      </c>
      <c r="J1717" s="187">
        <v>0</v>
      </c>
      <c r="K1717" s="187">
        <v>671.55809538093183</v>
      </c>
      <c r="L1717" s="187">
        <v>495.86626861728945</v>
      </c>
      <c r="M1717" s="187">
        <v>2949.080322265625</v>
      </c>
      <c r="N1717" s="187">
        <v>2277.5224609375</v>
      </c>
      <c r="O1717" t="s">
        <v>2175</v>
      </c>
    </row>
    <row r="1718" spans="1:15" hidden="1" x14ac:dyDescent="0.45">
      <c r="A1718" s="187">
        <v>2017</v>
      </c>
      <c r="B1718" t="s">
        <v>311</v>
      </c>
      <c r="C1718" t="s">
        <v>323</v>
      </c>
      <c r="D1718" t="s">
        <v>35</v>
      </c>
      <c r="E1718" t="s">
        <v>349</v>
      </c>
      <c r="F1718" t="s">
        <v>391</v>
      </c>
      <c r="G1718" t="s">
        <v>36</v>
      </c>
      <c r="H1718" t="s">
        <v>43</v>
      </c>
      <c r="I1718" s="187"/>
      <c r="J1718" s="187">
        <v>0</v>
      </c>
      <c r="K1718" s="187">
        <v>108.93935014254734</v>
      </c>
      <c r="L1718" s="187">
        <v>1562.2353002523798</v>
      </c>
      <c r="M1718" s="187">
        <v>1671.1746826171875</v>
      </c>
      <c r="N1718" s="187">
        <v>1562.2353515625</v>
      </c>
      <c r="O1718" t="s">
        <v>2177</v>
      </c>
    </row>
    <row r="1719" spans="1:15" hidden="1" x14ac:dyDescent="0.45">
      <c r="A1719" s="187">
        <v>2017</v>
      </c>
      <c r="B1719" t="s">
        <v>311</v>
      </c>
      <c r="C1719" t="s">
        <v>323</v>
      </c>
      <c r="D1719" t="s">
        <v>35</v>
      </c>
      <c r="E1719" t="s">
        <v>349</v>
      </c>
      <c r="F1719" t="s">
        <v>392</v>
      </c>
      <c r="G1719" t="s">
        <v>36</v>
      </c>
      <c r="H1719" t="s">
        <v>43</v>
      </c>
      <c r="I1719" s="187"/>
      <c r="J1719" s="187">
        <v>0</v>
      </c>
      <c r="K1719" s="187">
        <v>0.7488548736473436</v>
      </c>
      <c r="L1719" s="187">
        <v>0</v>
      </c>
      <c r="M1719" s="187">
        <v>0.7488548755645752</v>
      </c>
      <c r="N1719" s="187">
        <v>0</v>
      </c>
      <c r="O1719" t="s">
        <v>2182</v>
      </c>
    </row>
    <row r="1720" spans="1:15" hidden="1" x14ac:dyDescent="0.45">
      <c r="A1720" s="187">
        <v>2017</v>
      </c>
      <c r="B1720" t="s">
        <v>309</v>
      </c>
      <c r="C1720" t="s">
        <v>323</v>
      </c>
      <c r="D1720" t="s">
        <v>35</v>
      </c>
      <c r="E1720" t="s">
        <v>349</v>
      </c>
      <c r="F1720" t="s">
        <v>392</v>
      </c>
      <c r="G1720" t="s">
        <v>36</v>
      </c>
      <c r="H1720" t="s">
        <v>43</v>
      </c>
      <c r="I1720" s="187"/>
      <c r="J1720" s="187">
        <v>0</v>
      </c>
      <c r="K1720" s="187">
        <v>0.96960806380018882</v>
      </c>
      <c r="L1720" s="187">
        <v>0</v>
      </c>
      <c r="M1720" s="187">
        <v>0.96960806846618652</v>
      </c>
      <c r="N1720" s="187">
        <v>0</v>
      </c>
      <c r="O1720" t="s">
        <v>2179</v>
      </c>
    </row>
    <row r="1721" spans="1:15" hidden="1" x14ac:dyDescent="0.45">
      <c r="A1721" s="187">
        <v>2017</v>
      </c>
      <c r="B1721" t="s">
        <v>310</v>
      </c>
      <c r="C1721" t="s">
        <v>323</v>
      </c>
      <c r="D1721" t="s">
        <v>35</v>
      </c>
      <c r="E1721" t="s">
        <v>349</v>
      </c>
      <c r="F1721" t="s">
        <v>392</v>
      </c>
      <c r="G1721" t="s">
        <v>36</v>
      </c>
      <c r="H1721" t="s">
        <v>43</v>
      </c>
      <c r="I1721" s="187"/>
      <c r="J1721" s="187">
        <v>0</v>
      </c>
      <c r="K1721" s="187">
        <v>0.94555281107896672</v>
      </c>
      <c r="L1721" s="187">
        <v>0</v>
      </c>
      <c r="M1721" s="187">
        <v>0.94555282592773438</v>
      </c>
      <c r="N1721" s="187">
        <v>0</v>
      </c>
      <c r="O1721" t="s">
        <v>2178</v>
      </c>
    </row>
    <row r="1722" spans="1:15" hidden="1" x14ac:dyDescent="0.45">
      <c r="A1722" s="187">
        <v>2017</v>
      </c>
      <c r="B1722" t="s">
        <v>313</v>
      </c>
      <c r="C1722" t="s">
        <v>323</v>
      </c>
      <c r="D1722" t="s">
        <v>35</v>
      </c>
      <c r="E1722" t="s">
        <v>349</v>
      </c>
      <c r="F1722" t="s">
        <v>392</v>
      </c>
      <c r="G1722" t="s">
        <v>36</v>
      </c>
      <c r="H1722" t="s">
        <v>43</v>
      </c>
      <c r="I1722" s="187">
        <v>59.894593726603141</v>
      </c>
      <c r="J1722" s="187">
        <v>0</v>
      </c>
      <c r="K1722" s="187">
        <v>6.584450848159637E-2</v>
      </c>
      <c r="L1722" s="187">
        <v>0</v>
      </c>
      <c r="M1722" s="187">
        <v>59.960437774658203</v>
      </c>
      <c r="N1722" s="187">
        <v>59.89459228515625</v>
      </c>
      <c r="O1722" t="s">
        <v>2181</v>
      </c>
    </row>
    <row r="1723" spans="1:15" hidden="1" x14ac:dyDescent="0.45">
      <c r="A1723" s="187">
        <v>2017</v>
      </c>
      <c r="B1723" t="s">
        <v>312</v>
      </c>
      <c r="C1723" t="s">
        <v>323</v>
      </c>
      <c r="D1723" t="s">
        <v>35</v>
      </c>
      <c r="E1723" t="s">
        <v>349</v>
      </c>
      <c r="F1723" t="s">
        <v>392</v>
      </c>
      <c r="G1723" t="s">
        <v>36</v>
      </c>
      <c r="H1723" t="s">
        <v>43</v>
      </c>
      <c r="I1723" s="187">
        <v>61.828711797667012</v>
      </c>
      <c r="J1723" s="187">
        <v>0</v>
      </c>
      <c r="K1723" s="187">
        <v>0.28502081275613778</v>
      </c>
      <c r="L1723" s="187">
        <v>0</v>
      </c>
      <c r="M1723" s="187">
        <v>62.113731384277344</v>
      </c>
      <c r="N1723" s="187">
        <v>61.828712463378906</v>
      </c>
      <c r="O1723" t="s">
        <v>2180</v>
      </c>
    </row>
    <row r="1724" spans="1:15" hidden="1" x14ac:dyDescent="0.45">
      <c r="A1724" s="187">
        <v>2017</v>
      </c>
      <c r="B1724" t="s">
        <v>313</v>
      </c>
      <c r="C1724" t="s">
        <v>323</v>
      </c>
      <c r="D1724" t="s">
        <v>35</v>
      </c>
      <c r="E1724" t="s">
        <v>349</v>
      </c>
      <c r="F1724" t="s">
        <v>393</v>
      </c>
      <c r="G1724" t="s">
        <v>36</v>
      </c>
      <c r="H1724" t="s">
        <v>43</v>
      </c>
      <c r="I1724" s="187">
        <v>23.957837490641257</v>
      </c>
      <c r="J1724" s="187">
        <v>0</v>
      </c>
      <c r="K1724" s="187">
        <v>8.9665464815100808</v>
      </c>
      <c r="L1724" s="187">
        <v>0</v>
      </c>
      <c r="M1724" s="187">
        <v>32.924385070800781</v>
      </c>
      <c r="N1724" s="187">
        <v>23.95783805847168</v>
      </c>
      <c r="O1724" t="s">
        <v>2183</v>
      </c>
    </row>
    <row r="1725" spans="1:15" hidden="1" x14ac:dyDescent="0.45">
      <c r="A1725" s="187">
        <v>2017</v>
      </c>
      <c r="B1725" t="s">
        <v>312</v>
      </c>
      <c r="C1725" t="s">
        <v>323</v>
      </c>
      <c r="D1725" t="s">
        <v>35</v>
      </c>
      <c r="E1725" t="s">
        <v>349</v>
      </c>
      <c r="F1725" t="s">
        <v>393</v>
      </c>
      <c r="G1725" t="s">
        <v>36</v>
      </c>
      <c r="H1725" t="s">
        <v>43</v>
      </c>
      <c r="I1725" s="187">
        <v>24.731484719066806</v>
      </c>
      <c r="J1725" s="187">
        <v>0</v>
      </c>
      <c r="K1725" s="187">
        <v>26.378154621701512</v>
      </c>
      <c r="L1725" s="187">
        <v>0</v>
      </c>
      <c r="M1725" s="187">
        <v>51.109638214111328</v>
      </c>
      <c r="N1725" s="187">
        <v>24.731485366821289</v>
      </c>
      <c r="O1725" t="s">
        <v>2185</v>
      </c>
    </row>
    <row r="1726" spans="1:15" hidden="1" x14ac:dyDescent="0.45">
      <c r="A1726" s="187">
        <v>2017</v>
      </c>
      <c r="B1726" t="s">
        <v>309</v>
      </c>
      <c r="C1726" t="s">
        <v>323</v>
      </c>
      <c r="D1726" t="s">
        <v>35</v>
      </c>
      <c r="E1726" t="s">
        <v>349</v>
      </c>
      <c r="F1726" t="s">
        <v>393</v>
      </c>
      <c r="G1726" t="s">
        <v>36</v>
      </c>
      <c r="H1726" t="s">
        <v>43</v>
      </c>
      <c r="I1726" s="187"/>
      <c r="J1726" s="187">
        <v>0</v>
      </c>
      <c r="K1726" s="187">
        <v>61.70657799668065</v>
      </c>
      <c r="L1726" s="187">
        <v>13.246850784757434</v>
      </c>
      <c r="M1726" s="187">
        <v>74.95343017578125</v>
      </c>
      <c r="N1726" s="187">
        <v>13.246850967407227</v>
      </c>
      <c r="O1726" t="s">
        <v>2184</v>
      </c>
    </row>
    <row r="1727" spans="1:15" hidden="1" x14ac:dyDescent="0.45">
      <c r="A1727" s="187">
        <v>2017</v>
      </c>
      <c r="B1727" t="s">
        <v>310</v>
      </c>
      <c r="C1727" t="s">
        <v>323</v>
      </c>
      <c r="D1727" t="s">
        <v>35</v>
      </c>
      <c r="E1727" t="s">
        <v>349</v>
      </c>
      <c r="F1727" t="s">
        <v>393</v>
      </c>
      <c r="G1727" t="s">
        <v>36</v>
      </c>
      <c r="H1727" t="s">
        <v>43</v>
      </c>
      <c r="I1727" s="187"/>
      <c r="J1727" s="187">
        <v>0</v>
      </c>
      <c r="K1727" s="187">
        <v>60.175683830584006</v>
      </c>
      <c r="L1727" s="187">
        <v>13.077208240226556</v>
      </c>
      <c r="M1727" s="187">
        <v>73.252891540527344</v>
      </c>
      <c r="N1727" s="187">
        <v>13.077208518981934</v>
      </c>
      <c r="O1727" t="s">
        <v>2186</v>
      </c>
    </row>
    <row r="1728" spans="1:15" hidden="1" x14ac:dyDescent="0.45">
      <c r="A1728" s="187">
        <v>2017</v>
      </c>
      <c r="B1728" t="s">
        <v>311</v>
      </c>
      <c r="C1728" t="s">
        <v>323</v>
      </c>
      <c r="D1728" t="s">
        <v>35</v>
      </c>
      <c r="E1728" t="s">
        <v>349</v>
      </c>
      <c r="F1728" t="s">
        <v>393</v>
      </c>
      <c r="G1728" t="s">
        <v>36</v>
      </c>
      <c r="H1728" t="s">
        <v>43</v>
      </c>
      <c r="I1728" s="187"/>
      <c r="J1728" s="187">
        <v>0</v>
      </c>
      <c r="K1728" s="187">
        <v>75.419730646930773</v>
      </c>
      <c r="L1728" s="187">
        <v>24.230588330445077</v>
      </c>
      <c r="M1728" s="187">
        <v>99.650321960449219</v>
      </c>
      <c r="N1728" s="187">
        <v>24.230588912963867</v>
      </c>
      <c r="O1728" t="s">
        <v>2187</v>
      </c>
    </row>
    <row r="1729" spans="1:15" hidden="1" x14ac:dyDescent="0.45">
      <c r="A1729" s="187">
        <v>2017</v>
      </c>
      <c r="B1729" t="s">
        <v>312</v>
      </c>
      <c r="C1729" t="s">
        <v>323</v>
      </c>
      <c r="D1729" t="s">
        <v>35</v>
      </c>
      <c r="E1729" t="s">
        <v>349</v>
      </c>
      <c r="F1729" t="s">
        <v>394</v>
      </c>
      <c r="G1729" t="s">
        <v>36</v>
      </c>
      <c r="H1729" t="s">
        <v>43</v>
      </c>
      <c r="I1729" s="187">
        <v>284.41207426926826</v>
      </c>
      <c r="J1729" s="187">
        <v>0</v>
      </c>
      <c r="K1729" s="187">
        <v>11.384045419885453</v>
      </c>
      <c r="L1729" s="187">
        <v>0</v>
      </c>
      <c r="M1729" s="187">
        <v>295.79611206054688</v>
      </c>
      <c r="N1729" s="187">
        <v>284.41207885742188</v>
      </c>
      <c r="O1729" t="s">
        <v>2188</v>
      </c>
    </row>
    <row r="1730" spans="1:15" hidden="1" x14ac:dyDescent="0.45">
      <c r="A1730" s="187">
        <v>2017</v>
      </c>
      <c r="B1730" t="s">
        <v>311</v>
      </c>
      <c r="C1730" t="s">
        <v>323</v>
      </c>
      <c r="D1730" t="s">
        <v>35</v>
      </c>
      <c r="E1730" t="s">
        <v>349</v>
      </c>
      <c r="F1730" t="s">
        <v>394</v>
      </c>
      <c r="G1730" t="s">
        <v>36</v>
      </c>
      <c r="H1730" t="s">
        <v>43</v>
      </c>
      <c r="I1730" s="187"/>
      <c r="J1730" s="187">
        <v>0</v>
      </c>
      <c r="K1730" s="187">
        <v>32.653275781451114</v>
      </c>
      <c r="L1730" s="187">
        <v>0</v>
      </c>
      <c r="M1730" s="187">
        <v>32.653274536132813</v>
      </c>
      <c r="N1730" s="187">
        <v>0</v>
      </c>
      <c r="O1730" t="s">
        <v>2190</v>
      </c>
    </row>
    <row r="1731" spans="1:15" hidden="1" x14ac:dyDescent="0.45">
      <c r="A1731" s="187">
        <v>2017</v>
      </c>
      <c r="B1731" t="s">
        <v>313</v>
      </c>
      <c r="C1731" t="s">
        <v>323</v>
      </c>
      <c r="D1731" t="s">
        <v>35</v>
      </c>
      <c r="E1731" t="s">
        <v>349</v>
      </c>
      <c r="F1731" t="s">
        <v>394</v>
      </c>
      <c r="G1731" t="s">
        <v>36</v>
      </c>
      <c r="H1731" t="s">
        <v>43</v>
      </c>
      <c r="I1731" s="187">
        <v>0</v>
      </c>
      <c r="J1731" s="187">
        <v>0</v>
      </c>
      <c r="K1731" s="187">
        <v>3.8611069084698904</v>
      </c>
      <c r="L1731" s="187">
        <v>0</v>
      </c>
      <c r="M1731" s="187">
        <v>3.8611068725585938</v>
      </c>
      <c r="N1731" s="187">
        <v>0</v>
      </c>
      <c r="O1731" t="s">
        <v>2191</v>
      </c>
    </row>
    <row r="1732" spans="1:15" hidden="1" x14ac:dyDescent="0.45">
      <c r="A1732" s="187">
        <v>2017</v>
      </c>
      <c r="B1732" t="s">
        <v>310</v>
      </c>
      <c r="C1732" t="s">
        <v>323</v>
      </c>
      <c r="D1732" t="s">
        <v>35</v>
      </c>
      <c r="E1732" t="s">
        <v>349</v>
      </c>
      <c r="F1732" t="s">
        <v>394</v>
      </c>
      <c r="G1732" t="s">
        <v>36</v>
      </c>
      <c r="H1732" t="s">
        <v>43</v>
      </c>
      <c r="I1732" s="187"/>
      <c r="J1732" s="187">
        <v>0</v>
      </c>
      <c r="K1732" s="187">
        <v>25.222531591788414</v>
      </c>
      <c r="L1732" s="187">
        <v>0</v>
      </c>
      <c r="M1732" s="187">
        <v>25.222532272338867</v>
      </c>
      <c r="N1732" s="187">
        <v>0</v>
      </c>
      <c r="O1732" t="s">
        <v>2189</v>
      </c>
    </row>
    <row r="1733" spans="1:15" hidden="1" x14ac:dyDescent="0.45">
      <c r="A1733" s="187">
        <v>2017</v>
      </c>
      <c r="B1733" t="s">
        <v>309</v>
      </c>
      <c r="C1733" t="s">
        <v>323</v>
      </c>
      <c r="D1733" t="s">
        <v>35</v>
      </c>
      <c r="E1733" t="s">
        <v>349</v>
      </c>
      <c r="F1733" t="s">
        <v>394</v>
      </c>
      <c r="G1733" t="s">
        <v>36</v>
      </c>
      <c r="H1733" t="s">
        <v>43</v>
      </c>
      <c r="I1733" s="187"/>
      <c r="J1733" s="187">
        <v>0</v>
      </c>
      <c r="K1733" s="187">
        <v>25.8642031775533</v>
      </c>
      <c r="L1733" s="187">
        <v>0</v>
      </c>
      <c r="M1733" s="187">
        <v>25.864202499389648</v>
      </c>
      <c r="N1733" s="187">
        <v>0</v>
      </c>
      <c r="O1733" t="s">
        <v>2192</v>
      </c>
    </row>
    <row r="1734" spans="1:15" hidden="1" x14ac:dyDescent="0.45">
      <c r="A1734" s="187">
        <v>2017</v>
      </c>
      <c r="B1734" t="s">
        <v>312</v>
      </c>
      <c r="C1734" t="s">
        <v>323</v>
      </c>
      <c r="D1734" t="s">
        <v>35</v>
      </c>
      <c r="E1734" t="s">
        <v>349</v>
      </c>
      <c r="F1734" t="s">
        <v>395</v>
      </c>
      <c r="G1734" t="s">
        <v>36</v>
      </c>
      <c r="H1734" t="s">
        <v>43</v>
      </c>
      <c r="I1734" s="187">
        <v>0</v>
      </c>
      <c r="J1734" s="187">
        <v>0</v>
      </c>
      <c r="K1734" s="187">
        <v>4.412606608929695E-2</v>
      </c>
      <c r="L1734" s="187">
        <v>121.18427512342734</v>
      </c>
      <c r="M1734" s="187">
        <v>121.22840118408203</v>
      </c>
      <c r="N1734" s="187">
        <v>121.18427276611328</v>
      </c>
      <c r="O1734" t="s">
        <v>2194</v>
      </c>
    </row>
    <row r="1735" spans="1:15" hidden="1" x14ac:dyDescent="0.45">
      <c r="A1735" s="187">
        <v>2017</v>
      </c>
      <c r="B1735" t="s">
        <v>313</v>
      </c>
      <c r="C1735" t="s">
        <v>323</v>
      </c>
      <c r="D1735" t="s">
        <v>35</v>
      </c>
      <c r="E1735" t="s">
        <v>349</v>
      </c>
      <c r="F1735" t="s">
        <v>395</v>
      </c>
      <c r="G1735" t="s">
        <v>36</v>
      </c>
      <c r="H1735" t="s">
        <v>43</v>
      </c>
      <c r="I1735" s="187">
        <v>275.51513114237446</v>
      </c>
      <c r="J1735" s="187">
        <v>0</v>
      </c>
      <c r="K1735" s="187">
        <v>1.0502398095620634E-2</v>
      </c>
      <c r="L1735" s="187">
        <v>49.113566855814575</v>
      </c>
      <c r="M1735" s="187">
        <v>324.63919067382813</v>
      </c>
      <c r="N1735" s="187">
        <v>324.62869262695313</v>
      </c>
      <c r="O1735" t="s">
        <v>2195</v>
      </c>
    </row>
    <row r="1736" spans="1:15" hidden="1" x14ac:dyDescent="0.45">
      <c r="A1736" s="187">
        <v>2017</v>
      </c>
      <c r="B1736" t="s">
        <v>310</v>
      </c>
      <c r="C1736" t="s">
        <v>323</v>
      </c>
      <c r="D1736" t="s">
        <v>35</v>
      </c>
      <c r="E1736" t="s">
        <v>349</v>
      </c>
      <c r="F1736" t="s">
        <v>395</v>
      </c>
      <c r="G1736" t="s">
        <v>36</v>
      </c>
      <c r="H1736" t="s">
        <v>43</v>
      </c>
      <c r="I1736" s="187"/>
      <c r="J1736" s="187">
        <v>0</v>
      </c>
      <c r="K1736" s="187">
        <v>4.7880595981122868E-2</v>
      </c>
      <c r="L1736" s="187">
        <v>126.84891993019758</v>
      </c>
      <c r="M1736" s="187">
        <v>126.89679718017578</v>
      </c>
      <c r="N1736" s="187">
        <v>126.84892272949219</v>
      </c>
      <c r="O1736" t="s">
        <v>2196</v>
      </c>
    </row>
    <row r="1737" spans="1:15" hidden="1" x14ac:dyDescent="0.45">
      <c r="A1737" s="187">
        <v>2017</v>
      </c>
      <c r="B1737" t="s">
        <v>309</v>
      </c>
      <c r="C1737" t="s">
        <v>323</v>
      </c>
      <c r="D1737" t="s">
        <v>35</v>
      </c>
      <c r="E1737" t="s">
        <v>349</v>
      </c>
      <c r="F1737" t="s">
        <v>395</v>
      </c>
      <c r="G1737" t="s">
        <v>36</v>
      </c>
      <c r="H1737" t="s">
        <v>43</v>
      </c>
      <c r="I1737" s="187"/>
      <c r="J1737" s="187">
        <v>0</v>
      </c>
      <c r="K1737" s="187">
        <v>4.909869805143903E-2</v>
      </c>
      <c r="L1737" s="187">
        <v>127.16976753367138</v>
      </c>
      <c r="M1737" s="187">
        <v>127.21886444091797</v>
      </c>
      <c r="N1737" s="187">
        <v>127.16976928710938</v>
      </c>
      <c r="O1737" t="s">
        <v>2197</v>
      </c>
    </row>
    <row r="1738" spans="1:15" hidden="1" x14ac:dyDescent="0.45">
      <c r="A1738" s="187">
        <v>2017</v>
      </c>
      <c r="B1738" t="s">
        <v>311</v>
      </c>
      <c r="C1738" t="s">
        <v>323</v>
      </c>
      <c r="D1738" t="s">
        <v>35</v>
      </c>
      <c r="E1738" t="s">
        <v>349</v>
      </c>
      <c r="F1738" t="s">
        <v>395</v>
      </c>
      <c r="G1738" t="s">
        <v>36</v>
      </c>
      <c r="H1738" t="s">
        <v>43</v>
      </c>
      <c r="I1738" s="187"/>
      <c r="J1738" s="187">
        <v>0</v>
      </c>
      <c r="K1738" s="187">
        <v>0.11748884051813184</v>
      </c>
      <c r="L1738" s="187">
        <v>405.54353100429125</v>
      </c>
      <c r="M1738" s="187">
        <v>405.6610107421875</v>
      </c>
      <c r="N1738" s="187">
        <v>405.54351806640625</v>
      </c>
      <c r="O1738" t="s">
        <v>2193</v>
      </c>
    </row>
    <row r="1739" spans="1:15" hidden="1" x14ac:dyDescent="0.45">
      <c r="A1739" s="187">
        <v>2017</v>
      </c>
      <c r="B1739" t="s">
        <v>311</v>
      </c>
      <c r="C1739" t="s">
        <v>323</v>
      </c>
      <c r="D1739" t="s">
        <v>35</v>
      </c>
      <c r="E1739" t="s">
        <v>349</v>
      </c>
      <c r="F1739" t="s">
        <v>396</v>
      </c>
      <c r="G1739" t="s">
        <v>36</v>
      </c>
      <c r="H1739" t="s">
        <v>43</v>
      </c>
      <c r="I1739" s="187"/>
      <c r="J1739" s="187">
        <v>0</v>
      </c>
      <c r="K1739" s="187">
        <v>0</v>
      </c>
      <c r="L1739" s="187">
        <v>1132.4611809176436</v>
      </c>
      <c r="M1739" s="187">
        <v>1132.461181640625</v>
      </c>
      <c r="N1739" s="187">
        <v>1132.461181640625</v>
      </c>
      <c r="O1739" t="s">
        <v>2200</v>
      </c>
    </row>
    <row r="1740" spans="1:15" hidden="1" x14ac:dyDescent="0.45">
      <c r="A1740" s="187">
        <v>2017</v>
      </c>
      <c r="B1740" t="s">
        <v>313</v>
      </c>
      <c r="C1740" t="s">
        <v>323</v>
      </c>
      <c r="D1740" t="s">
        <v>35</v>
      </c>
      <c r="E1740" t="s">
        <v>349</v>
      </c>
      <c r="F1740" t="s">
        <v>396</v>
      </c>
      <c r="G1740" t="s">
        <v>36</v>
      </c>
      <c r="H1740" t="s">
        <v>43</v>
      </c>
      <c r="I1740" s="187">
        <v>1366.5550504661771</v>
      </c>
      <c r="J1740" s="187">
        <v>0</v>
      </c>
      <c r="K1740" s="187">
        <v>226.54061283423061</v>
      </c>
      <c r="L1740" s="187">
        <v>83.852431217244401</v>
      </c>
      <c r="M1740" s="187">
        <v>1676.9481201171875</v>
      </c>
      <c r="N1740" s="187">
        <v>1450.407470703125</v>
      </c>
      <c r="O1740" t="s">
        <v>2201</v>
      </c>
    </row>
    <row r="1741" spans="1:15" hidden="1" x14ac:dyDescent="0.45">
      <c r="A1741" s="187">
        <v>2017</v>
      </c>
      <c r="B1741" t="s">
        <v>312</v>
      </c>
      <c r="C1741" t="s">
        <v>323</v>
      </c>
      <c r="D1741" t="s">
        <v>35</v>
      </c>
      <c r="E1741" t="s">
        <v>349</v>
      </c>
      <c r="F1741" t="s">
        <v>396</v>
      </c>
      <c r="G1741" t="s">
        <v>36</v>
      </c>
      <c r="H1741" t="s">
        <v>43</v>
      </c>
      <c r="I1741" s="187">
        <v>1410.6838883755704</v>
      </c>
      <c r="J1741" s="187">
        <v>0</v>
      </c>
      <c r="K1741" s="187">
        <v>633.4667484604995</v>
      </c>
      <c r="L1741" s="187">
        <v>374.68199349386208</v>
      </c>
      <c r="M1741" s="187">
        <v>2418.83251953125</v>
      </c>
      <c r="N1741" s="187">
        <v>1785.3658447265625</v>
      </c>
      <c r="O1741" t="s">
        <v>2202</v>
      </c>
    </row>
    <row r="1742" spans="1:15" hidden="1" x14ac:dyDescent="0.45">
      <c r="A1742" s="187">
        <v>2017</v>
      </c>
      <c r="B1742" t="s">
        <v>309</v>
      </c>
      <c r="C1742" t="s">
        <v>323</v>
      </c>
      <c r="D1742" t="s">
        <v>35</v>
      </c>
      <c r="E1742" t="s">
        <v>349</v>
      </c>
      <c r="F1742" t="s">
        <v>396</v>
      </c>
      <c r="G1742" t="s">
        <v>36</v>
      </c>
      <c r="H1742" t="s">
        <v>43</v>
      </c>
      <c r="I1742" s="187"/>
      <c r="J1742" s="187">
        <v>0</v>
      </c>
      <c r="K1742" s="187">
        <v>0</v>
      </c>
      <c r="L1742" s="187">
        <v>842.49970991057285</v>
      </c>
      <c r="M1742" s="187">
        <v>842.49969482421875</v>
      </c>
      <c r="N1742" s="187">
        <v>842.49969482421875</v>
      </c>
      <c r="O1742" t="s">
        <v>2199</v>
      </c>
    </row>
    <row r="1743" spans="1:15" hidden="1" x14ac:dyDescent="0.45">
      <c r="A1743" s="187">
        <v>2017</v>
      </c>
      <c r="B1743" t="s">
        <v>310</v>
      </c>
      <c r="C1743" t="s">
        <v>323</v>
      </c>
      <c r="D1743" t="s">
        <v>35</v>
      </c>
      <c r="E1743" t="s">
        <v>349</v>
      </c>
      <c r="F1743" t="s">
        <v>396</v>
      </c>
      <c r="G1743" t="s">
        <v>36</v>
      </c>
      <c r="H1743" t="s">
        <v>43</v>
      </c>
      <c r="I1743" s="187"/>
      <c r="J1743" s="187">
        <v>0</v>
      </c>
      <c r="K1743" s="187">
        <v>0</v>
      </c>
      <c r="L1743" s="187">
        <v>836.94132737449956</v>
      </c>
      <c r="M1743" s="187">
        <v>836.94134521484375</v>
      </c>
      <c r="N1743" s="187">
        <v>836.94134521484375</v>
      </c>
      <c r="O1743" t="s">
        <v>2198</v>
      </c>
    </row>
    <row r="1744" spans="1:15" hidden="1" x14ac:dyDescent="0.45">
      <c r="A1744" s="187">
        <v>2017</v>
      </c>
      <c r="B1744" t="s">
        <v>312</v>
      </c>
      <c r="C1744" t="s">
        <v>323</v>
      </c>
      <c r="D1744" t="s">
        <v>35</v>
      </c>
      <c r="E1744" t="s">
        <v>349</v>
      </c>
      <c r="F1744" t="s">
        <v>397</v>
      </c>
      <c r="G1744" t="s">
        <v>36</v>
      </c>
      <c r="H1744" t="s">
        <v>43</v>
      </c>
      <c r="I1744" s="187">
        <v>0</v>
      </c>
      <c r="J1744" s="187">
        <v>0</v>
      </c>
      <c r="K1744" s="187">
        <v>6.7502846339943967E-2</v>
      </c>
      <c r="L1744" s="187">
        <v>0</v>
      </c>
      <c r="M1744" s="187">
        <v>6.750284880399704E-2</v>
      </c>
      <c r="N1744" s="187">
        <v>0</v>
      </c>
      <c r="O1744" t="s">
        <v>2205</v>
      </c>
    </row>
    <row r="1745" spans="1:15" hidden="1" x14ac:dyDescent="0.45">
      <c r="A1745" s="187">
        <v>2017</v>
      </c>
      <c r="B1745" t="s">
        <v>313</v>
      </c>
      <c r="C1745" t="s">
        <v>323</v>
      </c>
      <c r="D1745" t="s">
        <v>35</v>
      </c>
      <c r="E1745" t="s">
        <v>349</v>
      </c>
      <c r="F1745" t="s">
        <v>397</v>
      </c>
      <c r="G1745" t="s">
        <v>36</v>
      </c>
      <c r="H1745" t="s">
        <v>43</v>
      </c>
      <c r="I1745" s="187">
        <v>0</v>
      </c>
      <c r="J1745" s="187">
        <v>0</v>
      </c>
      <c r="K1745" s="187">
        <v>1.3224775004764095E-2</v>
      </c>
      <c r="L1745" s="187">
        <v>0</v>
      </c>
      <c r="M1745" s="187">
        <v>1.3224774971604347E-2</v>
      </c>
      <c r="N1745" s="187">
        <v>0</v>
      </c>
      <c r="O1745" t="s">
        <v>2206</v>
      </c>
    </row>
    <row r="1746" spans="1:15" hidden="1" x14ac:dyDescent="0.45">
      <c r="A1746" s="187">
        <v>2017</v>
      </c>
      <c r="B1746" t="s">
        <v>309</v>
      </c>
      <c r="C1746" t="s">
        <v>323</v>
      </c>
      <c r="D1746" t="s">
        <v>35</v>
      </c>
      <c r="E1746" t="s">
        <v>349</v>
      </c>
      <c r="F1746" t="s">
        <v>397</v>
      </c>
      <c r="G1746" t="s">
        <v>36</v>
      </c>
      <c r="H1746" t="s">
        <v>43</v>
      </c>
      <c r="I1746" s="187"/>
      <c r="J1746" s="187"/>
      <c r="K1746" s="187">
        <v>0.24416305274771533</v>
      </c>
      <c r="L1746" s="187">
        <v>0</v>
      </c>
      <c r="M1746" s="187">
        <v>0.24416305124759674</v>
      </c>
      <c r="N1746" s="187">
        <v>0</v>
      </c>
      <c r="O1746" t="s">
        <v>2207</v>
      </c>
    </row>
    <row r="1747" spans="1:15" hidden="1" x14ac:dyDescent="0.45">
      <c r="A1747" s="187">
        <v>2017</v>
      </c>
      <c r="B1747" t="s">
        <v>311</v>
      </c>
      <c r="C1747" t="s">
        <v>323</v>
      </c>
      <c r="D1747" t="s">
        <v>35</v>
      </c>
      <c r="E1747" t="s">
        <v>349</v>
      </c>
      <c r="F1747" t="s">
        <v>397</v>
      </c>
      <c r="G1747" t="s">
        <v>36</v>
      </c>
      <c r="H1747" t="s">
        <v>43</v>
      </c>
      <c r="I1747" s="187"/>
      <c r="J1747" s="187">
        <v>0</v>
      </c>
      <c r="K1747" s="187">
        <v>0.17968415445786895</v>
      </c>
      <c r="L1747" s="187">
        <v>0</v>
      </c>
      <c r="M1747" s="187">
        <v>0.17968414723873138</v>
      </c>
      <c r="N1747" s="187">
        <v>0</v>
      </c>
      <c r="O1747" t="s">
        <v>2203</v>
      </c>
    </row>
    <row r="1748" spans="1:15" hidden="1" x14ac:dyDescent="0.45">
      <c r="A1748" s="187">
        <v>2017</v>
      </c>
      <c r="B1748" t="s">
        <v>310</v>
      </c>
      <c r="C1748" t="s">
        <v>323</v>
      </c>
      <c r="D1748" t="s">
        <v>35</v>
      </c>
      <c r="E1748" t="s">
        <v>349</v>
      </c>
      <c r="F1748" t="s">
        <v>397</v>
      </c>
      <c r="G1748" t="s">
        <v>36</v>
      </c>
      <c r="H1748" t="s">
        <v>43</v>
      </c>
      <c r="I1748" s="187"/>
      <c r="J1748" s="187">
        <v>0</v>
      </c>
      <c r="K1748" s="187">
        <v>0.23810554955821861</v>
      </c>
      <c r="L1748" s="187">
        <v>0</v>
      </c>
      <c r="M1748" s="187">
        <v>0.23810555040836334</v>
      </c>
      <c r="N1748" s="187">
        <v>0</v>
      </c>
      <c r="O1748" t="s">
        <v>2204</v>
      </c>
    </row>
    <row r="1749" spans="1:15" hidden="1" x14ac:dyDescent="0.45">
      <c r="A1749" s="187">
        <v>2017</v>
      </c>
      <c r="B1749" t="s">
        <v>310</v>
      </c>
      <c r="C1749" t="s">
        <v>323</v>
      </c>
      <c r="D1749" t="s">
        <v>35</v>
      </c>
      <c r="E1749" t="s">
        <v>349</v>
      </c>
      <c r="F1749" t="s">
        <v>398</v>
      </c>
      <c r="G1749" t="s">
        <v>36</v>
      </c>
      <c r="H1749" t="s">
        <v>43</v>
      </c>
      <c r="I1749" s="187"/>
      <c r="J1749" s="187">
        <v>340.00741424589046</v>
      </c>
      <c r="K1749" s="187">
        <v>21.754819805675293</v>
      </c>
      <c r="L1749" s="187">
        <v>0</v>
      </c>
      <c r="M1749" s="187">
        <v>361.76223754882813</v>
      </c>
      <c r="N1749" s="187">
        <v>0</v>
      </c>
      <c r="O1749" t="s">
        <v>2210</v>
      </c>
    </row>
    <row r="1750" spans="1:15" hidden="1" x14ac:dyDescent="0.45">
      <c r="A1750" s="187">
        <v>2017</v>
      </c>
      <c r="B1750" t="s">
        <v>313</v>
      </c>
      <c r="C1750" t="s">
        <v>323</v>
      </c>
      <c r="D1750" t="s">
        <v>35</v>
      </c>
      <c r="E1750" t="s">
        <v>349</v>
      </c>
      <c r="F1750" t="s">
        <v>398</v>
      </c>
      <c r="G1750" t="s">
        <v>36</v>
      </c>
      <c r="H1750" t="s">
        <v>43</v>
      </c>
      <c r="I1750" s="187">
        <v>0</v>
      </c>
      <c r="J1750" s="187">
        <v>374.94015672853567</v>
      </c>
      <c r="K1750" s="187">
        <v>1.4427039389263621</v>
      </c>
      <c r="L1750" s="187">
        <v>0</v>
      </c>
      <c r="M1750" s="187">
        <v>376.38287353515625</v>
      </c>
      <c r="N1750" s="187">
        <v>0</v>
      </c>
      <c r="O1750" t="s">
        <v>2211</v>
      </c>
    </row>
    <row r="1751" spans="1:15" hidden="1" x14ac:dyDescent="0.45">
      <c r="A1751" s="187">
        <v>2017</v>
      </c>
      <c r="B1751" t="s">
        <v>311</v>
      </c>
      <c r="C1751" t="s">
        <v>323</v>
      </c>
      <c r="D1751" t="s">
        <v>35</v>
      </c>
      <c r="E1751" t="s">
        <v>349</v>
      </c>
      <c r="F1751" t="s">
        <v>398</v>
      </c>
      <c r="G1751" t="s">
        <v>36</v>
      </c>
      <c r="H1751" t="s">
        <v>43</v>
      </c>
      <c r="I1751" s="187"/>
      <c r="J1751" s="187">
        <v>644.02353194077705</v>
      </c>
      <c r="K1751" s="187">
        <v>26.139477362567845</v>
      </c>
      <c r="L1751" s="187">
        <v>0</v>
      </c>
      <c r="M1751" s="187">
        <v>670.16302490234375</v>
      </c>
      <c r="N1751" s="187">
        <v>0</v>
      </c>
      <c r="O1751" t="s">
        <v>2208</v>
      </c>
    </row>
    <row r="1752" spans="1:15" hidden="1" x14ac:dyDescent="0.45">
      <c r="A1752" s="187">
        <v>2017</v>
      </c>
      <c r="B1752" t="s">
        <v>312</v>
      </c>
      <c r="C1752" t="s">
        <v>323</v>
      </c>
      <c r="D1752" t="s">
        <v>35</v>
      </c>
      <c r="E1752" t="s">
        <v>349</v>
      </c>
      <c r="F1752" t="s">
        <v>398</v>
      </c>
      <c r="G1752" t="s">
        <v>36</v>
      </c>
      <c r="H1752" t="s">
        <v>43</v>
      </c>
      <c r="I1752" s="187">
        <v>0</v>
      </c>
      <c r="J1752" s="187">
        <v>370.97227078600207</v>
      </c>
      <c r="K1752" s="187">
        <v>9.0213564167028437</v>
      </c>
      <c r="L1752" s="187">
        <v>0</v>
      </c>
      <c r="M1752" s="187">
        <v>379.99362182617188</v>
      </c>
      <c r="N1752" s="187">
        <v>0</v>
      </c>
      <c r="O1752" t="s">
        <v>2212</v>
      </c>
    </row>
    <row r="1753" spans="1:15" hidden="1" x14ac:dyDescent="0.45">
      <c r="A1753" s="187">
        <v>2017</v>
      </c>
      <c r="B1753" t="s">
        <v>309</v>
      </c>
      <c r="C1753" t="s">
        <v>323</v>
      </c>
      <c r="D1753" t="s">
        <v>35</v>
      </c>
      <c r="E1753" t="s">
        <v>349</v>
      </c>
      <c r="F1753" t="s">
        <v>398</v>
      </c>
      <c r="G1753" t="s">
        <v>36</v>
      </c>
      <c r="H1753" t="s">
        <v>43</v>
      </c>
      <c r="I1753" s="187"/>
      <c r="J1753" s="187">
        <v>529.87403139029743</v>
      </c>
      <c r="K1753" s="187">
        <v>22.308271376225882</v>
      </c>
      <c r="L1753" s="187">
        <v>0</v>
      </c>
      <c r="M1753" s="187">
        <v>552.18231201171875</v>
      </c>
      <c r="N1753" s="187">
        <v>0</v>
      </c>
      <c r="O1753" t="s">
        <v>2209</v>
      </c>
    </row>
    <row r="1754" spans="1:15" hidden="1" x14ac:dyDescent="0.45">
      <c r="A1754" s="187">
        <v>2017</v>
      </c>
      <c r="B1754" t="s">
        <v>312</v>
      </c>
      <c r="C1754" t="s">
        <v>323</v>
      </c>
      <c r="D1754" t="s">
        <v>35</v>
      </c>
      <c r="E1754" t="s">
        <v>349</v>
      </c>
      <c r="F1754" t="s">
        <v>399</v>
      </c>
      <c r="G1754" t="s">
        <v>36</v>
      </c>
      <c r="H1754" t="s">
        <v>43</v>
      </c>
      <c r="I1754" s="187">
        <v>0</v>
      </c>
      <c r="J1754" s="187">
        <v>284.41207426926826</v>
      </c>
      <c r="K1754" s="187">
        <v>6.2472648959971551</v>
      </c>
      <c r="L1754" s="187">
        <v>0</v>
      </c>
      <c r="M1754" s="187">
        <v>290.65933227539063</v>
      </c>
      <c r="N1754" s="187">
        <v>0</v>
      </c>
      <c r="O1754" t="s">
        <v>2216</v>
      </c>
    </row>
    <row r="1755" spans="1:15" hidden="1" x14ac:dyDescent="0.45">
      <c r="A1755" s="187">
        <v>2017</v>
      </c>
      <c r="B1755" t="s">
        <v>313</v>
      </c>
      <c r="C1755" t="s">
        <v>323</v>
      </c>
      <c r="D1755" t="s">
        <v>35</v>
      </c>
      <c r="E1755" t="s">
        <v>349</v>
      </c>
      <c r="F1755" t="s">
        <v>399</v>
      </c>
      <c r="G1755" t="s">
        <v>36</v>
      </c>
      <c r="H1755" t="s">
        <v>43</v>
      </c>
      <c r="I1755" s="187">
        <v>0</v>
      </c>
      <c r="J1755" s="187">
        <v>225.2036724120278</v>
      </c>
      <c r="K1755" s="187">
        <v>0.99773333601254244</v>
      </c>
      <c r="L1755" s="187">
        <v>0</v>
      </c>
      <c r="M1755" s="187">
        <v>226.20140075683594</v>
      </c>
      <c r="N1755" s="187">
        <v>0</v>
      </c>
      <c r="O1755" t="s">
        <v>2217</v>
      </c>
    </row>
    <row r="1756" spans="1:15" hidden="1" x14ac:dyDescent="0.45">
      <c r="A1756" s="187">
        <v>2017</v>
      </c>
      <c r="B1756" t="s">
        <v>310</v>
      </c>
      <c r="C1756" t="s">
        <v>323</v>
      </c>
      <c r="D1756" t="s">
        <v>35</v>
      </c>
      <c r="E1756" t="s">
        <v>349</v>
      </c>
      <c r="F1756" t="s">
        <v>399</v>
      </c>
      <c r="G1756" t="s">
        <v>36</v>
      </c>
      <c r="H1756" t="s">
        <v>43</v>
      </c>
      <c r="I1756" s="187"/>
      <c r="J1756" s="187">
        <v>227.54342337994206</v>
      </c>
      <c r="K1756" s="187">
        <v>15.153214183957632</v>
      </c>
      <c r="L1756" s="187">
        <v>0</v>
      </c>
      <c r="M1756" s="187">
        <v>242.69664001464844</v>
      </c>
      <c r="N1756" s="187">
        <v>0</v>
      </c>
      <c r="O1756" t="s">
        <v>2213</v>
      </c>
    </row>
    <row r="1757" spans="1:15" hidden="1" x14ac:dyDescent="0.45">
      <c r="A1757" s="187">
        <v>2017</v>
      </c>
      <c r="B1757" t="s">
        <v>309</v>
      </c>
      <c r="C1757" t="s">
        <v>323</v>
      </c>
      <c r="D1757" t="s">
        <v>35</v>
      </c>
      <c r="E1757" t="s">
        <v>349</v>
      </c>
      <c r="F1757" t="s">
        <v>399</v>
      </c>
      <c r="G1757" t="s">
        <v>36</v>
      </c>
      <c r="H1757" t="s">
        <v>43</v>
      </c>
      <c r="I1757" s="187"/>
      <c r="J1757" s="187">
        <v>344.41812040369331</v>
      </c>
      <c r="K1757" s="187">
        <v>15.538718190146312</v>
      </c>
      <c r="L1757" s="187">
        <v>0</v>
      </c>
      <c r="M1757" s="187">
        <v>359.95684814453125</v>
      </c>
      <c r="N1757" s="187">
        <v>0</v>
      </c>
      <c r="O1757" t="s">
        <v>2215</v>
      </c>
    </row>
    <row r="1758" spans="1:15" hidden="1" x14ac:dyDescent="0.45">
      <c r="A1758" s="187">
        <v>2017</v>
      </c>
      <c r="B1758" t="s">
        <v>311</v>
      </c>
      <c r="C1758" t="s">
        <v>323</v>
      </c>
      <c r="D1758" t="s">
        <v>35</v>
      </c>
      <c r="E1758" t="s">
        <v>349</v>
      </c>
      <c r="F1758" t="s">
        <v>399</v>
      </c>
      <c r="G1758" t="s">
        <v>36</v>
      </c>
      <c r="H1758" t="s">
        <v>43</v>
      </c>
      <c r="I1758" s="187"/>
      <c r="J1758" s="187">
        <v>478.23529599562647</v>
      </c>
      <c r="K1758" s="187">
        <v>18.096604572698364</v>
      </c>
      <c r="L1758" s="187">
        <v>0</v>
      </c>
      <c r="M1758" s="187">
        <v>496.3319091796875</v>
      </c>
      <c r="N1758" s="187">
        <v>0</v>
      </c>
      <c r="O1758" t="s">
        <v>2214</v>
      </c>
    </row>
    <row r="1759" spans="1:15" hidden="1" x14ac:dyDescent="0.45">
      <c r="A1759" s="187">
        <v>2017</v>
      </c>
      <c r="B1759" t="s">
        <v>312</v>
      </c>
      <c r="C1759" t="s">
        <v>323</v>
      </c>
      <c r="D1759" t="s">
        <v>35</v>
      </c>
      <c r="E1759" t="s">
        <v>349</v>
      </c>
      <c r="F1759" t="s">
        <v>400</v>
      </c>
      <c r="G1759" t="s">
        <v>36</v>
      </c>
      <c r="H1759" t="s">
        <v>43</v>
      </c>
      <c r="I1759" s="187">
        <v>0</v>
      </c>
      <c r="J1759" s="187">
        <v>86.560196516733811</v>
      </c>
      <c r="K1759" s="187">
        <v>2.6961380864595181</v>
      </c>
      <c r="L1759" s="187">
        <v>0</v>
      </c>
      <c r="M1759" s="187">
        <v>89.256332397460938</v>
      </c>
      <c r="N1759" s="187">
        <v>0</v>
      </c>
      <c r="O1759" t="s">
        <v>2221</v>
      </c>
    </row>
    <row r="1760" spans="1:15" hidden="1" x14ac:dyDescent="0.45">
      <c r="A1760" s="187">
        <v>2017</v>
      </c>
      <c r="B1760" t="s">
        <v>313</v>
      </c>
      <c r="C1760" t="s">
        <v>323</v>
      </c>
      <c r="D1760" t="s">
        <v>35</v>
      </c>
      <c r="E1760" t="s">
        <v>349</v>
      </c>
      <c r="F1760" t="s">
        <v>400</v>
      </c>
      <c r="G1760" t="s">
        <v>36</v>
      </c>
      <c r="H1760" t="s">
        <v>43</v>
      </c>
      <c r="I1760" s="187">
        <v>0</v>
      </c>
      <c r="J1760" s="187">
        <v>149.73648431650784</v>
      </c>
      <c r="K1760" s="187">
        <v>0.429636436328377</v>
      </c>
      <c r="L1760" s="187">
        <v>0</v>
      </c>
      <c r="M1760" s="187">
        <v>150.16612243652344</v>
      </c>
      <c r="N1760" s="187">
        <v>0</v>
      </c>
      <c r="O1760" t="s">
        <v>2222</v>
      </c>
    </row>
    <row r="1761" spans="1:15" hidden="1" x14ac:dyDescent="0.45">
      <c r="A1761" s="187">
        <v>2017</v>
      </c>
      <c r="B1761" t="s">
        <v>311</v>
      </c>
      <c r="C1761" t="s">
        <v>323</v>
      </c>
      <c r="D1761" t="s">
        <v>35</v>
      </c>
      <c r="E1761" t="s">
        <v>349</v>
      </c>
      <c r="F1761" t="s">
        <v>400</v>
      </c>
      <c r="G1761" t="s">
        <v>36</v>
      </c>
      <c r="H1761" t="s">
        <v>43</v>
      </c>
      <c r="I1761" s="187"/>
      <c r="J1761" s="187">
        <v>165.78823594515052</v>
      </c>
      <c r="K1761" s="187">
        <v>7.8349977486194655</v>
      </c>
      <c r="L1761" s="187">
        <v>0</v>
      </c>
      <c r="M1761" s="187">
        <v>173.62322998046875</v>
      </c>
      <c r="N1761" s="187">
        <v>0</v>
      </c>
      <c r="O1761" t="s">
        <v>2220</v>
      </c>
    </row>
    <row r="1762" spans="1:15" hidden="1" x14ac:dyDescent="0.45">
      <c r="A1762" s="187">
        <v>2017</v>
      </c>
      <c r="B1762" t="s">
        <v>310</v>
      </c>
      <c r="C1762" t="s">
        <v>323</v>
      </c>
      <c r="D1762" t="s">
        <v>35</v>
      </c>
      <c r="E1762" t="s">
        <v>349</v>
      </c>
      <c r="F1762" t="s">
        <v>400</v>
      </c>
      <c r="G1762" t="s">
        <v>36</v>
      </c>
      <c r="H1762" t="s">
        <v>43</v>
      </c>
      <c r="I1762" s="187"/>
      <c r="J1762" s="187">
        <v>112.46399086594838</v>
      </c>
      <c r="K1762" s="187">
        <v>6.3514429607155565</v>
      </c>
      <c r="L1762" s="187">
        <v>0</v>
      </c>
      <c r="M1762" s="187">
        <v>118.8154296875</v>
      </c>
      <c r="N1762" s="187">
        <v>0</v>
      </c>
      <c r="O1762" t="s">
        <v>2218</v>
      </c>
    </row>
    <row r="1763" spans="1:15" hidden="1" x14ac:dyDescent="0.45">
      <c r="A1763" s="187">
        <v>2017</v>
      </c>
      <c r="B1763" t="s">
        <v>309</v>
      </c>
      <c r="C1763" t="s">
        <v>323</v>
      </c>
      <c r="D1763" t="s">
        <v>35</v>
      </c>
      <c r="E1763" t="s">
        <v>349</v>
      </c>
      <c r="F1763" t="s">
        <v>400</v>
      </c>
      <c r="G1763" t="s">
        <v>36</v>
      </c>
      <c r="H1763" t="s">
        <v>43</v>
      </c>
      <c r="I1763" s="187"/>
      <c r="J1763" s="187">
        <v>172.20906020184665</v>
      </c>
      <c r="K1763" s="187">
        <v>6.5130262840098947</v>
      </c>
      <c r="L1763" s="187">
        <v>0</v>
      </c>
      <c r="M1763" s="187">
        <v>178.72209167480469</v>
      </c>
      <c r="N1763" s="187">
        <v>0</v>
      </c>
      <c r="O1763" t="s">
        <v>2219</v>
      </c>
    </row>
    <row r="1764" spans="1:15" hidden="1" x14ac:dyDescent="0.45">
      <c r="A1764" s="187">
        <v>2017</v>
      </c>
      <c r="B1764" t="s">
        <v>312</v>
      </c>
      <c r="C1764" t="s">
        <v>323</v>
      </c>
      <c r="D1764" t="s">
        <v>35</v>
      </c>
      <c r="E1764" t="s">
        <v>349</v>
      </c>
      <c r="F1764" t="s">
        <v>401</v>
      </c>
      <c r="G1764" t="s">
        <v>36</v>
      </c>
      <c r="H1764" t="s">
        <v>43</v>
      </c>
      <c r="I1764" s="187">
        <v>0</v>
      </c>
      <c r="J1764" s="187">
        <v>0</v>
      </c>
      <c r="K1764" s="187">
        <v>1.0450587906226111E-2</v>
      </c>
      <c r="L1764" s="187">
        <v>0</v>
      </c>
      <c r="M1764" s="187">
        <v>1.045058760792017E-2</v>
      </c>
      <c r="N1764" s="187">
        <v>0</v>
      </c>
      <c r="O1764" t="s">
        <v>2227</v>
      </c>
    </row>
    <row r="1765" spans="1:15" hidden="1" x14ac:dyDescent="0.45">
      <c r="A1765" s="187">
        <v>2017</v>
      </c>
      <c r="B1765" t="s">
        <v>313</v>
      </c>
      <c r="C1765" t="s">
        <v>323</v>
      </c>
      <c r="D1765" t="s">
        <v>35</v>
      </c>
      <c r="E1765" t="s">
        <v>349</v>
      </c>
      <c r="F1765" t="s">
        <v>401</v>
      </c>
      <c r="G1765" t="s">
        <v>36</v>
      </c>
      <c r="H1765" t="s">
        <v>43</v>
      </c>
      <c r="I1765" s="187">
        <v>0</v>
      </c>
      <c r="J1765" s="187">
        <v>0</v>
      </c>
      <c r="K1765" s="187">
        <v>2.1093915806792937E-3</v>
      </c>
      <c r="L1765" s="187">
        <v>0</v>
      </c>
      <c r="M1765" s="187">
        <v>2.1093916147947311E-3</v>
      </c>
      <c r="N1765" s="187">
        <v>0</v>
      </c>
      <c r="O1765" t="s">
        <v>2223</v>
      </c>
    </row>
    <row r="1766" spans="1:15" hidden="1" x14ac:dyDescent="0.45">
      <c r="A1766" s="187">
        <v>2017</v>
      </c>
      <c r="B1766" t="s">
        <v>310</v>
      </c>
      <c r="C1766" t="s">
        <v>323</v>
      </c>
      <c r="D1766" t="s">
        <v>35</v>
      </c>
      <c r="E1766" t="s">
        <v>349</v>
      </c>
      <c r="F1766" t="s">
        <v>401</v>
      </c>
      <c r="G1766" t="s">
        <v>36</v>
      </c>
      <c r="H1766" t="s">
        <v>43</v>
      </c>
      <c r="I1766" s="187"/>
      <c r="J1766" s="187">
        <v>0</v>
      </c>
      <c r="K1766" s="187">
        <v>1.2057111443887535E-2</v>
      </c>
      <c r="L1766" s="187">
        <v>0</v>
      </c>
      <c r="M1766" s="187">
        <v>1.2057111598551273E-2</v>
      </c>
      <c r="N1766" s="187">
        <v>0</v>
      </c>
      <c r="O1766" t="s">
        <v>2226</v>
      </c>
    </row>
    <row r="1767" spans="1:15" hidden="1" x14ac:dyDescent="0.45">
      <c r="A1767" s="187">
        <v>2017</v>
      </c>
      <c r="B1767" t="s">
        <v>309</v>
      </c>
      <c r="C1767" t="s">
        <v>323</v>
      </c>
      <c r="D1767" t="s">
        <v>35</v>
      </c>
      <c r="E1767" t="s">
        <v>349</v>
      </c>
      <c r="F1767" t="s">
        <v>401</v>
      </c>
      <c r="G1767" t="s">
        <v>36</v>
      </c>
      <c r="H1767" t="s">
        <v>43</v>
      </c>
      <c r="I1767" s="187"/>
      <c r="J1767" s="187">
        <v>13.246850784757434</v>
      </c>
      <c r="K1767" s="187">
        <v>1.2363849321954603E-2</v>
      </c>
      <c r="L1767" s="187">
        <v>0</v>
      </c>
      <c r="M1767" s="187">
        <v>13.259214401245117</v>
      </c>
      <c r="N1767" s="187">
        <v>0</v>
      </c>
      <c r="O1767" t="s">
        <v>2224</v>
      </c>
    </row>
    <row r="1768" spans="1:15" hidden="1" x14ac:dyDescent="0.45">
      <c r="A1768" s="187">
        <v>2017</v>
      </c>
      <c r="B1768" t="s">
        <v>311</v>
      </c>
      <c r="C1768" t="s">
        <v>323</v>
      </c>
      <c r="D1768" t="s">
        <v>35</v>
      </c>
      <c r="E1768" t="s">
        <v>349</v>
      </c>
      <c r="F1768" t="s">
        <v>401</v>
      </c>
      <c r="G1768" t="s">
        <v>36</v>
      </c>
      <c r="H1768" t="s">
        <v>43</v>
      </c>
      <c r="I1768" s="187"/>
      <c r="J1768" s="187">
        <v>0</v>
      </c>
      <c r="K1768" s="187">
        <v>2.8190886792141774E-2</v>
      </c>
      <c r="L1768" s="187">
        <v>0</v>
      </c>
      <c r="M1768" s="187">
        <v>2.8190886601805687E-2</v>
      </c>
      <c r="N1768" s="187">
        <v>0</v>
      </c>
      <c r="O1768" t="s">
        <v>2225</v>
      </c>
    </row>
    <row r="1769" spans="1:15" hidden="1" x14ac:dyDescent="0.45">
      <c r="A1769" s="187">
        <v>2017</v>
      </c>
      <c r="B1769" t="s">
        <v>310</v>
      </c>
      <c r="C1769" t="s">
        <v>323</v>
      </c>
      <c r="D1769" t="s">
        <v>35</v>
      </c>
      <c r="E1769" t="s">
        <v>349</v>
      </c>
      <c r="F1769" t="s">
        <v>402</v>
      </c>
      <c r="G1769" t="s">
        <v>36</v>
      </c>
      <c r="H1769" t="s">
        <v>43</v>
      </c>
      <c r="I1769" s="187"/>
      <c r="J1769" s="187">
        <v>0</v>
      </c>
      <c r="K1769" s="187">
        <v>18.119361041805604</v>
      </c>
      <c r="L1769" s="187">
        <v>0</v>
      </c>
      <c r="M1769" s="187">
        <v>18.119361877441406</v>
      </c>
      <c r="N1769" s="187">
        <v>0</v>
      </c>
      <c r="O1769" t="s">
        <v>2232</v>
      </c>
    </row>
    <row r="1770" spans="1:15" hidden="1" x14ac:dyDescent="0.45">
      <c r="A1770" s="187">
        <v>2017</v>
      </c>
      <c r="B1770" t="s">
        <v>309</v>
      </c>
      <c r="C1770" t="s">
        <v>323</v>
      </c>
      <c r="D1770" t="s">
        <v>35</v>
      </c>
      <c r="E1770" t="s">
        <v>349</v>
      </c>
      <c r="F1770" t="s">
        <v>402</v>
      </c>
      <c r="G1770" t="s">
        <v>36</v>
      </c>
      <c r="H1770" t="s">
        <v>43</v>
      </c>
      <c r="I1770" s="187"/>
      <c r="J1770" s="187">
        <v>0</v>
      </c>
      <c r="K1770" s="187">
        <v>35.07540517958649</v>
      </c>
      <c r="L1770" s="187">
        <v>127.16976753367138</v>
      </c>
      <c r="M1770" s="187">
        <v>162.24517822265625</v>
      </c>
      <c r="N1770" s="187">
        <v>127.16976928710938</v>
      </c>
      <c r="O1770" t="s">
        <v>2228</v>
      </c>
    </row>
    <row r="1771" spans="1:15" hidden="1" x14ac:dyDescent="0.45">
      <c r="A1771" s="187">
        <v>2017</v>
      </c>
      <c r="B1771" t="s">
        <v>313</v>
      </c>
      <c r="C1771" t="s">
        <v>323</v>
      </c>
      <c r="D1771" t="s">
        <v>35</v>
      </c>
      <c r="E1771" t="s">
        <v>349</v>
      </c>
      <c r="F1771" t="s">
        <v>402</v>
      </c>
      <c r="G1771" t="s">
        <v>36</v>
      </c>
      <c r="H1771" t="s">
        <v>43</v>
      </c>
      <c r="I1771" s="187">
        <v>0</v>
      </c>
      <c r="J1771" s="187">
        <v>0</v>
      </c>
      <c r="K1771" s="187">
        <v>1.3184031675123891</v>
      </c>
      <c r="L1771" s="187">
        <v>0</v>
      </c>
      <c r="M1771" s="187">
        <v>1.3184031248092651</v>
      </c>
      <c r="N1771" s="187">
        <v>0</v>
      </c>
      <c r="O1771" t="s">
        <v>2231</v>
      </c>
    </row>
    <row r="1772" spans="1:15" hidden="1" x14ac:dyDescent="0.45">
      <c r="A1772" s="187">
        <v>2017</v>
      </c>
      <c r="B1772" t="s">
        <v>312</v>
      </c>
      <c r="C1772" t="s">
        <v>323</v>
      </c>
      <c r="D1772" t="s">
        <v>35</v>
      </c>
      <c r="E1772" t="s">
        <v>349</v>
      </c>
      <c r="F1772" t="s">
        <v>402</v>
      </c>
      <c r="G1772" t="s">
        <v>36</v>
      </c>
      <c r="H1772" t="s">
        <v>43</v>
      </c>
      <c r="I1772" s="187">
        <v>0</v>
      </c>
      <c r="J1772" s="187">
        <v>0</v>
      </c>
      <c r="K1772" s="187">
        <v>5.6252909922261356</v>
      </c>
      <c r="L1772" s="187">
        <v>0</v>
      </c>
      <c r="M1772" s="187">
        <v>5.6252908706665039</v>
      </c>
      <c r="N1772" s="187">
        <v>0</v>
      </c>
      <c r="O1772" t="s">
        <v>2230</v>
      </c>
    </row>
    <row r="1773" spans="1:15" hidden="1" x14ac:dyDescent="0.45">
      <c r="A1773" s="187">
        <v>2017</v>
      </c>
      <c r="B1773" t="s">
        <v>311</v>
      </c>
      <c r="C1773" t="s">
        <v>323</v>
      </c>
      <c r="D1773" t="s">
        <v>35</v>
      </c>
      <c r="E1773" t="s">
        <v>349</v>
      </c>
      <c r="F1773" t="s">
        <v>402</v>
      </c>
      <c r="G1773" t="s">
        <v>36</v>
      </c>
      <c r="H1773" t="s">
        <v>43</v>
      </c>
      <c r="I1773" s="187"/>
      <c r="J1773" s="187">
        <v>0</v>
      </c>
      <c r="K1773" s="187">
        <v>14.587988014950596</v>
      </c>
      <c r="L1773" s="187">
        <v>0</v>
      </c>
      <c r="M1773" s="187">
        <v>14.587987899780273</v>
      </c>
      <c r="N1773" s="187">
        <v>0</v>
      </c>
      <c r="O1773" t="s">
        <v>2229</v>
      </c>
    </row>
    <row r="1774" spans="1:15" hidden="1" x14ac:dyDescent="0.45">
      <c r="A1774" s="187">
        <v>2017</v>
      </c>
      <c r="B1774" t="s">
        <v>310</v>
      </c>
      <c r="C1774" t="s">
        <v>323</v>
      </c>
      <c r="D1774" t="s">
        <v>35</v>
      </c>
      <c r="E1774" t="s">
        <v>349</v>
      </c>
      <c r="F1774" t="s">
        <v>403</v>
      </c>
      <c r="G1774" t="s">
        <v>36</v>
      </c>
      <c r="H1774" t="s">
        <v>43</v>
      </c>
      <c r="I1774" s="187"/>
      <c r="J1774" s="187">
        <v>0</v>
      </c>
      <c r="K1774" s="187">
        <v>2188.7538606531102</v>
      </c>
      <c r="L1774" s="187">
        <v>1751.0381833663357</v>
      </c>
      <c r="M1774" s="187">
        <v>3939.7919921875</v>
      </c>
      <c r="N1774" s="187">
        <v>1751.0382080078125</v>
      </c>
      <c r="O1774" t="s">
        <v>2235</v>
      </c>
    </row>
    <row r="1775" spans="1:15" hidden="1" x14ac:dyDescent="0.45">
      <c r="A1775" s="187">
        <v>2017</v>
      </c>
      <c r="B1775" t="s">
        <v>309</v>
      </c>
      <c r="C1775" t="s">
        <v>323</v>
      </c>
      <c r="D1775" t="s">
        <v>35</v>
      </c>
      <c r="E1775" t="s">
        <v>349</v>
      </c>
      <c r="F1775" t="s">
        <v>403</v>
      </c>
      <c r="G1775" t="s">
        <v>36</v>
      </c>
      <c r="H1775" t="s">
        <v>43</v>
      </c>
      <c r="I1775" s="187"/>
      <c r="J1775" s="187">
        <v>0</v>
      </c>
      <c r="K1775" s="187">
        <v>2232.2248610396791</v>
      </c>
      <c r="L1775" s="187">
        <v>484.8347387221221</v>
      </c>
      <c r="M1775" s="187">
        <v>2717.0595703125</v>
      </c>
      <c r="N1775" s="187">
        <v>484.83474731445313</v>
      </c>
      <c r="O1775" t="s">
        <v>2233</v>
      </c>
    </row>
    <row r="1776" spans="1:15" hidden="1" x14ac:dyDescent="0.45">
      <c r="A1776" s="187">
        <v>2017</v>
      </c>
      <c r="B1776" t="s">
        <v>311</v>
      </c>
      <c r="C1776" t="s">
        <v>323</v>
      </c>
      <c r="D1776" t="s">
        <v>35</v>
      </c>
      <c r="E1776" t="s">
        <v>349</v>
      </c>
      <c r="F1776" t="s">
        <v>403</v>
      </c>
      <c r="G1776" t="s">
        <v>36</v>
      </c>
      <c r="H1776" t="s">
        <v>43</v>
      </c>
      <c r="I1776" s="187"/>
      <c r="J1776" s="187">
        <v>0</v>
      </c>
      <c r="K1776" s="187">
        <v>2522.1367752170904</v>
      </c>
      <c r="L1776" s="187">
        <v>1784.1364775943505</v>
      </c>
      <c r="M1776" s="187">
        <v>4306.2734375</v>
      </c>
      <c r="N1776" s="187">
        <v>1784.136474609375</v>
      </c>
      <c r="O1776" t="s">
        <v>2234</v>
      </c>
    </row>
    <row r="1777" spans="1:15" hidden="1" x14ac:dyDescent="0.45">
      <c r="A1777" s="187">
        <v>2017</v>
      </c>
      <c r="B1777" t="s">
        <v>313</v>
      </c>
      <c r="C1777" t="s">
        <v>323</v>
      </c>
      <c r="D1777" t="s">
        <v>35</v>
      </c>
      <c r="E1777" t="s">
        <v>349</v>
      </c>
      <c r="F1777" t="s">
        <v>403</v>
      </c>
      <c r="G1777" t="s">
        <v>36</v>
      </c>
      <c r="H1777" t="s">
        <v>43</v>
      </c>
      <c r="I1777" s="187">
        <v>1950.2182831969285</v>
      </c>
      <c r="J1777" s="187">
        <v>17.96837811798094</v>
      </c>
      <c r="K1777" s="187">
        <v>1312.6738087669489</v>
      </c>
      <c r="L1777" s="187">
        <v>1248.2033332624094</v>
      </c>
      <c r="M1777" s="187">
        <v>4529.0634765625</v>
      </c>
      <c r="N1777" s="187">
        <v>3198.421630859375</v>
      </c>
      <c r="O1777" t="s">
        <v>2237</v>
      </c>
    </row>
    <row r="1778" spans="1:15" hidden="1" x14ac:dyDescent="0.45">
      <c r="A1778" s="187">
        <v>2017</v>
      </c>
      <c r="B1778" t="s">
        <v>312</v>
      </c>
      <c r="C1778" t="s">
        <v>323</v>
      </c>
      <c r="D1778" t="s">
        <v>35</v>
      </c>
      <c r="E1778" t="s">
        <v>349</v>
      </c>
      <c r="F1778" t="s">
        <v>403</v>
      </c>
      <c r="G1778" t="s">
        <v>36</v>
      </c>
      <c r="H1778" t="s">
        <v>43</v>
      </c>
      <c r="I1778" s="187">
        <v>1916.6900657276774</v>
      </c>
      <c r="J1778" s="187">
        <v>0</v>
      </c>
      <c r="K1778" s="187">
        <v>1278.9139409069951</v>
      </c>
      <c r="L1778" s="187">
        <v>1016.4640219536457</v>
      </c>
      <c r="M1778" s="187">
        <v>4212.06787109375</v>
      </c>
      <c r="N1778" s="187">
        <v>2933.154052734375</v>
      </c>
      <c r="O1778" t="s">
        <v>2236</v>
      </c>
    </row>
    <row r="1779" spans="1:15" hidden="1" x14ac:dyDescent="0.45">
      <c r="A1779" s="187">
        <v>2017</v>
      </c>
      <c r="B1779" t="s">
        <v>309</v>
      </c>
      <c r="C1779" t="s">
        <v>323</v>
      </c>
      <c r="D1779" t="s">
        <v>35</v>
      </c>
      <c r="E1779" t="s">
        <v>349</v>
      </c>
      <c r="F1779" t="s">
        <v>404</v>
      </c>
      <c r="G1779" t="s">
        <v>36</v>
      </c>
      <c r="H1779" t="s">
        <v>43</v>
      </c>
      <c r="I1779" s="187"/>
      <c r="J1779" s="187">
        <v>0</v>
      </c>
      <c r="K1779" s="187">
        <v>3204.7095110077648</v>
      </c>
      <c r="L1779" s="187">
        <v>675.58939002262923</v>
      </c>
      <c r="M1779" s="187">
        <v>3880.298828125</v>
      </c>
      <c r="N1779" s="187">
        <v>675.58941650390625</v>
      </c>
      <c r="O1779" t="s">
        <v>2242</v>
      </c>
    </row>
    <row r="1780" spans="1:15" hidden="1" x14ac:dyDescent="0.45">
      <c r="A1780" s="187">
        <v>2017</v>
      </c>
      <c r="B1780" t="s">
        <v>310</v>
      </c>
      <c r="C1780" t="s">
        <v>323</v>
      </c>
      <c r="D1780" t="s">
        <v>35</v>
      </c>
      <c r="E1780" t="s">
        <v>349</v>
      </c>
      <c r="F1780" t="s">
        <v>404</v>
      </c>
      <c r="G1780" t="s">
        <v>36</v>
      </c>
      <c r="H1780" t="s">
        <v>43</v>
      </c>
      <c r="I1780" s="187"/>
      <c r="J1780" s="187">
        <v>0</v>
      </c>
      <c r="K1780" s="187">
        <v>3125.2030587993768</v>
      </c>
      <c r="L1780" s="187">
        <v>1815.1165037434459</v>
      </c>
      <c r="M1780" s="187">
        <v>4940.31982421875</v>
      </c>
      <c r="N1780" s="187">
        <v>1815.116455078125</v>
      </c>
      <c r="O1780" t="s">
        <v>2240</v>
      </c>
    </row>
    <row r="1781" spans="1:15" hidden="1" x14ac:dyDescent="0.45">
      <c r="A1781" s="187">
        <v>2017</v>
      </c>
      <c r="B1781" t="s">
        <v>311</v>
      </c>
      <c r="C1781" t="s">
        <v>323</v>
      </c>
      <c r="D1781" t="s">
        <v>35</v>
      </c>
      <c r="E1781" t="s">
        <v>349</v>
      </c>
      <c r="F1781" t="s">
        <v>404</v>
      </c>
      <c r="G1781" t="s">
        <v>36</v>
      </c>
      <c r="H1781" t="s">
        <v>43</v>
      </c>
      <c r="I1781" s="187"/>
      <c r="J1781" s="187">
        <v>0</v>
      </c>
      <c r="K1781" s="187">
        <v>3630.9827550012392</v>
      </c>
      <c r="L1781" s="187">
        <v>1845.3505954817908</v>
      </c>
      <c r="M1781" s="187">
        <v>5476.33349609375</v>
      </c>
      <c r="N1781" s="187">
        <v>1845.3505859375</v>
      </c>
      <c r="O1781" t="s">
        <v>2241</v>
      </c>
    </row>
    <row r="1782" spans="1:15" hidden="1" x14ac:dyDescent="0.45">
      <c r="A1782" s="187">
        <v>2017</v>
      </c>
      <c r="B1782" t="s">
        <v>312</v>
      </c>
      <c r="C1782" t="s">
        <v>323</v>
      </c>
      <c r="D1782" t="s">
        <v>35</v>
      </c>
      <c r="E1782" t="s">
        <v>349</v>
      </c>
      <c r="F1782" t="s">
        <v>404</v>
      </c>
      <c r="G1782" t="s">
        <v>36</v>
      </c>
      <c r="H1782" t="s">
        <v>43</v>
      </c>
      <c r="I1782" s="187">
        <v>2373.5176857159199</v>
      </c>
      <c r="J1782" s="187">
        <v>0</v>
      </c>
      <c r="K1782" s="187">
        <v>1837.352235267899</v>
      </c>
      <c r="L1782" s="187">
        <v>1246.466829840967</v>
      </c>
      <c r="M1782" s="187">
        <v>5457.33642578125</v>
      </c>
      <c r="N1782" s="187">
        <v>3619.984375</v>
      </c>
      <c r="O1782" t="s">
        <v>2239</v>
      </c>
    </row>
    <row r="1783" spans="1:15" hidden="1" x14ac:dyDescent="0.45">
      <c r="A1783" s="187">
        <v>2017</v>
      </c>
      <c r="B1783" t="s">
        <v>313</v>
      </c>
      <c r="C1783" t="s">
        <v>323</v>
      </c>
      <c r="D1783" t="s">
        <v>35</v>
      </c>
      <c r="E1783" t="s">
        <v>349</v>
      </c>
      <c r="F1783" t="s">
        <v>404</v>
      </c>
      <c r="G1783" t="s">
        <v>36</v>
      </c>
      <c r="H1783" t="s">
        <v>43</v>
      </c>
      <c r="I1783" s="187">
        <v>2392.7554784053086</v>
      </c>
      <c r="J1783" s="187">
        <v>17.96837811798094</v>
      </c>
      <c r="K1783" s="187">
        <v>2034.5802559688427</v>
      </c>
      <c r="L1783" s="187">
        <v>1308.0979269890126</v>
      </c>
      <c r="M1783" s="187">
        <v>5753.40185546875</v>
      </c>
      <c r="N1783" s="187">
        <v>3700.853271484375</v>
      </c>
      <c r="O1783" t="s">
        <v>2238</v>
      </c>
    </row>
    <row r="1784" spans="1:15" hidden="1" x14ac:dyDescent="0.45">
      <c r="A1784" s="187">
        <v>2017</v>
      </c>
      <c r="B1784" t="s">
        <v>309</v>
      </c>
      <c r="C1784" t="s">
        <v>323</v>
      </c>
      <c r="D1784" t="s">
        <v>35</v>
      </c>
      <c r="E1784" t="s">
        <v>349</v>
      </c>
      <c r="F1784" t="s">
        <v>405</v>
      </c>
      <c r="G1784" t="s">
        <v>36</v>
      </c>
      <c r="H1784" t="s">
        <v>43</v>
      </c>
      <c r="I1784" s="187"/>
      <c r="J1784" s="187">
        <v>0</v>
      </c>
      <c r="K1784" s="187">
        <v>935.63310781909911</v>
      </c>
      <c r="L1784" s="187">
        <v>0</v>
      </c>
      <c r="M1784" s="187">
        <v>935.63311767578125</v>
      </c>
      <c r="N1784" s="187">
        <v>0</v>
      </c>
      <c r="O1784" t="s">
        <v>2247</v>
      </c>
    </row>
    <row r="1785" spans="1:15" hidden="1" x14ac:dyDescent="0.45">
      <c r="A1785" s="187">
        <v>2017</v>
      </c>
      <c r="B1785" t="s">
        <v>312</v>
      </c>
      <c r="C1785" t="s">
        <v>323</v>
      </c>
      <c r="D1785" t="s">
        <v>35</v>
      </c>
      <c r="E1785" t="s">
        <v>349</v>
      </c>
      <c r="F1785" t="s">
        <v>405</v>
      </c>
      <c r="G1785" t="s">
        <v>36</v>
      </c>
      <c r="H1785" t="s">
        <v>43</v>
      </c>
      <c r="I1785" s="187">
        <v>0</v>
      </c>
      <c r="J1785" s="187">
        <v>0</v>
      </c>
      <c r="K1785" s="187">
        <v>551.94211271443362</v>
      </c>
      <c r="L1785" s="187">
        <v>108.81853276389394</v>
      </c>
      <c r="M1785" s="187">
        <v>660.76068115234375</v>
      </c>
      <c r="N1785" s="187">
        <v>108.81853485107422</v>
      </c>
      <c r="O1785" t="s">
        <v>2246</v>
      </c>
    </row>
    <row r="1786" spans="1:15" hidden="1" x14ac:dyDescent="0.45">
      <c r="A1786" s="187">
        <v>2017</v>
      </c>
      <c r="B1786" t="s">
        <v>310</v>
      </c>
      <c r="C1786" t="s">
        <v>323</v>
      </c>
      <c r="D1786" t="s">
        <v>35</v>
      </c>
      <c r="E1786" t="s">
        <v>349</v>
      </c>
      <c r="F1786" t="s">
        <v>405</v>
      </c>
      <c r="G1786" t="s">
        <v>36</v>
      </c>
      <c r="H1786" t="s">
        <v>43</v>
      </c>
      <c r="I1786" s="187"/>
      <c r="J1786" s="187">
        <v>0</v>
      </c>
      <c r="K1786" s="187">
        <v>917.4123147880839</v>
      </c>
      <c r="L1786" s="187">
        <v>0</v>
      </c>
      <c r="M1786" s="187">
        <v>917.41229248046875</v>
      </c>
      <c r="N1786" s="187">
        <v>0</v>
      </c>
      <c r="O1786" t="s">
        <v>2245</v>
      </c>
    </row>
    <row r="1787" spans="1:15" hidden="1" x14ac:dyDescent="0.45">
      <c r="A1787" s="187">
        <v>2017</v>
      </c>
      <c r="B1787" t="s">
        <v>311</v>
      </c>
      <c r="C1787" t="s">
        <v>323</v>
      </c>
      <c r="D1787" t="s">
        <v>35</v>
      </c>
      <c r="E1787" t="s">
        <v>349</v>
      </c>
      <c r="F1787" t="s">
        <v>405</v>
      </c>
      <c r="G1787" t="s">
        <v>36</v>
      </c>
      <c r="H1787" t="s">
        <v>43</v>
      </c>
      <c r="I1787" s="187"/>
      <c r="J1787" s="187">
        <v>0</v>
      </c>
      <c r="K1787" s="187">
        <v>1091.9692628609903</v>
      </c>
      <c r="L1787" s="187">
        <v>0</v>
      </c>
      <c r="M1787" s="187">
        <v>1091.96923828125</v>
      </c>
      <c r="N1787" s="187">
        <v>0</v>
      </c>
      <c r="O1787" t="s">
        <v>2243</v>
      </c>
    </row>
    <row r="1788" spans="1:15" hidden="1" x14ac:dyDescent="0.45">
      <c r="A1788" s="187">
        <v>2017</v>
      </c>
      <c r="B1788" t="s">
        <v>313</v>
      </c>
      <c r="C1788" t="s">
        <v>323</v>
      </c>
      <c r="D1788" t="s">
        <v>35</v>
      </c>
      <c r="E1788" t="s">
        <v>349</v>
      </c>
      <c r="F1788" t="s">
        <v>405</v>
      </c>
      <c r="G1788" t="s">
        <v>36</v>
      </c>
      <c r="H1788" t="s">
        <v>43</v>
      </c>
      <c r="I1788" s="187">
        <v>0</v>
      </c>
      <c r="J1788" s="187">
        <v>0</v>
      </c>
      <c r="K1788" s="187">
        <v>720.37775474473392</v>
      </c>
      <c r="L1788" s="187">
        <v>59.894593726603141</v>
      </c>
      <c r="M1788" s="187">
        <v>780.2723388671875</v>
      </c>
      <c r="N1788" s="187">
        <v>59.89459228515625</v>
      </c>
      <c r="O1788" t="s">
        <v>2244</v>
      </c>
    </row>
    <row r="1789" spans="1:15" hidden="1" x14ac:dyDescent="0.45">
      <c r="A1789" s="187">
        <v>2017</v>
      </c>
      <c r="B1789" t="s">
        <v>312</v>
      </c>
      <c r="C1789" t="s">
        <v>323</v>
      </c>
      <c r="D1789" t="s">
        <v>35</v>
      </c>
      <c r="E1789" t="s">
        <v>349</v>
      </c>
      <c r="F1789" t="s">
        <v>406</v>
      </c>
      <c r="G1789" t="s">
        <v>36</v>
      </c>
      <c r="H1789" t="s">
        <v>43</v>
      </c>
      <c r="I1789" s="187">
        <v>0</v>
      </c>
      <c r="J1789" s="187">
        <v>0</v>
      </c>
      <c r="K1789" s="187">
        <v>0.8708906542445175</v>
      </c>
      <c r="L1789" s="187">
        <v>0</v>
      </c>
      <c r="M1789" s="187">
        <v>0.87089067697525024</v>
      </c>
      <c r="N1789" s="187">
        <v>0</v>
      </c>
      <c r="O1789" t="s">
        <v>2248</v>
      </c>
    </row>
    <row r="1790" spans="1:15" hidden="1" x14ac:dyDescent="0.45">
      <c r="A1790" s="187">
        <v>2017</v>
      </c>
      <c r="B1790" t="s">
        <v>309</v>
      </c>
      <c r="C1790" t="s">
        <v>323</v>
      </c>
      <c r="D1790" t="s">
        <v>35</v>
      </c>
      <c r="E1790" t="s">
        <v>349</v>
      </c>
      <c r="F1790" t="s">
        <v>406</v>
      </c>
      <c r="G1790" t="s">
        <v>36</v>
      </c>
      <c r="H1790" t="s">
        <v>43</v>
      </c>
      <c r="I1790" s="187"/>
      <c r="J1790" s="187">
        <v>0</v>
      </c>
      <c r="K1790" s="187">
        <v>1.7761369694005447</v>
      </c>
      <c r="L1790" s="187">
        <v>0</v>
      </c>
      <c r="M1790" s="187">
        <v>1.7761369943618774</v>
      </c>
      <c r="N1790" s="187">
        <v>0</v>
      </c>
      <c r="O1790" t="s">
        <v>2251</v>
      </c>
    </row>
    <row r="1791" spans="1:15" hidden="1" x14ac:dyDescent="0.45">
      <c r="A1791" s="187">
        <v>2017</v>
      </c>
      <c r="B1791" t="s">
        <v>313</v>
      </c>
      <c r="C1791" t="s">
        <v>323</v>
      </c>
      <c r="D1791" t="s">
        <v>35</v>
      </c>
      <c r="E1791" t="s">
        <v>349</v>
      </c>
      <c r="F1791" t="s">
        <v>406</v>
      </c>
      <c r="G1791" t="s">
        <v>36</v>
      </c>
      <c r="H1791" t="s">
        <v>43</v>
      </c>
      <c r="I1791" s="187">
        <v>0</v>
      </c>
      <c r="J1791" s="187">
        <v>0</v>
      </c>
      <c r="K1791" s="187">
        <v>0.21028928964687202</v>
      </c>
      <c r="L1791" s="187">
        <v>0</v>
      </c>
      <c r="M1791" s="187">
        <v>0.21028928458690643</v>
      </c>
      <c r="N1791" s="187">
        <v>0</v>
      </c>
      <c r="O1791" t="s">
        <v>2250</v>
      </c>
    </row>
    <row r="1792" spans="1:15" hidden="1" x14ac:dyDescent="0.45">
      <c r="A1792" s="187">
        <v>2017</v>
      </c>
      <c r="B1792" t="s">
        <v>311</v>
      </c>
      <c r="C1792" t="s">
        <v>323</v>
      </c>
      <c r="D1792" t="s">
        <v>35</v>
      </c>
      <c r="E1792" t="s">
        <v>349</v>
      </c>
      <c r="F1792" t="s">
        <v>406</v>
      </c>
      <c r="G1792" t="s">
        <v>36</v>
      </c>
      <c r="H1792" t="s">
        <v>43</v>
      </c>
      <c r="I1792" s="187"/>
      <c r="J1792" s="187">
        <v>0</v>
      </c>
      <c r="K1792" s="187">
        <v>2.2887289082077671</v>
      </c>
      <c r="L1792" s="187">
        <v>0</v>
      </c>
      <c r="M1792" s="187">
        <v>2.2887289524078369</v>
      </c>
      <c r="N1792" s="187">
        <v>0</v>
      </c>
      <c r="O1792" t="s">
        <v>2252</v>
      </c>
    </row>
    <row r="1793" spans="1:15" hidden="1" x14ac:dyDescent="0.45">
      <c r="A1793" s="187">
        <v>2017</v>
      </c>
      <c r="B1793" t="s">
        <v>310</v>
      </c>
      <c r="C1793" t="s">
        <v>323</v>
      </c>
      <c r="D1793" t="s">
        <v>35</v>
      </c>
      <c r="E1793" t="s">
        <v>349</v>
      </c>
      <c r="F1793" t="s">
        <v>406</v>
      </c>
      <c r="G1793" t="s">
        <v>36</v>
      </c>
      <c r="H1793" t="s">
        <v>43</v>
      </c>
      <c r="I1793" s="187"/>
      <c r="J1793" s="187">
        <v>0</v>
      </c>
      <c r="K1793" s="187">
        <v>0.91752231637788106</v>
      </c>
      <c r="L1793" s="187">
        <v>0</v>
      </c>
      <c r="M1793" s="187">
        <v>0.91752231121063232</v>
      </c>
      <c r="N1793" s="187">
        <v>0</v>
      </c>
      <c r="O1793" t="s">
        <v>2249</v>
      </c>
    </row>
    <row r="1794" spans="1:15" hidden="1" x14ac:dyDescent="0.45">
      <c r="A1794" s="187">
        <v>2017</v>
      </c>
      <c r="B1794" t="s">
        <v>310</v>
      </c>
      <c r="C1794" t="s">
        <v>323</v>
      </c>
      <c r="D1794" t="s">
        <v>35</v>
      </c>
      <c r="E1794" t="s">
        <v>349</v>
      </c>
      <c r="F1794" t="s">
        <v>407</v>
      </c>
      <c r="G1794" t="s">
        <v>36</v>
      </c>
      <c r="H1794" t="s">
        <v>43</v>
      </c>
      <c r="I1794" s="187"/>
      <c r="J1794" s="187">
        <v>0</v>
      </c>
      <c r="K1794" s="187">
        <v>0</v>
      </c>
      <c r="L1794" s="187">
        <v>64.078320377110117</v>
      </c>
      <c r="M1794" s="187">
        <v>64.078323364257813</v>
      </c>
      <c r="N1794" s="187">
        <v>64.078323364257813</v>
      </c>
      <c r="O1794" t="s">
        <v>2254</v>
      </c>
    </row>
    <row r="1795" spans="1:15" hidden="1" x14ac:dyDescent="0.45">
      <c r="A1795" s="187">
        <v>2017</v>
      </c>
      <c r="B1795" t="s">
        <v>312</v>
      </c>
      <c r="C1795" t="s">
        <v>323</v>
      </c>
      <c r="D1795" t="s">
        <v>35</v>
      </c>
      <c r="E1795" t="s">
        <v>349</v>
      </c>
      <c r="F1795" t="s">
        <v>407</v>
      </c>
      <c r="G1795" t="s">
        <v>36</v>
      </c>
      <c r="H1795" t="s">
        <v>43</v>
      </c>
      <c r="I1795" s="187">
        <v>456.82761998824247</v>
      </c>
      <c r="J1795" s="187">
        <v>0</v>
      </c>
      <c r="K1795" s="187">
        <v>0</v>
      </c>
      <c r="L1795" s="187">
        <v>121.18427512342734</v>
      </c>
      <c r="M1795" s="187">
        <v>578.01190185546875</v>
      </c>
      <c r="N1795" s="187">
        <v>578.01190185546875</v>
      </c>
      <c r="O1795" t="s">
        <v>2256</v>
      </c>
    </row>
    <row r="1796" spans="1:15" hidden="1" x14ac:dyDescent="0.45">
      <c r="A1796" s="187">
        <v>2017</v>
      </c>
      <c r="B1796" t="s">
        <v>311</v>
      </c>
      <c r="C1796" t="s">
        <v>323</v>
      </c>
      <c r="D1796" t="s">
        <v>35</v>
      </c>
      <c r="E1796" t="s">
        <v>349</v>
      </c>
      <c r="F1796" t="s">
        <v>407</v>
      </c>
      <c r="G1796" t="s">
        <v>36</v>
      </c>
      <c r="H1796" t="s">
        <v>43</v>
      </c>
      <c r="I1796" s="187"/>
      <c r="J1796" s="187">
        <v>0</v>
      </c>
      <c r="K1796" s="187">
        <v>0</v>
      </c>
      <c r="L1796" s="187">
        <v>61.214117887440189</v>
      </c>
      <c r="M1796" s="187">
        <v>61.214118957519531</v>
      </c>
      <c r="N1796" s="187">
        <v>61.214118957519531</v>
      </c>
      <c r="O1796" t="s">
        <v>2253</v>
      </c>
    </row>
    <row r="1797" spans="1:15" hidden="1" x14ac:dyDescent="0.45">
      <c r="A1797" s="187">
        <v>2017</v>
      </c>
      <c r="B1797" t="s">
        <v>309</v>
      </c>
      <c r="C1797" t="s">
        <v>323</v>
      </c>
      <c r="D1797" t="s">
        <v>35</v>
      </c>
      <c r="E1797" t="s">
        <v>349</v>
      </c>
      <c r="F1797" t="s">
        <v>407</v>
      </c>
      <c r="G1797" t="s">
        <v>36</v>
      </c>
      <c r="H1797" t="s">
        <v>43</v>
      </c>
      <c r="I1797" s="187"/>
      <c r="J1797" s="187">
        <v>0</v>
      </c>
      <c r="K1797" s="187">
        <v>0</v>
      </c>
      <c r="L1797" s="187">
        <v>63.584883766835688</v>
      </c>
      <c r="M1797" s="187">
        <v>63.584884643554688</v>
      </c>
      <c r="N1797" s="187">
        <v>63.584884643554688</v>
      </c>
      <c r="O1797" t="s">
        <v>2255</v>
      </c>
    </row>
    <row r="1798" spans="1:15" hidden="1" x14ac:dyDescent="0.45">
      <c r="A1798" s="187">
        <v>2017</v>
      </c>
      <c r="B1798" t="s">
        <v>313</v>
      </c>
      <c r="C1798" t="s">
        <v>323</v>
      </c>
      <c r="D1798" t="s">
        <v>35</v>
      </c>
      <c r="E1798" t="s">
        <v>349</v>
      </c>
      <c r="F1798" t="s">
        <v>407</v>
      </c>
      <c r="G1798" t="s">
        <v>36</v>
      </c>
      <c r="H1798" t="s">
        <v>43</v>
      </c>
      <c r="I1798" s="187">
        <v>442.53719520837996</v>
      </c>
      <c r="J1798" s="187">
        <v>0</v>
      </c>
      <c r="K1798" s="187">
        <v>0</v>
      </c>
      <c r="L1798" s="187">
        <v>0</v>
      </c>
      <c r="M1798" s="187">
        <v>442.53720092773438</v>
      </c>
      <c r="N1798" s="187">
        <v>442.53720092773438</v>
      </c>
      <c r="O1798" t="s">
        <v>2257</v>
      </c>
    </row>
    <row r="1799" spans="1:15" hidden="1" x14ac:dyDescent="0.45">
      <c r="A1799" s="187">
        <v>2017</v>
      </c>
      <c r="B1799" t="s">
        <v>309</v>
      </c>
      <c r="C1799" t="s">
        <v>323</v>
      </c>
      <c r="D1799" t="s">
        <v>35</v>
      </c>
      <c r="E1799" t="s">
        <v>349</v>
      </c>
      <c r="F1799" t="s">
        <v>408</v>
      </c>
      <c r="G1799" t="s">
        <v>36</v>
      </c>
      <c r="H1799" t="s">
        <v>43</v>
      </c>
      <c r="I1799" s="187"/>
      <c r="J1799" s="187"/>
      <c r="K1799" s="187">
        <v>452.12826413455599</v>
      </c>
      <c r="L1799" s="187">
        <v>255.66422014581849</v>
      </c>
      <c r="M1799" s="187">
        <v>707.79248046875</v>
      </c>
      <c r="N1799" s="187">
        <v>255.66421508789063</v>
      </c>
      <c r="O1799" t="s">
        <v>2259</v>
      </c>
    </row>
    <row r="1800" spans="1:15" hidden="1" x14ac:dyDescent="0.45">
      <c r="A1800" s="187">
        <v>2017</v>
      </c>
      <c r="B1800" t="s">
        <v>313</v>
      </c>
      <c r="C1800" t="s">
        <v>323</v>
      </c>
      <c r="D1800" t="s">
        <v>35</v>
      </c>
      <c r="E1800" t="s">
        <v>349</v>
      </c>
      <c r="F1800" t="s">
        <v>408</v>
      </c>
      <c r="G1800" t="s">
        <v>36</v>
      </c>
      <c r="H1800" t="s">
        <v>43</v>
      </c>
      <c r="I1800" s="187"/>
      <c r="J1800" s="187"/>
      <c r="K1800" s="187"/>
      <c r="L1800" s="187">
        <v>158.12172743823228</v>
      </c>
      <c r="M1800" s="187">
        <v>158.12173461914063</v>
      </c>
      <c r="N1800" s="187">
        <v>158.12173461914063</v>
      </c>
      <c r="O1800" t="s">
        <v>2258</v>
      </c>
    </row>
    <row r="1801" spans="1:15" hidden="1" x14ac:dyDescent="0.45">
      <c r="A1801" s="187">
        <v>2017</v>
      </c>
      <c r="B1801" t="s">
        <v>310</v>
      </c>
      <c r="C1801" t="s">
        <v>323</v>
      </c>
      <c r="D1801" t="s">
        <v>35</v>
      </c>
      <c r="E1801" t="s">
        <v>349</v>
      </c>
      <c r="F1801" t="s">
        <v>408</v>
      </c>
      <c r="G1801" t="s">
        <v>36</v>
      </c>
      <c r="H1801" t="s">
        <v>43</v>
      </c>
      <c r="I1801" s="187"/>
      <c r="J1801" s="187">
        <v>0</v>
      </c>
      <c r="K1801" s="187">
        <v>219.19307420582589</v>
      </c>
      <c r="L1801" s="187">
        <v>659.09129530741836</v>
      </c>
      <c r="M1801" s="187">
        <v>878.28436279296875</v>
      </c>
      <c r="N1801" s="187">
        <v>659.09130859375</v>
      </c>
      <c r="O1801" t="s">
        <v>2260</v>
      </c>
    </row>
    <row r="1802" spans="1:15" hidden="1" x14ac:dyDescent="0.45">
      <c r="A1802" s="187">
        <v>2017</v>
      </c>
      <c r="B1802" t="s">
        <v>310</v>
      </c>
      <c r="C1802" t="s">
        <v>323</v>
      </c>
      <c r="D1802" t="s">
        <v>35</v>
      </c>
      <c r="E1802" t="s">
        <v>349</v>
      </c>
      <c r="F1802" t="s">
        <v>409</v>
      </c>
      <c r="G1802" t="s">
        <v>36</v>
      </c>
      <c r="H1802" t="s">
        <v>43</v>
      </c>
      <c r="I1802" s="187"/>
      <c r="J1802" s="187">
        <v>0</v>
      </c>
      <c r="K1802" s="187">
        <v>0</v>
      </c>
      <c r="L1802" s="187">
        <v>31.385299776543732</v>
      </c>
      <c r="M1802" s="187">
        <v>31.385299682617188</v>
      </c>
      <c r="N1802" s="187">
        <v>31.385299682617188</v>
      </c>
      <c r="O1802" t="s">
        <v>2263</v>
      </c>
    </row>
    <row r="1803" spans="1:15" hidden="1" x14ac:dyDescent="0.45">
      <c r="A1803" s="187">
        <v>2017</v>
      </c>
      <c r="B1803" t="s">
        <v>309</v>
      </c>
      <c r="C1803" t="s">
        <v>323</v>
      </c>
      <c r="D1803" t="s">
        <v>35</v>
      </c>
      <c r="E1803" t="s">
        <v>349</v>
      </c>
      <c r="F1803" t="s">
        <v>409</v>
      </c>
      <c r="G1803" t="s">
        <v>36</v>
      </c>
      <c r="H1803" t="s">
        <v>43</v>
      </c>
      <c r="I1803" s="187"/>
      <c r="J1803" s="187"/>
      <c r="K1803" s="187">
        <v>0</v>
      </c>
      <c r="L1803" s="187">
        <v>31.792441883417844</v>
      </c>
      <c r="M1803" s="187">
        <v>31.792442321777344</v>
      </c>
      <c r="N1803" s="187">
        <v>31.792442321777344</v>
      </c>
      <c r="O1803" t="s">
        <v>2262</v>
      </c>
    </row>
    <row r="1804" spans="1:15" hidden="1" x14ac:dyDescent="0.45">
      <c r="A1804" s="187">
        <v>2017</v>
      </c>
      <c r="B1804" t="s">
        <v>313</v>
      </c>
      <c r="C1804" t="s">
        <v>323</v>
      </c>
      <c r="D1804" t="s">
        <v>35</v>
      </c>
      <c r="E1804" t="s">
        <v>349</v>
      </c>
      <c r="F1804" t="s">
        <v>409</v>
      </c>
      <c r="G1804" t="s">
        <v>36</v>
      </c>
      <c r="H1804" t="s">
        <v>43</v>
      </c>
      <c r="I1804" s="187"/>
      <c r="J1804" s="187"/>
      <c r="K1804" s="187"/>
      <c r="L1804" s="187">
        <v>0</v>
      </c>
      <c r="M1804" s="187">
        <v>0</v>
      </c>
      <c r="N1804" s="187">
        <v>0</v>
      </c>
      <c r="O1804" t="s">
        <v>2261</v>
      </c>
    </row>
    <row r="1805" spans="1:15" hidden="1" x14ac:dyDescent="0.45">
      <c r="A1805" s="187">
        <v>2017</v>
      </c>
      <c r="B1805" t="s">
        <v>313</v>
      </c>
      <c r="C1805" t="s">
        <v>323</v>
      </c>
      <c r="D1805" t="s">
        <v>35</v>
      </c>
      <c r="E1805" t="s">
        <v>349</v>
      </c>
      <c r="F1805" t="s">
        <v>410</v>
      </c>
      <c r="G1805" t="s">
        <v>36</v>
      </c>
      <c r="H1805" t="s">
        <v>43</v>
      </c>
      <c r="I1805" s="187"/>
      <c r="J1805" s="187"/>
      <c r="K1805" s="187"/>
      <c r="L1805" s="187">
        <v>0</v>
      </c>
      <c r="M1805" s="187">
        <v>0</v>
      </c>
      <c r="N1805" s="187">
        <v>0</v>
      </c>
      <c r="O1805" t="s">
        <v>2264</v>
      </c>
    </row>
    <row r="1806" spans="1:15" hidden="1" x14ac:dyDescent="0.45">
      <c r="A1806" s="187">
        <v>2017</v>
      </c>
      <c r="B1806" t="s">
        <v>309</v>
      </c>
      <c r="C1806" t="s">
        <v>323</v>
      </c>
      <c r="D1806" t="s">
        <v>35</v>
      </c>
      <c r="E1806" t="s">
        <v>349</v>
      </c>
      <c r="F1806" t="s">
        <v>410</v>
      </c>
      <c r="G1806" t="s">
        <v>36</v>
      </c>
      <c r="H1806" t="s">
        <v>43</v>
      </c>
      <c r="I1806" s="187"/>
      <c r="J1806" s="187"/>
      <c r="K1806" s="187">
        <v>0</v>
      </c>
      <c r="L1806" s="187">
        <v>25.169016491039127</v>
      </c>
      <c r="M1806" s="187">
        <v>25.169015884399414</v>
      </c>
      <c r="N1806" s="187">
        <v>25.169015884399414</v>
      </c>
      <c r="O1806" t="s">
        <v>2266</v>
      </c>
    </row>
    <row r="1807" spans="1:15" hidden="1" x14ac:dyDescent="0.45">
      <c r="A1807" s="187">
        <v>2017</v>
      </c>
      <c r="B1807" t="s">
        <v>310</v>
      </c>
      <c r="C1807" t="s">
        <v>323</v>
      </c>
      <c r="D1807" t="s">
        <v>35</v>
      </c>
      <c r="E1807" t="s">
        <v>349</v>
      </c>
      <c r="F1807" t="s">
        <v>410</v>
      </c>
      <c r="G1807" t="s">
        <v>36</v>
      </c>
      <c r="H1807" t="s">
        <v>43</v>
      </c>
      <c r="I1807" s="187"/>
      <c r="J1807" s="187">
        <v>0</v>
      </c>
      <c r="K1807" s="187">
        <v>0</v>
      </c>
      <c r="L1807" s="187">
        <v>278.54453551682565</v>
      </c>
      <c r="M1807" s="187">
        <v>278.54452514648438</v>
      </c>
      <c r="N1807" s="187">
        <v>278.54452514648438</v>
      </c>
      <c r="O1807" t="s">
        <v>2265</v>
      </c>
    </row>
    <row r="1808" spans="1:15" hidden="1" x14ac:dyDescent="0.45">
      <c r="A1808" s="187">
        <v>2017</v>
      </c>
      <c r="B1808" t="s">
        <v>309</v>
      </c>
      <c r="C1808" t="s">
        <v>323</v>
      </c>
      <c r="D1808" t="s">
        <v>35</v>
      </c>
      <c r="E1808" t="s">
        <v>349</v>
      </c>
      <c r="F1808" t="s">
        <v>411</v>
      </c>
      <c r="G1808" t="s">
        <v>36</v>
      </c>
      <c r="H1808" t="s">
        <v>43</v>
      </c>
      <c r="I1808" s="187"/>
      <c r="J1808" s="187">
        <v>0</v>
      </c>
      <c r="K1808" s="187">
        <v>452.12826413455599</v>
      </c>
      <c r="L1808" s="187">
        <v>312.62567852027547</v>
      </c>
      <c r="M1808" s="187">
        <v>764.75396728515625</v>
      </c>
      <c r="N1808" s="187">
        <v>312.62567138671875</v>
      </c>
      <c r="O1808" t="s">
        <v>2269</v>
      </c>
    </row>
    <row r="1809" spans="1:15" hidden="1" x14ac:dyDescent="0.45">
      <c r="A1809" s="187">
        <v>2017</v>
      </c>
      <c r="B1809" t="s">
        <v>313</v>
      </c>
      <c r="C1809" t="s">
        <v>323</v>
      </c>
      <c r="D1809" t="s">
        <v>35</v>
      </c>
      <c r="E1809" t="s">
        <v>349</v>
      </c>
      <c r="F1809" t="s">
        <v>411</v>
      </c>
      <c r="G1809" t="s">
        <v>36</v>
      </c>
      <c r="H1809" t="s">
        <v>43</v>
      </c>
      <c r="I1809" s="187"/>
      <c r="J1809" s="187"/>
      <c r="K1809" s="187"/>
      <c r="L1809" s="187">
        <v>158.12172743823228</v>
      </c>
      <c r="M1809" s="187">
        <v>158.12173461914063</v>
      </c>
      <c r="N1809" s="187">
        <v>158.12173461914063</v>
      </c>
      <c r="O1809" t="s">
        <v>2267</v>
      </c>
    </row>
    <row r="1810" spans="1:15" hidden="1" x14ac:dyDescent="0.45">
      <c r="A1810" s="187">
        <v>2017</v>
      </c>
      <c r="B1810" t="s">
        <v>310</v>
      </c>
      <c r="C1810" t="s">
        <v>323</v>
      </c>
      <c r="D1810" t="s">
        <v>35</v>
      </c>
      <c r="E1810" t="s">
        <v>349</v>
      </c>
      <c r="F1810" t="s">
        <v>411</v>
      </c>
      <c r="G1810" t="s">
        <v>36</v>
      </c>
      <c r="H1810" t="s">
        <v>43</v>
      </c>
      <c r="I1810" s="187"/>
      <c r="J1810" s="187">
        <v>0</v>
      </c>
      <c r="K1810" s="187">
        <v>219.19307420582589</v>
      </c>
      <c r="L1810" s="187">
        <v>969.02113060078773</v>
      </c>
      <c r="M1810" s="187">
        <v>1188.2142333984375</v>
      </c>
      <c r="N1810" s="187">
        <v>969.0211181640625</v>
      </c>
      <c r="O1810" t="s">
        <v>2268</v>
      </c>
    </row>
    <row r="1811" spans="1:15" hidden="1" x14ac:dyDescent="0.45">
      <c r="A1811" s="187">
        <v>2017</v>
      </c>
      <c r="B1811" t="s">
        <v>311</v>
      </c>
      <c r="C1811" t="s">
        <v>323</v>
      </c>
      <c r="D1811" t="s">
        <v>35</v>
      </c>
      <c r="E1811" t="s">
        <v>349</v>
      </c>
      <c r="F1811" t="s">
        <v>423</v>
      </c>
      <c r="G1811" t="s">
        <v>36</v>
      </c>
      <c r="H1811" t="s">
        <v>43</v>
      </c>
      <c r="I1811" s="187"/>
      <c r="J1811" s="187">
        <v>0</v>
      </c>
      <c r="K1811" s="187">
        <v>600.90893309956334</v>
      </c>
      <c r="L1811" s="187">
        <v>688.65882623370214</v>
      </c>
      <c r="M1811" s="187">
        <v>1289.5677490234375</v>
      </c>
      <c r="N1811" s="187">
        <v>688.6588134765625</v>
      </c>
      <c r="O1811" t="s">
        <v>2270</v>
      </c>
    </row>
    <row r="1812" spans="1:15" hidden="1" x14ac:dyDescent="0.45">
      <c r="A1812" s="187">
        <v>2017</v>
      </c>
      <c r="B1812" t="s">
        <v>312</v>
      </c>
      <c r="C1812" t="s">
        <v>323</v>
      </c>
      <c r="D1812" t="s">
        <v>35</v>
      </c>
      <c r="E1812" t="s">
        <v>349</v>
      </c>
      <c r="F1812" t="s">
        <v>423</v>
      </c>
      <c r="G1812" t="s">
        <v>36</v>
      </c>
      <c r="H1812" t="s">
        <v>43</v>
      </c>
      <c r="I1812" s="187">
        <v>0</v>
      </c>
      <c r="J1812" s="187">
        <v>0</v>
      </c>
      <c r="K1812" s="187">
        <v>0</v>
      </c>
      <c r="L1812" s="187">
        <v>175.5935415053743</v>
      </c>
      <c r="M1812" s="187">
        <v>175.59353637695313</v>
      </c>
      <c r="N1812" s="187">
        <v>175.59353637695313</v>
      </c>
      <c r="O1812" t="s">
        <v>2271</v>
      </c>
    </row>
    <row r="1813" spans="1:15" hidden="1" x14ac:dyDescent="0.45">
      <c r="A1813" s="187">
        <v>2017</v>
      </c>
      <c r="B1813" t="s">
        <v>313</v>
      </c>
      <c r="C1813" t="s">
        <v>323</v>
      </c>
      <c r="D1813" t="s">
        <v>35</v>
      </c>
      <c r="E1813" t="s">
        <v>349</v>
      </c>
      <c r="F1813" t="s">
        <v>423</v>
      </c>
      <c r="G1813" t="s">
        <v>36</v>
      </c>
      <c r="H1813" t="s">
        <v>43</v>
      </c>
      <c r="I1813" s="187">
        <v>592.95647789337113</v>
      </c>
      <c r="J1813" s="187">
        <v>0</v>
      </c>
      <c r="K1813" s="187">
        <v>0</v>
      </c>
      <c r="L1813" s="187"/>
      <c r="M1813" s="187">
        <v>592.95648193359375</v>
      </c>
      <c r="N1813" s="187">
        <v>592.95648193359375</v>
      </c>
      <c r="O1813" t="s">
        <v>2272</v>
      </c>
    </row>
    <row r="1814" spans="1:15" hidden="1" x14ac:dyDescent="0.45">
      <c r="A1814" s="187">
        <v>2017</v>
      </c>
      <c r="B1814" t="s">
        <v>313</v>
      </c>
      <c r="C1814" t="s">
        <v>323</v>
      </c>
      <c r="D1814" t="s">
        <v>35</v>
      </c>
      <c r="E1814" t="s">
        <v>349</v>
      </c>
      <c r="F1814" t="s">
        <v>424</v>
      </c>
      <c r="G1814" t="s">
        <v>36</v>
      </c>
      <c r="H1814" t="s">
        <v>43</v>
      </c>
      <c r="I1814" s="187">
        <v>119.78918745320628</v>
      </c>
      <c r="J1814" s="187">
        <v>0</v>
      </c>
      <c r="K1814" s="187">
        <v>0</v>
      </c>
      <c r="L1814" s="187"/>
      <c r="M1814" s="187">
        <v>119.7891845703125</v>
      </c>
      <c r="N1814" s="187">
        <v>119.7891845703125</v>
      </c>
      <c r="O1814" t="s">
        <v>2275</v>
      </c>
    </row>
    <row r="1815" spans="1:15" hidden="1" x14ac:dyDescent="0.45">
      <c r="A1815" s="187">
        <v>2017</v>
      </c>
      <c r="B1815" t="s">
        <v>311</v>
      </c>
      <c r="C1815" t="s">
        <v>323</v>
      </c>
      <c r="D1815" t="s">
        <v>35</v>
      </c>
      <c r="E1815" t="s">
        <v>349</v>
      </c>
      <c r="F1815" t="s">
        <v>424</v>
      </c>
      <c r="G1815" t="s">
        <v>36</v>
      </c>
      <c r="H1815" t="s">
        <v>43</v>
      </c>
      <c r="I1815" s="187"/>
      <c r="J1815" s="187">
        <v>0</v>
      </c>
      <c r="K1815" s="187">
        <v>0</v>
      </c>
      <c r="L1815" s="187">
        <v>0</v>
      </c>
      <c r="M1815" s="187">
        <v>0</v>
      </c>
      <c r="N1815" s="187">
        <v>0</v>
      </c>
      <c r="O1815" t="s">
        <v>2273</v>
      </c>
    </row>
    <row r="1816" spans="1:15" hidden="1" x14ac:dyDescent="0.45">
      <c r="A1816" s="187">
        <v>2017</v>
      </c>
      <c r="B1816" t="s">
        <v>312</v>
      </c>
      <c r="C1816" t="s">
        <v>323</v>
      </c>
      <c r="D1816" t="s">
        <v>35</v>
      </c>
      <c r="E1816" t="s">
        <v>349</v>
      </c>
      <c r="F1816" t="s">
        <v>424</v>
      </c>
      <c r="G1816" t="s">
        <v>36</v>
      </c>
      <c r="H1816" t="s">
        <v>43</v>
      </c>
      <c r="I1816" s="187">
        <v>0</v>
      </c>
      <c r="J1816" s="187">
        <v>0</v>
      </c>
      <c r="K1816" s="187">
        <v>0</v>
      </c>
      <c r="L1816" s="187">
        <v>0</v>
      </c>
      <c r="M1816" s="187">
        <v>0</v>
      </c>
      <c r="N1816" s="187">
        <v>0</v>
      </c>
      <c r="O1816" t="s">
        <v>2274</v>
      </c>
    </row>
    <row r="1817" spans="1:15" hidden="1" x14ac:dyDescent="0.45">
      <c r="A1817" s="187">
        <v>2017</v>
      </c>
      <c r="B1817" t="s">
        <v>311</v>
      </c>
      <c r="C1817" t="s">
        <v>323</v>
      </c>
      <c r="D1817" t="s">
        <v>35</v>
      </c>
      <c r="E1817" t="s">
        <v>349</v>
      </c>
      <c r="F1817" t="s">
        <v>446</v>
      </c>
      <c r="G1817" t="s">
        <v>36</v>
      </c>
      <c r="H1817" t="s">
        <v>43</v>
      </c>
      <c r="I1817" s="187"/>
      <c r="J1817" s="187">
        <v>0</v>
      </c>
      <c r="K1817" s="187">
        <v>0</v>
      </c>
      <c r="L1817" s="187">
        <v>270.36235400286085</v>
      </c>
      <c r="M1817" s="187">
        <v>270.36236572265625</v>
      </c>
      <c r="N1817" s="187">
        <v>270.36236572265625</v>
      </c>
      <c r="O1817" t="s">
        <v>2277</v>
      </c>
    </row>
    <row r="1818" spans="1:15" hidden="1" x14ac:dyDescent="0.45">
      <c r="A1818" s="187">
        <v>2017</v>
      </c>
      <c r="B1818" t="s">
        <v>312</v>
      </c>
      <c r="C1818" t="s">
        <v>323</v>
      </c>
      <c r="D1818" t="s">
        <v>35</v>
      </c>
      <c r="E1818" t="s">
        <v>349</v>
      </c>
      <c r="F1818" t="s">
        <v>446</v>
      </c>
      <c r="G1818" t="s">
        <v>36</v>
      </c>
      <c r="H1818" t="s">
        <v>43</v>
      </c>
      <c r="I1818" s="187">
        <v>921.24780578523848</v>
      </c>
      <c r="J1818" s="187">
        <v>0</v>
      </c>
      <c r="K1818" s="187">
        <v>0</v>
      </c>
      <c r="L1818" s="187">
        <v>115.00140394366065</v>
      </c>
      <c r="M1818" s="187">
        <v>1036.249267578125</v>
      </c>
      <c r="N1818" s="187">
        <v>1036.249267578125</v>
      </c>
      <c r="O1818" t="s">
        <v>2276</v>
      </c>
    </row>
    <row r="1819" spans="1:15" hidden="1" x14ac:dyDescent="0.45">
      <c r="A1819" s="187">
        <v>2017</v>
      </c>
      <c r="B1819" t="s">
        <v>313</v>
      </c>
      <c r="C1819" t="s">
        <v>323</v>
      </c>
      <c r="D1819" t="s">
        <v>35</v>
      </c>
      <c r="E1819" t="s">
        <v>349</v>
      </c>
      <c r="F1819" t="s">
        <v>446</v>
      </c>
      <c r="G1819" t="s">
        <v>36</v>
      </c>
      <c r="H1819" t="s">
        <v>43</v>
      </c>
      <c r="I1819" s="187">
        <v>173.69432180714909</v>
      </c>
      <c r="J1819" s="187">
        <v>0</v>
      </c>
      <c r="K1819" s="187">
        <v>0</v>
      </c>
      <c r="L1819" s="187"/>
      <c r="M1819" s="187">
        <v>173.69432067871094</v>
      </c>
      <c r="N1819" s="187">
        <v>173.69432067871094</v>
      </c>
      <c r="O1819" t="s">
        <v>2278</v>
      </c>
    </row>
    <row r="1820" spans="1:15" hidden="1" x14ac:dyDescent="0.45">
      <c r="A1820" s="187">
        <v>2017</v>
      </c>
      <c r="B1820" t="s">
        <v>312</v>
      </c>
      <c r="C1820" t="s">
        <v>323</v>
      </c>
      <c r="D1820" t="s">
        <v>35</v>
      </c>
      <c r="E1820" t="s">
        <v>349</v>
      </c>
      <c r="F1820" t="s">
        <v>447</v>
      </c>
      <c r="G1820" t="s">
        <v>36</v>
      </c>
      <c r="H1820" t="s">
        <v>43</v>
      </c>
      <c r="I1820" s="187">
        <v>921.24780578523848</v>
      </c>
      <c r="J1820" s="187">
        <v>0</v>
      </c>
      <c r="K1820" s="187">
        <v>0</v>
      </c>
      <c r="L1820" s="187">
        <v>290.59494544903498</v>
      </c>
      <c r="M1820" s="187">
        <v>1211.8427734375</v>
      </c>
      <c r="N1820" s="187">
        <v>1211.8427734375</v>
      </c>
      <c r="O1820" t="s">
        <v>2280</v>
      </c>
    </row>
    <row r="1821" spans="1:15" hidden="1" x14ac:dyDescent="0.45">
      <c r="A1821" s="187">
        <v>2017</v>
      </c>
      <c r="B1821" t="s">
        <v>313</v>
      </c>
      <c r="C1821" t="s">
        <v>323</v>
      </c>
      <c r="D1821" t="s">
        <v>35</v>
      </c>
      <c r="E1821" t="s">
        <v>349</v>
      </c>
      <c r="F1821" t="s">
        <v>447</v>
      </c>
      <c r="G1821" t="s">
        <v>36</v>
      </c>
      <c r="H1821" t="s">
        <v>43</v>
      </c>
      <c r="I1821" s="187">
        <v>886.43998715372641</v>
      </c>
      <c r="J1821" s="187">
        <v>0</v>
      </c>
      <c r="K1821" s="187">
        <v>0</v>
      </c>
      <c r="L1821" s="187"/>
      <c r="M1821" s="187">
        <v>886.44000244140625</v>
      </c>
      <c r="N1821" s="187">
        <v>886.44000244140625</v>
      </c>
      <c r="O1821" t="s">
        <v>2281</v>
      </c>
    </row>
    <row r="1822" spans="1:15" hidden="1" x14ac:dyDescent="0.45">
      <c r="A1822" s="187">
        <v>2017</v>
      </c>
      <c r="B1822" t="s">
        <v>311</v>
      </c>
      <c r="C1822" t="s">
        <v>323</v>
      </c>
      <c r="D1822" t="s">
        <v>35</v>
      </c>
      <c r="E1822" t="s">
        <v>349</v>
      </c>
      <c r="F1822" t="s">
        <v>447</v>
      </c>
      <c r="G1822" t="s">
        <v>36</v>
      </c>
      <c r="H1822" t="s">
        <v>43</v>
      </c>
      <c r="I1822" s="187"/>
      <c r="J1822" s="187">
        <v>0</v>
      </c>
      <c r="K1822" s="187">
        <v>600.90893309956334</v>
      </c>
      <c r="L1822" s="187">
        <v>959.02118023656294</v>
      </c>
      <c r="M1822" s="187">
        <v>1559.93017578125</v>
      </c>
      <c r="N1822" s="187">
        <v>959.02117919921875</v>
      </c>
      <c r="O1822" t="s">
        <v>2279</v>
      </c>
    </row>
    <row r="1823" spans="1:15" hidden="1" x14ac:dyDescent="0.45">
      <c r="A1823" s="187">
        <v>2017</v>
      </c>
      <c r="B1823" t="s">
        <v>34</v>
      </c>
      <c r="C1823" t="s">
        <v>324</v>
      </c>
      <c r="D1823" t="s">
        <v>35</v>
      </c>
      <c r="E1823" t="s">
        <v>348</v>
      </c>
      <c r="F1823" t="s">
        <v>382</v>
      </c>
      <c r="G1823" t="s">
        <v>36</v>
      </c>
      <c r="H1823" t="s">
        <v>43</v>
      </c>
      <c r="I1823" s="187">
        <v>20093.970312500001</v>
      </c>
      <c r="J1823" s="187">
        <v>903.25482177734375</v>
      </c>
      <c r="K1823" s="187">
        <v>19514.490234375</v>
      </c>
      <c r="L1823" s="187">
        <v>29000.962890625</v>
      </c>
      <c r="M1823" s="187">
        <v>69512.6796875</v>
      </c>
      <c r="N1823" s="187">
        <v>49094.93359375</v>
      </c>
      <c r="O1823" t="s">
        <v>2282</v>
      </c>
    </row>
    <row r="1824" spans="1:15" hidden="1" x14ac:dyDescent="0.45">
      <c r="A1824" s="187">
        <v>2017</v>
      </c>
      <c r="B1824" t="s">
        <v>34</v>
      </c>
      <c r="C1824" t="s">
        <v>324</v>
      </c>
      <c r="D1824" t="s">
        <v>35</v>
      </c>
      <c r="E1824" t="s">
        <v>348</v>
      </c>
      <c r="F1824" t="s">
        <v>382</v>
      </c>
      <c r="G1824" t="s">
        <v>37</v>
      </c>
      <c r="H1824" t="s">
        <v>43</v>
      </c>
      <c r="I1824" s="187">
        <v>16774.4437258</v>
      </c>
      <c r="J1824" s="187">
        <v>754.03700000000003</v>
      </c>
      <c r="K1824" s="187">
        <v>16290.694829853561</v>
      </c>
      <c r="L1824" s="187">
        <v>24210</v>
      </c>
      <c r="M1824" s="187">
        <v>58029.17578125</v>
      </c>
      <c r="N1824" s="187">
        <v>40984.4453125</v>
      </c>
      <c r="O1824" t="s">
        <v>2283</v>
      </c>
    </row>
    <row r="1825" spans="1:15" hidden="1" x14ac:dyDescent="0.45">
      <c r="A1825" s="187">
        <v>2017</v>
      </c>
      <c r="B1825" t="s">
        <v>34</v>
      </c>
      <c r="C1825" t="s">
        <v>324</v>
      </c>
      <c r="D1825" t="s">
        <v>35</v>
      </c>
      <c r="E1825" t="s">
        <v>19</v>
      </c>
      <c r="F1825" t="s">
        <v>19</v>
      </c>
      <c r="G1825" t="s">
        <v>36</v>
      </c>
      <c r="H1825" t="s">
        <v>43</v>
      </c>
      <c r="I1825" s="187">
        <v>911.15712890625002</v>
      </c>
      <c r="J1825" s="187">
        <v>22.759944915771484</v>
      </c>
      <c r="K1825" s="187">
        <v>479.42782592773438</v>
      </c>
      <c r="L1825" s="187">
        <v>2700.04833984375</v>
      </c>
      <c r="M1825" s="187">
        <v>4113.39306640625</v>
      </c>
      <c r="N1825" s="187">
        <v>3611.20556640625</v>
      </c>
      <c r="O1825" t="s">
        <v>2284</v>
      </c>
    </row>
    <row r="1826" spans="1:15" hidden="1" x14ac:dyDescent="0.45">
      <c r="A1826" s="187">
        <v>2017</v>
      </c>
      <c r="B1826" t="s">
        <v>34</v>
      </c>
      <c r="C1826" t="s">
        <v>324</v>
      </c>
      <c r="D1826" t="s">
        <v>35</v>
      </c>
      <c r="E1826" t="s">
        <v>19</v>
      </c>
      <c r="F1826" t="s">
        <v>19</v>
      </c>
      <c r="G1826" t="s">
        <v>37</v>
      </c>
      <c r="H1826" t="s">
        <v>43</v>
      </c>
      <c r="I1826" s="187">
        <v>760.633872</v>
      </c>
      <c r="J1826" s="187">
        <v>19</v>
      </c>
      <c r="K1826" s="187">
        <v>400.22629999999998</v>
      </c>
      <c r="L1826" s="187">
        <v>2254</v>
      </c>
      <c r="M1826" s="187">
        <v>3433.860107421875</v>
      </c>
      <c r="N1826" s="187">
        <v>3014.6337890625</v>
      </c>
      <c r="O1826" t="s">
        <v>2285</v>
      </c>
    </row>
    <row r="1827" spans="1:15" hidden="1" x14ac:dyDescent="0.45">
      <c r="A1827" s="187">
        <v>2017</v>
      </c>
      <c r="B1827" t="s">
        <v>34</v>
      </c>
      <c r="C1827" t="s">
        <v>324</v>
      </c>
      <c r="D1827" t="s">
        <v>35</v>
      </c>
      <c r="E1827" t="s">
        <v>349</v>
      </c>
      <c r="F1827" t="s">
        <v>349</v>
      </c>
      <c r="G1827" t="s">
        <v>36</v>
      </c>
      <c r="H1827" t="s">
        <v>43</v>
      </c>
      <c r="I1827" s="187">
        <v>2960.8251953125</v>
      </c>
      <c r="J1827" s="187">
        <v>391.36087036132813</v>
      </c>
      <c r="K1827" s="187">
        <v>1799.2030029296875</v>
      </c>
      <c r="L1827" s="187">
        <v>1310.49365234375</v>
      </c>
      <c r="M1827" s="187">
        <v>6461.8828125</v>
      </c>
      <c r="N1827" s="187">
        <v>4271.31884765625</v>
      </c>
      <c r="O1827" t="s">
        <v>2286</v>
      </c>
    </row>
    <row r="1828" spans="1:15" hidden="1" x14ac:dyDescent="0.45">
      <c r="A1828" s="187">
        <v>2017</v>
      </c>
      <c r="B1828" t="s">
        <v>34</v>
      </c>
      <c r="C1828" t="s">
        <v>324</v>
      </c>
      <c r="D1828" t="s">
        <v>35</v>
      </c>
      <c r="E1828" t="s">
        <v>349</v>
      </c>
      <c r="F1828" t="s">
        <v>349</v>
      </c>
      <c r="G1828" t="s">
        <v>37</v>
      </c>
      <c r="H1828" t="s">
        <v>43</v>
      </c>
      <c r="I1828" s="187">
        <v>2471.6965520000003</v>
      </c>
      <c r="J1828" s="187">
        <v>326.70800000000003</v>
      </c>
      <c r="K1828" s="187">
        <v>1501.9744599999999</v>
      </c>
      <c r="L1828" s="187">
        <v>1094</v>
      </c>
      <c r="M1828" s="187">
        <v>5394.37890625</v>
      </c>
      <c r="N1828" s="187">
        <v>3565.696533203125</v>
      </c>
      <c r="O1828" t="s">
        <v>2287</v>
      </c>
    </row>
    <row r="1829" spans="1:15" hidden="1" x14ac:dyDescent="0.45">
      <c r="A1829" s="187">
        <v>2017</v>
      </c>
      <c r="B1829" t="s">
        <v>34</v>
      </c>
      <c r="C1829" t="s">
        <v>324</v>
      </c>
      <c r="D1829" t="s">
        <v>35</v>
      </c>
      <c r="E1829" t="s">
        <v>14</v>
      </c>
      <c r="F1829" t="s">
        <v>14</v>
      </c>
      <c r="G1829" t="s">
        <v>36</v>
      </c>
      <c r="H1829" t="s">
        <v>43</v>
      </c>
      <c r="I1829" s="187">
        <v>18586.3125</v>
      </c>
      <c r="J1829" s="187">
        <v>903.25482177734375</v>
      </c>
      <c r="K1829" s="187">
        <v>19351.28515625</v>
      </c>
      <c r="L1829" s="187">
        <v>23869.193359375</v>
      </c>
      <c r="M1829" s="187">
        <v>62710.046875</v>
      </c>
      <c r="N1829" s="187">
        <v>42455.5078125</v>
      </c>
      <c r="O1829" t="s">
        <v>2288</v>
      </c>
    </row>
    <row r="1830" spans="1:15" hidden="1" x14ac:dyDescent="0.45">
      <c r="A1830" s="187">
        <v>2017</v>
      </c>
      <c r="B1830" t="s">
        <v>34</v>
      </c>
      <c r="C1830" t="s">
        <v>324</v>
      </c>
      <c r="D1830" t="s">
        <v>35</v>
      </c>
      <c r="E1830" t="s">
        <v>14</v>
      </c>
      <c r="F1830" t="s">
        <v>14</v>
      </c>
      <c r="G1830" t="s">
        <v>37</v>
      </c>
      <c r="H1830" t="s">
        <v>43</v>
      </c>
      <c r="I1830" s="187">
        <v>15515.851499494232</v>
      </c>
      <c r="J1830" s="187">
        <v>754.03700000000003</v>
      </c>
      <c r="K1830" s="187">
        <v>16154.45083985356</v>
      </c>
      <c r="L1830" s="187">
        <v>19926</v>
      </c>
      <c r="M1830" s="187">
        <v>52350.33984375</v>
      </c>
      <c r="N1830" s="187">
        <v>35441.8515625</v>
      </c>
      <c r="O1830" t="s">
        <v>2289</v>
      </c>
    </row>
    <row r="1831" spans="1:15" hidden="1" x14ac:dyDescent="0.45">
      <c r="A1831" s="187">
        <v>2017</v>
      </c>
      <c r="B1831" t="s">
        <v>34</v>
      </c>
      <c r="C1831" t="s">
        <v>324</v>
      </c>
      <c r="D1831" t="s">
        <v>35</v>
      </c>
      <c r="E1831" t="s">
        <v>16</v>
      </c>
      <c r="F1831" t="s">
        <v>16</v>
      </c>
      <c r="G1831" t="s">
        <v>36</v>
      </c>
      <c r="H1831" t="s">
        <v>43</v>
      </c>
      <c r="I1831" s="187">
        <v>10972.35546875</v>
      </c>
      <c r="J1831" s="187">
        <v>135.36178588867188</v>
      </c>
      <c r="K1831" s="187">
        <v>7965.833984375</v>
      </c>
      <c r="L1831" s="187">
        <v>22056.783203125</v>
      </c>
      <c r="M1831" s="187">
        <v>41130.3359375</v>
      </c>
      <c r="N1831" s="187">
        <v>33029.140625</v>
      </c>
      <c r="O1831" t="s">
        <v>2290</v>
      </c>
    </row>
    <row r="1832" spans="1:15" hidden="1" x14ac:dyDescent="0.45">
      <c r="A1832" s="187">
        <v>2017</v>
      </c>
      <c r="B1832" t="s">
        <v>34</v>
      </c>
      <c r="C1832" t="s">
        <v>324</v>
      </c>
      <c r="D1832" t="s">
        <v>35</v>
      </c>
      <c r="E1832" t="s">
        <v>16</v>
      </c>
      <c r="F1832" t="s">
        <v>16</v>
      </c>
      <c r="G1832" t="s">
        <v>37</v>
      </c>
      <c r="H1832" t="s">
        <v>43</v>
      </c>
      <c r="I1832" s="187">
        <v>9159.7209280000006</v>
      </c>
      <c r="J1832" s="187">
        <v>113</v>
      </c>
      <c r="K1832" s="187">
        <v>6649.8773200000087</v>
      </c>
      <c r="L1832" s="187">
        <v>18413</v>
      </c>
      <c r="M1832" s="187">
        <v>34335.59765625</v>
      </c>
      <c r="N1832" s="187">
        <v>27572.720703125</v>
      </c>
      <c r="O1832" t="s">
        <v>2291</v>
      </c>
    </row>
    <row r="1833" spans="1:15" hidden="1" x14ac:dyDescent="0.45">
      <c r="A1833" s="187">
        <v>2017</v>
      </c>
      <c r="B1833" t="s">
        <v>34</v>
      </c>
      <c r="C1833" t="s">
        <v>324</v>
      </c>
      <c r="D1833" t="s">
        <v>35</v>
      </c>
      <c r="E1833" t="s">
        <v>351</v>
      </c>
      <c r="F1833" t="s">
        <v>351</v>
      </c>
      <c r="G1833" t="s">
        <v>36</v>
      </c>
      <c r="H1833" t="s">
        <v>43</v>
      </c>
      <c r="I1833" s="187">
        <v>62.888983154296881</v>
      </c>
      <c r="J1833" s="187">
        <v>0</v>
      </c>
      <c r="K1833" s="187">
        <v>68.99871826171875</v>
      </c>
      <c r="L1833" s="187">
        <v>104.21659088134766</v>
      </c>
      <c r="M1833" s="187">
        <v>236.10427856445313</v>
      </c>
      <c r="N1833" s="187">
        <v>167.10557556152344</v>
      </c>
      <c r="O1833" t="s">
        <v>2292</v>
      </c>
    </row>
    <row r="1834" spans="1:15" hidden="1" x14ac:dyDescent="0.45">
      <c r="A1834" s="187">
        <v>2017</v>
      </c>
      <c r="B1834" t="s">
        <v>34</v>
      </c>
      <c r="C1834" t="s">
        <v>324</v>
      </c>
      <c r="D1834" t="s">
        <v>35</v>
      </c>
      <c r="E1834" t="s">
        <v>351</v>
      </c>
      <c r="F1834" t="s">
        <v>351</v>
      </c>
      <c r="G1834" t="s">
        <v>37</v>
      </c>
      <c r="H1834" t="s">
        <v>43</v>
      </c>
      <c r="I1834" s="187">
        <v>52.499717694231066</v>
      </c>
      <c r="J1834" s="187">
        <v>0</v>
      </c>
      <c r="K1834" s="187">
        <v>57.600119999999997</v>
      </c>
      <c r="L1834" s="187">
        <v>87</v>
      </c>
      <c r="M1834" s="187">
        <v>197.09983825683594</v>
      </c>
      <c r="N1834" s="187">
        <v>139.49972534179688</v>
      </c>
      <c r="O1834" t="s">
        <v>2293</v>
      </c>
    </row>
    <row r="1835" spans="1:15" hidden="1" x14ac:dyDescent="0.45">
      <c r="A1835" s="187">
        <v>2017</v>
      </c>
      <c r="B1835" t="s">
        <v>34</v>
      </c>
      <c r="C1835" t="s">
        <v>324</v>
      </c>
      <c r="D1835" t="s">
        <v>35</v>
      </c>
      <c r="E1835" t="s">
        <v>353</v>
      </c>
      <c r="F1835" t="s">
        <v>383</v>
      </c>
      <c r="G1835" t="s">
        <v>36</v>
      </c>
      <c r="H1835" t="s">
        <v>43</v>
      </c>
      <c r="I1835" s="187">
        <v>18298.568750000002</v>
      </c>
      <c r="J1835" s="187">
        <v>854.1412353515625</v>
      </c>
      <c r="K1835" s="187">
        <v>16381.064453125</v>
      </c>
      <c r="L1835" s="187">
        <v>27468.859375</v>
      </c>
      <c r="M1835" s="187">
        <v>63002.6328125</v>
      </c>
      <c r="N1835" s="187">
        <v>45767.4296875</v>
      </c>
      <c r="O1835" t="s">
        <v>2294</v>
      </c>
    </row>
    <row r="1836" spans="1:15" hidden="1" x14ac:dyDescent="0.45">
      <c r="A1836" s="187">
        <v>2017</v>
      </c>
      <c r="B1836" t="s">
        <v>34</v>
      </c>
      <c r="C1836" t="s">
        <v>324</v>
      </c>
      <c r="D1836" t="s">
        <v>35</v>
      </c>
      <c r="E1836" t="s">
        <v>353</v>
      </c>
      <c r="F1836" t="s">
        <v>383</v>
      </c>
      <c r="G1836" t="s">
        <v>37</v>
      </c>
      <c r="H1836" t="s">
        <v>43</v>
      </c>
      <c r="I1836" s="187">
        <v>15275.643640000002</v>
      </c>
      <c r="J1836" s="187">
        <v>713.03700000000003</v>
      </c>
      <c r="K1836" s="187">
        <v>13674.910370000011</v>
      </c>
      <c r="L1836" s="187">
        <v>22931</v>
      </c>
      <c r="M1836" s="187">
        <v>52594.59375</v>
      </c>
      <c r="N1836" s="187">
        <v>38206.64453125</v>
      </c>
      <c r="O1836" t="s">
        <v>2295</v>
      </c>
    </row>
    <row r="1837" spans="1:15" hidden="1" x14ac:dyDescent="0.45">
      <c r="A1837" s="187">
        <v>2017</v>
      </c>
      <c r="B1837" t="s">
        <v>34</v>
      </c>
      <c r="C1837" t="s">
        <v>324</v>
      </c>
      <c r="D1837" t="s">
        <v>35</v>
      </c>
      <c r="E1837" t="s">
        <v>38</v>
      </c>
      <c r="F1837" t="s">
        <v>38</v>
      </c>
      <c r="G1837" t="s">
        <v>36</v>
      </c>
      <c r="H1837" t="s">
        <v>43</v>
      </c>
      <c r="I1837" s="187">
        <v>1795.400390625</v>
      </c>
      <c r="J1837" s="187">
        <v>49.113567352294922</v>
      </c>
      <c r="K1837" s="187">
        <v>3133.427001953125</v>
      </c>
      <c r="L1837" s="187">
        <v>1532.103759765625</v>
      </c>
      <c r="M1837" s="187">
        <v>6510.044921875</v>
      </c>
      <c r="N1837" s="187">
        <v>3327.504150390625</v>
      </c>
      <c r="O1837" t="s">
        <v>2296</v>
      </c>
    </row>
    <row r="1838" spans="1:15" hidden="1" x14ac:dyDescent="0.45">
      <c r="A1838" s="187">
        <v>2017</v>
      </c>
      <c r="B1838" t="s">
        <v>34</v>
      </c>
      <c r="C1838" t="s">
        <v>324</v>
      </c>
      <c r="D1838" t="s">
        <v>35</v>
      </c>
      <c r="E1838" t="s">
        <v>38</v>
      </c>
      <c r="F1838" t="s">
        <v>38</v>
      </c>
      <c r="G1838" t="s">
        <v>37</v>
      </c>
      <c r="H1838" t="s">
        <v>43</v>
      </c>
      <c r="I1838" s="187">
        <v>1498.8000858</v>
      </c>
      <c r="J1838" s="187">
        <v>41</v>
      </c>
      <c r="K1838" s="187">
        <v>2615.7844598535498</v>
      </c>
      <c r="L1838" s="187">
        <v>1279</v>
      </c>
      <c r="M1838" s="187">
        <v>5434.58447265625</v>
      </c>
      <c r="N1838" s="187">
        <v>2777.800048828125</v>
      </c>
      <c r="O1838" t="s">
        <v>2297</v>
      </c>
    </row>
    <row r="1839" spans="1:15" hidden="1" x14ac:dyDescent="0.45">
      <c r="A1839" s="187">
        <v>2017</v>
      </c>
      <c r="B1839" t="s">
        <v>34</v>
      </c>
      <c r="C1839" t="s">
        <v>324</v>
      </c>
      <c r="D1839" t="s">
        <v>35</v>
      </c>
      <c r="E1839" t="s">
        <v>354</v>
      </c>
      <c r="F1839" t="s">
        <v>384</v>
      </c>
      <c r="G1839" t="s">
        <v>36</v>
      </c>
      <c r="H1839" t="s">
        <v>43</v>
      </c>
      <c r="I1839" s="187">
        <v>0</v>
      </c>
      <c r="J1839" s="187">
        <v>0</v>
      </c>
      <c r="K1839" s="187">
        <v>0</v>
      </c>
      <c r="L1839" s="187">
        <v>493.53146362304688</v>
      </c>
      <c r="M1839" s="187">
        <v>493.53146362304688</v>
      </c>
      <c r="N1839" s="187">
        <v>493.53146362304688</v>
      </c>
      <c r="O1839" t="s">
        <v>2298</v>
      </c>
    </row>
    <row r="1840" spans="1:15" hidden="1" x14ac:dyDescent="0.45">
      <c r="A1840" s="187">
        <v>2017</v>
      </c>
      <c r="B1840" t="s">
        <v>34</v>
      </c>
      <c r="C1840" t="s">
        <v>324</v>
      </c>
      <c r="D1840" t="s">
        <v>35</v>
      </c>
      <c r="E1840" t="s">
        <v>354</v>
      </c>
      <c r="F1840" t="s">
        <v>384</v>
      </c>
      <c r="G1840" t="s">
        <v>37</v>
      </c>
      <c r="H1840" t="s">
        <v>43</v>
      </c>
      <c r="I1840" s="187">
        <v>0</v>
      </c>
      <c r="J1840" s="187">
        <v>0</v>
      </c>
      <c r="K1840" s="187">
        <v>0</v>
      </c>
      <c r="L1840" s="187">
        <v>412</v>
      </c>
      <c r="M1840" s="187">
        <v>412</v>
      </c>
      <c r="N1840" s="187">
        <v>412</v>
      </c>
      <c r="O1840" t="s">
        <v>2299</v>
      </c>
    </row>
    <row r="1841" spans="1:15" hidden="1" x14ac:dyDescent="0.45">
      <c r="A1841" s="187">
        <v>2017</v>
      </c>
      <c r="B1841" t="s">
        <v>34</v>
      </c>
      <c r="C1841" t="s">
        <v>324</v>
      </c>
      <c r="D1841" t="s">
        <v>35</v>
      </c>
      <c r="E1841" t="s">
        <v>354</v>
      </c>
      <c r="F1841" t="s">
        <v>385</v>
      </c>
      <c r="G1841" t="s">
        <v>36</v>
      </c>
      <c r="H1841" t="s">
        <v>43</v>
      </c>
      <c r="I1841" s="187">
        <v>242.45864257812502</v>
      </c>
      <c r="J1841" s="187">
        <v>159.31962585449219</v>
      </c>
      <c r="K1841" s="187">
        <v>2076.888671875</v>
      </c>
      <c r="L1841" s="187">
        <v>178.48588562011719</v>
      </c>
      <c r="M1841" s="187">
        <v>2657.15283203125</v>
      </c>
      <c r="N1841" s="187">
        <v>420.94451904296875</v>
      </c>
      <c r="O1841" t="s">
        <v>2300</v>
      </c>
    </row>
    <row r="1842" spans="1:15" hidden="1" x14ac:dyDescent="0.45">
      <c r="A1842" s="187">
        <v>2017</v>
      </c>
      <c r="B1842" t="s">
        <v>34</v>
      </c>
      <c r="C1842" t="s">
        <v>324</v>
      </c>
      <c r="D1842" t="s">
        <v>35</v>
      </c>
      <c r="E1842" t="s">
        <v>354</v>
      </c>
      <c r="F1842" t="s">
        <v>385</v>
      </c>
      <c r="G1842" t="s">
        <v>37</v>
      </c>
      <c r="H1842" t="s">
        <v>43</v>
      </c>
      <c r="I1842" s="187">
        <v>202.404448</v>
      </c>
      <c r="J1842" s="187">
        <v>133</v>
      </c>
      <c r="K1842" s="187">
        <v>1733.7863500000001</v>
      </c>
      <c r="L1842" s="187">
        <v>149</v>
      </c>
      <c r="M1842" s="187">
        <v>2218.19091796875</v>
      </c>
      <c r="N1842" s="187">
        <v>351.40444946289063</v>
      </c>
      <c r="O1842" t="s">
        <v>2301</v>
      </c>
    </row>
    <row r="1843" spans="1:15" hidden="1" x14ac:dyDescent="0.45">
      <c r="A1843" s="187">
        <v>2017</v>
      </c>
      <c r="B1843" t="s">
        <v>34</v>
      </c>
      <c r="C1843" t="s">
        <v>324</v>
      </c>
      <c r="D1843" t="s">
        <v>35</v>
      </c>
      <c r="E1843" t="s">
        <v>354</v>
      </c>
      <c r="F1843" t="s">
        <v>386</v>
      </c>
      <c r="G1843" t="s">
        <v>36</v>
      </c>
      <c r="H1843" t="s">
        <v>43</v>
      </c>
      <c r="I1843" s="187">
        <v>0</v>
      </c>
      <c r="J1843" s="187">
        <v>28.749404907226563</v>
      </c>
      <c r="K1843" s="187">
        <v>2635.6943359375</v>
      </c>
      <c r="L1843" s="187">
        <v>0</v>
      </c>
      <c r="M1843" s="187">
        <v>2664.44384765625</v>
      </c>
      <c r="N1843" s="187">
        <v>0</v>
      </c>
      <c r="O1843" t="s">
        <v>2302</v>
      </c>
    </row>
    <row r="1844" spans="1:15" hidden="1" x14ac:dyDescent="0.45">
      <c r="A1844" s="187">
        <v>2017</v>
      </c>
      <c r="B1844" t="s">
        <v>34</v>
      </c>
      <c r="C1844" t="s">
        <v>324</v>
      </c>
      <c r="D1844" t="s">
        <v>35</v>
      </c>
      <c r="E1844" t="s">
        <v>354</v>
      </c>
      <c r="F1844" t="s">
        <v>386</v>
      </c>
      <c r="G1844" t="s">
        <v>37</v>
      </c>
      <c r="H1844" t="s">
        <v>43</v>
      </c>
      <c r="I1844" s="187">
        <v>0</v>
      </c>
      <c r="J1844" s="187">
        <v>24</v>
      </c>
      <c r="K1844" s="187">
        <v>2200.2772799999998</v>
      </c>
      <c r="L1844" s="187">
        <v>0</v>
      </c>
      <c r="M1844" s="187">
        <v>2224.27734375</v>
      </c>
      <c r="N1844" s="187">
        <v>0</v>
      </c>
      <c r="O1844" t="s">
        <v>2303</v>
      </c>
    </row>
    <row r="1845" spans="1:15" hidden="1" x14ac:dyDescent="0.45">
      <c r="A1845" s="187">
        <v>2017</v>
      </c>
      <c r="B1845" t="s">
        <v>34</v>
      </c>
      <c r="C1845" t="s">
        <v>324</v>
      </c>
      <c r="D1845" t="s">
        <v>35</v>
      </c>
      <c r="E1845" t="s">
        <v>354</v>
      </c>
      <c r="F1845" t="s">
        <v>387</v>
      </c>
      <c r="G1845" t="s">
        <v>36</v>
      </c>
      <c r="H1845" t="s">
        <v>43</v>
      </c>
      <c r="I1845" s="187">
        <v>242.45864257812502</v>
      </c>
      <c r="J1845" s="187">
        <v>188.06903076171875</v>
      </c>
      <c r="K1845" s="187">
        <v>4712.5830078125</v>
      </c>
      <c r="L1845" s="187">
        <v>672.017333984375</v>
      </c>
      <c r="M1845" s="187">
        <v>5815.1279296875</v>
      </c>
      <c r="N1845" s="187">
        <v>914.4759521484375</v>
      </c>
      <c r="O1845" t="s">
        <v>2304</v>
      </c>
    </row>
    <row r="1846" spans="1:15" hidden="1" x14ac:dyDescent="0.45">
      <c r="A1846" s="187">
        <v>2017</v>
      </c>
      <c r="B1846" t="s">
        <v>34</v>
      </c>
      <c r="C1846" t="s">
        <v>324</v>
      </c>
      <c r="D1846" t="s">
        <v>35</v>
      </c>
      <c r="E1846" t="s">
        <v>354</v>
      </c>
      <c r="F1846" t="s">
        <v>387</v>
      </c>
      <c r="G1846" t="s">
        <v>37</v>
      </c>
      <c r="H1846" t="s">
        <v>43</v>
      </c>
      <c r="I1846" s="187">
        <v>202.404448</v>
      </c>
      <c r="J1846" s="187">
        <v>157</v>
      </c>
      <c r="K1846" s="187">
        <v>3934.0636300000001</v>
      </c>
      <c r="L1846" s="187">
        <v>561</v>
      </c>
      <c r="M1846" s="187">
        <v>4854.46826171875</v>
      </c>
      <c r="N1846" s="187">
        <v>763.4044189453125</v>
      </c>
      <c r="O1846" t="s">
        <v>2305</v>
      </c>
    </row>
    <row r="1847" spans="1:15" hidden="1" x14ac:dyDescent="0.45">
      <c r="A1847" s="187">
        <v>2017</v>
      </c>
      <c r="B1847" t="s">
        <v>34</v>
      </c>
      <c r="C1847" t="s">
        <v>324</v>
      </c>
      <c r="D1847" t="s">
        <v>35</v>
      </c>
      <c r="E1847" t="s">
        <v>17</v>
      </c>
      <c r="F1847" t="s">
        <v>17</v>
      </c>
      <c r="G1847" t="s">
        <v>36</v>
      </c>
      <c r="H1847" t="s">
        <v>43</v>
      </c>
      <c r="I1847" s="187">
        <v>3211.7730468750001</v>
      </c>
      <c r="J1847" s="187">
        <v>116.58961486816406</v>
      </c>
      <c r="K1847" s="187">
        <v>1424.016357421875</v>
      </c>
      <c r="L1847" s="187">
        <v>729.51617431640625</v>
      </c>
      <c r="M1847" s="187">
        <v>5481.89501953125</v>
      </c>
      <c r="N1847" s="187">
        <v>3941.2890625</v>
      </c>
      <c r="O1847" t="s">
        <v>2306</v>
      </c>
    </row>
    <row r="1848" spans="1:15" hidden="1" x14ac:dyDescent="0.45">
      <c r="A1848" s="187">
        <v>2017</v>
      </c>
      <c r="B1848" t="s">
        <v>34</v>
      </c>
      <c r="C1848" t="s">
        <v>324</v>
      </c>
      <c r="D1848" t="s">
        <v>35</v>
      </c>
      <c r="E1848" t="s">
        <v>17</v>
      </c>
      <c r="F1848" t="s">
        <v>17</v>
      </c>
      <c r="G1848" t="s">
        <v>37</v>
      </c>
      <c r="H1848" t="s">
        <v>43</v>
      </c>
      <c r="I1848" s="187">
        <v>2681.1878400000005</v>
      </c>
      <c r="J1848" s="187">
        <v>97.329000000000008</v>
      </c>
      <c r="K1848" s="187">
        <v>1188.76866</v>
      </c>
      <c r="L1848" s="187">
        <v>609</v>
      </c>
      <c r="M1848" s="187">
        <v>4576.28515625</v>
      </c>
      <c r="N1848" s="187">
        <v>3290.187744140625</v>
      </c>
      <c r="O1848" t="s">
        <v>2307</v>
      </c>
    </row>
    <row r="1849" spans="1:15" hidden="1" x14ac:dyDescent="0.45">
      <c r="A1849" s="187">
        <v>2017</v>
      </c>
      <c r="B1849" t="s">
        <v>34</v>
      </c>
      <c r="C1849" t="s">
        <v>324</v>
      </c>
      <c r="D1849" t="s">
        <v>35</v>
      </c>
      <c r="E1849" t="s">
        <v>45</v>
      </c>
      <c r="F1849" t="s">
        <v>45</v>
      </c>
      <c r="G1849" t="s">
        <v>36</v>
      </c>
      <c r="H1849" t="s">
        <v>43</v>
      </c>
      <c r="I1849" s="187">
        <v>1570.54638671875</v>
      </c>
      <c r="J1849" s="187">
        <v>0</v>
      </c>
      <c r="K1849" s="187">
        <v>232.20428466796875</v>
      </c>
      <c r="L1849" s="187">
        <v>5235.9853515625</v>
      </c>
      <c r="M1849" s="187">
        <v>7038.736328125</v>
      </c>
      <c r="N1849" s="187">
        <v>6806.53173828125</v>
      </c>
      <c r="O1849" t="s">
        <v>2308</v>
      </c>
    </row>
    <row r="1850" spans="1:15" hidden="1" x14ac:dyDescent="0.45">
      <c r="A1850" s="187">
        <v>2017</v>
      </c>
      <c r="B1850" t="s">
        <v>34</v>
      </c>
      <c r="C1850" t="s">
        <v>324</v>
      </c>
      <c r="D1850" t="s">
        <v>35</v>
      </c>
      <c r="E1850" t="s">
        <v>45</v>
      </c>
      <c r="F1850" t="s">
        <v>45</v>
      </c>
      <c r="G1850" t="s">
        <v>37</v>
      </c>
      <c r="H1850" t="s">
        <v>43</v>
      </c>
      <c r="I1850" s="187">
        <v>1311.0919439999993</v>
      </c>
      <c r="J1850" s="187">
        <v>0</v>
      </c>
      <c r="K1850" s="187">
        <v>193.84411</v>
      </c>
      <c r="L1850" s="187">
        <v>4371</v>
      </c>
      <c r="M1850" s="187">
        <v>5875.93603515625</v>
      </c>
      <c r="N1850" s="187">
        <v>5682.091796875</v>
      </c>
      <c r="O1850" t="s">
        <v>2309</v>
      </c>
    </row>
    <row r="1851" spans="1:15" hidden="1" x14ac:dyDescent="0.45">
      <c r="A1851" s="187">
        <v>2017</v>
      </c>
      <c r="B1851" t="s">
        <v>34</v>
      </c>
      <c r="C1851" t="s">
        <v>324</v>
      </c>
      <c r="D1851" t="s">
        <v>35</v>
      </c>
      <c r="E1851" t="s">
        <v>356</v>
      </c>
      <c r="F1851" t="s">
        <v>356</v>
      </c>
      <c r="G1851" t="s">
        <v>36</v>
      </c>
      <c r="H1851" t="s">
        <v>43</v>
      </c>
      <c r="I1851" s="187">
        <v>0</v>
      </c>
      <c r="J1851" s="187">
        <v>0</v>
      </c>
      <c r="K1851" s="187">
        <v>0</v>
      </c>
      <c r="L1851" s="187">
        <v>0</v>
      </c>
      <c r="M1851" s="187">
        <v>0</v>
      </c>
      <c r="N1851" s="187">
        <v>0</v>
      </c>
      <c r="O1851" t="s">
        <v>2310</v>
      </c>
    </row>
    <row r="1852" spans="1:15" hidden="1" x14ac:dyDescent="0.45">
      <c r="A1852" s="187">
        <v>2017</v>
      </c>
      <c r="B1852" t="s">
        <v>34</v>
      </c>
      <c r="C1852" t="s">
        <v>324</v>
      </c>
      <c r="D1852" t="s">
        <v>35</v>
      </c>
      <c r="E1852" t="s">
        <v>356</v>
      </c>
      <c r="F1852" t="s">
        <v>356</v>
      </c>
      <c r="G1852" t="s">
        <v>37</v>
      </c>
      <c r="H1852" t="s">
        <v>43</v>
      </c>
      <c r="I1852" s="187">
        <v>0</v>
      </c>
      <c r="J1852" s="187">
        <v>0</v>
      </c>
      <c r="K1852" s="187">
        <v>0</v>
      </c>
      <c r="L1852" s="187">
        <v>0</v>
      </c>
      <c r="M1852" s="187">
        <v>0</v>
      </c>
      <c r="N1852" s="187">
        <v>0</v>
      </c>
      <c r="O1852" t="s">
        <v>2311</v>
      </c>
    </row>
    <row r="1853" spans="1:15" hidden="1" x14ac:dyDescent="0.45">
      <c r="A1853" s="187">
        <v>2017</v>
      </c>
      <c r="B1853" t="s">
        <v>34</v>
      </c>
      <c r="C1853" t="s">
        <v>325</v>
      </c>
      <c r="D1853" t="s">
        <v>35</v>
      </c>
      <c r="E1853" t="s">
        <v>357</v>
      </c>
      <c r="F1853" t="s">
        <v>412</v>
      </c>
      <c r="G1853" t="s">
        <v>36</v>
      </c>
      <c r="H1853" t="s">
        <v>43</v>
      </c>
      <c r="I1853" s="187">
        <v>2960.8251953125</v>
      </c>
      <c r="J1853" s="187">
        <v>391.36087036132813</v>
      </c>
      <c r="K1853" s="187">
        <v>1799.2030029296875</v>
      </c>
      <c r="L1853" s="187">
        <v>1310.49365234375</v>
      </c>
      <c r="M1853" s="187">
        <v>6461.8828125</v>
      </c>
      <c r="N1853" s="187">
        <v>4271.31884765625</v>
      </c>
      <c r="O1853" t="s">
        <v>2312</v>
      </c>
    </row>
    <row r="1854" spans="1:15" hidden="1" x14ac:dyDescent="0.45">
      <c r="A1854" s="187">
        <v>2017</v>
      </c>
      <c r="B1854" t="s">
        <v>34</v>
      </c>
      <c r="C1854" t="s">
        <v>325</v>
      </c>
      <c r="D1854" t="s">
        <v>35</v>
      </c>
      <c r="E1854" t="s">
        <v>357</v>
      </c>
      <c r="F1854" t="s">
        <v>412</v>
      </c>
      <c r="G1854" t="s">
        <v>37</v>
      </c>
      <c r="H1854" t="s">
        <v>43</v>
      </c>
      <c r="I1854" s="187">
        <v>2471.6965520000003</v>
      </c>
      <c r="J1854" s="187">
        <v>326.70800000000003</v>
      </c>
      <c r="K1854" s="187">
        <v>1501.9744599999999</v>
      </c>
      <c r="L1854" s="187">
        <v>1094</v>
      </c>
      <c r="M1854" s="187">
        <v>5394.37890625</v>
      </c>
      <c r="N1854" s="187">
        <v>3565.696533203125</v>
      </c>
      <c r="O1854" t="s">
        <v>2313</v>
      </c>
    </row>
    <row r="1855" spans="1:15" hidden="1" x14ac:dyDescent="0.45">
      <c r="A1855" s="187">
        <v>2017</v>
      </c>
      <c r="B1855" t="s">
        <v>34</v>
      </c>
      <c r="C1855" t="s">
        <v>325</v>
      </c>
      <c r="D1855" t="s">
        <v>35</v>
      </c>
      <c r="E1855" t="s">
        <v>357</v>
      </c>
      <c r="F1855" t="s">
        <v>413</v>
      </c>
      <c r="G1855" t="s">
        <v>36</v>
      </c>
      <c r="H1855" t="s">
        <v>43</v>
      </c>
      <c r="I1855" s="187">
        <v>2960.8251953125</v>
      </c>
      <c r="J1855" s="187">
        <v>391.36087036132813</v>
      </c>
      <c r="K1855" s="187">
        <v>1799.2030029296875</v>
      </c>
      <c r="L1855" s="187">
        <v>1310.49365234375</v>
      </c>
      <c r="M1855" s="187">
        <v>6461.8828125</v>
      </c>
      <c r="N1855" s="187">
        <v>4271.31884765625</v>
      </c>
      <c r="O1855" t="s">
        <v>2314</v>
      </c>
    </row>
    <row r="1856" spans="1:15" hidden="1" x14ac:dyDescent="0.45">
      <c r="A1856" s="187">
        <v>2017</v>
      </c>
      <c r="B1856" t="s">
        <v>34</v>
      </c>
      <c r="C1856" t="s">
        <v>325</v>
      </c>
      <c r="D1856" t="s">
        <v>35</v>
      </c>
      <c r="E1856" t="s">
        <v>357</v>
      </c>
      <c r="F1856" t="s">
        <v>413</v>
      </c>
      <c r="G1856" t="s">
        <v>37</v>
      </c>
      <c r="H1856" t="s">
        <v>43</v>
      </c>
      <c r="I1856" s="187">
        <v>2471.6965520000003</v>
      </c>
      <c r="J1856" s="187">
        <v>326.70800000000003</v>
      </c>
      <c r="K1856" s="187">
        <v>1501.9744599999999</v>
      </c>
      <c r="L1856" s="187">
        <v>1094</v>
      </c>
      <c r="M1856" s="187">
        <v>5394.37890625</v>
      </c>
      <c r="N1856" s="187">
        <v>3565.696533203125</v>
      </c>
      <c r="O1856" t="s">
        <v>2315</v>
      </c>
    </row>
    <row r="1857" spans="1:15" hidden="1" x14ac:dyDescent="0.45">
      <c r="A1857" s="187">
        <v>2017</v>
      </c>
      <c r="B1857" t="s">
        <v>34</v>
      </c>
      <c r="C1857" t="s">
        <v>325</v>
      </c>
      <c r="D1857" t="s">
        <v>35</v>
      </c>
      <c r="E1857" t="s">
        <v>357</v>
      </c>
      <c r="F1857" t="s">
        <v>414</v>
      </c>
      <c r="G1857" t="s">
        <v>36</v>
      </c>
      <c r="H1857" t="s">
        <v>43</v>
      </c>
      <c r="I1857" s="187">
        <v>0</v>
      </c>
      <c r="J1857" s="187">
        <v>0</v>
      </c>
      <c r="K1857" s="187">
        <v>0</v>
      </c>
      <c r="L1857" s="187"/>
      <c r="M1857" s="187">
        <v>0</v>
      </c>
      <c r="N1857" s="187">
        <v>0</v>
      </c>
      <c r="O1857" t="s">
        <v>2316</v>
      </c>
    </row>
    <row r="1858" spans="1:15" hidden="1" x14ac:dyDescent="0.45">
      <c r="A1858" s="187">
        <v>2017</v>
      </c>
      <c r="B1858" t="s">
        <v>34</v>
      </c>
      <c r="C1858" t="s">
        <v>325</v>
      </c>
      <c r="D1858" t="s">
        <v>35</v>
      </c>
      <c r="E1858" t="s">
        <v>357</v>
      </c>
      <c r="F1858" t="s">
        <v>414</v>
      </c>
      <c r="G1858" t="s">
        <v>37</v>
      </c>
      <c r="H1858" t="s">
        <v>43</v>
      </c>
      <c r="I1858" s="187">
        <v>0</v>
      </c>
      <c r="J1858" s="187">
        <v>0</v>
      </c>
      <c r="K1858" s="187">
        <v>0</v>
      </c>
      <c r="L1858" s="187"/>
      <c r="M1858" s="187">
        <v>0</v>
      </c>
      <c r="N1858" s="187">
        <v>0</v>
      </c>
      <c r="O1858" t="s">
        <v>2317</v>
      </c>
    </row>
    <row r="1859" spans="1:15" hidden="1" x14ac:dyDescent="0.45">
      <c r="A1859" s="187">
        <v>2017</v>
      </c>
      <c r="B1859" t="s">
        <v>34</v>
      </c>
      <c r="C1859" t="s">
        <v>325</v>
      </c>
      <c r="D1859" t="s">
        <v>35</v>
      </c>
      <c r="E1859" t="s">
        <v>357</v>
      </c>
      <c r="F1859" t="s">
        <v>392</v>
      </c>
      <c r="G1859" t="s">
        <v>36</v>
      </c>
      <c r="H1859" t="s">
        <v>43</v>
      </c>
      <c r="I1859" s="187">
        <v>0</v>
      </c>
      <c r="J1859" s="187">
        <v>0</v>
      </c>
      <c r="K1859" s="187">
        <v>0</v>
      </c>
      <c r="L1859" s="187">
        <v>0</v>
      </c>
      <c r="M1859" s="187">
        <v>0</v>
      </c>
      <c r="N1859" s="187">
        <v>0</v>
      </c>
      <c r="O1859" t="s">
        <v>2318</v>
      </c>
    </row>
    <row r="1860" spans="1:15" hidden="1" x14ac:dyDescent="0.45">
      <c r="A1860" s="187">
        <v>2017</v>
      </c>
      <c r="B1860" t="s">
        <v>34</v>
      </c>
      <c r="C1860" t="s">
        <v>325</v>
      </c>
      <c r="D1860" t="s">
        <v>35</v>
      </c>
      <c r="E1860" t="s">
        <v>357</v>
      </c>
      <c r="F1860" t="s">
        <v>392</v>
      </c>
      <c r="G1860" t="s">
        <v>37</v>
      </c>
      <c r="H1860" t="s">
        <v>43</v>
      </c>
      <c r="I1860" s="187">
        <v>0</v>
      </c>
      <c r="J1860" s="187">
        <v>0</v>
      </c>
      <c r="K1860" s="187">
        <v>0</v>
      </c>
      <c r="L1860" s="187">
        <v>0</v>
      </c>
      <c r="M1860" s="187">
        <v>0</v>
      </c>
      <c r="N1860" s="187">
        <v>0</v>
      </c>
      <c r="O1860" t="s">
        <v>2319</v>
      </c>
    </row>
    <row r="1861" spans="1:15" hidden="1" x14ac:dyDescent="0.45">
      <c r="A1861" s="187">
        <v>2017</v>
      </c>
      <c r="B1861" t="s">
        <v>34</v>
      </c>
      <c r="C1861" t="s">
        <v>325</v>
      </c>
      <c r="D1861" t="s">
        <v>35</v>
      </c>
      <c r="E1861" t="s">
        <v>357</v>
      </c>
      <c r="F1861" t="s">
        <v>393</v>
      </c>
      <c r="G1861" t="s">
        <v>36</v>
      </c>
      <c r="H1861" t="s">
        <v>43</v>
      </c>
      <c r="I1861" s="187">
        <v>0</v>
      </c>
      <c r="J1861" s="187">
        <v>0</v>
      </c>
      <c r="K1861" s="187">
        <v>9.8505640029907227</v>
      </c>
      <c r="L1861" s="187">
        <v>0</v>
      </c>
      <c r="M1861" s="187">
        <v>9.8505640029907227</v>
      </c>
      <c r="N1861" s="187">
        <v>0</v>
      </c>
      <c r="O1861" t="s">
        <v>2320</v>
      </c>
    </row>
    <row r="1862" spans="1:15" hidden="1" x14ac:dyDescent="0.45">
      <c r="A1862" s="187">
        <v>2017</v>
      </c>
      <c r="B1862" t="s">
        <v>34</v>
      </c>
      <c r="C1862" t="s">
        <v>325</v>
      </c>
      <c r="D1862" t="s">
        <v>35</v>
      </c>
      <c r="E1862" t="s">
        <v>357</v>
      </c>
      <c r="F1862" t="s">
        <v>393</v>
      </c>
      <c r="G1862" t="s">
        <v>37</v>
      </c>
      <c r="H1862" t="s">
        <v>43</v>
      </c>
      <c r="I1862" s="187">
        <v>0</v>
      </c>
      <c r="J1862" s="187">
        <v>0</v>
      </c>
      <c r="K1862" s="187">
        <v>8.2232500000000002</v>
      </c>
      <c r="L1862" s="187">
        <v>0</v>
      </c>
      <c r="M1862" s="187">
        <v>8.2232503890991211</v>
      </c>
      <c r="N1862" s="187">
        <v>0</v>
      </c>
      <c r="O1862" t="s">
        <v>2321</v>
      </c>
    </row>
    <row r="1863" spans="1:15" hidden="1" x14ac:dyDescent="0.45">
      <c r="A1863" s="187">
        <v>2017</v>
      </c>
      <c r="B1863" t="s">
        <v>34</v>
      </c>
      <c r="C1863" t="s">
        <v>325</v>
      </c>
      <c r="D1863" t="s">
        <v>35</v>
      </c>
      <c r="E1863" t="s">
        <v>357</v>
      </c>
      <c r="F1863" t="s">
        <v>394</v>
      </c>
      <c r="G1863" t="s">
        <v>36</v>
      </c>
      <c r="H1863" t="s">
        <v>43</v>
      </c>
      <c r="I1863" s="187">
        <v>57.600872802734379</v>
      </c>
      <c r="J1863" s="187">
        <v>0</v>
      </c>
      <c r="K1863" s="187">
        <v>0</v>
      </c>
      <c r="L1863" s="187">
        <v>0</v>
      </c>
      <c r="M1863" s="187">
        <v>57.600872039794922</v>
      </c>
      <c r="N1863" s="187">
        <v>57.600872039794922</v>
      </c>
      <c r="O1863" t="s">
        <v>2322</v>
      </c>
    </row>
    <row r="1864" spans="1:15" hidden="1" x14ac:dyDescent="0.45">
      <c r="A1864" s="187">
        <v>2017</v>
      </c>
      <c r="B1864" t="s">
        <v>34</v>
      </c>
      <c r="C1864" t="s">
        <v>325</v>
      </c>
      <c r="D1864" t="s">
        <v>35</v>
      </c>
      <c r="E1864" t="s">
        <v>357</v>
      </c>
      <c r="F1864" t="s">
        <v>394</v>
      </c>
      <c r="G1864" t="s">
        <v>37</v>
      </c>
      <c r="H1864" t="s">
        <v>43</v>
      </c>
      <c r="I1864" s="187">
        <v>48.085199999999993</v>
      </c>
      <c r="J1864" s="187">
        <v>0</v>
      </c>
      <c r="K1864" s="187">
        <v>0</v>
      </c>
      <c r="L1864" s="187">
        <v>0</v>
      </c>
      <c r="M1864" s="187">
        <v>48.085201263427734</v>
      </c>
      <c r="N1864" s="187">
        <v>48.085201263427734</v>
      </c>
      <c r="O1864" t="s">
        <v>2323</v>
      </c>
    </row>
    <row r="1865" spans="1:15" hidden="1" x14ac:dyDescent="0.45">
      <c r="A1865" s="187">
        <v>2017</v>
      </c>
      <c r="B1865" t="s">
        <v>34</v>
      </c>
      <c r="C1865" t="s">
        <v>325</v>
      </c>
      <c r="D1865" t="s">
        <v>35</v>
      </c>
      <c r="E1865" t="s">
        <v>357</v>
      </c>
      <c r="F1865" t="s">
        <v>395</v>
      </c>
      <c r="G1865" t="s">
        <v>36</v>
      </c>
      <c r="H1865" t="s">
        <v>43</v>
      </c>
      <c r="I1865" s="187">
        <v>67.698516845703125</v>
      </c>
      <c r="J1865" s="187">
        <v>0</v>
      </c>
      <c r="K1865" s="187">
        <v>0</v>
      </c>
      <c r="L1865" s="187">
        <v>50.311458587646484</v>
      </c>
      <c r="M1865" s="187">
        <v>118.00997924804688</v>
      </c>
      <c r="N1865" s="187">
        <v>118.00997924804688</v>
      </c>
      <c r="O1865" t="s">
        <v>2324</v>
      </c>
    </row>
    <row r="1866" spans="1:15" hidden="1" x14ac:dyDescent="0.45">
      <c r="A1866" s="187">
        <v>2017</v>
      </c>
      <c r="B1866" t="s">
        <v>34</v>
      </c>
      <c r="C1866" t="s">
        <v>325</v>
      </c>
      <c r="D1866" t="s">
        <v>35</v>
      </c>
      <c r="E1866" t="s">
        <v>357</v>
      </c>
      <c r="F1866" t="s">
        <v>395</v>
      </c>
      <c r="G1866" t="s">
        <v>37</v>
      </c>
      <c r="H1866" t="s">
        <v>43</v>
      </c>
      <c r="I1866" s="187">
        <v>56.514711999999989</v>
      </c>
      <c r="J1866" s="187">
        <v>0</v>
      </c>
      <c r="K1866" s="187">
        <v>0</v>
      </c>
      <c r="L1866" s="187">
        <v>42</v>
      </c>
      <c r="M1866" s="187">
        <v>98.51470947265625</v>
      </c>
      <c r="N1866" s="187">
        <v>98.51470947265625</v>
      </c>
      <c r="O1866" t="s">
        <v>2325</v>
      </c>
    </row>
    <row r="1867" spans="1:15" hidden="1" x14ac:dyDescent="0.45">
      <c r="A1867" s="187">
        <v>2017</v>
      </c>
      <c r="B1867" t="s">
        <v>34</v>
      </c>
      <c r="C1867" t="s">
        <v>325</v>
      </c>
      <c r="D1867" t="s">
        <v>35</v>
      </c>
      <c r="E1867" t="s">
        <v>357</v>
      </c>
      <c r="F1867" t="s">
        <v>396</v>
      </c>
      <c r="G1867" t="s">
        <v>36</v>
      </c>
      <c r="H1867" t="s">
        <v>43</v>
      </c>
      <c r="I1867" s="187">
        <v>0</v>
      </c>
      <c r="J1867" s="187">
        <v>0</v>
      </c>
      <c r="K1867" s="187">
        <v>258.06463623046875</v>
      </c>
      <c r="L1867" s="187">
        <v>85.050323486328125</v>
      </c>
      <c r="M1867" s="187">
        <v>343.11495971679688</v>
      </c>
      <c r="N1867" s="187">
        <v>85.050323486328125</v>
      </c>
      <c r="O1867" t="s">
        <v>2326</v>
      </c>
    </row>
    <row r="1868" spans="1:15" hidden="1" x14ac:dyDescent="0.45">
      <c r="A1868" s="187">
        <v>2017</v>
      </c>
      <c r="B1868" t="s">
        <v>34</v>
      </c>
      <c r="C1868" t="s">
        <v>325</v>
      </c>
      <c r="D1868" t="s">
        <v>35</v>
      </c>
      <c r="E1868" t="s">
        <v>357</v>
      </c>
      <c r="F1868" t="s">
        <v>396</v>
      </c>
      <c r="G1868" t="s">
        <v>37</v>
      </c>
      <c r="H1868" t="s">
        <v>43</v>
      </c>
      <c r="I1868" s="187">
        <v>0</v>
      </c>
      <c r="J1868" s="187">
        <v>0</v>
      </c>
      <c r="K1868" s="187">
        <v>215.43232</v>
      </c>
      <c r="L1868" s="187">
        <v>71</v>
      </c>
      <c r="M1868" s="187">
        <v>286.43231201171875</v>
      </c>
      <c r="N1868" s="187">
        <v>71</v>
      </c>
      <c r="O1868" t="s">
        <v>2327</v>
      </c>
    </row>
    <row r="1869" spans="1:15" hidden="1" x14ac:dyDescent="0.45">
      <c r="A1869" s="187">
        <v>2017</v>
      </c>
      <c r="B1869" t="s">
        <v>34</v>
      </c>
      <c r="C1869" t="s">
        <v>325</v>
      </c>
      <c r="D1869" t="s">
        <v>35</v>
      </c>
      <c r="E1869" t="s">
        <v>357</v>
      </c>
      <c r="F1869" t="s">
        <v>415</v>
      </c>
      <c r="G1869" t="s">
        <v>36</v>
      </c>
      <c r="H1869" t="s">
        <v>43</v>
      </c>
      <c r="I1869" s="187">
        <v>125.29938964843751</v>
      </c>
      <c r="J1869" s="187">
        <v>0</v>
      </c>
      <c r="K1869" s="187">
        <v>267.91519165039063</v>
      </c>
      <c r="L1869" s="187">
        <v>135.36178588867188</v>
      </c>
      <c r="M1869" s="187">
        <v>528.576416015625</v>
      </c>
      <c r="N1869" s="187">
        <v>260.66119384765625</v>
      </c>
      <c r="O1869" t="s">
        <v>2328</v>
      </c>
    </row>
    <row r="1870" spans="1:15" hidden="1" x14ac:dyDescent="0.45">
      <c r="A1870" s="187">
        <v>2017</v>
      </c>
      <c r="B1870" t="s">
        <v>34</v>
      </c>
      <c r="C1870" t="s">
        <v>325</v>
      </c>
      <c r="D1870" t="s">
        <v>35</v>
      </c>
      <c r="E1870" t="s">
        <v>357</v>
      </c>
      <c r="F1870" t="s">
        <v>415</v>
      </c>
      <c r="G1870" t="s">
        <v>37</v>
      </c>
      <c r="H1870" t="s">
        <v>43</v>
      </c>
      <c r="I1870" s="187">
        <v>104.599912</v>
      </c>
      <c r="J1870" s="187">
        <v>0</v>
      </c>
      <c r="K1870" s="187">
        <v>223.65557000000001</v>
      </c>
      <c r="L1870" s="187">
        <v>113</v>
      </c>
      <c r="M1870" s="187">
        <v>441.2554931640625</v>
      </c>
      <c r="N1870" s="187">
        <v>217.59991455078125</v>
      </c>
      <c r="O1870" t="s">
        <v>2329</v>
      </c>
    </row>
    <row r="1871" spans="1:15" hidden="1" x14ac:dyDescent="0.45">
      <c r="A1871" s="187">
        <v>2017</v>
      </c>
      <c r="B1871" t="s">
        <v>34</v>
      </c>
      <c r="C1871" t="s">
        <v>325</v>
      </c>
      <c r="D1871" t="s">
        <v>35</v>
      </c>
      <c r="E1871" t="s">
        <v>357</v>
      </c>
      <c r="F1871" t="s">
        <v>416</v>
      </c>
      <c r="G1871" t="s">
        <v>36</v>
      </c>
      <c r="H1871" t="s">
        <v>43</v>
      </c>
      <c r="I1871" s="187">
        <v>0</v>
      </c>
      <c r="J1871" s="187">
        <v>0</v>
      </c>
      <c r="K1871" s="187">
        <v>0</v>
      </c>
      <c r="L1871" s="187">
        <v>0</v>
      </c>
      <c r="M1871" s="187">
        <v>0</v>
      </c>
      <c r="N1871" s="187">
        <v>0</v>
      </c>
      <c r="O1871" t="s">
        <v>2330</v>
      </c>
    </row>
    <row r="1872" spans="1:15" hidden="1" x14ac:dyDescent="0.45">
      <c r="A1872" s="187">
        <v>2017</v>
      </c>
      <c r="B1872" t="s">
        <v>34</v>
      </c>
      <c r="C1872" t="s">
        <v>325</v>
      </c>
      <c r="D1872" t="s">
        <v>35</v>
      </c>
      <c r="E1872" t="s">
        <v>357</v>
      </c>
      <c r="F1872" t="s">
        <v>416</v>
      </c>
      <c r="G1872" t="s">
        <v>37</v>
      </c>
      <c r="H1872" t="s">
        <v>43</v>
      </c>
      <c r="I1872" s="187">
        <v>0</v>
      </c>
      <c r="J1872" s="187">
        <v>0</v>
      </c>
      <c r="K1872" s="187">
        <v>0</v>
      </c>
      <c r="L1872" s="187">
        <v>0</v>
      </c>
      <c r="M1872" s="187">
        <v>0</v>
      </c>
      <c r="N1872" s="187">
        <v>0</v>
      </c>
      <c r="O1872" t="s">
        <v>2331</v>
      </c>
    </row>
    <row r="1873" spans="1:15" hidden="1" x14ac:dyDescent="0.45">
      <c r="A1873" s="187">
        <v>2017</v>
      </c>
      <c r="B1873" t="s">
        <v>34</v>
      </c>
      <c r="C1873" t="s">
        <v>325</v>
      </c>
      <c r="D1873" t="s">
        <v>35</v>
      </c>
      <c r="E1873" t="s">
        <v>357</v>
      </c>
      <c r="F1873" t="s">
        <v>417</v>
      </c>
      <c r="G1873" t="s">
        <v>36</v>
      </c>
      <c r="H1873" t="s">
        <v>43</v>
      </c>
      <c r="I1873" s="187">
        <v>0</v>
      </c>
      <c r="J1873" s="187">
        <v>261.988525390625</v>
      </c>
      <c r="K1873" s="187">
        <v>0</v>
      </c>
      <c r="L1873" s="187">
        <v>0</v>
      </c>
      <c r="M1873" s="187">
        <v>261.988525390625</v>
      </c>
      <c r="N1873" s="187">
        <v>0</v>
      </c>
      <c r="O1873" t="s">
        <v>2332</v>
      </c>
    </row>
    <row r="1874" spans="1:15" hidden="1" x14ac:dyDescent="0.45">
      <c r="A1874" s="187">
        <v>2017</v>
      </c>
      <c r="B1874" t="s">
        <v>34</v>
      </c>
      <c r="C1874" t="s">
        <v>325</v>
      </c>
      <c r="D1874" t="s">
        <v>35</v>
      </c>
      <c r="E1874" t="s">
        <v>357</v>
      </c>
      <c r="F1874" t="s">
        <v>417</v>
      </c>
      <c r="G1874" t="s">
        <v>37</v>
      </c>
      <c r="H1874" t="s">
        <v>43</v>
      </c>
      <c r="I1874" s="187">
        <v>0</v>
      </c>
      <c r="J1874" s="187">
        <v>218.708</v>
      </c>
      <c r="K1874" s="187">
        <v>0</v>
      </c>
      <c r="L1874" s="187">
        <v>0</v>
      </c>
      <c r="M1874" s="187">
        <v>218.70799255371094</v>
      </c>
      <c r="N1874" s="187">
        <v>0</v>
      </c>
      <c r="O1874" t="s">
        <v>2333</v>
      </c>
    </row>
    <row r="1875" spans="1:15" hidden="1" x14ac:dyDescent="0.45">
      <c r="A1875" s="187">
        <v>2017</v>
      </c>
      <c r="B1875" t="s">
        <v>34</v>
      </c>
      <c r="C1875" t="s">
        <v>325</v>
      </c>
      <c r="D1875" t="s">
        <v>35</v>
      </c>
      <c r="E1875" t="s">
        <v>357</v>
      </c>
      <c r="F1875" t="s">
        <v>418</v>
      </c>
      <c r="G1875" t="s">
        <v>36</v>
      </c>
      <c r="H1875" t="s">
        <v>43</v>
      </c>
      <c r="I1875" s="187">
        <v>0</v>
      </c>
      <c r="J1875" s="187">
        <v>86.248214721679688</v>
      </c>
      <c r="K1875" s="187">
        <v>6.7343325614929199</v>
      </c>
      <c r="L1875" s="187">
        <v>0</v>
      </c>
      <c r="M1875" s="187">
        <v>92.9825439453125</v>
      </c>
      <c r="N1875" s="187">
        <v>0</v>
      </c>
      <c r="O1875" t="s">
        <v>2334</v>
      </c>
    </row>
    <row r="1876" spans="1:15" hidden="1" x14ac:dyDescent="0.45">
      <c r="A1876" s="187">
        <v>2017</v>
      </c>
      <c r="B1876" t="s">
        <v>34</v>
      </c>
      <c r="C1876" t="s">
        <v>325</v>
      </c>
      <c r="D1876" t="s">
        <v>35</v>
      </c>
      <c r="E1876" t="s">
        <v>357</v>
      </c>
      <c r="F1876" t="s">
        <v>418</v>
      </c>
      <c r="G1876" t="s">
        <v>37</v>
      </c>
      <c r="H1876" t="s">
        <v>43</v>
      </c>
      <c r="I1876" s="187">
        <v>0</v>
      </c>
      <c r="J1876" s="187">
        <v>72</v>
      </c>
      <c r="K1876" s="187">
        <v>5.6218199999999996</v>
      </c>
      <c r="L1876" s="187">
        <v>0</v>
      </c>
      <c r="M1876" s="187">
        <v>77.621818542480469</v>
      </c>
      <c r="N1876" s="187">
        <v>0</v>
      </c>
      <c r="O1876" t="s">
        <v>2335</v>
      </c>
    </row>
    <row r="1877" spans="1:15" hidden="1" x14ac:dyDescent="0.45">
      <c r="A1877" s="187">
        <v>2017</v>
      </c>
      <c r="B1877" t="s">
        <v>34</v>
      </c>
      <c r="C1877" t="s">
        <v>325</v>
      </c>
      <c r="D1877" t="s">
        <v>35</v>
      </c>
      <c r="E1877" t="s">
        <v>357</v>
      </c>
      <c r="F1877" t="s">
        <v>419</v>
      </c>
      <c r="G1877" t="s">
        <v>36</v>
      </c>
      <c r="H1877" t="s">
        <v>43</v>
      </c>
      <c r="I1877" s="187">
        <v>0</v>
      </c>
      <c r="J1877" s="187">
        <v>0</v>
      </c>
      <c r="K1877" s="187">
        <v>0</v>
      </c>
      <c r="L1877" s="187">
        <v>0</v>
      </c>
      <c r="M1877" s="187">
        <v>0</v>
      </c>
      <c r="N1877" s="187">
        <v>0</v>
      </c>
      <c r="O1877" t="s">
        <v>2336</v>
      </c>
    </row>
    <row r="1878" spans="1:15" hidden="1" x14ac:dyDescent="0.45">
      <c r="A1878" s="187">
        <v>2017</v>
      </c>
      <c r="B1878" t="s">
        <v>34</v>
      </c>
      <c r="C1878" t="s">
        <v>325</v>
      </c>
      <c r="D1878" t="s">
        <v>35</v>
      </c>
      <c r="E1878" t="s">
        <v>357</v>
      </c>
      <c r="F1878" t="s">
        <v>419</v>
      </c>
      <c r="G1878" t="s">
        <v>37</v>
      </c>
      <c r="H1878" t="s">
        <v>43</v>
      </c>
      <c r="I1878" s="187">
        <v>0</v>
      </c>
      <c r="J1878" s="187">
        <v>0</v>
      </c>
      <c r="K1878" s="187">
        <v>0</v>
      </c>
      <c r="L1878" s="187">
        <v>0</v>
      </c>
      <c r="M1878" s="187">
        <v>0</v>
      </c>
      <c r="N1878" s="187">
        <v>0</v>
      </c>
      <c r="O1878" t="s">
        <v>2337</v>
      </c>
    </row>
    <row r="1879" spans="1:15" hidden="1" x14ac:dyDescent="0.45">
      <c r="A1879" s="187">
        <v>2017</v>
      </c>
      <c r="B1879" t="s">
        <v>34</v>
      </c>
      <c r="C1879" t="s">
        <v>325</v>
      </c>
      <c r="D1879" t="s">
        <v>35</v>
      </c>
      <c r="E1879" t="s">
        <v>357</v>
      </c>
      <c r="F1879" t="s">
        <v>420</v>
      </c>
      <c r="G1879" t="s">
        <v>36</v>
      </c>
      <c r="H1879" t="s">
        <v>43</v>
      </c>
      <c r="I1879" s="187">
        <v>0</v>
      </c>
      <c r="J1879" s="187">
        <v>348.23675537109375</v>
      </c>
      <c r="K1879" s="187">
        <v>6.7343325614929199</v>
      </c>
      <c r="L1879" s="187">
        <v>0</v>
      </c>
      <c r="M1879" s="187">
        <v>354.97109985351563</v>
      </c>
      <c r="N1879" s="187">
        <v>0</v>
      </c>
      <c r="O1879" t="s">
        <v>2338</v>
      </c>
    </row>
    <row r="1880" spans="1:15" hidden="1" x14ac:dyDescent="0.45">
      <c r="A1880" s="187">
        <v>2017</v>
      </c>
      <c r="B1880" t="s">
        <v>34</v>
      </c>
      <c r="C1880" t="s">
        <v>325</v>
      </c>
      <c r="D1880" t="s">
        <v>35</v>
      </c>
      <c r="E1880" t="s">
        <v>357</v>
      </c>
      <c r="F1880" t="s">
        <v>420</v>
      </c>
      <c r="G1880" t="s">
        <v>37</v>
      </c>
      <c r="H1880" t="s">
        <v>43</v>
      </c>
      <c r="I1880" s="187">
        <v>0</v>
      </c>
      <c r="J1880" s="187">
        <v>290.70800000000003</v>
      </c>
      <c r="K1880" s="187">
        <v>5.6218199999999996</v>
      </c>
      <c r="L1880" s="187">
        <v>0</v>
      </c>
      <c r="M1880" s="187">
        <v>296.329833984375</v>
      </c>
      <c r="N1880" s="187">
        <v>0</v>
      </c>
      <c r="O1880" t="s">
        <v>2339</v>
      </c>
    </row>
    <row r="1881" spans="1:15" hidden="1" x14ac:dyDescent="0.45">
      <c r="A1881" s="187">
        <v>2017</v>
      </c>
      <c r="B1881" t="s">
        <v>34</v>
      </c>
      <c r="C1881" t="s">
        <v>325</v>
      </c>
      <c r="D1881" t="s">
        <v>35</v>
      </c>
      <c r="E1881" t="s">
        <v>357</v>
      </c>
      <c r="F1881" t="s">
        <v>402</v>
      </c>
      <c r="G1881" t="s">
        <v>36</v>
      </c>
      <c r="H1881" t="s">
        <v>43</v>
      </c>
      <c r="I1881" s="187">
        <v>151.80699462890627</v>
      </c>
      <c r="J1881" s="187">
        <v>0</v>
      </c>
      <c r="K1881" s="187">
        <v>0</v>
      </c>
      <c r="L1881" s="187">
        <v>0</v>
      </c>
      <c r="M1881" s="187">
        <v>151.80699157714844</v>
      </c>
      <c r="N1881" s="187">
        <v>151.80699157714844</v>
      </c>
      <c r="O1881" t="s">
        <v>2340</v>
      </c>
    </row>
    <row r="1882" spans="1:15" hidden="1" x14ac:dyDescent="0.45">
      <c r="A1882" s="187">
        <v>2017</v>
      </c>
      <c r="B1882" t="s">
        <v>34</v>
      </c>
      <c r="C1882" t="s">
        <v>325</v>
      </c>
      <c r="D1882" t="s">
        <v>35</v>
      </c>
      <c r="E1882" t="s">
        <v>357</v>
      </c>
      <c r="F1882" t="s">
        <v>402</v>
      </c>
      <c r="G1882" t="s">
        <v>37</v>
      </c>
      <c r="H1882" t="s">
        <v>43</v>
      </c>
      <c r="I1882" s="187">
        <v>126.72846400000002</v>
      </c>
      <c r="J1882" s="187">
        <v>0</v>
      </c>
      <c r="K1882" s="187">
        <v>0</v>
      </c>
      <c r="L1882" s="187">
        <v>0</v>
      </c>
      <c r="M1882" s="187">
        <v>126.72846221923828</v>
      </c>
      <c r="N1882" s="187">
        <v>126.72846221923828</v>
      </c>
      <c r="O1882" t="s">
        <v>2341</v>
      </c>
    </row>
    <row r="1883" spans="1:15" hidden="1" x14ac:dyDescent="0.45">
      <c r="A1883" s="187">
        <v>2017</v>
      </c>
      <c r="B1883" t="s">
        <v>34</v>
      </c>
      <c r="C1883" t="s">
        <v>325</v>
      </c>
      <c r="D1883" t="s">
        <v>35</v>
      </c>
      <c r="E1883" t="s">
        <v>357</v>
      </c>
      <c r="F1883" t="s">
        <v>403</v>
      </c>
      <c r="G1883" t="s">
        <v>36</v>
      </c>
      <c r="H1883" t="s">
        <v>43</v>
      </c>
      <c r="I1883" s="187">
        <v>1141.01630859375</v>
      </c>
      <c r="J1883" s="187">
        <v>19.166269302368164</v>
      </c>
      <c r="K1883" s="187">
        <v>1494.504638671875</v>
      </c>
      <c r="L1883" s="187">
        <v>1011.020751953125</v>
      </c>
      <c r="M1883" s="187">
        <v>3665.7080078125</v>
      </c>
      <c r="N1883" s="187">
        <v>2152.037109375</v>
      </c>
      <c r="O1883" t="s">
        <v>2342</v>
      </c>
    </row>
    <row r="1884" spans="1:15" hidden="1" x14ac:dyDescent="0.45">
      <c r="A1884" s="187">
        <v>2017</v>
      </c>
      <c r="B1884" t="s">
        <v>34</v>
      </c>
      <c r="C1884" t="s">
        <v>325</v>
      </c>
      <c r="D1884" t="s">
        <v>35</v>
      </c>
      <c r="E1884" t="s">
        <v>357</v>
      </c>
      <c r="F1884" t="s">
        <v>403</v>
      </c>
      <c r="G1884" t="s">
        <v>37</v>
      </c>
      <c r="H1884" t="s">
        <v>43</v>
      </c>
      <c r="I1884" s="187">
        <v>952.52029600000014</v>
      </c>
      <c r="J1884" s="187">
        <v>16</v>
      </c>
      <c r="K1884" s="187">
        <v>1247.61229</v>
      </c>
      <c r="L1884" s="187">
        <v>844</v>
      </c>
      <c r="M1884" s="187">
        <v>3060.132568359375</v>
      </c>
      <c r="N1884" s="187">
        <v>1796.520263671875</v>
      </c>
      <c r="O1884" t="s">
        <v>2343</v>
      </c>
    </row>
    <row r="1885" spans="1:15" hidden="1" x14ac:dyDescent="0.45">
      <c r="A1885" s="187">
        <v>2017</v>
      </c>
      <c r="B1885" t="s">
        <v>34</v>
      </c>
      <c r="C1885" t="s">
        <v>325</v>
      </c>
      <c r="D1885" t="s">
        <v>35</v>
      </c>
      <c r="E1885" t="s">
        <v>357</v>
      </c>
      <c r="F1885" t="s">
        <v>405</v>
      </c>
      <c r="G1885" t="s">
        <v>36</v>
      </c>
      <c r="H1885" t="s">
        <v>43</v>
      </c>
      <c r="I1885" s="187">
        <v>331.2030029296875</v>
      </c>
      <c r="J1885" s="187">
        <v>21.562053680419922</v>
      </c>
      <c r="K1885" s="187">
        <v>30.048854827880859</v>
      </c>
      <c r="L1885" s="187">
        <v>73.071403503417969</v>
      </c>
      <c r="M1885" s="187">
        <v>455.88531494140625</v>
      </c>
      <c r="N1885" s="187">
        <v>404.2744140625</v>
      </c>
      <c r="O1885" t="s">
        <v>2344</v>
      </c>
    </row>
    <row r="1886" spans="1:15" hidden="1" x14ac:dyDescent="0.45">
      <c r="A1886" s="187">
        <v>2017</v>
      </c>
      <c r="B1886" t="s">
        <v>34</v>
      </c>
      <c r="C1886" t="s">
        <v>325</v>
      </c>
      <c r="D1886" t="s">
        <v>35</v>
      </c>
      <c r="E1886" t="s">
        <v>357</v>
      </c>
      <c r="F1886" t="s">
        <v>405</v>
      </c>
      <c r="G1886" t="s">
        <v>37</v>
      </c>
      <c r="H1886" t="s">
        <v>43</v>
      </c>
      <c r="I1886" s="187">
        <v>276.48823200000004</v>
      </c>
      <c r="J1886" s="187">
        <v>18</v>
      </c>
      <c r="K1886" s="187">
        <v>25.084779999999991</v>
      </c>
      <c r="L1886" s="187">
        <v>61</v>
      </c>
      <c r="M1886" s="187">
        <v>380.572998046875</v>
      </c>
      <c r="N1886" s="187">
        <v>337.48822021484375</v>
      </c>
      <c r="O1886" t="s">
        <v>2345</v>
      </c>
    </row>
    <row r="1887" spans="1:15" hidden="1" x14ac:dyDescent="0.45">
      <c r="A1887" s="187">
        <v>2017</v>
      </c>
      <c r="B1887" t="s">
        <v>34</v>
      </c>
      <c r="C1887" t="s">
        <v>325</v>
      </c>
      <c r="D1887" t="s">
        <v>35</v>
      </c>
      <c r="E1887" t="s">
        <v>357</v>
      </c>
      <c r="F1887" t="s">
        <v>406</v>
      </c>
      <c r="G1887" t="s">
        <v>36</v>
      </c>
      <c r="H1887" t="s">
        <v>43</v>
      </c>
      <c r="I1887" s="187">
        <v>0</v>
      </c>
      <c r="J1887" s="187">
        <v>0</v>
      </c>
      <c r="K1887" s="187">
        <v>0</v>
      </c>
      <c r="L1887" s="187">
        <v>0</v>
      </c>
      <c r="M1887" s="187">
        <v>0</v>
      </c>
      <c r="N1887" s="187">
        <v>0</v>
      </c>
      <c r="O1887" t="s">
        <v>2346</v>
      </c>
    </row>
    <row r="1888" spans="1:15" hidden="1" x14ac:dyDescent="0.45">
      <c r="A1888" s="187">
        <v>2017</v>
      </c>
      <c r="B1888" t="s">
        <v>34</v>
      </c>
      <c r="C1888" t="s">
        <v>325</v>
      </c>
      <c r="D1888" t="s">
        <v>35</v>
      </c>
      <c r="E1888" t="s">
        <v>357</v>
      </c>
      <c r="F1888" t="s">
        <v>406</v>
      </c>
      <c r="G1888" t="s">
        <v>37</v>
      </c>
      <c r="H1888" t="s">
        <v>43</v>
      </c>
      <c r="I1888" s="187">
        <v>0</v>
      </c>
      <c r="J1888" s="187">
        <v>0</v>
      </c>
      <c r="K1888" s="187">
        <v>0</v>
      </c>
      <c r="L1888" s="187">
        <v>0</v>
      </c>
      <c r="M1888" s="187">
        <v>0</v>
      </c>
      <c r="N1888" s="187">
        <v>0</v>
      </c>
      <c r="O1888" t="s">
        <v>2347</v>
      </c>
    </row>
    <row r="1889" spans="1:15" hidden="1" x14ac:dyDescent="0.45">
      <c r="A1889" s="187">
        <v>2017</v>
      </c>
      <c r="B1889" t="s">
        <v>34</v>
      </c>
      <c r="C1889" t="s">
        <v>325</v>
      </c>
      <c r="D1889" t="s">
        <v>35</v>
      </c>
      <c r="E1889" t="s">
        <v>357</v>
      </c>
      <c r="F1889" t="s">
        <v>421</v>
      </c>
      <c r="G1889" t="s">
        <v>36</v>
      </c>
      <c r="H1889" t="s">
        <v>43</v>
      </c>
      <c r="I1889" s="187">
        <v>0</v>
      </c>
      <c r="J1889" s="187">
        <v>2.3957836627960205</v>
      </c>
      <c r="K1889" s="187">
        <v>0</v>
      </c>
      <c r="L1889" s="187">
        <v>0</v>
      </c>
      <c r="M1889" s="187">
        <v>2.3957836627960205</v>
      </c>
      <c r="N1889" s="187">
        <v>0</v>
      </c>
      <c r="O1889" t="s">
        <v>2348</v>
      </c>
    </row>
    <row r="1890" spans="1:15" hidden="1" x14ac:dyDescent="0.45">
      <c r="A1890" s="187">
        <v>2017</v>
      </c>
      <c r="B1890" t="s">
        <v>34</v>
      </c>
      <c r="C1890" t="s">
        <v>325</v>
      </c>
      <c r="D1890" t="s">
        <v>35</v>
      </c>
      <c r="E1890" t="s">
        <v>357</v>
      </c>
      <c r="F1890" t="s">
        <v>421</v>
      </c>
      <c r="G1890" t="s">
        <v>37</v>
      </c>
      <c r="H1890" t="s">
        <v>43</v>
      </c>
      <c r="I1890" s="187">
        <v>0</v>
      </c>
      <c r="J1890" s="187">
        <v>2</v>
      </c>
      <c r="K1890" s="187">
        <v>0</v>
      </c>
      <c r="L1890" s="187">
        <v>0</v>
      </c>
      <c r="M1890" s="187">
        <v>2</v>
      </c>
      <c r="N1890" s="187">
        <v>0</v>
      </c>
      <c r="O1890" t="s">
        <v>2349</v>
      </c>
    </row>
    <row r="1891" spans="1:15" hidden="1" x14ac:dyDescent="0.45">
      <c r="A1891" s="187">
        <v>2017</v>
      </c>
      <c r="B1891" t="s">
        <v>34</v>
      </c>
      <c r="C1891" t="s">
        <v>325</v>
      </c>
      <c r="D1891" t="s">
        <v>35</v>
      </c>
      <c r="E1891" t="s">
        <v>357</v>
      </c>
      <c r="F1891" t="s">
        <v>422</v>
      </c>
      <c r="G1891" t="s">
        <v>36</v>
      </c>
      <c r="H1891" t="s">
        <v>43</v>
      </c>
      <c r="I1891" s="187">
        <v>1624.0263671875</v>
      </c>
      <c r="J1891" s="187">
        <v>43.124107360839844</v>
      </c>
      <c r="K1891" s="187">
        <v>1524.553466796875</v>
      </c>
      <c r="L1891" s="187">
        <v>1084.0921630859375</v>
      </c>
      <c r="M1891" s="187">
        <v>4275.79638671875</v>
      </c>
      <c r="N1891" s="187">
        <v>2708.11865234375</v>
      </c>
      <c r="O1891" t="s">
        <v>2350</v>
      </c>
    </row>
    <row r="1892" spans="1:15" hidden="1" x14ac:dyDescent="0.45">
      <c r="A1892" s="187">
        <v>2017</v>
      </c>
      <c r="B1892" t="s">
        <v>34</v>
      </c>
      <c r="C1892" t="s">
        <v>325</v>
      </c>
      <c r="D1892" t="s">
        <v>35</v>
      </c>
      <c r="E1892" t="s">
        <v>357</v>
      </c>
      <c r="F1892" t="s">
        <v>422</v>
      </c>
      <c r="G1892" t="s">
        <v>37</v>
      </c>
      <c r="H1892" t="s">
        <v>43</v>
      </c>
      <c r="I1892" s="187">
        <v>1355.7369920000001</v>
      </c>
      <c r="J1892" s="187">
        <v>36</v>
      </c>
      <c r="K1892" s="187">
        <v>1272.6970699999999</v>
      </c>
      <c r="L1892" s="187">
        <v>905</v>
      </c>
      <c r="M1892" s="187">
        <v>3569.43408203125</v>
      </c>
      <c r="N1892" s="187">
        <v>2260.73681640625</v>
      </c>
      <c r="O1892" t="s">
        <v>2351</v>
      </c>
    </row>
    <row r="1893" spans="1:15" hidden="1" x14ac:dyDescent="0.45">
      <c r="A1893" s="187">
        <v>2017</v>
      </c>
      <c r="B1893" t="s">
        <v>34</v>
      </c>
      <c r="C1893" t="s">
        <v>325</v>
      </c>
      <c r="D1893" t="s">
        <v>35</v>
      </c>
      <c r="E1893" t="s">
        <v>357</v>
      </c>
      <c r="F1893" t="s">
        <v>423</v>
      </c>
      <c r="G1893" t="s">
        <v>36</v>
      </c>
      <c r="H1893" t="s">
        <v>43</v>
      </c>
      <c r="I1893" s="187">
        <v>135.78718261718751</v>
      </c>
      <c r="J1893" s="187">
        <v>0</v>
      </c>
      <c r="K1893" s="187">
        <v>0</v>
      </c>
      <c r="L1893" s="187">
        <v>91.039779663085938</v>
      </c>
      <c r="M1893" s="187">
        <v>226.82696533203125</v>
      </c>
      <c r="N1893" s="187">
        <v>226.82696533203125</v>
      </c>
      <c r="O1893" t="s">
        <v>2352</v>
      </c>
    </row>
    <row r="1894" spans="1:15" hidden="1" x14ac:dyDescent="0.45">
      <c r="A1894" s="187">
        <v>2017</v>
      </c>
      <c r="B1894" t="s">
        <v>34</v>
      </c>
      <c r="C1894" t="s">
        <v>325</v>
      </c>
      <c r="D1894" t="s">
        <v>35</v>
      </c>
      <c r="E1894" t="s">
        <v>357</v>
      </c>
      <c r="F1894" t="s">
        <v>423</v>
      </c>
      <c r="G1894" t="s">
        <v>37</v>
      </c>
      <c r="H1894" t="s">
        <v>43</v>
      </c>
      <c r="I1894" s="187">
        <v>113.35512799999999</v>
      </c>
      <c r="J1894" s="187">
        <v>0</v>
      </c>
      <c r="K1894" s="187">
        <v>0</v>
      </c>
      <c r="L1894" s="187">
        <v>76</v>
      </c>
      <c r="M1894" s="187">
        <v>189.35513305664063</v>
      </c>
      <c r="N1894" s="187">
        <v>189.35513305664063</v>
      </c>
      <c r="O1894" t="s">
        <v>2353</v>
      </c>
    </row>
    <row r="1895" spans="1:15" hidden="1" x14ac:dyDescent="0.45">
      <c r="A1895" s="187">
        <v>2017</v>
      </c>
      <c r="B1895" t="s">
        <v>34</v>
      </c>
      <c r="C1895" t="s">
        <v>325</v>
      </c>
      <c r="D1895" t="s">
        <v>35</v>
      </c>
      <c r="E1895" t="s">
        <v>357</v>
      </c>
      <c r="F1895" t="s">
        <v>424</v>
      </c>
      <c r="G1895" t="s">
        <v>36</v>
      </c>
      <c r="H1895" t="s">
        <v>43</v>
      </c>
      <c r="I1895" s="187">
        <v>0</v>
      </c>
      <c r="J1895" s="187">
        <v>0</v>
      </c>
      <c r="K1895" s="187">
        <v>0</v>
      </c>
      <c r="L1895" s="187">
        <v>0</v>
      </c>
      <c r="M1895" s="187">
        <v>0</v>
      </c>
      <c r="N1895" s="187">
        <v>0</v>
      </c>
      <c r="O1895" t="s">
        <v>2354</v>
      </c>
    </row>
    <row r="1896" spans="1:15" hidden="1" x14ac:dyDescent="0.45">
      <c r="A1896" s="187">
        <v>2017</v>
      </c>
      <c r="B1896" t="s">
        <v>34</v>
      </c>
      <c r="C1896" t="s">
        <v>325</v>
      </c>
      <c r="D1896" t="s">
        <v>35</v>
      </c>
      <c r="E1896" t="s">
        <v>357</v>
      </c>
      <c r="F1896" t="s">
        <v>424</v>
      </c>
      <c r="G1896" t="s">
        <v>37</v>
      </c>
      <c r="H1896" t="s">
        <v>43</v>
      </c>
      <c r="I1896" s="187">
        <v>0</v>
      </c>
      <c r="J1896" s="187">
        <v>0</v>
      </c>
      <c r="K1896" s="187">
        <v>0</v>
      </c>
      <c r="L1896" s="187">
        <v>0</v>
      </c>
      <c r="M1896" s="187">
        <v>0</v>
      </c>
      <c r="N1896" s="187">
        <v>0</v>
      </c>
      <c r="O1896" t="s">
        <v>2355</v>
      </c>
    </row>
    <row r="1897" spans="1:15" hidden="1" x14ac:dyDescent="0.45">
      <c r="A1897" s="187">
        <v>2017</v>
      </c>
      <c r="B1897" t="s">
        <v>34</v>
      </c>
      <c r="C1897" t="s">
        <v>325</v>
      </c>
      <c r="D1897" t="s">
        <v>35</v>
      </c>
      <c r="E1897" t="s">
        <v>357</v>
      </c>
      <c r="F1897" t="s">
        <v>446</v>
      </c>
      <c r="G1897" t="s">
        <v>36</v>
      </c>
      <c r="H1897" t="s">
        <v>43</v>
      </c>
      <c r="I1897" s="187">
        <v>1075.7123046875001</v>
      </c>
      <c r="J1897" s="187">
        <v>0</v>
      </c>
      <c r="K1897" s="187">
        <v>0</v>
      </c>
      <c r="L1897" s="187">
        <v>0</v>
      </c>
      <c r="M1897" s="187">
        <v>1075.7122802734375</v>
      </c>
      <c r="N1897" s="187">
        <v>1075.7122802734375</v>
      </c>
      <c r="O1897" t="s">
        <v>2356</v>
      </c>
    </row>
    <row r="1898" spans="1:15" hidden="1" x14ac:dyDescent="0.45">
      <c r="A1898" s="187">
        <v>2017</v>
      </c>
      <c r="B1898" t="s">
        <v>34</v>
      </c>
      <c r="C1898" t="s">
        <v>325</v>
      </c>
      <c r="D1898" t="s">
        <v>35</v>
      </c>
      <c r="E1898" t="s">
        <v>357</v>
      </c>
      <c r="F1898" t="s">
        <v>446</v>
      </c>
      <c r="G1898" t="s">
        <v>37</v>
      </c>
      <c r="H1898" t="s">
        <v>43</v>
      </c>
      <c r="I1898" s="187">
        <v>898.00452000000007</v>
      </c>
      <c r="J1898" s="187">
        <v>0</v>
      </c>
      <c r="K1898" s="187">
        <v>0</v>
      </c>
      <c r="L1898" s="187">
        <v>0</v>
      </c>
      <c r="M1898" s="187">
        <v>898.0045166015625</v>
      </c>
      <c r="N1898" s="187">
        <v>898.0045166015625</v>
      </c>
      <c r="O1898" t="s">
        <v>2357</v>
      </c>
    </row>
    <row r="1899" spans="1:15" hidden="1" x14ac:dyDescent="0.45">
      <c r="A1899" s="187">
        <v>2017</v>
      </c>
      <c r="B1899" t="s">
        <v>34</v>
      </c>
      <c r="C1899" t="s">
        <v>325</v>
      </c>
      <c r="D1899" t="s">
        <v>35</v>
      </c>
      <c r="E1899" t="s">
        <v>357</v>
      </c>
      <c r="F1899" t="s">
        <v>426</v>
      </c>
      <c r="G1899" t="s">
        <v>36</v>
      </c>
      <c r="H1899" t="s">
        <v>43</v>
      </c>
      <c r="I1899" s="187">
        <v>1211.49951171875</v>
      </c>
      <c r="J1899" s="187">
        <v>0</v>
      </c>
      <c r="K1899" s="187">
        <v>0</v>
      </c>
      <c r="L1899" s="187">
        <v>91.039779663085938</v>
      </c>
      <c r="M1899" s="187">
        <v>1302.539306640625</v>
      </c>
      <c r="N1899" s="187">
        <v>1302.539306640625</v>
      </c>
      <c r="O1899" t="s">
        <v>2358</v>
      </c>
    </row>
    <row r="1900" spans="1:15" hidden="1" x14ac:dyDescent="0.45">
      <c r="A1900" s="187">
        <v>2017</v>
      </c>
      <c r="B1900" t="s">
        <v>34</v>
      </c>
      <c r="C1900" t="s">
        <v>325</v>
      </c>
      <c r="D1900" t="s">
        <v>35</v>
      </c>
      <c r="E1900" t="s">
        <v>357</v>
      </c>
      <c r="F1900" t="s">
        <v>426</v>
      </c>
      <c r="G1900" t="s">
        <v>37</v>
      </c>
      <c r="H1900" t="s">
        <v>43</v>
      </c>
      <c r="I1900" s="187">
        <v>1011.3596480000001</v>
      </c>
      <c r="J1900" s="187">
        <v>0</v>
      </c>
      <c r="K1900" s="187">
        <v>0</v>
      </c>
      <c r="L1900" s="187">
        <v>76</v>
      </c>
      <c r="M1900" s="187">
        <v>1087.359619140625</v>
      </c>
      <c r="N1900" s="187">
        <v>1087.359619140625</v>
      </c>
      <c r="O1900" t="s">
        <v>2359</v>
      </c>
    </row>
    <row r="1901" spans="1:15" hidden="1" x14ac:dyDescent="0.45">
      <c r="A1901" s="187">
        <v>2017</v>
      </c>
      <c r="B1901" t="s">
        <v>34</v>
      </c>
      <c r="C1901" t="s">
        <v>325</v>
      </c>
      <c r="D1901" t="s">
        <v>35</v>
      </c>
      <c r="E1901" t="s">
        <v>358</v>
      </c>
      <c r="F1901" t="s">
        <v>427</v>
      </c>
      <c r="G1901" t="s">
        <v>36</v>
      </c>
      <c r="H1901" t="s">
        <v>43</v>
      </c>
      <c r="I1901" s="187">
        <v>0</v>
      </c>
      <c r="J1901" s="187">
        <v>0</v>
      </c>
      <c r="K1901" s="187">
        <v>90.440513610839844</v>
      </c>
      <c r="L1901" s="187"/>
      <c r="M1901" s="187">
        <v>90.440513610839844</v>
      </c>
      <c r="N1901" s="187">
        <v>0</v>
      </c>
      <c r="O1901" t="s">
        <v>2360</v>
      </c>
    </row>
    <row r="1902" spans="1:15" hidden="1" x14ac:dyDescent="0.45">
      <c r="A1902" s="187">
        <v>2017</v>
      </c>
      <c r="B1902" t="s">
        <v>34</v>
      </c>
      <c r="C1902" t="s">
        <v>325</v>
      </c>
      <c r="D1902" t="s">
        <v>35</v>
      </c>
      <c r="E1902" t="s">
        <v>358</v>
      </c>
      <c r="F1902" t="s">
        <v>427</v>
      </c>
      <c r="G1902" t="s">
        <v>37</v>
      </c>
      <c r="H1902" t="s">
        <v>43</v>
      </c>
      <c r="I1902" s="187">
        <v>0</v>
      </c>
      <c r="J1902" s="187">
        <v>0</v>
      </c>
      <c r="K1902" s="187">
        <v>75.499729999999985</v>
      </c>
      <c r="L1902" s="187"/>
      <c r="M1902" s="187">
        <v>75.499732971191406</v>
      </c>
      <c r="N1902" s="187">
        <v>0</v>
      </c>
      <c r="O1902" t="s">
        <v>2361</v>
      </c>
    </row>
    <row r="1903" spans="1:15" hidden="1" x14ac:dyDescent="0.45">
      <c r="A1903" s="187">
        <v>2017</v>
      </c>
      <c r="B1903" t="s">
        <v>34</v>
      </c>
      <c r="C1903" t="s">
        <v>325</v>
      </c>
      <c r="D1903" t="s">
        <v>35</v>
      </c>
      <c r="E1903" t="s">
        <v>358</v>
      </c>
      <c r="F1903" t="s">
        <v>392</v>
      </c>
      <c r="G1903" t="s">
        <v>36</v>
      </c>
      <c r="H1903" t="s">
        <v>43</v>
      </c>
      <c r="I1903" s="187">
        <v>0</v>
      </c>
      <c r="J1903" s="187">
        <v>0</v>
      </c>
      <c r="K1903" s="187">
        <v>0</v>
      </c>
      <c r="L1903" s="187">
        <v>0</v>
      </c>
      <c r="M1903" s="187">
        <v>0</v>
      </c>
      <c r="N1903" s="187">
        <v>0</v>
      </c>
      <c r="O1903" t="s">
        <v>2362</v>
      </c>
    </row>
    <row r="1904" spans="1:15" hidden="1" x14ac:dyDescent="0.45">
      <c r="A1904" s="187">
        <v>2017</v>
      </c>
      <c r="B1904" t="s">
        <v>34</v>
      </c>
      <c r="C1904" t="s">
        <v>325</v>
      </c>
      <c r="D1904" t="s">
        <v>35</v>
      </c>
      <c r="E1904" t="s">
        <v>358</v>
      </c>
      <c r="F1904" t="s">
        <v>392</v>
      </c>
      <c r="G1904" t="s">
        <v>37</v>
      </c>
      <c r="H1904" t="s">
        <v>43</v>
      </c>
      <c r="I1904" s="187">
        <v>0</v>
      </c>
      <c r="J1904" s="187">
        <v>0</v>
      </c>
      <c r="K1904" s="187">
        <v>0</v>
      </c>
      <c r="L1904" s="187">
        <v>0</v>
      </c>
      <c r="M1904" s="187">
        <v>0</v>
      </c>
      <c r="N1904" s="187">
        <v>0</v>
      </c>
      <c r="O1904" t="s">
        <v>2363</v>
      </c>
    </row>
    <row r="1905" spans="1:15" hidden="1" x14ac:dyDescent="0.45">
      <c r="A1905" s="187">
        <v>2017</v>
      </c>
      <c r="B1905" t="s">
        <v>34</v>
      </c>
      <c r="C1905" t="s">
        <v>325</v>
      </c>
      <c r="D1905" t="s">
        <v>35</v>
      </c>
      <c r="E1905" t="s">
        <v>358</v>
      </c>
      <c r="F1905" t="s">
        <v>393</v>
      </c>
      <c r="G1905" t="s">
        <v>36</v>
      </c>
      <c r="H1905" t="s">
        <v>43</v>
      </c>
      <c r="I1905" s="187">
        <v>1882.8626953125001</v>
      </c>
      <c r="J1905" s="187">
        <v>0</v>
      </c>
      <c r="K1905" s="187">
        <v>70.632164001464844</v>
      </c>
      <c r="L1905" s="187">
        <v>0</v>
      </c>
      <c r="M1905" s="187">
        <v>1953.494873046875</v>
      </c>
      <c r="N1905" s="187">
        <v>1882.8626708984375</v>
      </c>
      <c r="O1905" t="s">
        <v>2364</v>
      </c>
    </row>
    <row r="1906" spans="1:15" hidden="1" x14ac:dyDescent="0.45">
      <c r="A1906" s="187">
        <v>2017</v>
      </c>
      <c r="B1906" t="s">
        <v>34</v>
      </c>
      <c r="C1906" t="s">
        <v>325</v>
      </c>
      <c r="D1906" t="s">
        <v>35</v>
      </c>
      <c r="E1906" t="s">
        <v>358</v>
      </c>
      <c r="F1906" t="s">
        <v>393</v>
      </c>
      <c r="G1906" t="s">
        <v>37</v>
      </c>
      <c r="H1906" t="s">
        <v>43</v>
      </c>
      <c r="I1906" s="187">
        <v>1571.813496</v>
      </c>
      <c r="J1906" s="187">
        <v>0</v>
      </c>
      <c r="K1906" s="187">
        <v>58.963720000000002</v>
      </c>
      <c r="L1906" s="187">
        <v>0</v>
      </c>
      <c r="M1906" s="187">
        <v>1630.7772216796875</v>
      </c>
      <c r="N1906" s="187">
        <v>1571.8134765625</v>
      </c>
      <c r="O1906" t="s">
        <v>2365</v>
      </c>
    </row>
    <row r="1907" spans="1:15" hidden="1" x14ac:dyDescent="0.45">
      <c r="A1907" s="187">
        <v>2017</v>
      </c>
      <c r="B1907" t="s">
        <v>34</v>
      </c>
      <c r="C1907" t="s">
        <v>325</v>
      </c>
      <c r="D1907" t="s">
        <v>35</v>
      </c>
      <c r="E1907" t="s">
        <v>358</v>
      </c>
      <c r="F1907" t="s">
        <v>394</v>
      </c>
      <c r="G1907" t="s">
        <v>36</v>
      </c>
      <c r="H1907" t="s">
        <v>43</v>
      </c>
      <c r="I1907" s="187">
        <v>0</v>
      </c>
      <c r="J1907" s="187">
        <v>0</v>
      </c>
      <c r="K1907" s="187">
        <v>0</v>
      </c>
      <c r="L1907" s="187">
        <v>0</v>
      </c>
      <c r="M1907" s="187">
        <v>0</v>
      </c>
      <c r="N1907" s="187">
        <v>0</v>
      </c>
      <c r="O1907" t="s">
        <v>2366</v>
      </c>
    </row>
    <row r="1908" spans="1:15" hidden="1" x14ac:dyDescent="0.45">
      <c r="A1908" s="187">
        <v>2017</v>
      </c>
      <c r="B1908" t="s">
        <v>34</v>
      </c>
      <c r="C1908" t="s">
        <v>325</v>
      </c>
      <c r="D1908" t="s">
        <v>35</v>
      </c>
      <c r="E1908" t="s">
        <v>358</v>
      </c>
      <c r="F1908" t="s">
        <v>394</v>
      </c>
      <c r="G1908" t="s">
        <v>37</v>
      </c>
      <c r="H1908" t="s">
        <v>43</v>
      </c>
      <c r="I1908" s="187">
        <v>0</v>
      </c>
      <c r="J1908" s="187">
        <v>0</v>
      </c>
      <c r="K1908" s="187">
        <v>0</v>
      </c>
      <c r="L1908" s="187">
        <v>0</v>
      </c>
      <c r="M1908" s="187">
        <v>0</v>
      </c>
      <c r="N1908" s="187">
        <v>0</v>
      </c>
      <c r="O1908" t="s">
        <v>2367</v>
      </c>
    </row>
    <row r="1909" spans="1:15" hidden="1" x14ac:dyDescent="0.45">
      <c r="A1909" s="187">
        <v>2017</v>
      </c>
      <c r="B1909" t="s">
        <v>34</v>
      </c>
      <c r="C1909" t="s">
        <v>325</v>
      </c>
      <c r="D1909" t="s">
        <v>35</v>
      </c>
      <c r="E1909" t="s">
        <v>358</v>
      </c>
      <c r="F1909" t="s">
        <v>395</v>
      </c>
      <c r="G1909" t="s">
        <v>36</v>
      </c>
      <c r="H1909" t="s">
        <v>43</v>
      </c>
      <c r="I1909" s="187">
        <v>0</v>
      </c>
      <c r="J1909" s="187">
        <v>0</v>
      </c>
      <c r="K1909" s="187">
        <v>0</v>
      </c>
      <c r="L1909" s="187">
        <v>0</v>
      </c>
      <c r="M1909" s="187">
        <v>0</v>
      </c>
      <c r="N1909" s="187">
        <v>0</v>
      </c>
      <c r="O1909" t="s">
        <v>2368</v>
      </c>
    </row>
    <row r="1910" spans="1:15" hidden="1" x14ac:dyDescent="0.45">
      <c r="A1910" s="187">
        <v>2017</v>
      </c>
      <c r="B1910" t="s">
        <v>34</v>
      </c>
      <c r="C1910" t="s">
        <v>325</v>
      </c>
      <c r="D1910" t="s">
        <v>35</v>
      </c>
      <c r="E1910" t="s">
        <v>358</v>
      </c>
      <c r="F1910" t="s">
        <v>395</v>
      </c>
      <c r="G1910" t="s">
        <v>37</v>
      </c>
      <c r="H1910" t="s">
        <v>43</v>
      </c>
      <c r="I1910" s="187">
        <v>0</v>
      </c>
      <c r="J1910" s="187">
        <v>0</v>
      </c>
      <c r="K1910" s="187">
        <v>0</v>
      </c>
      <c r="L1910" s="187">
        <v>0</v>
      </c>
      <c r="M1910" s="187">
        <v>0</v>
      </c>
      <c r="N1910" s="187">
        <v>0</v>
      </c>
      <c r="O1910" t="s">
        <v>2369</v>
      </c>
    </row>
    <row r="1911" spans="1:15" hidden="1" x14ac:dyDescent="0.45">
      <c r="A1911" s="187">
        <v>2017</v>
      </c>
      <c r="B1911" t="s">
        <v>34</v>
      </c>
      <c r="C1911" t="s">
        <v>325</v>
      </c>
      <c r="D1911" t="s">
        <v>35</v>
      </c>
      <c r="E1911" t="s">
        <v>358</v>
      </c>
      <c r="F1911" t="s">
        <v>396</v>
      </c>
      <c r="G1911" t="s">
        <v>36</v>
      </c>
      <c r="H1911" t="s">
        <v>43</v>
      </c>
      <c r="I1911" s="187">
        <v>0</v>
      </c>
      <c r="J1911" s="187">
        <v>0</v>
      </c>
      <c r="K1911" s="187">
        <v>0</v>
      </c>
      <c r="L1911" s="187">
        <v>143.74702453613281</v>
      </c>
      <c r="M1911" s="187">
        <v>143.74702453613281</v>
      </c>
      <c r="N1911" s="187">
        <v>143.74702453613281</v>
      </c>
      <c r="O1911" t="s">
        <v>2370</v>
      </c>
    </row>
    <row r="1912" spans="1:15" hidden="1" x14ac:dyDescent="0.45">
      <c r="A1912" s="187">
        <v>2017</v>
      </c>
      <c r="B1912" t="s">
        <v>34</v>
      </c>
      <c r="C1912" t="s">
        <v>325</v>
      </c>
      <c r="D1912" t="s">
        <v>35</v>
      </c>
      <c r="E1912" t="s">
        <v>358</v>
      </c>
      <c r="F1912" t="s">
        <v>396</v>
      </c>
      <c r="G1912" t="s">
        <v>37</v>
      </c>
      <c r="H1912" t="s">
        <v>43</v>
      </c>
      <c r="I1912" s="187">
        <v>0</v>
      </c>
      <c r="J1912" s="187">
        <v>0</v>
      </c>
      <c r="K1912" s="187">
        <v>0</v>
      </c>
      <c r="L1912" s="187">
        <v>120</v>
      </c>
      <c r="M1912" s="187">
        <v>120</v>
      </c>
      <c r="N1912" s="187">
        <v>120</v>
      </c>
      <c r="O1912" t="s">
        <v>2371</v>
      </c>
    </row>
    <row r="1913" spans="1:15" hidden="1" x14ac:dyDescent="0.45">
      <c r="A1913" s="187">
        <v>2017</v>
      </c>
      <c r="B1913" t="s">
        <v>34</v>
      </c>
      <c r="C1913" t="s">
        <v>325</v>
      </c>
      <c r="D1913" t="s">
        <v>35</v>
      </c>
      <c r="E1913" t="s">
        <v>358</v>
      </c>
      <c r="F1913" t="s">
        <v>415</v>
      </c>
      <c r="G1913" t="s">
        <v>36</v>
      </c>
      <c r="H1913" t="s">
        <v>43</v>
      </c>
      <c r="I1913" s="187">
        <v>1882.8626953125001</v>
      </c>
      <c r="J1913" s="187">
        <v>0</v>
      </c>
      <c r="K1913" s="187">
        <v>70.632164001464844</v>
      </c>
      <c r="L1913" s="187">
        <v>143.74702453613281</v>
      </c>
      <c r="M1913" s="187">
        <v>2097.241943359375</v>
      </c>
      <c r="N1913" s="187">
        <v>2026.6097412109375</v>
      </c>
      <c r="O1913" t="s">
        <v>2372</v>
      </c>
    </row>
    <row r="1914" spans="1:15" hidden="1" x14ac:dyDescent="0.45">
      <c r="A1914" s="187">
        <v>2017</v>
      </c>
      <c r="B1914" t="s">
        <v>34</v>
      </c>
      <c r="C1914" t="s">
        <v>325</v>
      </c>
      <c r="D1914" t="s">
        <v>35</v>
      </c>
      <c r="E1914" t="s">
        <v>358</v>
      </c>
      <c r="F1914" t="s">
        <v>415</v>
      </c>
      <c r="G1914" t="s">
        <v>37</v>
      </c>
      <c r="H1914" t="s">
        <v>43</v>
      </c>
      <c r="I1914" s="187">
        <v>1571.813496</v>
      </c>
      <c r="J1914" s="187">
        <v>0</v>
      </c>
      <c r="K1914" s="187">
        <v>58.963720000000002</v>
      </c>
      <c r="L1914" s="187">
        <v>120</v>
      </c>
      <c r="M1914" s="187">
        <v>1750.7772216796875</v>
      </c>
      <c r="N1914" s="187">
        <v>1691.8134765625</v>
      </c>
      <c r="O1914" t="s">
        <v>2373</v>
      </c>
    </row>
    <row r="1915" spans="1:15" hidden="1" x14ac:dyDescent="0.45">
      <c r="A1915" s="187">
        <v>2017</v>
      </c>
      <c r="B1915" t="s">
        <v>34</v>
      </c>
      <c r="C1915" t="s">
        <v>325</v>
      </c>
      <c r="D1915" t="s">
        <v>35</v>
      </c>
      <c r="E1915" t="s">
        <v>358</v>
      </c>
      <c r="F1915" t="s">
        <v>416</v>
      </c>
      <c r="G1915" t="s">
        <v>36</v>
      </c>
      <c r="H1915" t="s">
        <v>43</v>
      </c>
      <c r="I1915" s="187">
        <v>0</v>
      </c>
      <c r="J1915" s="187">
        <v>0</v>
      </c>
      <c r="K1915" s="187">
        <v>0</v>
      </c>
      <c r="L1915" s="187">
        <v>0</v>
      </c>
      <c r="M1915" s="187">
        <v>0</v>
      </c>
      <c r="N1915" s="187">
        <v>0</v>
      </c>
      <c r="O1915" t="s">
        <v>2374</v>
      </c>
    </row>
    <row r="1916" spans="1:15" hidden="1" x14ac:dyDescent="0.45">
      <c r="A1916" s="187">
        <v>2017</v>
      </c>
      <c r="B1916" t="s">
        <v>34</v>
      </c>
      <c r="C1916" t="s">
        <v>325</v>
      </c>
      <c r="D1916" t="s">
        <v>35</v>
      </c>
      <c r="E1916" t="s">
        <v>358</v>
      </c>
      <c r="F1916" t="s">
        <v>416</v>
      </c>
      <c r="G1916" t="s">
        <v>37</v>
      </c>
      <c r="H1916" t="s">
        <v>43</v>
      </c>
      <c r="I1916" s="187">
        <v>0</v>
      </c>
      <c r="J1916" s="187">
        <v>0</v>
      </c>
      <c r="K1916" s="187">
        <v>0</v>
      </c>
      <c r="L1916" s="187">
        <v>0</v>
      </c>
      <c r="M1916" s="187">
        <v>0</v>
      </c>
      <c r="N1916" s="187">
        <v>0</v>
      </c>
      <c r="O1916" t="s">
        <v>2375</v>
      </c>
    </row>
    <row r="1917" spans="1:15" hidden="1" x14ac:dyDescent="0.45">
      <c r="A1917" s="187">
        <v>2017</v>
      </c>
      <c r="B1917" t="s">
        <v>34</v>
      </c>
      <c r="C1917" t="s">
        <v>325</v>
      </c>
      <c r="D1917" t="s">
        <v>35</v>
      </c>
      <c r="E1917" t="s">
        <v>358</v>
      </c>
      <c r="F1917" t="s">
        <v>417</v>
      </c>
      <c r="G1917" t="s">
        <v>36</v>
      </c>
      <c r="H1917" t="s">
        <v>43</v>
      </c>
      <c r="I1917" s="187">
        <v>73.863903808593747</v>
      </c>
      <c r="J1917" s="187">
        <v>58.696701049804688</v>
      </c>
      <c r="K1917" s="187">
        <v>0</v>
      </c>
      <c r="L1917" s="187">
        <v>0</v>
      </c>
      <c r="M1917" s="187">
        <v>132.56060791015625</v>
      </c>
      <c r="N1917" s="187">
        <v>73.863906860351563</v>
      </c>
      <c r="O1917" t="s">
        <v>2376</v>
      </c>
    </row>
    <row r="1918" spans="1:15" hidden="1" x14ac:dyDescent="0.45">
      <c r="A1918" s="187">
        <v>2017</v>
      </c>
      <c r="B1918" t="s">
        <v>34</v>
      </c>
      <c r="C1918" t="s">
        <v>325</v>
      </c>
      <c r="D1918" t="s">
        <v>35</v>
      </c>
      <c r="E1918" t="s">
        <v>358</v>
      </c>
      <c r="F1918" t="s">
        <v>417</v>
      </c>
      <c r="G1918" t="s">
        <v>37</v>
      </c>
      <c r="H1918" t="s">
        <v>43</v>
      </c>
      <c r="I1918" s="187">
        <v>61.661576000000004</v>
      </c>
      <c r="J1918" s="187">
        <v>49</v>
      </c>
      <c r="K1918" s="187">
        <v>0</v>
      </c>
      <c r="L1918" s="187">
        <v>0</v>
      </c>
      <c r="M1918" s="187">
        <v>110.66157531738281</v>
      </c>
      <c r="N1918" s="187">
        <v>61.661575317382813</v>
      </c>
      <c r="O1918" t="s">
        <v>2377</v>
      </c>
    </row>
    <row r="1919" spans="1:15" hidden="1" x14ac:dyDescent="0.45">
      <c r="A1919" s="187">
        <v>2017</v>
      </c>
      <c r="B1919" t="s">
        <v>34</v>
      </c>
      <c r="C1919" t="s">
        <v>325</v>
      </c>
      <c r="D1919" t="s">
        <v>35</v>
      </c>
      <c r="E1919" t="s">
        <v>358</v>
      </c>
      <c r="F1919" t="s">
        <v>418</v>
      </c>
      <c r="G1919" t="s">
        <v>36</v>
      </c>
      <c r="H1919" t="s">
        <v>43</v>
      </c>
      <c r="I1919" s="187">
        <v>0</v>
      </c>
      <c r="J1919" s="187">
        <v>1.1978918313980103</v>
      </c>
      <c r="K1919" s="187">
        <v>0</v>
      </c>
      <c r="L1919" s="187">
        <v>0</v>
      </c>
      <c r="M1919" s="187">
        <v>1.1978918313980103</v>
      </c>
      <c r="N1919" s="187">
        <v>0</v>
      </c>
      <c r="O1919" t="s">
        <v>2378</v>
      </c>
    </row>
    <row r="1920" spans="1:15" hidden="1" x14ac:dyDescent="0.45">
      <c r="A1920" s="187">
        <v>2017</v>
      </c>
      <c r="B1920" t="s">
        <v>34</v>
      </c>
      <c r="C1920" t="s">
        <v>325</v>
      </c>
      <c r="D1920" t="s">
        <v>35</v>
      </c>
      <c r="E1920" t="s">
        <v>358</v>
      </c>
      <c r="F1920" t="s">
        <v>418</v>
      </c>
      <c r="G1920" t="s">
        <v>37</v>
      </c>
      <c r="H1920" t="s">
        <v>43</v>
      </c>
      <c r="I1920" s="187">
        <v>0</v>
      </c>
      <c r="J1920" s="187">
        <v>1</v>
      </c>
      <c r="K1920" s="187">
        <v>0</v>
      </c>
      <c r="L1920" s="187">
        <v>0</v>
      </c>
      <c r="M1920" s="187">
        <v>1</v>
      </c>
      <c r="N1920" s="187">
        <v>0</v>
      </c>
      <c r="O1920" t="s">
        <v>2379</v>
      </c>
    </row>
    <row r="1921" spans="1:15" hidden="1" x14ac:dyDescent="0.45">
      <c r="A1921" s="187">
        <v>2017</v>
      </c>
      <c r="B1921" t="s">
        <v>34</v>
      </c>
      <c r="C1921" t="s">
        <v>325</v>
      </c>
      <c r="D1921" t="s">
        <v>35</v>
      </c>
      <c r="E1921" t="s">
        <v>358</v>
      </c>
      <c r="F1921" t="s">
        <v>419</v>
      </c>
      <c r="G1921" t="s">
        <v>36</v>
      </c>
      <c r="H1921" t="s">
        <v>43</v>
      </c>
      <c r="I1921" s="187">
        <v>0</v>
      </c>
      <c r="J1921" s="187">
        <v>0</v>
      </c>
      <c r="K1921" s="187">
        <v>0</v>
      </c>
      <c r="L1921" s="187">
        <v>0</v>
      </c>
      <c r="M1921" s="187">
        <v>0</v>
      </c>
      <c r="N1921" s="187">
        <v>0</v>
      </c>
      <c r="O1921" t="s">
        <v>2380</v>
      </c>
    </row>
    <row r="1922" spans="1:15" hidden="1" x14ac:dyDescent="0.45">
      <c r="A1922" s="187">
        <v>2017</v>
      </c>
      <c r="B1922" t="s">
        <v>34</v>
      </c>
      <c r="C1922" t="s">
        <v>325</v>
      </c>
      <c r="D1922" t="s">
        <v>35</v>
      </c>
      <c r="E1922" t="s">
        <v>358</v>
      </c>
      <c r="F1922" t="s">
        <v>419</v>
      </c>
      <c r="G1922" t="s">
        <v>37</v>
      </c>
      <c r="H1922" t="s">
        <v>43</v>
      </c>
      <c r="I1922" s="187">
        <v>0</v>
      </c>
      <c r="J1922" s="187">
        <v>0</v>
      </c>
      <c r="K1922" s="187">
        <v>0</v>
      </c>
      <c r="L1922" s="187">
        <v>0</v>
      </c>
      <c r="M1922" s="187">
        <v>0</v>
      </c>
      <c r="N1922" s="187">
        <v>0</v>
      </c>
      <c r="O1922" t="s">
        <v>2381</v>
      </c>
    </row>
    <row r="1923" spans="1:15" hidden="1" x14ac:dyDescent="0.45">
      <c r="A1923" s="187">
        <v>2017</v>
      </c>
      <c r="B1923" t="s">
        <v>34</v>
      </c>
      <c r="C1923" t="s">
        <v>325</v>
      </c>
      <c r="D1923" t="s">
        <v>35</v>
      </c>
      <c r="E1923" t="s">
        <v>358</v>
      </c>
      <c r="F1923" t="s">
        <v>420</v>
      </c>
      <c r="G1923" t="s">
        <v>36</v>
      </c>
      <c r="H1923" t="s">
        <v>43</v>
      </c>
      <c r="I1923" s="187">
        <v>73.863903808593747</v>
      </c>
      <c r="J1923" s="187">
        <v>59.89459228515625</v>
      </c>
      <c r="K1923" s="187">
        <v>0</v>
      </c>
      <c r="L1923" s="187">
        <v>0</v>
      </c>
      <c r="M1923" s="187">
        <v>133.75849914550781</v>
      </c>
      <c r="N1923" s="187">
        <v>73.863906860351563</v>
      </c>
      <c r="O1923" t="s">
        <v>2382</v>
      </c>
    </row>
    <row r="1924" spans="1:15" hidden="1" x14ac:dyDescent="0.45">
      <c r="A1924" s="187">
        <v>2017</v>
      </c>
      <c r="B1924" t="s">
        <v>34</v>
      </c>
      <c r="C1924" t="s">
        <v>325</v>
      </c>
      <c r="D1924" t="s">
        <v>35</v>
      </c>
      <c r="E1924" t="s">
        <v>358</v>
      </c>
      <c r="F1924" t="s">
        <v>420</v>
      </c>
      <c r="G1924" t="s">
        <v>37</v>
      </c>
      <c r="H1924" t="s">
        <v>43</v>
      </c>
      <c r="I1924" s="187">
        <v>61.661576000000004</v>
      </c>
      <c r="J1924" s="187">
        <v>50</v>
      </c>
      <c r="K1924" s="187">
        <v>0</v>
      </c>
      <c r="L1924" s="187">
        <v>0</v>
      </c>
      <c r="M1924" s="187">
        <v>111.66157531738281</v>
      </c>
      <c r="N1924" s="187">
        <v>61.661575317382813</v>
      </c>
      <c r="O1924" t="s">
        <v>2383</v>
      </c>
    </row>
    <row r="1925" spans="1:15" hidden="1" x14ac:dyDescent="0.45">
      <c r="A1925" s="187">
        <v>2017</v>
      </c>
      <c r="B1925" t="s">
        <v>34</v>
      </c>
      <c r="C1925" t="s">
        <v>325</v>
      </c>
      <c r="D1925" t="s">
        <v>35</v>
      </c>
      <c r="E1925" t="s">
        <v>358</v>
      </c>
      <c r="F1925" t="s">
        <v>402</v>
      </c>
      <c r="G1925" t="s">
        <v>36</v>
      </c>
      <c r="H1925" t="s">
        <v>43</v>
      </c>
      <c r="I1925" s="187">
        <v>0</v>
      </c>
      <c r="J1925" s="187">
        <v>0</v>
      </c>
      <c r="K1925" s="187">
        <v>0</v>
      </c>
      <c r="L1925" s="187">
        <v>0</v>
      </c>
      <c r="M1925" s="187">
        <v>0</v>
      </c>
      <c r="N1925" s="187">
        <v>0</v>
      </c>
      <c r="O1925" t="s">
        <v>2384</v>
      </c>
    </row>
    <row r="1926" spans="1:15" hidden="1" x14ac:dyDescent="0.45">
      <c r="A1926" s="187">
        <v>2017</v>
      </c>
      <c r="B1926" t="s">
        <v>34</v>
      </c>
      <c r="C1926" t="s">
        <v>325</v>
      </c>
      <c r="D1926" t="s">
        <v>35</v>
      </c>
      <c r="E1926" t="s">
        <v>358</v>
      </c>
      <c r="F1926" t="s">
        <v>402</v>
      </c>
      <c r="G1926" t="s">
        <v>37</v>
      </c>
      <c r="H1926" t="s">
        <v>43</v>
      </c>
      <c r="I1926" s="187">
        <v>0</v>
      </c>
      <c r="J1926" s="187">
        <v>0</v>
      </c>
      <c r="K1926" s="187">
        <v>0</v>
      </c>
      <c r="L1926" s="187">
        <v>0</v>
      </c>
      <c r="M1926" s="187">
        <v>0</v>
      </c>
      <c r="N1926" s="187">
        <v>0</v>
      </c>
      <c r="O1926" t="s">
        <v>2385</v>
      </c>
    </row>
    <row r="1927" spans="1:15" hidden="1" x14ac:dyDescent="0.45">
      <c r="A1927" s="187">
        <v>2017</v>
      </c>
      <c r="B1927" t="s">
        <v>34</v>
      </c>
      <c r="C1927" t="s">
        <v>325</v>
      </c>
      <c r="D1927" t="s">
        <v>35</v>
      </c>
      <c r="E1927" t="s">
        <v>358</v>
      </c>
      <c r="F1927" t="s">
        <v>403</v>
      </c>
      <c r="G1927" t="s">
        <v>36</v>
      </c>
      <c r="H1927" t="s">
        <v>43</v>
      </c>
      <c r="I1927" s="187">
        <v>609.72500000000002</v>
      </c>
      <c r="J1927" s="187">
        <v>56.695026397705078</v>
      </c>
      <c r="K1927" s="187">
        <v>1353.3841552734375</v>
      </c>
      <c r="L1927" s="187">
        <v>585.76910400390625</v>
      </c>
      <c r="M1927" s="187">
        <v>2605.5732421875</v>
      </c>
      <c r="N1927" s="187">
        <v>1195.494140625</v>
      </c>
      <c r="O1927" t="s">
        <v>2386</v>
      </c>
    </row>
    <row r="1928" spans="1:15" hidden="1" x14ac:dyDescent="0.45">
      <c r="A1928" s="187">
        <v>2017</v>
      </c>
      <c r="B1928" t="s">
        <v>34</v>
      </c>
      <c r="C1928" t="s">
        <v>325</v>
      </c>
      <c r="D1928" t="s">
        <v>35</v>
      </c>
      <c r="E1928" t="s">
        <v>358</v>
      </c>
      <c r="F1928" t="s">
        <v>403</v>
      </c>
      <c r="G1928" t="s">
        <v>37</v>
      </c>
      <c r="H1928" t="s">
        <v>43</v>
      </c>
      <c r="I1928" s="187">
        <v>508.99835200000007</v>
      </c>
      <c r="J1928" s="187">
        <v>47.329000000000008</v>
      </c>
      <c r="K1928" s="187">
        <v>1129.80494</v>
      </c>
      <c r="L1928" s="187">
        <v>489</v>
      </c>
      <c r="M1928" s="187">
        <v>2175.13232421875</v>
      </c>
      <c r="N1928" s="187">
        <v>997.99835205078125</v>
      </c>
      <c r="O1928" t="s">
        <v>2387</v>
      </c>
    </row>
    <row r="1929" spans="1:15" hidden="1" x14ac:dyDescent="0.45">
      <c r="A1929" s="187">
        <v>2017</v>
      </c>
      <c r="B1929" t="s">
        <v>34</v>
      </c>
      <c r="C1929" t="s">
        <v>325</v>
      </c>
      <c r="D1929" t="s">
        <v>35</v>
      </c>
      <c r="E1929" t="s">
        <v>358</v>
      </c>
      <c r="F1929" t="s">
        <v>405</v>
      </c>
      <c r="G1929" t="s">
        <v>36</v>
      </c>
      <c r="H1929" t="s">
        <v>43</v>
      </c>
      <c r="I1929" s="187">
        <v>1.0176331520080566</v>
      </c>
      <c r="J1929" s="187">
        <v>0</v>
      </c>
      <c r="K1929" s="187">
        <v>0</v>
      </c>
      <c r="L1929" s="187">
        <v>0</v>
      </c>
      <c r="M1929" s="187">
        <v>1.0176331996917725</v>
      </c>
      <c r="N1929" s="187">
        <v>1.0176331996917725</v>
      </c>
      <c r="O1929" t="s">
        <v>2388</v>
      </c>
    </row>
    <row r="1930" spans="1:15" hidden="1" x14ac:dyDescent="0.45">
      <c r="A1930" s="187">
        <v>2017</v>
      </c>
      <c r="B1930" t="s">
        <v>34</v>
      </c>
      <c r="C1930" t="s">
        <v>325</v>
      </c>
      <c r="D1930" t="s">
        <v>35</v>
      </c>
      <c r="E1930" t="s">
        <v>358</v>
      </c>
      <c r="F1930" t="s">
        <v>405</v>
      </c>
      <c r="G1930" t="s">
        <v>37</v>
      </c>
      <c r="H1930" t="s">
        <v>43</v>
      </c>
      <c r="I1930" s="187">
        <v>0.84952000000000083</v>
      </c>
      <c r="J1930" s="187">
        <v>0</v>
      </c>
      <c r="K1930" s="187">
        <v>0</v>
      </c>
      <c r="L1930" s="187">
        <v>0</v>
      </c>
      <c r="M1930" s="187">
        <v>0.84952002763748169</v>
      </c>
      <c r="N1930" s="187">
        <v>0.84952002763748169</v>
      </c>
      <c r="O1930" t="s">
        <v>2389</v>
      </c>
    </row>
    <row r="1931" spans="1:15" hidden="1" x14ac:dyDescent="0.45">
      <c r="A1931" s="187">
        <v>2017</v>
      </c>
      <c r="B1931" t="s">
        <v>34</v>
      </c>
      <c r="C1931" t="s">
        <v>325</v>
      </c>
      <c r="D1931" t="s">
        <v>35</v>
      </c>
      <c r="E1931" t="s">
        <v>358</v>
      </c>
      <c r="F1931" t="s">
        <v>406</v>
      </c>
      <c r="G1931" t="s">
        <v>36</v>
      </c>
      <c r="H1931" t="s">
        <v>43</v>
      </c>
      <c r="I1931" s="187">
        <v>0</v>
      </c>
      <c r="J1931" s="187">
        <v>0</v>
      </c>
      <c r="K1931" s="187">
        <v>0</v>
      </c>
      <c r="L1931" s="187">
        <v>0</v>
      </c>
      <c r="M1931" s="187">
        <v>0</v>
      </c>
      <c r="N1931" s="187">
        <v>0</v>
      </c>
      <c r="O1931" t="s">
        <v>2390</v>
      </c>
    </row>
    <row r="1932" spans="1:15" hidden="1" x14ac:dyDescent="0.45">
      <c r="A1932" s="187">
        <v>2017</v>
      </c>
      <c r="B1932" t="s">
        <v>34</v>
      </c>
      <c r="C1932" t="s">
        <v>325</v>
      </c>
      <c r="D1932" t="s">
        <v>35</v>
      </c>
      <c r="E1932" t="s">
        <v>358</v>
      </c>
      <c r="F1932" t="s">
        <v>406</v>
      </c>
      <c r="G1932" t="s">
        <v>37</v>
      </c>
      <c r="H1932" t="s">
        <v>43</v>
      </c>
      <c r="I1932" s="187">
        <v>0</v>
      </c>
      <c r="J1932" s="187">
        <v>0</v>
      </c>
      <c r="K1932" s="187">
        <v>0</v>
      </c>
      <c r="L1932" s="187">
        <v>0</v>
      </c>
      <c r="M1932" s="187">
        <v>0</v>
      </c>
      <c r="N1932" s="187">
        <v>0</v>
      </c>
      <c r="O1932" t="s">
        <v>2391</v>
      </c>
    </row>
    <row r="1933" spans="1:15" hidden="1" x14ac:dyDescent="0.45">
      <c r="A1933" s="187">
        <v>2017</v>
      </c>
      <c r="B1933" t="s">
        <v>34</v>
      </c>
      <c r="C1933" t="s">
        <v>325</v>
      </c>
      <c r="D1933" t="s">
        <v>35</v>
      </c>
      <c r="E1933" t="s">
        <v>358</v>
      </c>
      <c r="F1933" t="s">
        <v>421</v>
      </c>
      <c r="G1933" t="s">
        <v>36</v>
      </c>
      <c r="H1933" t="s">
        <v>43</v>
      </c>
      <c r="I1933" s="187">
        <v>0</v>
      </c>
      <c r="J1933" s="187">
        <v>0</v>
      </c>
      <c r="K1933" s="187">
        <v>0</v>
      </c>
      <c r="L1933" s="187">
        <v>0</v>
      </c>
      <c r="M1933" s="187">
        <v>0</v>
      </c>
      <c r="N1933" s="187">
        <v>0</v>
      </c>
      <c r="O1933" t="s">
        <v>2392</v>
      </c>
    </row>
    <row r="1934" spans="1:15" hidden="1" x14ac:dyDescent="0.45">
      <c r="A1934" s="187">
        <v>2017</v>
      </c>
      <c r="B1934" t="s">
        <v>34</v>
      </c>
      <c r="C1934" t="s">
        <v>325</v>
      </c>
      <c r="D1934" t="s">
        <v>35</v>
      </c>
      <c r="E1934" t="s">
        <v>358</v>
      </c>
      <c r="F1934" t="s">
        <v>421</v>
      </c>
      <c r="G1934" t="s">
        <v>37</v>
      </c>
      <c r="H1934" t="s">
        <v>43</v>
      </c>
      <c r="I1934" s="187">
        <v>0</v>
      </c>
      <c r="J1934" s="187">
        <v>0</v>
      </c>
      <c r="K1934" s="187">
        <v>0</v>
      </c>
      <c r="L1934" s="187">
        <v>0</v>
      </c>
      <c r="M1934" s="187">
        <v>0</v>
      </c>
      <c r="N1934" s="187">
        <v>0</v>
      </c>
      <c r="O1934" t="s">
        <v>2393</v>
      </c>
    </row>
    <row r="1935" spans="1:15" hidden="1" x14ac:dyDescent="0.45">
      <c r="A1935" s="187">
        <v>2017</v>
      </c>
      <c r="B1935" t="s">
        <v>34</v>
      </c>
      <c r="C1935" t="s">
        <v>325</v>
      </c>
      <c r="D1935" t="s">
        <v>35</v>
      </c>
      <c r="E1935" t="s">
        <v>358</v>
      </c>
      <c r="F1935" t="s">
        <v>422</v>
      </c>
      <c r="G1935" t="s">
        <v>36</v>
      </c>
      <c r="H1935" t="s">
        <v>43</v>
      </c>
      <c r="I1935" s="187">
        <v>610.74262695312507</v>
      </c>
      <c r="J1935" s="187">
        <v>56.695026397705078</v>
      </c>
      <c r="K1935" s="187">
        <v>1353.3841552734375</v>
      </c>
      <c r="L1935" s="187">
        <v>585.76910400390625</v>
      </c>
      <c r="M1935" s="187">
        <v>2606.5908203125</v>
      </c>
      <c r="N1935" s="187">
        <v>1196.51171875</v>
      </c>
      <c r="O1935" t="s">
        <v>2394</v>
      </c>
    </row>
    <row r="1936" spans="1:15" hidden="1" x14ac:dyDescent="0.45">
      <c r="A1936" s="187">
        <v>2017</v>
      </c>
      <c r="B1936" t="s">
        <v>34</v>
      </c>
      <c r="C1936" t="s">
        <v>325</v>
      </c>
      <c r="D1936" t="s">
        <v>35</v>
      </c>
      <c r="E1936" t="s">
        <v>358</v>
      </c>
      <c r="F1936" t="s">
        <v>422</v>
      </c>
      <c r="G1936" t="s">
        <v>37</v>
      </c>
      <c r="H1936" t="s">
        <v>43</v>
      </c>
      <c r="I1936" s="187">
        <v>509.84787200000011</v>
      </c>
      <c r="J1936" s="187">
        <v>47.329000000000008</v>
      </c>
      <c r="K1936" s="187">
        <v>1129.80494</v>
      </c>
      <c r="L1936" s="187">
        <v>489</v>
      </c>
      <c r="M1936" s="187">
        <v>2175.98193359375</v>
      </c>
      <c r="N1936" s="187">
        <v>998.847900390625</v>
      </c>
      <c r="O1936" t="s">
        <v>2395</v>
      </c>
    </row>
    <row r="1937" spans="1:15" hidden="1" x14ac:dyDescent="0.45">
      <c r="A1937" s="187">
        <v>2017</v>
      </c>
      <c r="B1937" t="s">
        <v>34</v>
      </c>
      <c r="C1937" t="s">
        <v>325</v>
      </c>
      <c r="D1937" t="s">
        <v>35</v>
      </c>
      <c r="E1937" t="s">
        <v>358</v>
      </c>
      <c r="F1937" t="s">
        <v>423</v>
      </c>
      <c r="G1937" t="s">
        <v>36</v>
      </c>
      <c r="H1937" t="s">
        <v>43</v>
      </c>
      <c r="I1937" s="187">
        <v>0</v>
      </c>
      <c r="J1937" s="187">
        <v>0</v>
      </c>
      <c r="K1937" s="187">
        <v>0</v>
      </c>
      <c r="L1937" s="187">
        <v>0</v>
      </c>
      <c r="M1937" s="187">
        <v>0</v>
      </c>
      <c r="N1937" s="187">
        <v>0</v>
      </c>
      <c r="O1937" t="s">
        <v>2396</v>
      </c>
    </row>
    <row r="1938" spans="1:15" hidden="1" x14ac:dyDescent="0.45">
      <c r="A1938" s="187">
        <v>2017</v>
      </c>
      <c r="B1938" t="s">
        <v>34</v>
      </c>
      <c r="C1938" t="s">
        <v>325</v>
      </c>
      <c r="D1938" t="s">
        <v>35</v>
      </c>
      <c r="E1938" t="s">
        <v>358</v>
      </c>
      <c r="F1938" t="s">
        <v>423</v>
      </c>
      <c r="G1938" t="s">
        <v>37</v>
      </c>
      <c r="H1938" t="s">
        <v>43</v>
      </c>
      <c r="I1938" s="187">
        <v>0</v>
      </c>
      <c r="J1938" s="187">
        <v>0</v>
      </c>
      <c r="K1938" s="187">
        <v>0</v>
      </c>
      <c r="L1938" s="187">
        <v>0</v>
      </c>
      <c r="M1938" s="187">
        <v>0</v>
      </c>
      <c r="N1938" s="187">
        <v>0</v>
      </c>
      <c r="O1938" t="s">
        <v>2397</v>
      </c>
    </row>
    <row r="1939" spans="1:15" hidden="1" x14ac:dyDescent="0.45">
      <c r="A1939" s="187">
        <v>2017</v>
      </c>
      <c r="B1939" t="s">
        <v>34</v>
      </c>
      <c r="C1939" t="s">
        <v>325</v>
      </c>
      <c r="D1939" t="s">
        <v>35</v>
      </c>
      <c r="E1939" t="s">
        <v>358</v>
      </c>
      <c r="F1939" t="s">
        <v>424</v>
      </c>
      <c r="G1939" t="s">
        <v>36</v>
      </c>
      <c r="H1939" t="s">
        <v>43</v>
      </c>
      <c r="I1939" s="187">
        <v>95.300360107421881</v>
      </c>
      <c r="J1939" s="187">
        <v>0</v>
      </c>
      <c r="K1939" s="187">
        <v>0</v>
      </c>
      <c r="L1939" s="187">
        <v>0</v>
      </c>
      <c r="M1939" s="187">
        <v>95.300361633300781</v>
      </c>
      <c r="N1939" s="187">
        <v>95.300361633300781</v>
      </c>
      <c r="O1939" t="s">
        <v>2398</v>
      </c>
    </row>
    <row r="1940" spans="1:15" hidden="1" x14ac:dyDescent="0.45">
      <c r="A1940" s="187">
        <v>2017</v>
      </c>
      <c r="B1940" t="s">
        <v>34</v>
      </c>
      <c r="C1940" t="s">
        <v>325</v>
      </c>
      <c r="D1940" t="s">
        <v>35</v>
      </c>
      <c r="E1940" t="s">
        <v>358</v>
      </c>
      <c r="F1940" t="s">
        <v>424</v>
      </c>
      <c r="G1940" t="s">
        <v>37</v>
      </c>
      <c r="H1940" t="s">
        <v>43</v>
      </c>
      <c r="I1940" s="187">
        <v>79.556728000000007</v>
      </c>
      <c r="J1940" s="187">
        <v>0</v>
      </c>
      <c r="K1940" s="187">
        <v>0</v>
      </c>
      <c r="L1940" s="187">
        <v>0</v>
      </c>
      <c r="M1940" s="187">
        <v>79.556724548339844</v>
      </c>
      <c r="N1940" s="187">
        <v>79.556724548339844</v>
      </c>
      <c r="O1940" t="s">
        <v>2399</v>
      </c>
    </row>
    <row r="1941" spans="1:15" hidden="1" x14ac:dyDescent="0.45">
      <c r="A1941" s="187">
        <v>2017</v>
      </c>
      <c r="B1941" t="s">
        <v>34</v>
      </c>
      <c r="C1941" t="s">
        <v>325</v>
      </c>
      <c r="D1941" t="s">
        <v>35</v>
      </c>
      <c r="E1941" t="s">
        <v>358</v>
      </c>
      <c r="F1941" t="s">
        <v>446</v>
      </c>
      <c r="G1941" t="s">
        <v>36</v>
      </c>
      <c r="H1941" t="s">
        <v>43</v>
      </c>
      <c r="I1941" s="187">
        <v>549.00361328125007</v>
      </c>
      <c r="J1941" s="187">
        <v>0</v>
      </c>
      <c r="K1941" s="187">
        <v>0</v>
      </c>
      <c r="L1941" s="187">
        <v>0</v>
      </c>
      <c r="M1941" s="187">
        <v>549.00360107421875</v>
      </c>
      <c r="N1941" s="187">
        <v>549.00360107421875</v>
      </c>
      <c r="O1941" t="s">
        <v>2400</v>
      </c>
    </row>
    <row r="1942" spans="1:15" hidden="1" x14ac:dyDescent="0.45">
      <c r="A1942" s="187">
        <v>2017</v>
      </c>
      <c r="B1942" t="s">
        <v>34</v>
      </c>
      <c r="C1942" t="s">
        <v>325</v>
      </c>
      <c r="D1942" t="s">
        <v>35</v>
      </c>
      <c r="E1942" t="s">
        <v>358</v>
      </c>
      <c r="F1942" t="s">
        <v>446</v>
      </c>
      <c r="G1942" t="s">
        <v>37</v>
      </c>
      <c r="H1942" t="s">
        <v>43</v>
      </c>
      <c r="I1942" s="187">
        <v>458.30816799999997</v>
      </c>
      <c r="J1942" s="187">
        <v>0</v>
      </c>
      <c r="K1942" s="187">
        <v>0</v>
      </c>
      <c r="L1942" s="187">
        <v>0</v>
      </c>
      <c r="M1942" s="187">
        <v>458.30816650390625</v>
      </c>
      <c r="N1942" s="187">
        <v>458.30816650390625</v>
      </c>
      <c r="O1942" t="s">
        <v>2401</v>
      </c>
    </row>
    <row r="1943" spans="1:15" hidden="1" x14ac:dyDescent="0.45">
      <c r="A1943" s="187">
        <v>2017</v>
      </c>
      <c r="B1943" t="s">
        <v>34</v>
      </c>
      <c r="C1943" t="s">
        <v>325</v>
      </c>
      <c r="D1943" t="s">
        <v>35</v>
      </c>
      <c r="E1943" t="s">
        <v>358</v>
      </c>
      <c r="F1943" t="s">
        <v>426</v>
      </c>
      <c r="G1943" t="s">
        <v>36</v>
      </c>
      <c r="H1943" t="s">
        <v>43</v>
      </c>
      <c r="I1943" s="187">
        <v>644.30400390625005</v>
      </c>
      <c r="J1943" s="187">
        <v>0</v>
      </c>
      <c r="K1943" s="187">
        <v>0</v>
      </c>
      <c r="L1943" s="187">
        <v>0</v>
      </c>
      <c r="M1943" s="187">
        <v>644.30401611328125</v>
      </c>
      <c r="N1943" s="187">
        <v>644.30401611328125</v>
      </c>
      <c r="O1943" t="s">
        <v>2402</v>
      </c>
    </row>
    <row r="1944" spans="1:15" hidden="1" x14ac:dyDescent="0.45">
      <c r="A1944" s="187">
        <v>2017</v>
      </c>
      <c r="B1944" t="s">
        <v>34</v>
      </c>
      <c r="C1944" t="s">
        <v>325</v>
      </c>
      <c r="D1944" t="s">
        <v>35</v>
      </c>
      <c r="E1944" t="s">
        <v>358</v>
      </c>
      <c r="F1944" t="s">
        <v>426</v>
      </c>
      <c r="G1944" t="s">
        <v>37</v>
      </c>
      <c r="H1944" t="s">
        <v>43</v>
      </c>
      <c r="I1944" s="187">
        <v>537.86489599999993</v>
      </c>
      <c r="J1944" s="187">
        <v>0</v>
      </c>
      <c r="K1944" s="187">
        <v>0</v>
      </c>
      <c r="L1944" s="187">
        <v>0</v>
      </c>
      <c r="M1944" s="187">
        <v>537.8648681640625</v>
      </c>
      <c r="N1944" s="187">
        <v>537.8648681640625</v>
      </c>
      <c r="O1944" t="s">
        <v>2403</v>
      </c>
    </row>
    <row r="1945" spans="1:15" hidden="1" x14ac:dyDescent="0.45">
      <c r="A1945" s="187">
        <v>2017</v>
      </c>
      <c r="B1945" t="s">
        <v>34</v>
      </c>
      <c r="C1945" t="s">
        <v>325</v>
      </c>
      <c r="D1945" t="s">
        <v>35</v>
      </c>
      <c r="E1945" t="s">
        <v>358</v>
      </c>
      <c r="F1945" t="s">
        <v>428</v>
      </c>
      <c r="G1945" t="s">
        <v>36</v>
      </c>
      <c r="H1945" t="s">
        <v>43</v>
      </c>
      <c r="I1945" s="187">
        <v>3211.7730468750001</v>
      </c>
      <c r="J1945" s="187">
        <v>116.58961486816406</v>
      </c>
      <c r="K1945" s="187">
        <v>1424.016357421875</v>
      </c>
      <c r="L1945" s="187">
        <v>729.51617431640625</v>
      </c>
      <c r="M1945" s="187">
        <v>5481.89501953125</v>
      </c>
      <c r="N1945" s="187">
        <v>3941.2890625</v>
      </c>
      <c r="O1945" t="s">
        <v>2404</v>
      </c>
    </row>
    <row r="1946" spans="1:15" hidden="1" x14ac:dyDescent="0.45">
      <c r="A1946" s="187">
        <v>2017</v>
      </c>
      <c r="B1946" t="s">
        <v>34</v>
      </c>
      <c r="C1946" t="s">
        <v>325</v>
      </c>
      <c r="D1946" t="s">
        <v>35</v>
      </c>
      <c r="E1946" t="s">
        <v>358</v>
      </c>
      <c r="F1946" t="s">
        <v>428</v>
      </c>
      <c r="G1946" t="s">
        <v>37</v>
      </c>
      <c r="H1946" t="s">
        <v>43</v>
      </c>
      <c r="I1946" s="187">
        <v>2681.1878400000005</v>
      </c>
      <c r="J1946" s="187">
        <v>97.329000000000008</v>
      </c>
      <c r="K1946" s="187">
        <v>1188.76866</v>
      </c>
      <c r="L1946" s="187">
        <v>609</v>
      </c>
      <c r="M1946" s="187">
        <v>4576.28515625</v>
      </c>
      <c r="N1946" s="187">
        <v>3290.187744140625</v>
      </c>
      <c r="O1946" t="s">
        <v>2405</v>
      </c>
    </row>
    <row r="1947" spans="1:15" hidden="1" x14ac:dyDescent="0.45">
      <c r="A1947" s="187">
        <v>2017</v>
      </c>
      <c r="B1947" t="s">
        <v>34</v>
      </c>
      <c r="C1947" t="s">
        <v>325</v>
      </c>
      <c r="D1947" t="s">
        <v>35</v>
      </c>
      <c r="E1947" t="s">
        <v>358</v>
      </c>
      <c r="F1947" t="s">
        <v>429</v>
      </c>
      <c r="G1947" t="s">
        <v>36</v>
      </c>
      <c r="H1947" t="s">
        <v>43</v>
      </c>
      <c r="I1947" s="187">
        <v>3211.7730468750001</v>
      </c>
      <c r="J1947" s="187">
        <v>116.58961486816406</v>
      </c>
      <c r="K1947" s="187">
        <v>1333.5758056640625</v>
      </c>
      <c r="L1947" s="187">
        <v>729.51617431640625</v>
      </c>
      <c r="M1947" s="187">
        <v>5391.45458984375</v>
      </c>
      <c r="N1947" s="187">
        <v>3941.2890625</v>
      </c>
      <c r="O1947" t="s">
        <v>2406</v>
      </c>
    </row>
    <row r="1948" spans="1:15" hidden="1" x14ac:dyDescent="0.45">
      <c r="A1948" s="187">
        <v>2017</v>
      </c>
      <c r="B1948" t="s">
        <v>34</v>
      </c>
      <c r="C1948" t="s">
        <v>325</v>
      </c>
      <c r="D1948" t="s">
        <v>35</v>
      </c>
      <c r="E1948" t="s">
        <v>358</v>
      </c>
      <c r="F1948" t="s">
        <v>429</v>
      </c>
      <c r="G1948" t="s">
        <v>37</v>
      </c>
      <c r="H1948" t="s">
        <v>43</v>
      </c>
      <c r="I1948" s="187">
        <v>2681.1878400000005</v>
      </c>
      <c r="J1948" s="187">
        <v>97.329000000000008</v>
      </c>
      <c r="K1948" s="187">
        <v>1113.26893</v>
      </c>
      <c r="L1948" s="187">
        <v>609</v>
      </c>
      <c r="M1948" s="187">
        <v>4500.7861328125</v>
      </c>
      <c r="N1948" s="187">
        <v>3290.187744140625</v>
      </c>
      <c r="O1948" t="s">
        <v>2407</v>
      </c>
    </row>
    <row r="1949" spans="1:15" hidden="1" x14ac:dyDescent="0.45">
      <c r="A1949" s="187">
        <v>2017</v>
      </c>
      <c r="B1949" t="s">
        <v>34</v>
      </c>
      <c r="C1949" t="s">
        <v>326</v>
      </c>
      <c r="D1949" t="s">
        <v>337</v>
      </c>
      <c r="E1949" t="s">
        <v>155</v>
      </c>
      <c r="F1949" t="s">
        <v>155</v>
      </c>
      <c r="G1949" t="s">
        <v>453</v>
      </c>
      <c r="H1949" t="s">
        <v>455</v>
      </c>
      <c r="I1949" s="187">
        <v>4637.9059999999999</v>
      </c>
      <c r="J1949" s="187">
        <v>664</v>
      </c>
      <c r="K1949" s="187">
        <v>5941.0099529999998</v>
      </c>
      <c r="L1949" s="187">
        <v>6534.8389999999999</v>
      </c>
      <c r="M1949" s="187">
        <v>17777.755859375</v>
      </c>
      <c r="N1949" s="187">
        <v>11172.7451171875</v>
      </c>
      <c r="O1949" t="s">
        <v>2408</v>
      </c>
    </row>
    <row r="1950" spans="1:15" hidden="1" x14ac:dyDescent="0.45">
      <c r="A1950" s="187">
        <v>2017</v>
      </c>
      <c r="B1950" t="s">
        <v>34</v>
      </c>
      <c r="C1950" t="s">
        <v>327</v>
      </c>
      <c r="D1950" t="s">
        <v>337</v>
      </c>
      <c r="E1950" t="s">
        <v>359</v>
      </c>
      <c r="F1950" t="s">
        <v>430</v>
      </c>
      <c r="G1950" t="s">
        <v>453</v>
      </c>
      <c r="H1950" t="s">
        <v>456</v>
      </c>
      <c r="I1950" s="187">
        <v>62669</v>
      </c>
      <c r="J1950" s="187">
        <v>9903</v>
      </c>
      <c r="K1950" s="187">
        <v>106775</v>
      </c>
      <c r="L1950" s="187">
        <v>106670</v>
      </c>
      <c r="M1950" s="187">
        <v>286017</v>
      </c>
      <c r="N1950" s="187">
        <v>169339</v>
      </c>
      <c r="O1950" t="s">
        <v>2409</v>
      </c>
    </row>
    <row r="1951" spans="1:15" hidden="1" x14ac:dyDescent="0.45">
      <c r="A1951" s="187">
        <v>2017</v>
      </c>
      <c r="B1951" t="s">
        <v>34</v>
      </c>
      <c r="C1951" t="s">
        <v>327</v>
      </c>
      <c r="D1951" t="s">
        <v>337</v>
      </c>
      <c r="E1951" t="s">
        <v>360</v>
      </c>
      <c r="F1951" t="s">
        <v>151</v>
      </c>
      <c r="G1951" t="s">
        <v>453</v>
      </c>
      <c r="H1951" t="s">
        <v>457</v>
      </c>
      <c r="I1951" s="187">
        <v>25673.658643326042</v>
      </c>
      <c r="J1951" s="187">
        <v>3446.3703589041102</v>
      </c>
      <c r="K1951" s="187">
        <v>24070.919800000011</v>
      </c>
      <c r="L1951" s="187">
        <v>39245.5888109589</v>
      </c>
      <c r="M1951" s="187">
        <v>92436.5390625</v>
      </c>
      <c r="N1951" s="187">
        <v>64919.24609375</v>
      </c>
      <c r="O1951" t="s">
        <v>2410</v>
      </c>
    </row>
    <row r="1952" spans="1:15" hidden="1" x14ac:dyDescent="0.45">
      <c r="A1952" s="187">
        <v>2017</v>
      </c>
      <c r="B1952" t="s">
        <v>34</v>
      </c>
      <c r="C1952" t="s">
        <v>327</v>
      </c>
      <c r="D1952" t="s">
        <v>337</v>
      </c>
      <c r="E1952" t="s">
        <v>360</v>
      </c>
      <c r="F1952" t="s">
        <v>6</v>
      </c>
      <c r="G1952" t="s">
        <v>453</v>
      </c>
      <c r="H1952" t="s">
        <v>454</v>
      </c>
      <c r="I1952" s="187">
        <v>0.82378710613729667</v>
      </c>
      <c r="J1952" s="187">
        <v>0.86824196011960331</v>
      </c>
      <c r="K1952" s="187">
        <v>0.71723882523367888</v>
      </c>
      <c r="L1952" s="187">
        <v>0.79516931467735508</v>
      </c>
      <c r="M1952" s="187">
        <v>0.80110931396484375</v>
      </c>
      <c r="N1952" s="187">
        <v>1.618956446647644</v>
      </c>
      <c r="O1952" t="s">
        <v>2411</v>
      </c>
    </row>
    <row r="1953" spans="1:15" hidden="1" x14ac:dyDescent="0.45">
      <c r="A1953" s="187">
        <v>2017</v>
      </c>
      <c r="B1953" t="s">
        <v>34</v>
      </c>
      <c r="C1953" t="s">
        <v>327</v>
      </c>
      <c r="D1953" t="s">
        <v>337</v>
      </c>
      <c r="E1953" t="s">
        <v>360</v>
      </c>
      <c r="F1953" t="s">
        <v>152</v>
      </c>
      <c r="G1953" t="s">
        <v>453</v>
      </c>
      <c r="H1953" t="s">
        <v>457</v>
      </c>
      <c r="I1953" s="187">
        <v>35097</v>
      </c>
      <c r="J1953" s="187">
        <v>5219.9645525224851</v>
      </c>
      <c r="K1953" s="187">
        <v>44997.675000000003</v>
      </c>
      <c r="L1953" s="187">
        <v>60212.792000000001</v>
      </c>
      <c r="M1953" s="187">
        <v>145527.4375</v>
      </c>
      <c r="N1953" s="187">
        <v>95309.7890625</v>
      </c>
      <c r="O1953" t="s">
        <v>2412</v>
      </c>
    </row>
    <row r="1954" spans="1:15" hidden="1" x14ac:dyDescent="0.45">
      <c r="A1954" s="187">
        <v>2017</v>
      </c>
      <c r="B1954" t="s">
        <v>34</v>
      </c>
      <c r="C1954" t="s">
        <v>327</v>
      </c>
      <c r="D1954" t="s">
        <v>337</v>
      </c>
      <c r="E1954" t="s">
        <v>360</v>
      </c>
      <c r="F1954" t="s">
        <v>153</v>
      </c>
      <c r="G1954" t="s">
        <v>453</v>
      </c>
      <c r="H1954" t="s">
        <v>458</v>
      </c>
      <c r="I1954" s="187">
        <v>949506</v>
      </c>
      <c r="J1954" s="187">
        <v>120734.891</v>
      </c>
      <c r="K1954" s="187">
        <v>1020799.653</v>
      </c>
      <c r="L1954" s="187">
        <v>1501214.862</v>
      </c>
      <c r="M1954" s="187">
        <v>3592255.25</v>
      </c>
      <c r="N1954" s="187">
        <v>2450720.75</v>
      </c>
      <c r="O1954" t="s">
        <v>2413</v>
      </c>
    </row>
    <row r="1955" spans="1:15" hidden="1" x14ac:dyDescent="0.45">
      <c r="A1955" s="187">
        <v>2017</v>
      </c>
      <c r="B1955" t="s">
        <v>34</v>
      </c>
      <c r="C1955" t="s">
        <v>327</v>
      </c>
      <c r="D1955" t="s">
        <v>337</v>
      </c>
      <c r="E1955" t="s">
        <v>360</v>
      </c>
      <c r="F1955" t="s">
        <v>432</v>
      </c>
      <c r="G1955" t="s">
        <v>453</v>
      </c>
      <c r="H1955" t="s">
        <v>456</v>
      </c>
      <c r="I1955" s="187"/>
      <c r="J1955" s="187">
        <v>0</v>
      </c>
      <c r="K1955" s="187">
        <v>0</v>
      </c>
      <c r="L1955" s="187">
        <v>0</v>
      </c>
      <c r="M1955" s="187">
        <v>0</v>
      </c>
      <c r="N1955" s="187">
        <v>0</v>
      </c>
      <c r="O1955" t="s">
        <v>2414</v>
      </c>
    </row>
    <row r="1956" spans="1:15" hidden="1" x14ac:dyDescent="0.45">
      <c r="A1956" s="187">
        <v>2017</v>
      </c>
      <c r="B1956" t="s">
        <v>34</v>
      </c>
      <c r="C1956" t="s">
        <v>327</v>
      </c>
      <c r="D1956" t="s">
        <v>337</v>
      </c>
      <c r="E1956" t="s">
        <v>360</v>
      </c>
      <c r="F1956" t="s">
        <v>154</v>
      </c>
      <c r="G1956" t="s">
        <v>453</v>
      </c>
      <c r="H1956" t="s">
        <v>459</v>
      </c>
      <c r="I1956" s="187">
        <v>9386289.5999999996</v>
      </c>
      <c r="J1956" s="187">
        <v>1257925.1810000001</v>
      </c>
      <c r="K1956" s="187">
        <v>8785885.7270000037</v>
      </c>
      <c r="L1956" s="187">
        <v>14324639.915999999</v>
      </c>
      <c r="M1956" s="187">
        <v>33754740</v>
      </c>
      <c r="N1956" s="187">
        <v>23710930</v>
      </c>
      <c r="O1956" t="s">
        <v>2415</v>
      </c>
    </row>
    <row r="1957" spans="1:15" hidden="1" x14ac:dyDescent="0.45">
      <c r="A1957" s="187">
        <v>2017</v>
      </c>
      <c r="B1957" t="s">
        <v>312</v>
      </c>
      <c r="C1957" t="s">
        <v>328</v>
      </c>
      <c r="D1957" t="s">
        <v>39</v>
      </c>
      <c r="E1957" t="s">
        <v>349</v>
      </c>
      <c r="F1957" t="s">
        <v>349</v>
      </c>
      <c r="G1957" t="s">
        <v>36</v>
      </c>
      <c r="H1957" t="s">
        <v>43</v>
      </c>
      <c r="I1957" s="187">
        <v>0</v>
      </c>
      <c r="J1957" s="187">
        <v>0</v>
      </c>
      <c r="K1957" s="187">
        <v>3507.8462439178479</v>
      </c>
      <c r="L1957" s="187">
        <v>0</v>
      </c>
      <c r="M1957" s="187">
        <v>3507.84619140625</v>
      </c>
      <c r="N1957" s="187">
        <v>0</v>
      </c>
      <c r="O1957" t="s">
        <v>2418</v>
      </c>
    </row>
    <row r="1958" spans="1:15" hidden="1" x14ac:dyDescent="0.45">
      <c r="A1958" s="187">
        <v>2017</v>
      </c>
      <c r="B1958" t="s">
        <v>313</v>
      </c>
      <c r="C1958" t="s">
        <v>328</v>
      </c>
      <c r="D1958" t="s">
        <v>39</v>
      </c>
      <c r="E1958" t="s">
        <v>349</v>
      </c>
      <c r="F1958" t="s">
        <v>349</v>
      </c>
      <c r="G1958" t="s">
        <v>36</v>
      </c>
      <c r="H1958" t="s">
        <v>43</v>
      </c>
      <c r="I1958" s="187">
        <v>0</v>
      </c>
      <c r="J1958" s="187">
        <v>0</v>
      </c>
      <c r="K1958" s="187">
        <v>2946.2787482267508</v>
      </c>
      <c r="L1958" s="187">
        <v>0</v>
      </c>
      <c r="M1958" s="187">
        <v>2946.27880859375</v>
      </c>
      <c r="N1958" s="187">
        <v>0</v>
      </c>
      <c r="O1958" t="s">
        <v>2419</v>
      </c>
    </row>
    <row r="1959" spans="1:15" hidden="1" x14ac:dyDescent="0.45">
      <c r="A1959" s="187">
        <v>2017</v>
      </c>
      <c r="B1959" t="s">
        <v>310</v>
      </c>
      <c r="C1959" t="s">
        <v>328</v>
      </c>
      <c r="D1959" t="s">
        <v>39</v>
      </c>
      <c r="E1959" t="s">
        <v>349</v>
      </c>
      <c r="F1959" t="s">
        <v>349</v>
      </c>
      <c r="G1959" t="s">
        <v>36</v>
      </c>
      <c r="H1959" t="s">
        <v>43</v>
      </c>
      <c r="I1959" s="187"/>
      <c r="J1959" s="187">
        <v>0</v>
      </c>
      <c r="K1959" s="187">
        <v>3508.4428202653362</v>
      </c>
      <c r="L1959" s="187">
        <v>0</v>
      </c>
      <c r="M1959" s="187">
        <v>3508.44287109375</v>
      </c>
      <c r="N1959" s="187">
        <v>0</v>
      </c>
      <c r="O1959" t="s">
        <v>2417</v>
      </c>
    </row>
    <row r="1960" spans="1:15" hidden="1" x14ac:dyDescent="0.45">
      <c r="A1960" s="187">
        <v>2017</v>
      </c>
      <c r="B1960" t="s">
        <v>311</v>
      </c>
      <c r="C1960" t="s">
        <v>328</v>
      </c>
      <c r="D1960" t="s">
        <v>39</v>
      </c>
      <c r="E1960" t="s">
        <v>349</v>
      </c>
      <c r="F1960" t="s">
        <v>349</v>
      </c>
      <c r="G1960" t="s">
        <v>36</v>
      </c>
      <c r="H1960" t="s">
        <v>43</v>
      </c>
      <c r="I1960" s="187"/>
      <c r="J1960" s="187">
        <v>0</v>
      </c>
      <c r="K1960" s="187">
        <v>2813.281863613191</v>
      </c>
      <c r="L1960" s="187">
        <v>0</v>
      </c>
      <c r="M1960" s="187">
        <v>2813.281982421875</v>
      </c>
      <c r="N1960" s="187">
        <v>0</v>
      </c>
      <c r="O1960" t="s">
        <v>2416</v>
      </c>
    </row>
    <row r="1961" spans="1:15" hidden="1" x14ac:dyDescent="0.45">
      <c r="A1961" s="187">
        <v>2017</v>
      </c>
      <c r="B1961" t="s">
        <v>309</v>
      </c>
      <c r="C1961" t="s">
        <v>328</v>
      </c>
      <c r="D1961" t="s">
        <v>39</v>
      </c>
      <c r="E1961" t="s">
        <v>349</v>
      </c>
      <c r="F1961" t="s">
        <v>349</v>
      </c>
      <c r="G1961" t="s">
        <v>36</v>
      </c>
      <c r="H1961" t="s">
        <v>43</v>
      </c>
      <c r="I1961" s="187"/>
      <c r="J1961" s="187">
        <v>0</v>
      </c>
      <c r="K1961" s="187">
        <v>3341.5359765320813</v>
      </c>
      <c r="L1961" s="187">
        <v>0</v>
      </c>
      <c r="M1961" s="187">
        <v>3341.535888671875</v>
      </c>
      <c r="N1961" s="187">
        <v>0</v>
      </c>
      <c r="O1961" t="s">
        <v>2420</v>
      </c>
    </row>
    <row r="1962" spans="1:15" hidden="1" x14ac:dyDescent="0.45">
      <c r="A1962" s="187">
        <v>2017</v>
      </c>
      <c r="B1962" t="s">
        <v>310</v>
      </c>
      <c r="C1962" t="s">
        <v>328</v>
      </c>
      <c r="D1962" t="s">
        <v>39</v>
      </c>
      <c r="E1962" t="s">
        <v>349</v>
      </c>
      <c r="F1962" t="s">
        <v>349</v>
      </c>
      <c r="G1962" t="s">
        <v>37</v>
      </c>
      <c r="H1962" t="s">
        <v>43</v>
      </c>
      <c r="I1962" s="187"/>
      <c r="J1962" s="187">
        <v>0</v>
      </c>
      <c r="K1962" s="187">
        <v>3197.829817295627</v>
      </c>
      <c r="L1962" s="187">
        <v>0</v>
      </c>
      <c r="M1962" s="187">
        <v>3197.829833984375</v>
      </c>
      <c r="N1962" s="187">
        <v>0</v>
      </c>
      <c r="O1962" t="s">
        <v>2423</v>
      </c>
    </row>
    <row r="1963" spans="1:15" hidden="1" x14ac:dyDescent="0.45">
      <c r="A1963" s="187">
        <v>2017</v>
      </c>
      <c r="B1963" t="s">
        <v>309</v>
      </c>
      <c r="C1963" t="s">
        <v>328</v>
      </c>
      <c r="D1963" t="s">
        <v>39</v>
      </c>
      <c r="E1963" t="s">
        <v>349</v>
      </c>
      <c r="F1963" t="s">
        <v>349</v>
      </c>
      <c r="G1963" t="s">
        <v>37</v>
      </c>
      <c r="H1963" t="s">
        <v>43</v>
      </c>
      <c r="I1963" s="187"/>
      <c r="J1963" s="187">
        <v>0</v>
      </c>
      <c r="K1963" s="187">
        <v>3071.8298535390768</v>
      </c>
      <c r="L1963" s="187">
        <v>0</v>
      </c>
      <c r="M1963" s="187">
        <v>3071.829833984375</v>
      </c>
      <c r="N1963" s="187">
        <v>0</v>
      </c>
      <c r="O1963" t="s">
        <v>2421</v>
      </c>
    </row>
    <row r="1964" spans="1:15" hidden="1" x14ac:dyDescent="0.45">
      <c r="A1964" s="187">
        <v>2017</v>
      </c>
      <c r="B1964" t="s">
        <v>312</v>
      </c>
      <c r="C1964" t="s">
        <v>328</v>
      </c>
      <c r="D1964" t="s">
        <v>39</v>
      </c>
      <c r="E1964" t="s">
        <v>349</v>
      </c>
      <c r="F1964" t="s">
        <v>349</v>
      </c>
      <c r="G1964" t="s">
        <v>37</v>
      </c>
      <c r="H1964" t="s">
        <v>43</v>
      </c>
      <c r="I1964" s="187">
        <v>0</v>
      </c>
      <c r="J1964" s="187">
        <v>0</v>
      </c>
      <c r="K1964" s="187">
        <v>3075.9524185808</v>
      </c>
      <c r="L1964" s="187">
        <v>0</v>
      </c>
      <c r="M1964" s="187">
        <v>3075.952392578125</v>
      </c>
      <c r="N1964" s="187">
        <v>0</v>
      </c>
      <c r="O1964" t="s">
        <v>2424</v>
      </c>
    </row>
    <row r="1965" spans="1:15" hidden="1" x14ac:dyDescent="0.45">
      <c r="A1965" s="187">
        <v>2017</v>
      </c>
      <c r="B1965" t="s">
        <v>311</v>
      </c>
      <c r="C1965" t="s">
        <v>328</v>
      </c>
      <c r="D1965" t="s">
        <v>39</v>
      </c>
      <c r="E1965" t="s">
        <v>349</v>
      </c>
      <c r="F1965" t="s">
        <v>349</v>
      </c>
      <c r="G1965" t="s">
        <v>37</v>
      </c>
      <c r="H1965" t="s">
        <v>43</v>
      </c>
      <c r="I1965" s="187"/>
      <c r="J1965" s="187">
        <v>0</v>
      </c>
      <c r="K1965" s="187">
        <v>2495.0373709389519</v>
      </c>
      <c r="L1965" s="187">
        <v>0</v>
      </c>
      <c r="M1965" s="187">
        <v>2495.037353515625</v>
      </c>
      <c r="N1965" s="187">
        <v>0</v>
      </c>
      <c r="O1965" t="s">
        <v>2422</v>
      </c>
    </row>
    <row r="1966" spans="1:15" hidden="1" x14ac:dyDescent="0.45">
      <c r="A1966" s="187">
        <v>2017</v>
      </c>
      <c r="B1966" t="s">
        <v>313</v>
      </c>
      <c r="C1966" t="s">
        <v>328</v>
      </c>
      <c r="D1966" t="s">
        <v>39</v>
      </c>
      <c r="E1966" t="s">
        <v>349</v>
      </c>
      <c r="F1966" t="s">
        <v>349</v>
      </c>
      <c r="G1966" t="s">
        <v>37</v>
      </c>
      <c r="H1966" t="s">
        <v>43</v>
      </c>
      <c r="I1966" s="187">
        <v>0</v>
      </c>
      <c r="J1966" s="187">
        <v>0</v>
      </c>
      <c r="K1966" s="187">
        <v>2582.0277099999998</v>
      </c>
      <c r="L1966" s="187">
        <v>0</v>
      </c>
      <c r="M1966" s="187">
        <v>2582.02783203125</v>
      </c>
      <c r="N1966" s="187">
        <v>0</v>
      </c>
      <c r="O1966" t="s">
        <v>2425</v>
      </c>
    </row>
    <row r="1967" spans="1:15" hidden="1" x14ac:dyDescent="0.45">
      <c r="A1967" s="187">
        <v>2017</v>
      </c>
      <c r="B1967" t="s">
        <v>311</v>
      </c>
      <c r="C1967" t="s">
        <v>328</v>
      </c>
      <c r="D1967" t="s">
        <v>39</v>
      </c>
      <c r="E1967" t="s">
        <v>21</v>
      </c>
      <c r="F1967" t="s">
        <v>21</v>
      </c>
      <c r="G1967" t="s">
        <v>36</v>
      </c>
      <c r="H1967" t="s">
        <v>43</v>
      </c>
      <c r="I1967" s="187"/>
      <c r="J1967" s="187">
        <v>891.27375513324205</v>
      </c>
      <c r="K1967" s="187">
        <v>7613.4938453974037</v>
      </c>
      <c r="L1967" s="187">
        <v>647.77543510337591</v>
      </c>
      <c r="M1967" s="187">
        <v>9152.54296875</v>
      </c>
      <c r="N1967" s="187">
        <v>647.77545166015625</v>
      </c>
      <c r="O1967" t="s">
        <v>2430</v>
      </c>
    </row>
    <row r="1968" spans="1:15" hidden="1" x14ac:dyDescent="0.45">
      <c r="A1968" s="187">
        <v>2017</v>
      </c>
      <c r="B1968" t="s">
        <v>309</v>
      </c>
      <c r="C1968" t="s">
        <v>328</v>
      </c>
      <c r="D1968" t="s">
        <v>39</v>
      </c>
      <c r="E1968" t="s">
        <v>21</v>
      </c>
      <c r="F1968" t="s">
        <v>21</v>
      </c>
      <c r="G1968" t="s">
        <v>36</v>
      </c>
      <c r="H1968" t="s">
        <v>43</v>
      </c>
      <c r="I1968" s="187"/>
      <c r="J1968" s="187">
        <v>1033.8771229798922</v>
      </c>
      <c r="K1968" s="187">
        <v>7710.6285691099247</v>
      </c>
      <c r="L1968" s="187">
        <v>10187.50118991592</v>
      </c>
      <c r="M1968" s="187">
        <v>18932.0078125</v>
      </c>
      <c r="N1968" s="187">
        <v>10187.5009765625</v>
      </c>
      <c r="O1968" t="s">
        <v>2429</v>
      </c>
    </row>
    <row r="1969" spans="1:15" hidden="1" x14ac:dyDescent="0.45">
      <c r="A1969" s="187">
        <v>2017</v>
      </c>
      <c r="B1969" t="s">
        <v>313</v>
      </c>
      <c r="C1969" t="s">
        <v>328</v>
      </c>
      <c r="D1969" t="s">
        <v>39</v>
      </c>
      <c r="E1969" t="s">
        <v>21</v>
      </c>
      <c r="F1969" t="s">
        <v>21</v>
      </c>
      <c r="G1969" t="s">
        <v>36</v>
      </c>
      <c r="H1969" t="s">
        <v>43</v>
      </c>
      <c r="I1969" s="187">
        <v>1736.6711897313166</v>
      </c>
      <c r="J1969" s="187">
        <v>912.85735991632748</v>
      </c>
      <c r="K1969" s="187">
        <v>7090.1506979681044</v>
      </c>
      <c r="L1969" s="187">
        <v>5175.9012307255771</v>
      </c>
      <c r="M1969" s="187">
        <v>14915.5810546875</v>
      </c>
      <c r="N1969" s="187">
        <v>6912.572265625</v>
      </c>
      <c r="O1969" t="s">
        <v>2428</v>
      </c>
    </row>
    <row r="1970" spans="1:15" hidden="1" x14ac:dyDescent="0.45">
      <c r="A1970" s="187">
        <v>2017</v>
      </c>
      <c r="B1970" t="s">
        <v>312</v>
      </c>
      <c r="C1970" t="s">
        <v>328</v>
      </c>
      <c r="D1970" t="s">
        <v>39</v>
      </c>
      <c r="E1970" t="s">
        <v>21</v>
      </c>
      <c r="F1970" t="s">
        <v>21</v>
      </c>
      <c r="G1970" t="s">
        <v>36</v>
      </c>
      <c r="H1970" t="s">
        <v>43</v>
      </c>
      <c r="I1970" s="187">
        <v>2134.0867451024305</v>
      </c>
      <c r="J1970" s="187">
        <v>887.21672074134676</v>
      </c>
      <c r="K1970" s="187">
        <v>7757.6078469076829</v>
      </c>
      <c r="L1970" s="187">
        <v>5028.7211779535683</v>
      </c>
      <c r="M1970" s="187">
        <v>15807.6318359375</v>
      </c>
      <c r="N1970" s="187">
        <v>7162.8076171875</v>
      </c>
      <c r="O1970" t="s">
        <v>2426</v>
      </c>
    </row>
    <row r="1971" spans="1:15" hidden="1" x14ac:dyDescent="0.45">
      <c r="A1971" s="187">
        <v>2017</v>
      </c>
      <c r="B1971" t="s">
        <v>310</v>
      </c>
      <c r="C1971" t="s">
        <v>328</v>
      </c>
      <c r="D1971" t="s">
        <v>39</v>
      </c>
      <c r="E1971" t="s">
        <v>21</v>
      </c>
      <c r="F1971" t="s">
        <v>21</v>
      </c>
      <c r="G1971" t="s">
        <v>36</v>
      </c>
      <c r="H1971" t="s">
        <v>43</v>
      </c>
      <c r="I1971" s="187"/>
      <c r="J1971" s="187">
        <v>1023.9275387685109</v>
      </c>
      <c r="K1971" s="187">
        <v>7719.8442047617082</v>
      </c>
      <c r="L1971" s="187">
        <v>9421.6878950891751</v>
      </c>
      <c r="M1971" s="187">
        <v>18165.458984375</v>
      </c>
      <c r="N1971" s="187">
        <v>9421.6875</v>
      </c>
      <c r="O1971" t="s">
        <v>2427</v>
      </c>
    </row>
    <row r="1972" spans="1:15" hidden="1" x14ac:dyDescent="0.45">
      <c r="A1972" s="187">
        <v>2017</v>
      </c>
      <c r="B1972" t="s">
        <v>309</v>
      </c>
      <c r="C1972" t="s">
        <v>328</v>
      </c>
      <c r="D1972" t="s">
        <v>39</v>
      </c>
      <c r="E1972" t="s">
        <v>21</v>
      </c>
      <c r="F1972" t="s">
        <v>21</v>
      </c>
      <c r="G1972" t="s">
        <v>37</v>
      </c>
      <c r="H1972" t="s">
        <v>43</v>
      </c>
      <c r="I1972" s="187"/>
      <c r="J1972" s="187">
        <v>940.30439999999999</v>
      </c>
      <c r="K1972" s="187">
        <v>7088.2789215768798</v>
      </c>
      <c r="L1972" s="187">
        <v>9680</v>
      </c>
      <c r="M1972" s="187">
        <v>17708.583984375</v>
      </c>
      <c r="N1972" s="187">
        <v>9680</v>
      </c>
      <c r="O1972" t="s">
        <v>2435</v>
      </c>
    </row>
    <row r="1973" spans="1:15" hidden="1" x14ac:dyDescent="0.45">
      <c r="A1973" s="187">
        <v>2017</v>
      </c>
      <c r="B1973" t="s">
        <v>310</v>
      </c>
      <c r="C1973" t="s">
        <v>328</v>
      </c>
      <c r="D1973" t="s">
        <v>39</v>
      </c>
      <c r="E1973" t="s">
        <v>21</v>
      </c>
      <c r="F1973" t="s">
        <v>21</v>
      </c>
      <c r="G1973" t="s">
        <v>37</v>
      </c>
      <c r="H1973" t="s">
        <v>43</v>
      </c>
      <c r="I1973" s="187"/>
      <c r="J1973" s="187">
        <v>932</v>
      </c>
      <c r="K1973" s="187">
        <v>7036.3831612900058</v>
      </c>
      <c r="L1973" s="187">
        <v>8770</v>
      </c>
      <c r="M1973" s="187">
        <v>16738.3828125</v>
      </c>
      <c r="N1973" s="187">
        <v>8770</v>
      </c>
      <c r="O1973" t="s">
        <v>2433</v>
      </c>
    </row>
    <row r="1974" spans="1:15" hidden="1" x14ac:dyDescent="0.45">
      <c r="A1974" s="187">
        <v>2017</v>
      </c>
      <c r="B1974" t="s">
        <v>312</v>
      </c>
      <c r="C1974" t="s">
        <v>328</v>
      </c>
      <c r="D1974" t="s">
        <v>39</v>
      </c>
      <c r="E1974" t="s">
        <v>21</v>
      </c>
      <c r="F1974" t="s">
        <v>21</v>
      </c>
      <c r="G1974" t="s">
        <v>37</v>
      </c>
      <c r="H1974" t="s">
        <v>43</v>
      </c>
      <c r="I1974" s="187">
        <v>1849.3105499999999</v>
      </c>
      <c r="J1974" s="187">
        <v>780</v>
      </c>
      <c r="K1974" s="187">
        <v>6802.4739284028647</v>
      </c>
      <c r="L1974" s="187">
        <v>4412</v>
      </c>
      <c r="M1974" s="187">
        <v>13843.7841796875</v>
      </c>
      <c r="N1974" s="187">
        <v>6261.310546875</v>
      </c>
      <c r="O1974" t="s">
        <v>2431</v>
      </c>
    </row>
    <row r="1975" spans="1:15" hidden="1" x14ac:dyDescent="0.45">
      <c r="A1975" s="187">
        <v>2017</v>
      </c>
      <c r="B1975" t="s">
        <v>313</v>
      </c>
      <c r="C1975" t="s">
        <v>328</v>
      </c>
      <c r="D1975" t="s">
        <v>39</v>
      </c>
      <c r="E1975" t="s">
        <v>21</v>
      </c>
      <c r="F1975" t="s">
        <v>21</v>
      </c>
      <c r="G1975" t="s">
        <v>37</v>
      </c>
      <c r="H1975" t="s">
        <v>43</v>
      </c>
      <c r="I1975" s="187">
        <v>1521.9649999999999</v>
      </c>
      <c r="J1975" s="187">
        <v>800</v>
      </c>
      <c r="K1975" s="187">
        <v>6213.5891185610753</v>
      </c>
      <c r="L1975" s="187">
        <v>4536</v>
      </c>
      <c r="M1975" s="187">
        <v>13071.5537109375</v>
      </c>
      <c r="N1975" s="187">
        <v>6057.96484375</v>
      </c>
      <c r="O1975" t="s">
        <v>2434</v>
      </c>
    </row>
    <row r="1976" spans="1:15" hidden="1" x14ac:dyDescent="0.45">
      <c r="A1976" s="187">
        <v>2017</v>
      </c>
      <c r="B1976" t="s">
        <v>311</v>
      </c>
      <c r="C1976" t="s">
        <v>328</v>
      </c>
      <c r="D1976" t="s">
        <v>39</v>
      </c>
      <c r="E1976" t="s">
        <v>21</v>
      </c>
      <c r="F1976" t="s">
        <v>21</v>
      </c>
      <c r="G1976" t="s">
        <v>37</v>
      </c>
      <c r="H1976" t="s">
        <v>43</v>
      </c>
      <c r="I1976" s="187"/>
      <c r="J1976" s="187">
        <v>797</v>
      </c>
      <c r="K1976" s="187">
        <v>6752.2390533890912</v>
      </c>
      <c r="L1976" s="187">
        <v>590</v>
      </c>
      <c r="M1976" s="187">
        <v>8139.2392578125</v>
      </c>
      <c r="N1976" s="187">
        <v>590</v>
      </c>
      <c r="O1976" t="s">
        <v>2432</v>
      </c>
    </row>
    <row r="1977" spans="1:15" hidden="1" x14ac:dyDescent="0.45">
      <c r="A1977" s="187">
        <v>2017</v>
      </c>
      <c r="B1977" t="s">
        <v>311</v>
      </c>
      <c r="C1977" t="s">
        <v>328</v>
      </c>
      <c r="D1977" t="s">
        <v>39</v>
      </c>
      <c r="E1977" t="s">
        <v>352</v>
      </c>
      <c r="F1977" t="s">
        <v>433</v>
      </c>
      <c r="G1977" t="s">
        <v>36</v>
      </c>
      <c r="H1977" t="s">
        <v>43</v>
      </c>
      <c r="I1977" s="187"/>
      <c r="J1977" s="187">
        <v>233.0127464400633</v>
      </c>
      <c r="K1977" s="187">
        <v>150.54953547492488</v>
      </c>
      <c r="L1977" s="187">
        <v>259.80921228067058</v>
      </c>
      <c r="M1977" s="187">
        <v>643.37152099609375</v>
      </c>
      <c r="N1977" s="187">
        <v>259.8092041015625</v>
      </c>
      <c r="O1977" t="s">
        <v>2436</v>
      </c>
    </row>
    <row r="1978" spans="1:15" hidden="1" x14ac:dyDescent="0.45">
      <c r="A1978" s="187">
        <v>2017</v>
      </c>
      <c r="B1978" t="s">
        <v>312</v>
      </c>
      <c r="C1978" t="s">
        <v>328</v>
      </c>
      <c r="D1978" t="s">
        <v>39</v>
      </c>
      <c r="E1978" t="s">
        <v>352</v>
      </c>
      <c r="F1978" t="s">
        <v>433</v>
      </c>
      <c r="G1978" t="s">
        <v>36</v>
      </c>
      <c r="H1978" t="s">
        <v>43</v>
      </c>
      <c r="I1978" s="187"/>
      <c r="J1978" s="187">
        <v>197.15927127585482</v>
      </c>
      <c r="K1978" s="187">
        <v>140.26374462732019</v>
      </c>
      <c r="L1978" s="187">
        <v>209.91663588782191</v>
      </c>
      <c r="M1978" s="187">
        <v>547.33966064453125</v>
      </c>
      <c r="N1978" s="187">
        <v>209.91664123535156</v>
      </c>
      <c r="O1978" t="s">
        <v>2437</v>
      </c>
    </row>
    <row r="1979" spans="1:15" hidden="1" x14ac:dyDescent="0.45">
      <c r="A1979" s="187">
        <v>2017</v>
      </c>
      <c r="B1979" t="s">
        <v>309</v>
      </c>
      <c r="C1979" t="s">
        <v>328</v>
      </c>
      <c r="D1979" t="s">
        <v>39</v>
      </c>
      <c r="E1979" t="s">
        <v>352</v>
      </c>
      <c r="F1979" t="s">
        <v>433</v>
      </c>
      <c r="G1979" t="s">
        <v>36</v>
      </c>
      <c r="H1979" t="s">
        <v>43</v>
      </c>
      <c r="I1979" s="187"/>
      <c r="J1979" s="187">
        <v>185.812017494082</v>
      </c>
      <c r="K1979" s="187">
        <v>391.69135409392067</v>
      </c>
      <c r="L1979" s="187">
        <v>315.64220920469057</v>
      </c>
      <c r="M1979" s="187">
        <v>893.14556884765625</v>
      </c>
      <c r="N1979" s="187">
        <v>315.6422119140625</v>
      </c>
      <c r="O1979" t="s">
        <v>2440</v>
      </c>
    </row>
    <row r="1980" spans="1:15" hidden="1" x14ac:dyDescent="0.45">
      <c r="A1980" s="187">
        <v>2017</v>
      </c>
      <c r="B1980" t="s">
        <v>310</v>
      </c>
      <c r="C1980" t="s">
        <v>328</v>
      </c>
      <c r="D1980" t="s">
        <v>39</v>
      </c>
      <c r="E1980" t="s">
        <v>352</v>
      </c>
      <c r="F1980" t="s">
        <v>433</v>
      </c>
      <c r="G1980" t="s">
        <v>36</v>
      </c>
      <c r="H1980" t="s">
        <v>43</v>
      </c>
      <c r="I1980" s="187"/>
      <c r="J1980" s="187">
        <v>244.30927668407415</v>
      </c>
      <c r="K1980" s="187">
        <v>371.96964083080968</v>
      </c>
      <c r="L1980" s="187">
        <v>310.93907941609439</v>
      </c>
      <c r="M1980" s="187">
        <v>927.218017578125</v>
      </c>
      <c r="N1980" s="187">
        <v>310.9390869140625</v>
      </c>
      <c r="O1980" t="s">
        <v>2438</v>
      </c>
    </row>
    <row r="1981" spans="1:15" hidden="1" x14ac:dyDescent="0.45">
      <c r="A1981" s="187">
        <v>2017</v>
      </c>
      <c r="B1981" t="s">
        <v>313</v>
      </c>
      <c r="C1981" t="s">
        <v>328</v>
      </c>
      <c r="D1981" t="s">
        <v>39</v>
      </c>
      <c r="E1981" t="s">
        <v>352</v>
      </c>
      <c r="F1981" t="s">
        <v>433</v>
      </c>
      <c r="G1981" t="s">
        <v>36</v>
      </c>
      <c r="H1981" t="s">
        <v>43</v>
      </c>
      <c r="I1981" s="187"/>
      <c r="J1981" s="187">
        <v>182.5714719832655</v>
      </c>
      <c r="K1981" s="187">
        <v>137.58928450168855</v>
      </c>
      <c r="L1981" s="187">
        <v>211.09826448065073</v>
      </c>
      <c r="M1981" s="187">
        <v>531.259033203125</v>
      </c>
      <c r="N1981" s="187">
        <v>211.0982666015625</v>
      </c>
      <c r="O1981" t="s">
        <v>2439</v>
      </c>
    </row>
    <row r="1982" spans="1:15" hidden="1" x14ac:dyDescent="0.45">
      <c r="A1982" s="187">
        <v>2017</v>
      </c>
      <c r="B1982" t="s">
        <v>312</v>
      </c>
      <c r="C1982" t="s">
        <v>328</v>
      </c>
      <c r="D1982" t="s">
        <v>39</v>
      </c>
      <c r="E1982" t="s">
        <v>352</v>
      </c>
      <c r="F1982" t="s">
        <v>361</v>
      </c>
      <c r="G1982" t="s">
        <v>36</v>
      </c>
      <c r="H1982" t="s">
        <v>43</v>
      </c>
      <c r="I1982" s="187"/>
      <c r="J1982" s="187"/>
      <c r="K1982" s="187">
        <v>0</v>
      </c>
      <c r="L1982" s="187"/>
      <c r="M1982" s="187">
        <v>0</v>
      </c>
      <c r="N1982" s="187">
        <v>0</v>
      </c>
      <c r="O1982" t="s">
        <v>2443</v>
      </c>
    </row>
    <row r="1983" spans="1:15" hidden="1" x14ac:dyDescent="0.45">
      <c r="A1983" s="187">
        <v>2017</v>
      </c>
      <c r="B1983" t="s">
        <v>309</v>
      </c>
      <c r="C1983" t="s">
        <v>328</v>
      </c>
      <c r="D1983" t="s">
        <v>39</v>
      </c>
      <c r="E1983" t="s">
        <v>352</v>
      </c>
      <c r="F1983" t="s">
        <v>361</v>
      </c>
      <c r="G1983" t="s">
        <v>36</v>
      </c>
      <c r="H1983" t="s">
        <v>43</v>
      </c>
      <c r="I1983" s="187"/>
      <c r="J1983" s="187"/>
      <c r="K1983" s="187">
        <v>0</v>
      </c>
      <c r="L1983" s="187"/>
      <c r="M1983" s="187">
        <v>0</v>
      </c>
      <c r="N1983" s="187">
        <v>0</v>
      </c>
      <c r="O1983" t="s">
        <v>2445</v>
      </c>
    </row>
    <row r="1984" spans="1:15" hidden="1" x14ac:dyDescent="0.45">
      <c r="A1984" s="187">
        <v>2017</v>
      </c>
      <c r="B1984" t="s">
        <v>313</v>
      </c>
      <c r="C1984" t="s">
        <v>328</v>
      </c>
      <c r="D1984" t="s">
        <v>39</v>
      </c>
      <c r="E1984" t="s">
        <v>352</v>
      </c>
      <c r="F1984" t="s">
        <v>361</v>
      </c>
      <c r="G1984" t="s">
        <v>36</v>
      </c>
      <c r="H1984" t="s">
        <v>43</v>
      </c>
      <c r="I1984" s="187"/>
      <c r="J1984" s="187">
        <v>0</v>
      </c>
      <c r="K1984" s="187">
        <v>0</v>
      </c>
      <c r="L1984" s="187">
        <v>0</v>
      </c>
      <c r="M1984" s="187">
        <v>0</v>
      </c>
      <c r="N1984" s="187">
        <v>0</v>
      </c>
      <c r="O1984" t="s">
        <v>2444</v>
      </c>
    </row>
    <row r="1985" spans="1:15" hidden="1" x14ac:dyDescent="0.45">
      <c r="A1985" s="187">
        <v>2017</v>
      </c>
      <c r="B1985" t="s">
        <v>311</v>
      </c>
      <c r="C1985" t="s">
        <v>328</v>
      </c>
      <c r="D1985" t="s">
        <v>39</v>
      </c>
      <c r="E1985" t="s">
        <v>352</v>
      </c>
      <c r="F1985" t="s">
        <v>361</v>
      </c>
      <c r="G1985" t="s">
        <v>36</v>
      </c>
      <c r="H1985" t="s">
        <v>43</v>
      </c>
      <c r="I1985" s="187"/>
      <c r="J1985" s="187"/>
      <c r="K1985" s="187">
        <v>0</v>
      </c>
      <c r="L1985" s="187">
        <v>0</v>
      </c>
      <c r="M1985" s="187">
        <v>0</v>
      </c>
      <c r="N1985" s="187">
        <v>0</v>
      </c>
      <c r="O1985" t="s">
        <v>2442</v>
      </c>
    </row>
    <row r="1986" spans="1:15" hidden="1" x14ac:dyDescent="0.45">
      <c r="A1986" s="187">
        <v>2017</v>
      </c>
      <c r="B1986" t="s">
        <v>310</v>
      </c>
      <c r="C1986" t="s">
        <v>328</v>
      </c>
      <c r="D1986" t="s">
        <v>39</v>
      </c>
      <c r="E1986" t="s">
        <v>352</v>
      </c>
      <c r="F1986" t="s">
        <v>361</v>
      </c>
      <c r="G1986" t="s">
        <v>36</v>
      </c>
      <c r="H1986" t="s">
        <v>43</v>
      </c>
      <c r="I1986" s="187"/>
      <c r="J1986" s="187">
        <v>0</v>
      </c>
      <c r="K1986" s="187">
        <v>0</v>
      </c>
      <c r="L1986" s="187"/>
      <c r="M1986" s="187">
        <v>0</v>
      </c>
      <c r="N1986" s="187">
        <v>0</v>
      </c>
      <c r="O1986" t="s">
        <v>2441</v>
      </c>
    </row>
    <row r="1987" spans="1:15" hidden="1" x14ac:dyDescent="0.45">
      <c r="A1987" s="187">
        <v>2017</v>
      </c>
      <c r="B1987" t="s">
        <v>312</v>
      </c>
      <c r="C1987" t="s">
        <v>328</v>
      </c>
      <c r="D1987" t="s">
        <v>39</v>
      </c>
      <c r="E1987" t="s">
        <v>40</v>
      </c>
      <c r="F1987" t="s">
        <v>40</v>
      </c>
      <c r="G1987" t="s">
        <v>36</v>
      </c>
      <c r="H1987" t="s">
        <v>43</v>
      </c>
      <c r="I1987" s="187">
        <v>4768.6463738864786</v>
      </c>
      <c r="J1987" s="187">
        <v>168.16526079411148</v>
      </c>
      <c r="K1987" s="187">
        <v>6343.1247531837826</v>
      </c>
      <c r="L1987" s="187">
        <v>5114.543448979528</v>
      </c>
      <c r="M1987" s="187">
        <v>16394.48046875</v>
      </c>
      <c r="N1987" s="187">
        <v>9883.189453125</v>
      </c>
      <c r="O1987" t="s">
        <v>2448</v>
      </c>
    </row>
    <row r="1988" spans="1:15" hidden="1" x14ac:dyDescent="0.45">
      <c r="A1988" s="187">
        <v>2017</v>
      </c>
      <c r="B1988" t="s">
        <v>310</v>
      </c>
      <c r="C1988" t="s">
        <v>328</v>
      </c>
      <c r="D1988" t="s">
        <v>39</v>
      </c>
      <c r="E1988" t="s">
        <v>40</v>
      </c>
      <c r="F1988" t="s">
        <v>40</v>
      </c>
      <c r="G1988" t="s">
        <v>36</v>
      </c>
      <c r="H1988" t="s">
        <v>43</v>
      </c>
      <c r="I1988" s="187"/>
      <c r="J1988" s="187">
        <v>140.27326890951625</v>
      </c>
      <c r="K1988" s="187">
        <v>6068.7235706834736</v>
      </c>
      <c r="L1988" s="187">
        <v>9681.1934425717809</v>
      </c>
      <c r="M1988" s="187">
        <v>15890.1904296875</v>
      </c>
      <c r="N1988" s="187">
        <v>9681.193359375</v>
      </c>
      <c r="O1988" t="s">
        <v>2450</v>
      </c>
    </row>
    <row r="1989" spans="1:15" hidden="1" x14ac:dyDescent="0.45">
      <c r="A1989" s="187">
        <v>2017</v>
      </c>
      <c r="B1989" t="s">
        <v>311</v>
      </c>
      <c r="C1989" t="s">
        <v>328</v>
      </c>
      <c r="D1989" t="s">
        <v>39</v>
      </c>
      <c r="E1989" t="s">
        <v>40</v>
      </c>
      <c r="F1989" t="s">
        <v>40</v>
      </c>
      <c r="G1989" t="s">
        <v>36</v>
      </c>
      <c r="H1989" t="s">
        <v>43</v>
      </c>
      <c r="I1989" s="187"/>
      <c r="J1989" s="187">
        <v>168.93424116904589</v>
      </c>
      <c r="K1989" s="187">
        <v>6126.0457849981267</v>
      </c>
      <c r="L1989" s="187">
        <v>9595.4648984018058</v>
      </c>
      <c r="M1989" s="187">
        <v>15890.4453125</v>
      </c>
      <c r="N1989" s="187">
        <v>9595.46484375</v>
      </c>
      <c r="O1989" t="s">
        <v>2446</v>
      </c>
    </row>
    <row r="1990" spans="1:15" hidden="1" x14ac:dyDescent="0.45">
      <c r="A1990" s="187">
        <v>2017</v>
      </c>
      <c r="B1990" t="s">
        <v>309</v>
      </c>
      <c r="C1990" t="s">
        <v>328</v>
      </c>
      <c r="D1990" t="s">
        <v>39</v>
      </c>
      <c r="E1990" t="s">
        <v>40</v>
      </c>
      <c r="F1990" t="s">
        <v>40</v>
      </c>
      <c r="G1990" t="s">
        <v>36</v>
      </c>
      <c r="H1990" t="s">
        <v>43</v>
      </c>
      <c r="I1990" s="187"/>
      <c r="J1990" s="187">
        <v>624.13780235191655</v>
      </c>
      <c r="K1990" s="187">
        <v>6519.0329142162227</v>
      </c>
      <c r="L1990" s="187">
        <v>10193.456703297141</v>
      </c>
      <c r="M1990" s="187">
        <v>17336.626953125</v>
      </c>
      <c r="N1990" s="187">
        <v>10193.45703125</v>
      </c>
      <c r="O1990" t="s">
        <v>2447</v>
      </c>
    </row>
    <row r="1991" spans="1:15" hidden="1" x14ac:dyDescent="0.45">
      <c r="A1991" s="187">
        <v>2017</v>
      </c>
      <c r="B1991" t="s">
        <v>313</v>
      </c>
      <c r="C1991" t="s">
        <v>328</v>
      </c>
      <c r="D1991" t="s">
        <v>39</v>
      </c>
      <c r="E1991" t="s">
        <v>40</v>
      </c>
      <c r="F1991" t="s">
        <v>40</v>
      </c>
      <c r="G1991" t="s">
        <v>36</v>
      </c>
      <c r="H1991" t="s">
        <v>43</v>
      </c>
      <c r="I1991" s="187">
        <v>4877.0545525229691</v>
      </c>
      <c r="J1991" s="187">
        <v>136.92860398744912</v>
      </c>
      <c r="K1991" s="187">
        <v>6037.9838325508281</v>
      </c>
      <c r="L1991" s="187">
        <v>5130.2583627297608</v>
      </c>
      <c r="M1991" s="187">
        <v>16182.2255859375</v>
      </c>
      <c r="N1991" s="187">
        <v>10007.3134765625</v>
      </c>
      <c r="O1991" t="s">
        <v>2449</v>
      </c>
    </row>
    <row r="1992" spans="1:15" hidden="1" x14ac:dyDescent="0.45">
      <c r="A1992" s="187">
        <v>2017</v>
      </c>
      <c r="B1992" t="s">
        <v>310</v>
      </c>
      <c r="C1992" t="s">
        <v>328</v>
      </c>
      <c r="D1992" t="s">
        <v>39</v>
      </c>
      <c r="E1992" t="s">
        <v>40</v>
      </c>
      <c r="F1992" t="s">
        <v>40</v>
      </c>
      <c r="G1992" t="s">
        <v>37</v>
      </c>
      <c r="H1992" t="s">
        <v>43</v>
      </c>
      <c r="I1992" s="187"/>
      <c r="J1992" s="187">
        <v>128</v>
      </c>
      <c r="K1992" s="187">
        <v>5531.4412066686327</v>
      </c>
      <c r="L1992" s="187">
        <v>9011</v>
      </c>
      <c r="M1992" s="187">
        <v>14670.44140625</v>
      </c>
      <c r="N1992" s="187">
        <v>9011</v>
      </c>
      <c r="O1992" t="s">
        <v>2451</v>
      </c>
    </row>
    <row r="1993" spans="1:15" hidden="1" x14ac:dyDescent="0.45">
      <c r="A1993" s="187">
        <v>2017</v>
      </c>
      <c r="B1993" t="s">
        <v>309</v>
      </c>
      <c r="C1993" t="s">
        <v>328</v>
      </c>
      <c r="D1993" t="s">
        <v>39</v>
      </c>
      <c r="E1993" t="s">
        <v>40</v>
      </c>
      <c r="F1993" t="s">
        <v>40</v>
      </c>
      <c r="G1993" t="s">
        <v>37</v>
      </c>
      <c r="H1993" t="s">
        <v>43</v>
      </c>
      <c r="I1993" s="187"/>
      <c r="J1993" s="187">
        <v>567.64919999999995</v>
      </c>
      <c r="K1993" s="187">
        <v>5992.8607869953266</v>
      </c>
      <c r="L1993" s="187">
        <v>9687</v>
      </c>
      <c r="M1993" s="187">
        <v>16247.509765625</v>
      </c>
      <c r="N1993" s="187">
        <v>9687</v>
      </c>
      <c r="O1993" t="s">
        <v>2454</v>
      </c>
    </row>
    <row r="1994" spans="1:15" hidden="1" x14ac:dyDescent="0.45">
      <c r="A1994" s="187">
        <v>2017</v>
      </c>
      <c r="B1994" t="s">
        <v>311</v>
      </c>
      <c r="C1994" t="s">
        <v>328</v>
      </c>
      <c r="D1994" t="s">
        <v>39</v>
      </c>
      <c r="E1994" t="s">
        <v>40</v>
      </c>
      <c r="F1994" t="s">
        <v>40</v>
      </c>
      <c r="G1994" t="s">
        <v>37</v>
      </c>
      <c r="H1994" t="s">
        <v>43</v>
      </c>
      <c r="I1994" s="187"/>
      <c r="J1994" s="187">
        <v>151</v>
      </c>
      <c r="K1994" s="187">
        <v>5433.0543154402276</v>
      </c>
      <c r="L1994" s="187">
        <v>8738</v>
      </c>
      <c r="M1994" s="187">
        <v>14322.0546875</v>
      </c>
      <c r="N1994" s="187">
        <v>8738</v>
      </c>
      <c r="O1994" t="s">
        <v>2453</v>
      </c>
    </row>
    <row r="1995" spans="1:15" hidden="1" x14ac:dyDescent="0.45">
      <c r="A1995" s="187">
        <v>2017</v>
      </c>
      <c r="B1995" t="s">
        <v>312</v>
      </c>
      <c r="C1995" t="s">
        <v>328</v>
      </c>
      <c r="D1995" t="s">
        <v>39</v>
      </c>
      <c r="E1995" t="s">
        <v>40</v>
      </c>
      <c r="F1995" t="s">
        <v>40</v>
      </c>
      <c r="G1995" t="s">
        <v>37</v>
      </c>
      <c r="H1995" t="s">
        <v>43</v>
      </c>
      <c r="I1995" s="187">
        <v>4132.3100238009447</v>
      </c>
      <c r="J1995" s="187">
        <v>148</v>
      </c>
      <c r="K1995" s="187">
        <v>5562.1451367046684</v>
      </c>
      <c r="L1995" s="187">
        <v>4487</v>
      </c>
      <c r="M1995" s="187">
        <v>14329.455078125</v>
      </c>
      <c r="N1995" s="187">
        <v>8619.310546875</v>
      </c>
      <c r="O1995" t="s">
        <v>2452</v>
      </c>
    </row>
    <row r="1996" spans="1:15" hidden="1" x14ac:dyDescent="0.45">
      <c r="A1996" s="187">
        <v>2017</v>
      </c>
      <c r="B1996" t="s">
        <v>313</v>
      </c>
      <c r="C1996" t="s">
        <v>328</v>
      </c>
      <c r="D1996" t="s">
        <v>39</v>
      </c>
      <c r="E1996" t="s">
        <v>40</v>
      </c>
      <c r="F1996" t="s">
        <v>40</v>
      </c>
      <c r="G1996" t="s">
        <v>37</v>
      </c>
      <c r="H1996" t="s">
        <v>43</v>
      </c>
      <c r="I1996" s="187">
        <v>4274.1000000000004</v>
      </c>
      <c r="J1996" s="187">
        <v>120</v>
      </c>
      <c r="K1996" s="187">
        <v>5291.5025700000006</v>
      </c>
      <c r="L1996" s="187">
        <v>4496</v>
      </c>
      <c r="M1996" s="187">
        <v>14181.6025390625</v>
      </c>
      <c r="N1996" s="187">
        <v>8770.099609375</v>
      </c>
      <c r="O1996" t="s">
        <v>2455</v>
      </c>
    </row>
    <row r="1997" spans="1:15" hidden="1" x14ac:dyDescent="0.45">
      <c r="A1997" s="187">
        <v>2017</v>
      </c>
      <c r="B1997" t="s">
        <v>313</v>
      </c>
      <c r="C1997" t="s">
        <v>328</v>
      </c>
      <c r="D1997" t="s">
        <v>39</v>
      </c>
      <c r="E1997" t="s">
        <v>41</v>
      </c>
      <c r="F1997" t="s">
        <v>41</v>
      </c>
      <c r="G1997" t="s">
        <v>36</v>
      </c>
      <c r="H1997" t="s">
        <v>43</v>
      </c>
      <c r="I1997" s="187">
        <v>3401.4708373730209</v>
      </c>
      <c r="J1997" s="187">
        <v>1688.7861158452058</v>
      </c>
      <c r="K1997" s="187">
        <v>11365.595484976042</v>
      </c>
      <c r="L1997" s="187">
        <v>8503.2663076205899</v>
      </c>
      <c r="M1997" s="187">
        <v>24959.1171875</v>
      </c>
      <c r="N1997" s="187">
        <v>11904.7373046875</v>
      </c>
      <c r="O1997" t="s">
        <v>2456</v>
      </c>
    </row>
    <row r="1998" spans="1:15" hidden="1" x14ac:dyDescent="0.45">
      <c r="A1998" s="187">
        <v>2017</v>
      </c>
      <c r="B1998" t="s">
        <v>311</v>
      </c>
      <c r="C1998" t="s">
        <v>328</v>
      </c>
      <c r="D1998" t="s">
        <v>39</v>
      </c>
      <c r="E1998" t="s">
        <v>41</v>
      </c>
      <c r="F1998" t="s">
        <v>41</v>
      </c>
      <c r="G1998" t="s">
        <v>36</v>
      </c>
      <c r="H1998" t="s">
        <v>43</v>
      </c>
      <c r="I1998" s="187"/>
      <c r="J1998" s="187">
        <v>1683.5170930294573</v>
      </c>
      <c r="K1998" s="187">
        <v>12099.178670231902</v>
      </c>
      <c r="L1998" s="187">
        <v>12276.276546194735</v>
      </c>
      <c r="M1998" s="187">
        <v>26058.97265625</v>
      </c>
      <c r="N1998" s="187">
        <v>12276.2763671875</v>
      </c>
      <c r="O1998" t="s">
        <v>2460</v>
      </c>
    </row>
    <row r="1999" spans="1:15" hidden="1" x14ac:dyDescent="0.45">
      <c r="A1999" s="187">
        <v>2017</v>
      </c>
      <c r="B1999" t="s">
        <v>310</v>
      </c>
      <c r="C1999" t="s">
        <v>328</v>
      </c>
      <c r="D1999" t="s">
        <v>39</v>
      </c>
      <c r="E1999" t="s">
        <v>41</v>
      </c>
      <c r="F1999" t="s">
        <v>41</v>
      </c>
      <c r="G1999" t="s">
        <v>36</v>
      </c>
      <c r="H1999" t="s">
        <v>43</v>
      </c>
      <c r="I1999" s="187"/>
      <c r="J1999" s="187">
        <v>1795.4305177708507</v>
      </c>
      <c r="K1999" s="187">
        <v>11895.824062165833</v>
      </c>
      <c r="L1999" s="187">
        <v>14030.833722674362</v>
      </c>
      <c r="M1999" s="187">
        <v>27722.087890625</v>
      </c>
      <c r="N1999" s="187">
        <v>14030.833984375</v>
      </c>
      <c r="O1999" t="s">
        <v>2459</v>
      </c>
    </row>
    <row r="2000" spans="1:15" hidden="1" x14ac:dyDescent="0.45">
      <c r="A2000" s="187">
        <v>2017</v>
      </c>
      <c r="B2000" t="s">
        <v>312</v>
      </c>
      <c r="C2000" t="s">
        <v>328</v>
      </c>
      <c r="D2000" t="s">
        <v>39</v>
      </c>
      <c r="E2000" t="s">
        <v>41</v>
      </c>
      <c r="F2000" t="s">
        <v>41</v>
      </c>
      <c r="G2000" t="s">
        <v>36</v>
      </c>
      <c r="H2000" t="s">
        <v>43</v>
      </c>
      <c r="I2000" s="187">
        <v>3687.0008364713358</v>
      </c>
      <c r="J2000" s="187">
        <v>1675.8538058447662</v>
      </c>
      <c r="K2000" s="187">
        <v>12642.005846947643</v>
      </c>
      <c r="L2000" s="187">
        <v>8532.3574045674359</v>
      </c>
      <c r="M2000" s="187">
        <v>26537.216796875</v>
      </c>
      <c r="N2000" s="187">
        <v>12219.3583984375</v>
      </c>
      <c r="O2000" t="s">
        <v>2457</v>
      </c>
    </row>
    <row r="2001" spans="1:15" hidden="1" x14ac:dyDescent="0.45">
      <c r="A2001" s="187">
        <v>2017</v>
      </c>
      <c r="B2001" t="s">
        <v>309</v>
      </c>
      <c r="C2001" t="s">
        <v>328</v>
      </c>
      <c r="D2001" t="s">
        <v>39</v>
      </c>
      <c r="E2001" t="s">
        <v>41</v>
      </c>
      <c r="F2001" t="s">
        <v>41</v>
      </c>
      <c r="G2001" t="s">
        <v>36</v>
      </c>
      <c r="H2001" t="s">
        <v>43</v>
      </c>
      <c r="I2001" s="187"/>
      <c r="J2001" s="187">
        <v>1057.6991765047746</v>
      </c>
      <c r="K2001" s="187">
        <v>12694.090868838459</v>
      </c>
      <c r="L2001" s="187">
        <v>15305.669389736884</v>
      </c>
      <c r="M2001" s="187">
        <v>29057.458984375</v>
      </c>
      <c r="N2001" s="187">
        <v>15305.6689453125</v>
      </c>
      <c r="O2001" t="s">
        <v>2458</v>
      </c>
    </row>
    <row r="2002" spans="1:15" hidden="1" x14ac:dyDescent="0.45">
      <c r="A2002" s="187">
        <v>2017</v>
      </c>
      <c r="B2002" t="s">
        <v>312</v>
      </c>
      <c r="C2002" t="s">
        <v>328</v>
      </c>
      <c r="D2002" t="s">
        <v>39</v>
      </c>
      <c r="E2002" t="s">
        <v>41</v>
      </c>
      <c r="F2002" t="s">
        <v>41</v>
      </c>
      <c r="G2002" t="s">
        <v>37</v>
      </c>
      <c r="H2002" t="s">
        <v>43</v>
      </c>
      <c r="I2002" s="187">
        <v>3195.0011218583331</v>
      </c>
      <c r="J2002" s="187">
        <v>1474</v>
      </c>
      <c r="K2002" s="187">
        <v>11085.49399166365</v>
      </c>
      <c r="L2002" s="187">
        <v>7486</v>
      </c>
      <c r="M2002" s="187">
        <v>23240.49609375</v>
      </c>
      <c r="N2002" s="187">
        <v>10681.0009765625</v>
      </c>
      <c r="O2002" t="s">
        <v>2462</v>
      </c>
    </row>
    <row r="2003" spans="1:15" hidden="1" x14ac:dyDescent="0.45">
      <c r="A2003" s="187">
        <v>2017</v>
      </c>
      <c r="B2003" t="s">
        <v>310</v>
      </c>
      <c r="C2003" t="s">
        <v>328</v>
      </c>
      <c r="D2003" t="s">
        <v>39</v>
      </c>
      <c r="E2003" t="s">
        <v>41</v>
      </c>
      <c r="F2003" t="s">
        <v>41</v>
      </c>
      <c r="G2003" t="s">
        <v>37</v>
      </c>
      <c r="H2003" t="s">
        <v>43</v>
      </c>
      <c r="I2003" s="187"/>
      <c r="J2003" s="187">
        <v>1635</v>
      </c>
      <c r="K2003" s="187">
        <v>10842.650952601171</v>
      </c>
      <c r="L2003" s="187">
        <v>13059</v>
      </c>
      <c r="M2003" s="187">
        <v>25536.65234375</v>
      </c>
      <c r="N2003" s="187">
        <v>13059</v>
      </c>
      <c r="O2003" t="s">
        <v>2461</v>
      </c>
    </row>
    <row r="2004" spans="1:15" hidden="1" x14ac:dyDescent="0.45">
      <c r="A2004" s="187">
        <v>2017</v>
      </c>
      <c r="B2004" t="s">
        <v>311</v>
      </c>
      <c r="C2004" t="s">
        <v>328</v>
      </c>
      <c r="D2004" t="s">
        <v>39</v>
      </c>
      <c r="E2004" t="s">
        <v>41</v>
      </c>
      <c r="F2004" t="s">
        <v>41</v>
      </c>
      <c r="G2004" t="s">
        <v>37</v>
      </c>
      <c r="H2004" t="s">
        <v>43</v>
      </c>
      <c r="I2004" s="187"/>
      <c r="J2004" s="187">
        <v>1505</v>
      </c>
      <c r="K2004" s="187">
        <v>10730.493567084221</v>
      </c>
      <c r="L2004" s="187">
        <v>11179</v>
      </c>
      <c r="M2004" s="187">
        <v>23414.4921875</v>
      </c>
      <c r="N2004" s="187">
        <v>11179</v>
      </c>
      <c r="O2004" t="s">
        <v>2464</v>
      </c>
    </row>
    <row r="2005" spans="1:15" hidden="1" x14ac:dyDescent="0.45">
      <c r="A2005" s="187">
        <v>2017</v>
      </c>
      <c r="B2005" t="s">
        <v>313</v>
      </c>
      <c r="C2005" t="s">
        <v>328</v>
      </c>
      <c r="D2005" t="s">
        <v>39</v>
      </c>
      <c r="E2005" t="s">
        <v>41</v>
      </c>
      <c r="F2005" t="s">
        <v>41</v>
      </c>
      <c r="G2005" t="s">
        <v>37</v>
      </c>
      <c r="H2005" t="s">
        <v>43</v>
      </c>
      <c r="I2005" s="187">
        <v>2980.944</v>
      </c>
      <c r="J2005" s="187">
        <v>1480</v>
      </c>
      <c r="K2005" s="187">
        <v>9960.4568985610749</v>
      </c>
      <c r="L2005" s="187">
        <v>7452</v>
      </c>
      <c r="M2005" s="187">
        <v>21873.40234375</v>
      </c>
      <c r="N2005" s="187">
        <v>10432.9443359375</v>
      </c>
      <c r="O2005" t="s">
        <v>2463</v>
      </c>
    </row>
    <row r="2006" spans="1:15" hidden="1" x14ac:dyDescent="0.45">
      <c r="A2006" s="187">
        <v>2017</v>
      </c>
      <c r="B2006" t="s">
        <v>309</v>
      </c>
      <c r="C2006" t="s">
        <v>328</v>
      </c>
      <c r="D2006" t="s">
        <v>39</v>
      </c>
      <c r="E2006" t="s">
        <v>41</v>
      </c>
      <c r="F2006" t="s">
        <v>41</v>
      </c>
      <c r="G2006" t="s">
        <v>37</v>
      </c>
      <c r="H2006" t="s">
        <v>43</v>
      </c>
      <c r="I2006" s="187"/>
      <c r="J2006" s="187">
        <v>961.97039999999993</v>
      </c>
      <c r="K2006" s="187">
        <v>11669.50994042706</v>
      </c>
      <c r="L2006" s="187">
        <v>14544</v>
      </c>
      <c r="M2006" s="187">
        <v>27175.48046875</v>
      </c>
      <c r="N2006" s="187">
        <v>14544</v>
      </c>
      <c r="O2006" t="s">
        <v>2465</v>
      </c>
    </row>
    <row r="2007" spans="1:15" hidden="1" x14ac:dyDescent="0.45">
      <c r="A2007" s="187">
        <v>2017</v>
      </c>
      <c r="B2007" t="s">
        <v>309</v>
      </c>
      <c r="C2007" t="s">
        <v>328</v>
      </c>
      <c r="D2007" t="s">
        <v>39</v>
      </c>
      <c r="E2007" t="s">
        <v>361</v>
      </c>
      <c r="F2007" t="s">
        <v>361</v>
      </c>
      <c r="G2007" t="s">
        <v>36</v>
      </c>
      <c r="H2007" t="s">
        <v>43</v>
      </c>
      <c r="I2007" s="187"/>
      <c r="J2007" s="187">
        <v>0</v>
      </c>
      <c r="K2007" s="187"/>
      <c r="L2007" s="187">
        <v>0</v>
      </c>
      <c r="M2007" s="187">
        <v>0</v>
      </c>
      <c r="N2007" s="187">
        <v>0</v>
      </c>
      <c r="O2007" t="s">
        <v>2466</v>
      </c>
    </row>
    <row r="2008" spans="1:15" hidden="1" x14ac:dyDescent="0.45">
      <c r="A2008" s="187">
        <v>2017</v>
      </c>
      <c r="B2008" t="s">
        <v>312</v>
      </c>
      <c r="C2008" t="s">
        <v>328</v>
      </c>
      <c r="D2008" t="s">
        <v>39</v>
      </c>
      <c r="E2008" t="s">
        <v>361</v>
      </c>
      <c r="F2008" t="s">
        <v>361</v>
      </c>
      <c r="G2008" t="s">
        <v>36</v>
      </c>
      <c r="H2008" t="s">
        <v>43</v>
      </c>
      <c r="I2008" s="187"/>
      <c r="J2008" s="187">
        <v>0</v>
      </c>
      <c r="K2008" s="187"/>
      <c r="L2008" s="187"/>
      <c r="M2008" s="187">
        <v>0</v>
      </c>
      <c r="N2008" s="187">
        <v>0</v>
      </c>
      <c r="O2008" t="s">
        <v>2467</v>
      </c>
    </row>
    <row r="2009" spans="1:15" hidden="1" x14ac:dyDescent="0.45">
      <c r="A2009" s="187">
        <v>2017</v>
      </c>
      <c r="B2009" t="s">
        <v>311</v>
      </c>
      <c r="C2009" t="s">
        <v>328</v>
      </c>
      <c r="D2009" t="s">
        <v>39</v>
      </c>
      <c r="E2009" t="s">
        <v>361</v>
      </c>
      <c r="F2009" t="s">
        <v>361</v>
      </c>
      <c r="G2009" t="s">
        <v>36</v>
      </c>
      <c r="H2009" t="s">
        <v>43</v>
      </c>
      <c r="I2009" s="187"/>
      <c r="J2009" s="187">
        <v>0</v>
      </c>
      <c r="K2009" s="187"/>
      <c r="L2009" s="187"/>
      <c r="M2009" s="187">
        <v>0</v>
      </c>
      <c r="N2009" s="187">
        <v>0</v>
      </c>
      <c r="O2009" t="s">
        <v>2468</v>
      </c>
    </row>
    <row r="2010" spans="1:15" hidden="1" x14ac:dyDescent="0.45">
      <c r="A2010" s="187">
        <v>2017</v>
      </c>
      <c r="B2010" t="s">
        <v>313</v>
      </c>
      <c r="C2010" t="s">
        <v>328</v>
      </c>
      <c r="D2010" t="s">
        <v>39</v>
      </c>
      <c r="E2010" t="s">
        <v>361</v>
      </c>
      <c r="F2010" t="s">
        <v>361</v>
      </c>
      <c r="G2010" t="s">
        <v>36</v>
      </c>
      <c r="H2010" t="s">
        <v>43</v>
      </c>
      <c r="I2010" s="187"/>
      <c r="J2010" s="187"/>
      <c r="K2010" s="187"/>
      <c r="L2010" s="187"/>
      <c r="M2010" s="187">
        <v>0</v>
      </c>
      <c r="N2010" s="187">
        <v>0</v>
      </c>
      <c r="O2010" t="s">
        <v>2470</v>
      </c>
    </row>
    <row r="2011" spans="1:15" hidden="1" x14ac:dyDescent="0.45">
      <c r="A2011" s="187">
        <v>2017</v>
      </c>
      <c r="B2011" t="s">
        <v>310</v>
      </c>
      <c r="C2011" t="s">
        <v>328</v>
      </c>
      <c r="D2011" t="s">
        <v>39</v>
      </c>
      <c r="E2011" t="s">
        <v>361</v>
      </c>
      <c r="F2011" t="s">
        <v>361</v>
      </c>
      <c r="G2011" t="s">
        <v>36</v>
      </c>
      <c r="H2011" t="s">
        <v>43</v>
      </c>
      <c r="I2011" s="187"/>
      <c r="J2011" s="187"/>
      <c r="K2011" s="187"/>
      <c r="L2011" s="187"/>
      <c r="M2011" s="187">
        <v>0</v>
      </c>
      <c r="N2011" s="187">
        <v>0</v>
      </c>
      <c r="O2011" t="s">
        <v>2469</v>
      </c>
    </row>
    <row r="2012" spans="1:15" hidden="1" x14ac:dyDescent="0.45">
      <c r="A2012" s="187">
        <v>2017</v>
      </c>
      <c r="B2012" t="s">
        <v>312</v>
      </c>
      <c r="C2012" t="s">
        <v>328</v>
      </c>
      <c r="D2012" t="s">
        <v>39</v>
      </c>
      <c r="E2012" t="s">
        <v>362</v>
      </c>
      <c r="F2012" t="s">
        <v>362</v>
      </c>
      <c r="G2012" t="s">
        <v>36</v>
      </c>
      <c r="H2012" t="s">
        <v>43</v>
      </c>
      <c r="I2012" s="187">
        <v>2135.3951386033173</v>
      </c>
      <c r="J2012" s="187">
        <v>98.57963563792741</v>
      </c>
      <c r="K2012" s="187">
        <v>2361.6969758867367</v>
      </c>
      <c r="L2012" s="187">
        <v>2844.8923084686585</v>
      </c>
      <c r="M2012" s="187">
        <v>7440.5634765625</v>
      </c>
      <c r="N2012" s="187">
        <v>4980.287109375</v>
      </c>
      <c r="O2012" t="s">
        <v>2474</v>
      </c>
    </row>
    <row r="2013" spans="1:15" hidden="1" x14ac:dyDescent="0.45">
      <c r="A2013" s="187">
        <v>2017</v>
      </c>
      <c r="B2013" t="s">
        <v>309</v>
      </c>
      <c r="C2013" t="s">
        <v>328</v>
      </c>
      <c r="D2013" t="s">
        <v>39</v>
      </c>
      <c r="E2013" t="s">
        <v>362</v>
      </c>
      <c r="F2013" t="s">
        <v>362</v>
      </c>
      <c r="G2013" t="s">
        <v>36</v>
      </c>
      <c r="H2013" t="s">
        <v>43</v>
      </c>
      <c r="I2013" s="187"/>
      <c r="J2013" s="187">
        <v>612.22677558947532</v>
      </c>
      <c r="K2013" s="187">
        <v>2764.3615805856302</v>
      </c>
      <c r="L2013" s="187">
        <v>5412.3705608532609</v>
      </c>
      <c r="M2013" s="187">
        <v>8788.958984375</v>
      </c>
      <c r="N2013" s="187">
        <v>5412.37060546875</v>
      </c>
      <c r="O2013" t="s">
        <v>2475</v>
      </c>
    </row>
    <row r="2014" spans="1:15" hidden="1" x14ac:dyDescent="0.45">
      <c r="A2014" s="187">
        <v>2017</v>
      </c>
      <c r="B2014" t="s">
        <v>310</v>
      </c>
      <c r="C2014" t="s">
        <v>328</v>
      </c>
      <c r="D2014" t="s">
        <v>39</v>
      </c>
      <c r="E2014" t="s">
        <v>362</v>
      </c>
      <c r="F2014" t="s">
        <v>362</v>
      </c>
      <c r="G2014" t="s">
        <v>36</v>
      </c>
      <c r="H2014" t="s">
        <v>43</v>
      </c>
      <c r="I2014" s="187"/>
      <c r="J2014" s="187">
        <v>93.515512606344174</v>
      </c>
      <c r="K2014" s="187">
        <v>2146.4422504275503</v>
      </c>
      <c r="L2014" s="187">
        <v>5231.0239864173773</v>
      </c>
      <c r="M2014" s="187">
        <v>7470.98193359375</v>
      </c>
      <c r="N2014" s="187">
        <v>5231.02392578125</v>
      </c>
      <c r="O2014" t="s">
        <v>2473</v>
      </c>
    </row>
    <row r="2015" spans="1:15" hidden="1" x14ac:dyDescent="0.45">
      <c r="A2015" s="187">
        <v>2017</v>
      </c>
      <c r="B2015" t="s">
        <v>311</v>
      </c>
      <c r="C2015" t="s">
        <v>328</v>
      </c>
      <c r="D2015" t="s">
        <v>39</v>
      </c>
      <c r="E2015" t="s">
        <v>362</v>
      </c>
      <c r="F2015" t="s">
        <v>362</v>
      </c>
      <c r="G2015" t="s">
        <v>36</v>
      </c>
      <c r="H2015" t="s">
        <v>43</v>
      </c>
      <c r="I2015" s="187"/>
      <c r="J2015" s="187">
        <v>99.030417237026896</v>
      </c>
      <c r="K2015" s="187">
        <v>2876.9353646955255</v>
      </c>
      <c r="L2015" s="187">
        <v>5037.7355780341686</v>
      </c>
      <c r="M2015" s="187">
        <v>8013.701171875</v>
      </c>
      <c r="N2015" s="187">
        <v>5037.7353515625</v>
      </c>
      <c r="O2015" t="s">
        <v>2472</v>
      </c>
    </row>
    <row r="2016" spans="1:15" hidden="1" x14ac:dyDescent="0.45">
      <c r="A2016" s="187">
        <v>2017</v>
      </c>
      <c r="B2016" t="s">
        <v>313</v>
      </c>
      <c r="C2016" t="s">
        <v>328</v>
      </c>
      <c r="D2016" t="s">
        <v>39</v>
      </c>
      <c r="E2016" t="s">
        <v>362</v>
      </c>
      <c r="F2016" t="s">
        <v>362</v>
      </c>
      <c r="G2016" t="s">
        <v>36</v>
      </c>
      <c r="H2016" t="s">
        <v>43</v>
      </c>
      <c r="I2016" s="187">
        <v>1926.6584866922024</v>
      </c>
      <c r="J2016" s="187">
        <v>79.875018992678648</v>
      </c>
      <c r="K2016" s="187">
        <v>2679.7274115604714</v>
      </c>
      <c r="L2016" s="187">
        <v>2772.8042307458445</v>
      </c>
      <c r="M2016" s="187">
        <v>7459.06494140625</v>
      </c>
      <c r="N2016" s="187">
        <v>4699.462890625</v>
      </c>
      <c r="O2016" t="s">
        <v>2471</v>
      </c>
    </row>
    <row r="2017" spans="1:15" hidden="1" x14ac:dyDescent="0.45">
      <c r="A2017" s="187">
        <v>2017</v>
      </c>
      <c r="B2017" t="s">
        <v>310</v>
      </c>
      <c r="C2017" t="s">
        <v>328</v>
      </c>
      <c r="D2017" t="s">
        <v>39</v>
      </c>
      <c r="E2017" t="s">
        <v>362</v>
      </c>
      <c r="F2017" t="s">
        <v>362</v>
      </c>
      <c r="G2017" t="s">
        <v>37</v>
      </c>
      <c r="H2017" t="s">
        <v>43</v>
      </c>
      <c r="I2017" s="187"/>
      <c r="J2017" s="187">
        <v>85</v>
      </c>
      <c r="K2017" s="187">
        <v>1956.411257402576</v>
      </c>
      <c r="L2017" s="187">
        <v>4869</v>
      </c>
      <c r="M2017" s="187">
        <v>6910.4111328125</v>
      </c>
      <c r="N2017" s="187">
        <v>4869</v>
      </c>
      <c r="O2017" t="s">
        <v>2477</v>
      </c>
    </row>
    <row r="2018" spans="1:15" hidden="1" x14ac:dyDescent="0.45">
      <c r="A2018" s="187">
        <v>2017</v>
      </c>
      <c r="B2018" t="s">
        <v>311</v>
      </c>
      <c r="C2018" t="s">
        <v>328</v>
      </c>
      <c r="D2018" t="s">
        <v>39</v>
      </c>
      <c r="E2018" t="s">
        <v>362</v>
      </c>
      <c r="F2018" t="s">
        <v>362</v>
      </c>
      <c r="G2018" t="s">
        <v>37</v>
      </c>
      <c r="H2018" t="s">
        <v>43</v>
      </c>
      <c r="I2018" s="187"/>
      <c r="J2018" s="187">
        <v>89</v>
      </c>
      <c r="K2018" s="187">
        <v>2551.4902511304699</v>
      </c>
      <c r="L2018" s="187">
        <v>4588</v>
      </c>
      <c r="M2018" s="187">
        <v>7228.490234375</v>
      </c>
      <c r="N2018" s="187">
        <v>4588</v>
      </c>
      <c r="O2018" t="s">
        <v>2480</v>
      </c>
    </row>
    <row r="2019" spans="1:15" hidden="1" x14ac:dyDescent="0.45">
      <c r="A2019" s="187">
        <v>2017</v>
      </c>
      <c r="B2019" t="s">
        <v>312</v>
      </c>
      <c r="C2019" t="s">
        <v>328</v>
      </c>
      <c r="D2019" t="s">
        <v>39</v>
      </c>
      <c r="E2019" t="s">
        <v>362</v>
      </c>
      <c r="F2019" t="s">
        <v>362</v>
      </c>
      <c r="G2019" t="s">
        <v>37</v>
      </c>
      <c r="H2019" t="s">
        <v>43</v>
      </c>
      <c r="I2019" s="187">
        <v>1850.4443492283081</v>
      </c>
      <c r="J2019" s="187">
        <v>87</v>
      </c>
      <c r="K2019" s="187">
        <v>2070.9195956149501</v>
      </c>
      <c r="L2019" s="187">
        <v>2496</v>
      </c>
      <c r="M2019" s="187">
        <v>6504.3642578125</v>
      </c>
      <c r="N2019" s="187">
        <v>4346.4443359375</v>
      </c>
      <c r="O2019" t="s">
        <v>2479</v>
      </c>
    </row>
    <row r="2020" spans="1:15" hidden="1" x14ac:dyDescent="0.45">
      <c r="A2020" s="187">
        <v>2017</v>
      </c>
      <c r="B2020" t="s">
        <v>313</v>
      </c>
      <c r="C2020" t="s">
        <v>328</v>
      </c>
      <c r="D2020" t="s">
        <v>39</v>
      </c>
      <c r="E2020" t="s">
        <v>362</v>
      </c>
      <c r="F2020" t="s">
        <v>362</v>
      </c>
      <c r="G2020" t="s">
        <v>37</v>
      </c>
      <c r="H2020" t="s">
        <v>43</v>
      </c>
      <c r="I2020" s="187">
        <v>1688.4639999999999</v>
      </c>
      <c r="J2020" s="187">
        <v>70</v>
      </c>
      <c r="K2020" s="187">
        <v>2348.4303500000001</v>
      </c>
      <c r="L2020" s="187">
        <v>2430</v>
      </c>
      <c r="M2020" s="187">
        <v>6536.89453125</v>
      </c>
      <c r="N2020" s="187">
        <v>4118.4638671875</v>
      </c>
      <c r="O2020" t="s">
        <v>2478</v>
      </c>
    </row>
    <row r="2021" spans="1:15" hidden="1" x14ac:dyDescent="0.45">
      <c r="A2021" s="187">
        <v>2017</v>
      </c>
      <c r="B2021" t="s">
        <v>309</v>
      </c>
      <c r="C2021" t="s">
        <v>328</v>
      </c>
      <c r="D2021" t="s">
        <v>39</v>
      </c>
      <c r="E2021" t="s">
        <v>362</v>
      </c>
      <c r="F2021" t="s">
        <v>362</v>
      </c>
      <c r="G2021" t="s">
        <v>37</v>
      </c>
      <c r="H2021" t="s">
        <v>43</v>
      </c>
      <c r="I2021" s="187"/>
      <c r="J2021" s="187">
        <v>556.81619999999998</v>
      </c>
      <c r="K2021" s="187">
        <v>2541.2410606550538</v>
      </c>
      <c r="L2021" s="187">
        <v>5144</v>
      </c>
      <c r="M2021" s="187">
        <v>8242.0576171875</v>
      </c>
      <c r="N2021" s="187">
        <v>5144</v>
      </c>
      <c r="O2021" t="s">
        <v>2476</v>
      </c>
    </row>
    <row r="2022" spans="1:15" hidden="1" x14ac:dyDescent="0.45">
      <c r="A2022" s="187">
        <v>2017</v>
      </c>
      <c r="B2022" t="s">
        <v>311</v>
      </c>
      <c r="C2022" t="s">
        <v>328</v>
      </c>
      <c r="D2022" t="s">
        <v>39</v>
      </c>
      <c r="E2022" t="s">
        <v>363</v>
      </c>
      <c r="F2022" t="s">
        <v>363</v>
      </c>
      <c r="G2022" t="s">
        <v>36</v>
      </c>
      <c r="H2022" t="s">
        <v>43</v>
      </c>
      <c r="I2022" s="187"/>
      <c r="J2022" s="187">
        <v>69.90382393201898</v>
      </c>
      <c r="K2022" s="187">
        <v>435.82855668940994</v>
      </c>
      <c r="L2022" s="187">
        <v>4557.7293203676381</v>
      </c>
      <c r="M2022" s="187">
        <v>5063.4619140625</v>
      </c>
      <c r="N2022" s="187">
        <v>4557.7294921875</v>
      </c>
      <c r="O2022" t="s">
        <v>2484</v>
      </c>
    </row>
    <row r="2023" spans="1:15" hidden="1" x14ac:dyDescent="0.45">
      <c r="A2023" s="187">
        <v>2017</v>
      </c>
      <c r="B2023" t="s">
        <v>313</v>
      </c>
      <c r="C2023" t="s">
        <v>328</v>
      </c>
      <c r="D2023" t="s">
        <v>39</v>
      </c>
      <c r="E2023" t="s">
        <v>363</v>
      </c>
      <c r="F2023" t="s">
        <v>363</v>
      </c>
      <c r="G2023" t="s">
        <v>36</v>
      </c>
      <c r="H2023" t="s">
        <v>43</v>
      </c>
      <c r="I2023" s="187">
        <v>2950.3960658307665</v>
      </c>
      <c r="J2023" s="187">
        <v>57.053584994770468</v>
      </c>
      <c r="K2023" s="187">
        <v>411.97767276360514</v>
      </c>
      <c r="L2023" s="187">
        <v>2357.4541319839159</v>
      </c>
      <c r="M2023" s="187">
        <v>5776.88134765625</v>
      </c>
      <c r="N2023" s="187">
        <v>5307.85009765625</v>
      </c>
      <c r="O2023" t="s">
        <v>2482</v>
      </c>
    </row>
    <row r="2024" spans="1:15" hidden="1" x14ac:dyDescent="0.45">
      <c r="A2024" s="187">
        <v>2017</v>
      </c>
      <c r="B2024" t="s">
        <v>312</v>
      </c>
      <c r="C2024" t="s">
        <v>328</v>
      </c>
      <c r="D2024" t="s">
        <v>39</v>
      </c>
      <c r="E2024" t="s">
        <v>363</v>
      </c>
      <c r="F2024" t="s">
        <v>363</v>
      </c>
      <c r="G2024" t="s">
        <v>36</v>
      </c>
      <c r="H2024" t="s">
        <v>43</v>
      </c>
      <c r="I2024" s="187">
        <v>2633.2512352831613</v>
      </c>
      <c r="J2024" s="187">
        <v>69.585625156184065</v>
      </c>
      <c r="K2024" s="187">
        <v>473.58153337919782</v>
      </c>
      <c r="L2024" s="187">
        <v>2269.6511405108699</v>
      </c>
      <c r="M2024" s="187">
        <v>5446.06982421875</v>
      </c>
      <c r="N2024" s="187">
        <v>4902.90234375</v>
      </c>
      <c r="O2024" t="s">
        <v>2481</v>
      </c>
    </row>
    <row r="2025" spans="1:15" hidden="1" x14ac:dyDescent="0.45">
      <c r="A2025" s="187">
        <v>2017</v>
      </c>
      <c r="B2025" t="s">
        <v>309</v>
      </c>
      <c r="C2025" t="s">
        <v>328</v>
      </c>
      <c r="D2025" t="s">
        <v>39</v>
      </c>
      <c r="E2025" t="s">
        <v>363</v>
      </c>
      <c r="F2025" t="s">
        <v>363</v>
      </c>
      <c r="G2025" t="s">
        <v>36</v>
      </c>
      <c r="H2025" t="s">
        <v>43</v>
      </c>
      <c r="I2025" s="187"/>
      <c r="J2025" s="187">
        <v>11.911026762441155</v>
      </c>
      <c r="K2025" s="187">
        <v>413.13535709851186</v>
      </c>
      <c r="L2025" s="187">
        <v>4781.0861424438799</v>
      </c>
      <c r="M2025" s="187">
        <v>5206.13232421875</v>
      </c>
      <c r="N2025" s="187">
        <v>4781.0859375</v>
      </c>
      <c r="O2025" t="s">
        <v>2485</v>
      </c>
    </row>
    <row r="2026" spans="1:15" hidden="1" x14ac:dyDescent="0.45">
      <c r="A2026" s="187">
        <v>2017</v>
      </c>
      <c r="B2026" t="s">
        <v>310</v>
      </c>
      <c r="C2026" t="s">
        <v>328</v>
      </c>
      <c r="D2026" t="s">
        <v>39</v>
      </c>
      <c r="E2026" t="s">
        <v>363</v>
      </c>
      <c r="F2026" t="s">
        <v>363</v>
      </c>
      <c r="G2026" t="s">
        <v>36</v>
      </c>
      <c r="H2026" t="s">
        <v>43</v>
      </c>
      <c r="I2026" s="187"/>
      <c r="J2026" s="187">
        <v>46.757756303172087</v>
      </c>
      <c r="K2026" s="187">
        <v>413.83849999058714</v>
      </c>
      <c r="L2026" s="187">
        <v>4450.1694561544027</v>
      </c>
      <c r="M2026" s="187">
        <v>4910.765625</v>
      </c>
      <c r="N2026" s="187">
        <v>4450.16943359375</v>
      </c>
      <c r="O2026" t="s">
        <v>2483</v>
      </c>
    </row>
    <row r="2027" spans="1:15" hidden="1" x14ac:dyDescent="0.45">
      <c r="A2027" s="187">
        <v>2017</v>
      </c>
      <c r="B2027" t="s">
        <v>313</v>
      </c>
      <c r="C2027" t="s">
        <v>328</v>
      </c>
      <c r="D2027" t="s">
        <v>39</v>
      </c>
      <c r="E2027" t="s">
        <v>363</v>
      </c>
      <c r="F2027" t="s">
        <v>363</v>
      </c>
      <c r="G2027" t="s">
        <v>37</v>
      </c>
      <c r="H2027" t="s">
        <v>43</v>
      </c>
      <c r="I2027" s="187">
        <v>2585.636</v>
      </c>
      <c r="J2027" s="187">
        <v>50</v>
      </c>
      <c r="K2027" s="187">
        <v>361.04451</v>
      </c>
      <c r="L2027" s="187">
        <v>2066</v>
      </c>
      <c r="M2027" s="187">
        <v>5062.6806640625</v>
      </c>
      <c r="N2027" s="187">
        <v>4651.6357421875</v>
      </c>
      <c r="O2027" t="s">
        <v>2489</v>
      </c>
    </row>
    <row r="2028" spans="1:15" hidden="1" x14ac:dyDescent="0.45">
      <c r="A2028" s="187">
        <v>2017</v>
      </c>
      <c r="B2028" t="s">
        <v>312</v>
      </c>
      <c r="C2028" t="s">
        <v>328</v>
      </c>
      <c r="D2028" t="s">
        <v>39</v>
      </c>
      <c r="E2028" t="s">
        <v>363</v>
      </c>
      <c r="F2028" t="s">
        <v>363</v>
      </c>
      <c r="G2028" t="s">
        <v>37</v>
      </c>
      <c r="H2028" t="s">
        <v>43</v>
      </c>
      <c r="I2028" s="187">
        <v>2281.8656745726371</v>
      </c>
      <c r="J2028" s="187">
        <v>61</v>
      </c>
      <c r="K2028" s="187">
        <v>415.27312250891879</v>
      </c>
      <c r="L2028" s="187">
        <v>1991</v>
      </c>
      <c r="M2028" s="187">
        <v>4749.138671875</v>
      </c>
      <c r="N2028" s="187">
        <v>4272.86572265625</v>
      </c>
      <c r="O2028" t="s">
        <v>2486</v>
      </c>
    </row>
    <row r="2029" spans="1:15" hidden="1" x14ac:dyDescent="0.45">
      <c r="A2029" s="187">
        <v>2017</v>
      </c>
      <c r="B2029" t="s">
        <v>309</v>
      </c>
      <c r="C2029" t="s">
        <v>328</v>
      </c>
      <c r="D2029" t="s">
        <v>39</v>
      </c>
      <c r="E2029" t="s">
        <v>363</v>
      </c>
      <c r="F2029" t="s">
        <v>363</v>
      </c>
      <c r="G2029" t="s">
        <v>37</v>
      </c>
      <c r="H2029" t="s">
        <v>43</v>
      </c>
      <c r="I2029" s="187"/>
      <c r="J2029" s="187">
        <v>10.833</v>
      </c>
      <c r="K2029" s="187">
        <v>379.78987280119497</v>
      </c>
      <c r="L2029" s="187">
        <v>4543</v>
      </c>
      <c r="M2029" s="187">
        <v>4933.623046875</v>
      </c>
      <c r="N2029" s="187">
        <v>4543</v>
      </c>
      <c r="O2029" t="s">
        <v>2487</v>
      </c>
    </row>
    <row r="2030" spans="1:15" hidden="1" x14ac:dyDescent="0.45">
      <c r="A2030" s="187">
        <v>2017</v>
      </c>
      <c r="B2030" t="s">
        <v>310</v>
      </c>
      <c r="C2030" t="s">
        <v>328</v>
      </c>
      <c r="D2030" t="s">
        <v>39</v>
      </c>
      <c r="E2030" t="s">
        <v>363</v>
      </c>
      <c r="F2030" t="s">
        <v>363</v>
      </c>
      <c r="G2030" t="s">
        <v>37</v>
      </c>
      <c r="H2030" t="s">
        <v>43</v>
      </c>
      <c r="I2030" s="187"/>
      <c r="J2030" s="187">
        <v>43</v>
      </c>
      <c r="K2030" s="187">
        <v>377.20013197043068</v>
      </c>
      <c r="L2030" s="187">
        <v>4142</v>
      </c>
      <c r="M2030" s="187">
        <v>4562.2001953125</v>
      </c>
      <c r="N2030" s="187">
        <v>4142</v>
      </c>
      <c r="O2030" t="s">
        <v>2490</v>
      </c>
    </row>
    <row r="2031" spans="1:15" hidden="1" x14ac:dyDescent="0.45">
      <c r="A2031" s="187">
        <v>2017</v>
      </c>
      <c r="B2031" t="s">
        <v>311</v>
      </c>
      <c r="C2031" t="s">
        <v>328</v>
      </c>
      <c r="D2031" t="s">
        <v>39</v>
      </c>
      <c r="E2031" t="s">
        <v>363</v>
      </c>
      <c r="F2031" t="s">
        <v>363</v>
      </c>
      <c r="G2031" t="s">
        <v>37</v>
      </c>
      <c r="H2031" t="s">
        <v>43</v>
      </c>
      <c r="I2031" s="187"/>
      <c r="J2031" s="187">
        <v>62</v>
      </c>
      <c r="K2031" s="187">
        <v>386.52669337080528</v>
      </c>
      <c r="L2031" s="187">
        <v>4150</v>
      </c>
      <c r="M2031" s="187">
        <v>4598.52685546875</v>
      </c>
      <c r="N2031" s="187">
        <v>4150</v>
      </c>
      <c r="O2031" t="s">
        <v>2488</v>
      </c>
    </row>
    <row r="2032" spans="1:15" hidden="1" x14ac:dyDescent="0.45">
      <c r="A2032" s="187">
        <v>2017</v>
      </c>
      <c r="B2032" t="s">
        <v>312</v>
      </c>
      <c r="C2032" t="s">
        <v>328</v>
      </c>
      <c r="D2032" t="s">
        <v>39</v>
      </c>
      <c r="E2032" t="s">
        <v>364</v>
      </c>
      <c r="F2032" t="s">
        <v>364</v>
      </c>
      <c r="G2032" t="s">
        <v>36</v>
      </c>
      <c r="H2032" t="s">
        <v>43</v>
      </c>
      <c r="I2032" s="187">
        <v>1552.9140913689048</v>
      </c>
      <c r="J2032" s="187">
        <v>788.63708510341928</v>
      </c>
      <c r="K2032" s="187">
        <v>4884.3980000399551</v>
      </c>
      <c r="L2032" s="187">
        <v>3503.6362266138672</v>
      </c>
      <c r="M2032" s="187">
        <v>10729.5849609375</v>
      </c>
      <c r="N2032" s="187">
        <v>5056.55029296875</v>
      </c>
      <c r="O2032" t="s">
        <v>2493</v>
      </c>
    </row>
    <row r="2033" spans="1:15" hidden="1" x14ac:dyDescent="0.45">
      <c r="A2033" s="187">
        <v>2017</v>
      </c>
      <c r="B2033" t="s">
        <v>310</v>
      </c>
      <c r="C2033" t="s">
        <v>328</v>
      </c>
      <c r="D2033" t="s">
        <v>39</v>
      </c>
      <c r="E2033" t="s">
        <v>364</v>
      </c>
      <c r="F2033" t="s">
        <v>364</v>
      </c>
      <c r="G2033" t="s">
        <v>36</v>
      </c>
      <c r="H2033" t="s">
        <v>43</v>
      </c>
      <c r="I2033" s="187"/>
      <c r="J2033" s="187">
        <v>771.50297900233943</v>
      </c>
      <c r="K2033" s="187">
        <v>4175.9798574041288</v>
      </c>
      <c r="L2033" s="187">
        <v>4609.1458275851883</v>
      </c>
      <c r="M2033" s="187">
        <v>9556.62890625</v>
      </c>
      <c r="N2033" s="187">
        <v>4609.14599609375</v>
      </c>
      <c r="O2033" t="s">
        <v>2492</v>
      </c>
    </row>
    <row r="2034" spans="1:15" hidden="1" x14ac:dyDescent="0.45">
      <c r="A2034" s="187">
        <v>2017</v>
      </c>
      <c r="B2034" t="s">
        <v>313</v>
      </c>
      <c r="C2034" t="s">
        <v>328</v>
      </c>
      <c r="D2034" t="s">
        <v>39</v>
      </c>
      <c r="E2034" t="s">
        <v>364</v>
      </c>
      <c r="F2034" t="s">
        <v>364</v>
      </c>
      <c r="G2034" t="s">
        <v>36</v>
      </c>
      <c r="H2034" t="s">
        <v>43</v>
      </c>
      <c r="I2034" s="187">
        <v>1664.7996476417045</v>
      </c>
      <c r="J2034" s="187">
        <v>775.92875592887833</v>
      </c>
      <c r="K2034" s="187">
        <v>4275.4447870079384</v>
      </c>
      <c r="L2034" s="187">
        <v>3327.3650768950138</v>
      </c>
      <c r="M2034" s="187">
        <v>10043.5380859375</v>
      </c>
      <c r="N2034" s="187">
        <v>4992.16455078125</v>
      </c>
      <c r="O2034" t="s">
        <v>2495</v>
      </c>
    </row>
    <row r="2035" spans="1:15" hidden="1" x14ac:dyDescent="0.45">
      <c r="A2035" s="187">
        <v>2017</v>
      </c>
      <c r="B2035" t="s">
        <v>309</v>
      </c>
      <c r="C2035" t="s">
        <v>328</v>
      </c>
      <c r="D2035" t="s">
        <v>39</v>
      </c>
      <c r="E2035" t="s">
        <v>364</v>
      </c>
      <c r="F2035" t="s">
        <v>364</v>
      </c>
      <c r="G2035" t="s">
        <v>36</v>
      </c>
      <c r="H2035" t="s">
        <v>43</v>
      </c>
      <c r="I2035" s="187"/>
      <c r="J2035" s="187">
        <v>23.82205352488231</v>
      </c>
      <c r="K2035" s="187">
        <v>4983.4622997285278</v>
      </c>
      <c r="L2035" s="187">
        <v>5118.1681998209642</v>
      </c>
      <c r="M2035" s="187">
        <v>10125.4521484375</v>
      </c>
      <c r="N2035" s="187">
        <v>5118.16796875</v>
      </c>
      <c r="O2035" t="s">
        <v>2491</v>
      </c>
    </row>
    <row r="2036" spans="1:15" hidden="1" x14ac:dyDescent="0.45">
      <c r="A2036" s="187">
        <v>2017</v>
      </c>
      <c r="B2036" t="s">
        <v>311</v>
      </c>
      <c r="C2036" t="s">
        <v>328</v>
      </c>
      <c r="D2036" t="s">
        <v>39</v>
      </c>
      <c r="E2036" t="s">
        <v>364</v>
      </c>
      <c r="F2036" t="s">
        <v>364</v>
      </c>
      <c r="G2036" t="s">
        <v>36</v>
      </c>
      <c r="H2036" t="s">
        <v>43</v>
      </c>
      <c r="I2036" s="187"/>
      <c r="J2036" s="187">
        <v>792.24333789621517</v>
      </c>
      <c r="K2036" s="187">
        <v>4485.6848248344977</v>
      </c>
      <c r="L2036" s="187">
        <v>11628.501111091358</v>
      </c>
      <c r="M2036" s="187">
        <v>16906.4296875</v>
      </c>
      <c r="N2036" s="187">
        <v>11628.5009765625</v>
      </c>
      <c r="O2036" t="s">
        <v>2494</v>
      </c>
    </row>
    <row r="2037" spans="1:15" hidden="1" x14ac:dyDescent="0.45">
      <c r="A2037" s="187">
        <v>2017</v>
      </c>
      <c r="B2037" t="s">
        <v>313</v>
      </c>
      <c r="C2037" t="s">
        <v>328</v>
      </c>
      <c r="D2037" t="s">
        <v>39</v>
      </c>
      <c r="E2037" t="s">
        <v>364</v>
      </c>
      <c r="F2037" t="s">
        <v>364</v>
      </c>
      <c r="G2037" t="s">
        <v>37</v>
      </c>
      <c r="H2037" t="s">
        <v>43</v>
      </c>
      <c r="I2037" s="187">
        <v>1458.979</v>
      </c>
      <c r="J2037" s="187">
        <v>680</v>
      </c>
      <c r="K2037" s="187">
        <v>3746.86778</v>
      </c>
      <c r="L2037" s="187">
        <v>2916</v>
      </c>
      <c r="M2037" s="187">
        <v>8801.8466796875</v>
      </c>
      <c r="N2037" s="187">
        <v>4374.97900390625</v>
      </c>
      <c r="O2037" t="s">
        <v>2497</v>
      </c>
    </row>
    <row r="2038" spans="1:15" hidden="1" x14ac:dyDescent="0.45">
      <c r="A2038" s="187">
        <v>2017</v>
      </c>
      <c r="B2038" t="s">
        <v>311</v>
      </c>
      <c r="C2038" t="s">
        <v>328</v>
      </c>
      <c r="D2038" t="s">
        <v>39</v>
      </c>
      <c r="E2038" t="s">
        <v>364</v>
      </c>
      <c r="F2038" t="s">
        <v>364</v>
      </c>
      <c r="G2038" t="s">
        <v>37</v>
      </c>
      <c r="H2038" t="s">
        <v>43</v>
      </c>
      <c r="I2038" s="187"/>
      <c r="J2038" s="187">
        <v>708</v>
      </c>
      <c r="K2038" s="187">
        <v>3978.254513695128</v>
      </c>
      <c r="L2038" s="187">
        <v>10589</v>
      </c>
      <c r="M2038" s="187">
        <v>15275.25390625</v>
      </c>
      <c r="N2038" s="187">
        <v>10589</v>
      </c>
      <c r="O2038" t="s">
        <v>2498</v>
      </c>
    </row>
    <row r="2039" spans="1:15" hidden="1" x14ac:dyDescent="0.45">
      <c r="A2039" s="187">
        <v>2017</v>
      </c>
      <c r="B2039" t="s">
        <v>309</v>
      </c>
      <c r="C2039" t="s">
        <v>328</v>
      </c>
      <c r="D2039" t="s">
        <v>39</v>
      </c>
      <c r="E2039" t="s">
        <v>364</v>
      </c>
      <c r="F2039" t="s">
        <v>364</v>
      </c>
      <c r="G2039" t="s">
        <v>37</v>
      </c>
      <c r="H2039" t="s">
        <v>43</v>
      </c>
      <c r="I2039" s="187"/>
      <c r="J2039" s="187">
        <v>21.666</v>
      </c>
      <c r="K2039" s="187">
        <v>4581.2310188501806</v>
      </c>
      <c r="L2039" s="187">
        <v>4864</v>
      </c>
      <c r="M2039" s="187">
        <v>9466.896484375</v>
      </c>
      <c r="N2039" s="187">
        <v>4864</v>
      </c>
      <c r="O2039" t="s">
        <v>2496</v>
      </c>
    </row>
    <row r="2040" spans="1:15" hidden="1" x14ac:dyDescent="0.45">
      <c r="A2040" s="187">
        <v>2017</v>
      </c>
      <c r="B2040" t="s">
        <v>310</v>
      </c>
      <c r="C2040" t="s">
        <v>328</v>
      </c>
      <c r="D2040" t="s">
        <v>39</v>
      </c>
      <c r="E2040" t="s">
        <v>364</v>
      </c>
      <c r="F2040" t="s">
        <v>364</v>
      </c>
      <c r="G2040" t="s">
        <v>37</v>
      </c>
      <c r="H2040" t="s">
        <v>43</v>
      </c>
      <c r="I2040" s="187"/>
      <c r="J2040" s="187">
        <v>703</v>
      </c>
      <c r="K2040" s="187">
        <v>3806.267791311167</v>
      </c>
      <c r="L2040" s="187">
        <v>4289</v>
      </c>
      <c r="M2040" s="187">
        <v>8798.267578125</v>
      </c>
      <c r="N2040" s="187">
        <v>4289</v>
      </c>
      <c r="O2040" t="s">
        <v>2499</v>
      </c>
    </row>
    <row r="2041" spans="1:15" hidden="1" x14ac:dyDescent="0.45">
      <c r="A2041" s="187">
        <v>2017</v>
      </c>
      <c r="B2041" t="s">
        <v>312</v>
      </c>
      <c r="C2041" t="s">
        <v>328</v>
      </c>
      <c r="D2041" t="s">
        <v>39</v>
      </c>
      <c r="E2041" t="s">
        <v>364</v>
      </c>
      <c r="F2041" t="s">
        <v>364</v>
      </c>
      <c r="G2041" t="s">
        <v>37</v>
      </c>
      <c r="H2041" t="s">
        <v>43</v>
      </c>
      <c r="I2041" s="187">
        <v>1345.690571858333</v>
      </c>
      <c r="J2041" s="187">
        <v>694</v>
      </c>
      <c r="K2041" s="187">
        <v>4283.020063260783</v>
      </c>
      <c r="L2041" s="187">
        <v>3074</v>
      </c>
      <c r="M2041" s="187">
        <v>9396.7109375</v>
      </c>
      <c r="N2041" s="187">
        <v>4419.6904296875</v>
      </c>
      <c r="O2041" t="s">
        <v>2500</v>
      </c>
    </row>
    <row r="2042" spans="1:15" hidden="1" x14ac:dyDescent="0.45">
      <c r="A2042" s="187">
        <v>2017</v>
      </c>
      <c r="B2042" t="s">
        <v>312</v>
      </c>
      <c r="C2042" t="s">
        <v>328</v>
      </c>
      <c r="D2042" t="s">
        <v>39</v>
      </c>
      <c r="E2042" t="s">
        <v>365</v>
      </c>
      <c r="F2042" t="s">
        <v>375</v>
      </c>
      <c r="G2042" t="s">
        <v>36</v>
      </c>
      <c r="H2042" t="s">
        <v>43</v>
      </c>
      <c r="I2042" s="187">
        <v>8455.6472103578144</v>
      </c>
      <c r="J2042" s="187">
        <v>1844.0190666388776</v>
      </c>
      <c r="K2042" s="187">
        <v>18985.130600131426</v>
      </c>
      <c r="L2042" s="187">
        <v>13646.900853546964</v>
      </c>
      <c r="M2042" s="187">
        <v>42931.69921875</v>
      </c>
      <c r="N2042" s="187">
        <v>22102.548828125</v>
      </c>
      <c r="O2042" t="s">
        <v>2505</v>
      </c>
    </row>
    <row r="2043" spans="1:15" hidden="1" x14ac:dyDescent="0.45">
      <c r="A2043" s="187">
        <v>2017</v>
      </c>
      <c r="B2043" t="s">
        <v>309</v>
      </c>
      <c r="C2043" t="s">
        <v>328</v>
      </c>
      <c r="D2043" t="s">
        <v>39</v>
      </c>
      <c r="E2043" t="s">
        <v>365</v>
      </c>
      <c r="F2043" t="s">
        <v>375</v>
      </c>
      <c r="G2043" t="s">
        <v>36</v>
      </c>
      <c r="H2043" t="s">
        <v>43</v>
      </c>
      <c r="I2043" s="187"/>
      <c r="J2043" s="187">
        <v>1681.8369788566911</v>
      </c>
      <c r="K2043" s="187">
        <v>19213.123783054678</v>
      </c>
      <c r="L2043" s="187">
        <v>25499.126093034025</v>
      </c>
      <c r="M2043" s="187">
        <v>46394.0859375</v>
      </c>
      <c r="N2043" s="187">
        <v>25499.126953125</v>
      </c>
      <c r="O2043" t="s">
        <v>2504</v>
      </c>
    </row>
    <row r="2044" spans="1:15" hidden="1" x14ac:dyDescent="0.45">
      <c r="A2044" s="187">
        <v>2017</v>
      </c>
      <c r="B2044" t="s">
        <v>313</v>
      </c>
      <c r="C2044" t="s">
        <v>328</v>
      </c>
      <c r="D2044" t="s">
        <v>39</v>
      </c>
      <c r="E2044" t="s">
        <v>365</v>
      </c>
      <c r="F2044" t="s">
        <v>375</v>
      </c>
      <c r="G2044" t="s">
        <v>36</v>
      </c>
      <c r="H2044" t="s">
        <v>43</v>
      </c>
      <c r="I2044" s="187">
        <v>8278.5253898959909</v>
      </c>
      <c r="J2044" s="187">
        <v>1825.714719832655</v>
      </c>
      <c r="K2044" s="187">
        <v>17403.579317526874</v>
      </c>
      <c r="L2044" s="187">
        <v>13633.524670350351</v>
      </c>
      <c r="M2044" s="187">
        <v>41141.34375</v>
      </c>
      <c r="N2044" s="187">
        <v>21912.05078125</v>
      </c>
      <c r="O2044" t="s">
        <v>2503</v>
      </c>
    </row>
    <row r="2045" spans="1:15" hidden="1" x14ac:dyDescent="0.45">
      <c r="A2045" s="187">
        <v>2017</v>
      </c>
      <c r="B2045" t="s">
        <v>311</v>
      </c>
      <c r="C2045" t="s">
        <v>328</v>
      </c>
      <c r="D2045" t="s">
        <v>39</v>
      </c>
      <c r="E2045" t="s">
        <v>365</v>
      </c>
      <c r="F2045" t="s">
        <v>375</v>
      </c>
      <c r="G2045" t="s">
        <v>36</v>
      </c>
      <c r="H2045" t="s">
        <v>43</v>
      </c>
      <c r="I2045" s="187"/>
      <c r="J2045" s="187">
        <v>1852.4513341985032</v>
      </c>
      <c r="K2045" s="187">
        <v>18225.224455230029</v>
      </c>
      <c r="L2045" s="187">
        <v>21871.741444596541</v>
      </c>
      <c r="M2045" s="187">
        <v>41949.41796875</v>
      </c>
      <c r="N2045" s="187">
        <v>21871.7421875</v>
      </c>
      <c r="O2045" t="s">
        <v>2501</v>
      </c>
    </row>
    <row r="2046" spans="1:15" hidden="1" x14ac:dyDescent="0.45">
      <c r="A2046" s="187">
        <v>2017</v>
      </c>
      <c r="B2046" t="s">
        <v>310</v>
      </c>
      <c r="C2046" t="s">
        <v>328</v>
      </c>
      <c r="D2046" t="s">
        <v>39</v>
      </c>
      <c r="E2046" t="s">
        <v>365</v>
      </c>
      <c r="F2046" t="s">
        <v>375</v>
      </c>
      <c r="G2046" t="s">
        <v>36</v>
      </c>
      <c r="H2046" t="s">
        <v>43</v>
      </c>
      <c r="I2046" s="187"/>
      <c r="J2046" s="187">
        <v>1935.7037866803671</v>
      </c>
      <c r="K2046" s="187">
        <v>17964.547632849306</v>
      </c>
      <c r="L2046" s="187">
        <v>23712.027165246142</v>
      </c>
      <c r="M2046" s="187">
        <v>43612.27734375</v>
      </c>
      <c r="N2046" s="187">
        <v>23712.02734375</v>
      </c>
      <c r="O2046" t="s">
        <v>2502</v>
      </c>
    </row>
    <row r="2047" spans="1:15" hidden="1" x14ac:dyDescent="0.45">
      <c r="A2047" s="187">
        <v>2017</v>
      </c>
      <c r="B2047" t="s">
        <v>313</v>
      </c>
      <c r="C2047" t="s">
        <v>328</v>
      </c>
      <c r="D2047" t="s">
        <v>39</v>
      </c>
      <c r="E2047" t="s">
        <v>365</v>
      </c>
      <c r="F2047" t="s">
        <v>375</v>
      </c>
      <c r="G2047" t="s">
        <v>37</v>
      </c>
      <c r="H2047" t="s">
        <v>43</v>
      </c>
      <c r="I2047" s="187">
        <v>7255.0439999999999</v>
      </c>
      <c r="J2047" s="187">
        <v>1600</v>
      </c>
      <c r="K2047" s="187">
        <v>15251.959468561079</v>
      </c>
      <c r="L2047" s="187">
        <v>11948</v>
      </c>
      <c r="M2047" s="187">
        <v>36055.00390625</v>
      </c>
      <c r="N2047" s="187">
        <v>19203.04296875</v>
      </c>
      <c r="O2047" t="s">
        <v>2509</v>
      </c>
    </row>
    <row r="2048" spans="1:15" hidden="1" x14ac:dyDescent="0.45">
      <c r="A2048" s="187">
        <v>2017</v>
      </c>
      <c r="B2048" t="s">
        <v>310</v>
      </c>
      <c r="C2048" t="s">
        <v>328</v>
      </c>
      <c r="D2048" t="s">
        <v>39</v>
      </c>
      <c r="E2048" t="s">
        <v>365</v>
      </c>
      <c r="F2048" t="s">
        <v>375</v>
      </c>
      <c r="G2048" t="s">
        <v>37</v>
      </c>
      <c r="H2048" t="s">
        <v>43</v>
      </c>
      <c r="I2048" s="187"/>
      <c r="J2048" s="187">
        <v>1763</v>
      </c>
      <c r="K2048" s="187">
        <v>16374.092159269811</v>
      </c>
      <c r="L2048" s="187">
        <v>22070</v>
      </c>
      <c r="M2048" s="187">
        <v>40207.09375</v>
      </c>
      <c r="N2048" s="187">
        <v>22070</v>
      </c>
      <c r="O2048" t="s">
        <v>2508</v>
      </c>
    </row>
    <row r="2049" spans="1:15" hidden="1" x14ac:dyDescent="0.45">
      <c r="A2049" s="187">
        <v>2017</v>
      </c>
      <c r="B2049" t="s">
        <v>311</v>
      </c>
      <c r="C2049" t="s">
        <v>328</v>
      </c>
      <c r="D2049" t="s">
        <v>39</v>
      </c>
      <c r="E2049" t="s">
        <v>365</v>
      </c>
      <c r="F2049" t="s">
        <v>375</v>
      </c>
      <c r="G2049" t="s">
        <v>37</v>
      </c>
      <c r="H2049" t="s">
        <v>43</v>
      </c>
      <c r="I2049" s="187"/>
      <c r="J2049" s="187">
        <v>1656</v>
      </c>
      <c r="K2049" s="187">
        <v>16163.54788252445</v>
      </c>
      <c r="L2049" s="187">
        <v>19917</v>
      </c>
      <c r="M2049" s="187">
        <v>37736.546875</v>
      </c>
      <c r="N2049" s="187">
        <v>19917</v>
      </c>
      <c r="O2049" t="s">
        <v>2506</v>
      </c>
    </row>
    <row r="2050" spans="1:15" hidden="1" x14ac:dyDescent="0.45">
      <c r="A2050" s="187">
        <v>2017</v>
      </c>
      <c r="B2050" t="s">
        <v>312</v>
      </c>
      <c r="C2050" t="s">
        <v>328</v>
      </c>
      <c r="D2050" t="s">
        <v>39</v>
      </c>
      <c r="E2050" t="s">
        <v>365</v>
      </c>
      <c r="F2050" t="s">
        <v>375</v>
      </c>
      <c r="G2050" t="s">
        <v>37</v>
      </c>
      <c r="H2050" t="s">
        <v>43</v>
      </c>
      <c r="I2050" s="187">
        <v>7327.3111456592778</v>
      </c>
      <c r="J2050" s="187">
        <v>1622</v>
      </c>
      <c r="K2050" s="187">
        <v>16647.639128368319</v>
      </c>
      <c r="L2050" s="187">
        <v>11973</v>
      </c>
      <c r="M2050" s="187">
        <v>37569.94921875</v>
      </c>
      <c r="N2050" s="187">
        <v>19300.310546875</v>
      </c>
      <c r="O2050" t="s">
        <v>2507</v>
      </c>
    </row>
    <row r="2051" spans="1:15" hidden="1" x14ac:dyDescent="0.45">
      <c r="A2051" s="187">
        <v>2017</v>
      </c>
      <c r="B2051" t="s">
        <v>309</v>
      </c>
      <c r="C2051" t="s">
        <v>328</v>
      </c>
      <c r="D2051" t="s">
        <v>39</v>
      </c>
      <c r="E2051" t="s">
        <v>365</v>
      </c>
      <c r="F2051" t="s">
        <v>375</v>
      </c>
      <c r="G2051" t="s">
        <v>37</v>
      </c>
      <c r="H2051" t="s">
        <v>43</v>
      </c>
      <c r="I2051" s="187"/>
      <c r="J2051" s="187">
        <v>1529.6196</v>
      </c>
      <c r="K2051" s="187">
        <v>17662.370727422389</v>
      </c>
      <c r="L2051" s="187">
        <v>24231</v>
      </c>
      <c r="M2051" s="187">
        <v>43422.9921875</v>
      </c>
      <c r="N2051" s="187">
        <v>24231</v>
      </c>
      <c r="O2051" t="s">
        <v>2510</v>
      </c>
    </row>
    <row r="2052" spans="1:15" hidden="1" x14ac:dyDescent="0.45">
      <c r="A2052" s="187">
        <v>2017</v>
      </c>
      <c r="B2052" t="s">
        <v>34</v>
      </c>
      <c r="C2052" t="s">
        <v>329</v>
      </c>
      <c r="D2052" t="s">
        <v>39</v>
      </c>
      <c r="E2052" t="s">
        <v>349</v>
      </c>
      <c r="F2052" t="s">
        <v>349</v>
      </c>
      <c r="G2052" t="s">
        <v>36</v>
      </c>
      <c r="H2052" t="s">
        <v>43</v>
      </c>
      <c r="I2052" s="187">
        <v>0</v>
      </c>
      <c r="J2052" s="187">
        <v>0</v>
      </c>
      <c r="K2052" s="187">
        <v>3297.66162109375</v>
      </c>
      <c r="L2052" s="187">
        <v>0</v>
      </c>
      <c r="M2052" s="187">
        <v>3297.66162109375</v>
      </c>
      <c r="N2052" s="187">
        <v>0</v>
      </c>
      <c r="O2052" t="s">
        <v>2511</v>
      </c>
    </row>
    <row r="2053" spans="1:15" hidden="1" x14ac:dyDescent="0.45">
      <c r="A2053" s="187">
        <v>2017</v>
      </c>
      <c r="B2053" t="s">
        <v>34</v>
      </c>
      <c r="C2053" t="s">
        <v>329</v>
      </c>
      <c r="D2053" t="s">
        <v>39</v>
      </c>
      <c r="E2053" t="s">
        <v>349</v>
      </c>
      <c r="F2053" t="s">
        <v>349</v>
      </c>
      <c r="G2053" t="s">
        <v>37</v>
      </c>
      <c r="H2053" t="s">
        <v>43</v>
      </c>
      <c r="I2053" s="187">
        <v>0</v>
      </c>
      <c r="J2053" s="187">
        <v>0</v>
      </c>
      <c r="K2053" s="187">
        <v>2889.968820000001</v>
      </c>
      <c r="L2053" s="187">
        <v>0</v>
      </c>
      <c r="M2053" s="187">
        <v>2889.96875</v>
      </c>
      <c r="N2053" s="187">
        <v>0</v>
      </c>
      <c r="O2053" t="s">
        <v>2512</v>
      </c>
    </row>
    <row r="2054" spans="1:15" hidden="1" x14ac:dyDescent="0.45">
      <c r="A2054" s="187">
        <v>2017</v>
      </c>
      <c r="B2054" t="s">
        <v>34</v>
      </c>
      <c r="C2054" t="s">
        <v>329</v>
      </c>
      <c r="D2054" t="s">
        <v>39</v>
      </c>
      <c r="E2054" t="s">
        <v>21</v>
      </c>
      <c r="F2054" t="s">
        <v>21</v>
      </c>
      <c r="G2054" t="s">
        <v>36</v>
      </c>
      <c r="H2054" t="s">
        <v>43</v>
      </c>
      <c r="I2054" s="187">
        <v>2276.4466796874999</v>
      </c>
      <c r="J2054" s="187">
        <v>1060.0556640625</v>
      </c>
      <c r="K2054" s="187">
        <v>6690.47021484375</v>
      </c>
      <c r="L2054" s="187">
        <v>4997.89404296875</v>
      </c>
      <c r="M2054" s="187">
        <v>15024.8671875</v>
      </c>
      <c r="N2054" s="187">
        <v>7274.3408203125</v>
      </c>
      <c r="O2054" t="s">
        <v>2513</v>
      </c>
    </row>
    <row r="2055" spans="1:15" hidden="1" x14ac:dyDescent="0.45">
      <c r="A2055" s="187">
        <v>2017</v>
      </c>
      <c r="B2055" t="s">
        <v>34</v>
      </c>
      <c r="C2055" t="s">
        <v>329</v>
      </c>
      <c r="D2055" t="s">
        <v>39</v>
      </c>
      <c r="E2055" t="s">
        <v>21</v>
      </c>
      <c r="F2055" t="s">
        <v>21</v>
      </c>
      <c r="G2055" t="s">
        <v>37</v>
      </c>
      <c r="H2055" t="s">
        <v>43</v>
      </c>
      <c r="I2055" s="187">
        <v>1995.0076235760007</v>
      </c>
      <c r="J2055" s="187">
        <v>929</v>
      </c>
      <c r="K2055" s="187">
        <v>5863.3214626458876</v>
      </c>
      <c r="L2055" s="187">
        <v>4380</v>
      </c>
      <c r="M2055" s="187">
        <v>13167.3291015625</v>
      </c>
      <c r="N2055" s="187">
        <v>6375.0078125</v>
      </c>
      <c r="O2055" t="s">
        <v>2514</v>
      </c>
    </row>
    <row r="2056" spans="1:15" hidden="1" x14ac:dyDescent="0.45">
      <c r="A2056" s="187">
        <v>2017</v>
      </c>
      <c r="B2056" t="s">
        <v>34</v>
      </c>
      <c r="C2056" t="s">
        <v>329</v>
      </c>
      <c r="D2056" t="s">
        <v>39</v>
      </c>
      <c r="E2056" t="s">
        <v>40</v>
      </c>
      <c r="F2056" t="s">
        <v>40</v>
      </c>
      <c r="G2056" t="s">
        <v>36</v>
      </c>
      <c r="H2056" t="s">
        <v>43</v>
      </c>
      <c r="I2056" s="187">
        <v>4684.595703125</v>
      </c>
      <c r="J2056" s="187">
        <v>125.51788330078125</v>
      </c>
      <c r="K2056" s="187">
        <v>6508.955078125</v>
      </c>
      <c r="L2056" s="187">
        <v>5138.24609375</v>
      </c>
      <c r="M2056" s="187">
        <v>16457.314453125</v>
      </c>
      <c r="N2056" s="187">
        <v>9822.841796875</v>
      </c>
      <c r="O2056" t="s">
        <v>2515</v>
      </c>
    </row>
    <row r="2057" spans="1:15" hidden="1" x14ac:dyDescent="0.45">
      <c r="A2057" s="187">
        <v>2017</v>
      </c>
      <c r="B2057" t="s">
        <v>34</v>
      </c>
      <c r="C2057" t="s">
        <v>329</v>
      </c>
      <c r="D2057" t="s">
        <v>39</v>
      </c>
      <c r="E2057" t="s">
        <v>40</v>
      </c>
      <c r="F2057" t="s">
        <v>40</v>
      </c>
      <c r="G2057" t="s">
        <v>37</v>
      </c>
      <c r="H2057" t="s">
        <v>43</v>
      </c>
      <c r="I2057" s="187">
        <v>4105.434929214377</v>
      </c>
      <c r="J2057" s="187">
        <v>110</v>
      </c>
      <c r="K2057" s="187">
        <v>5704.2470400000002</v>
      </c>
      <c r="L2057" s="187">
        <v>4503</v>
      </c>
      <c r="M2057" s="187">
        <v>14422.681640625</v>
      </c>
      <c r="N2057" s="187">
        <v>8608.435546875</v>
      </c>
      <c r="O2057" t="s">
        <v>2516</v>
      </c>
    </row>
    <row r="2058" spans="1:15" hidden="1" x14ac:dyDescent="0.45">
      <c r="A2058" s="187">
        <v>2017</v>
      </c>
      <c r="B2058" t="s">
        <v>34</v>
      </c>
      <c r="C2058" t="s">
        <v>329</v>
      </c>
      <c r="D2058" t="s">
        <v>39</v>
      </c>
      <c r="E2058" t="s">
        <v>41</v>
      </c>
      <c r="F2058" t="s">
        <v>41</v>
      </c>
      <c r="G2058" t="s">
        <v>36</v>
      </c>
      <c r="H2058" t="s">
        <v>43</v>
      </c>
      <c r="I2058" s="187">
        <v>4100.6980468749998</v>
      </c>
      <c r="J2058" s="187">
        <v>1627.168212890625</v>
      </c>
      <c r="K2058" s="187">
        <v>11107.2412109375</v>
      </c>
      <c r="L2058" s="187">
        <v>8198.6005859375</v>
      </c>
      <c r="M2058" s="187">
        <v>25033.70703125</v>
      </c>
      <c r="N2058" s="187">
        <v>12299.298828125</v>
      </c>
      <c r="O2058" t="s">
        <v>2517</v>
      </c>
    </row>
    <row r="2059" spans="1:15" hidden="1" x14ac:dyDescent="0.45">
      <c r="A2059" s="187">
        <v>2017</v>
      </c>
      <c r="B2059" t="s">
        <v>34</v>
      </c>
      <c r="C2059" t="s">
        <v>329</v>
      </c>
      <c r="D2059" t="s">
        <v>39</v>
      </c>
      <c r="E2059" t="s">
        <v>41</v>
      </c>
      <c r="F2059" t="s">
        <v>41</v>
      </c>
      <c r="G2059" t="s">
        <v>37</v>
      </c>
      <c r="H2059" t="s">
        <v>43</v>
      </c>
      <c r="I2059" s="187">
        <v>3593.7251103616236</v>
      </c>
      <c r="J2059" s="187">
        <v>1426</v>
      </c>
      <c r="K2059" s="187">
        <v>9734.0432932393924</v>
      </c>
      <c r="L2059" s="187">
        <v>7185</v>
      </c>
      <c r="M2059" s="187">
        <v>21938.76953125</v>
      </c>
      <c r="N2059" s="187">
        <v>10778.724609375</v>
      </c>
      <c r="O2059" t="s">
        <v>2518</v>
      </c>
    </row>
    <row r="2060" spans="1:15" hidden="1" x14ac:dyDescent="0.45">
      <c r="A2060" s="187">
        <v>2017</v>
      </c>
      <c r="B2060" t="s">
        <v>34</v>
      </c>
      <c r="C2060" t="s">
        <v>329</v>
      </c>
      <c r="D2060" t="s">
        <v>39</v>
      </c>
      <c r="E2060" t="s">
        <v>362</v>
      </c>
      <c r="F2060" t="s">
        <v>362</v>
      </c>
      <c r="G2060" t="s">
        <v>36</v>
      </c>
      <c r="H2060" t="s">
        <v>43</v>
      </c>
      <c r="I2060" s="187">
        <v>2213.1742187499999</v>
      </c>
      <c r="J2060" s="187">
        <v>75.31072998046875</v>
      </c>
      <c r="K2060" s="187">
        <v>2792.82568359375</v>
      </c>
      <c r="L2060" s="187">
        <v>2763.675537109375</v>
      </c>
      <c r="M2060" s="187">
        <v>7844.986328125</v>
      </c>
      <c r="N2060" s="187">
        <v>4976.849609375</v>
      </c>
      <c r="O2060" t="s">
        <v>2519</v>
      </c>
    </row>
    <row r="2061" spans="1:15" hidden="1" x14ac:dyDescent="0.45">
      <c r="A2061" s="187">
        <v>2017</v>
      </c>
      <c r="B2061" t="s">
        <v>34</v>
      </c>
      <c r="C2061" t="s">
        <v>329</v>
      </c>
      <c r="D2061" t="s">
        <v>39</v>
      </c>
      <c r="E2061" t="s">
        <v>362</v>
      </c>
      <c r="F2061" t="s">
        <v>362</v>
      </c>
      <c r="G2061" t="s">
        <v>37</v>
      </c>
      <c r="H2061" t="s">
        <v>43</v>
      </c>
      <c r="I2061" s="187">
        <v>1939.557581636408</v>
      </c>
      <c r="J2061" s="187">
        <v>66</v>
      </c>
      <c r="K2061" s="187">
        <v>2447.5461300000002</v>
      </c>
      <c r="L2061" s="187">
        <v>2422</v>
      </c>
      <c r="M2061" s="187">
        <v>6875.103515625</v>
      </c>
      <c r="N2061" s="187">
        <v>4361.5576171875</v>
      </c>
      <c r="O2061" t="s">
        <v>2520</v>
      </c>
    </row>
    <row r="2062" spans="1:15" hidden="1" x14ac:dyDescent="0.45">
      <c r="A2062" s="187">
        <v>2017</v>
      </c>
      <c r="B2062" t="s">
        <v>34</v>
      </c>
      <c r="C2062" t="s">
        <v>329</v>
      </c>
      <c r="D2062" t="s">
        <v>39</v>
      </c>
      <c r="E2062" t="s">
        <v>363</v>
      </c>
      <c r="F2062" t="s">
        <v>363</v>
      </c>
      <c r="G2062" t="s">
        <v>36</v>
      </c>
      <c r="H2062" t="s">
        <v>43</v>
      </c>
      <c r="I2062" s="187">
        <v>2471.4212890625004</v>
      </c>
      <c r="J2062" s="187">
        <v>50.2071533203125</v>
      </c>
      <c r="K2062" s="187">
        <v>418.46762084960938</v>
      </c>
      <c r="L2062" s="187">
        <v>2374.5703125</v>
      </c>
      <c r="M2062" s="187">
        <v>5314.666015625</v>
      </c>
      <c r="N2062" s="187">
        <v>4845.99169921875</v>
      </c>
      <c r="O2062" t="s">
        <v>2521</v>
      </c>
    </row>
    <row r="2063" spans="1:15" hidden="1" x14ac:dyDescent="0.45">
      <c r="A2063" s="187">
        <v>2017</v>
      </c>
      <c r="B2063" t="s">
        <v>34</v>
      </c>
      <c r="C2063" t="s">
        <v>329</v>
      </c>
      <c r="D2063" t="s">
        <v>39</v>
      </c>
      <c r="E2063" t="s">
        <v>363</v>
      </c>
      <c r="F2063" t="s">
        <v>363</v>
      </c>
      <c r="G2063" t="s">
        <v>37</v>
      </c>
      <c r="H2063" t="s">
        <v>43</v>
      </c>
      <c r="I2063" s="187">
        <v>2165.8773475779699</v>
      </c>
      <c r="J2063" s="187">
        <v>44</v>
      </c>
      <c r="K2063" s="187">
        <v>366.73209000000003</v>
      </c>
      <c r="L2063" s="187">
        <v>2081</v>
      </c>
      <c r="M2063" s="187">
        <v>4657.609375</v>
      </c>
      <c r="N2063" s="187">
        <v>4246.87744140625</v>
      </c>
      <c r="O2063" t="s">
        <v>2522</v>
      </c>
    </row>
    <row r="2064" spans="1:15" hidden="1" x14ac:dyDescent="0.45">
      <c r="A2064" s="187">
        <v>2017</v>
      </c>
      <c r="B2064" t="s">
        <v>34</v>
      </c>
      <c r="C2064" t="s">
        <v>329</v>
      </c>
      <c r="D2064" t="s">
        <v>39</v>
      </c>
      <c r="E2064" t="s">
        <v>364</v>
      </c>
      <c r="F2064" t="s">
        <v>364</v>
      </c>
      <c r="G2064" t="s">
        <v>36</v>
      </c>
      <c r="H2064" t="s">
        <v>43</v>
      </c>
      <c r="I2064" s="187">
        <v>1824.2513671875001</v>
      </c>
      <c r="J2064" s="187">
        <v>567.11260986328125</v>
      </c>
      <c r="K2064" s="187">
        <v>4416.77099609375</v>
      </c>
      <c r="L2064" s="187">
        <v>3200.7060546875</v>
      </c>
      <c r="M2064" s="187">
        <v>10008.8408203125</v>
      </c>
      <c r="N2064" s="187">
        <v>5024.95751953125</v>
      </c>
      <c r="O2064" t="s">
        <v>2523</v>
      </c>
    </row>
    <row r="2065" spans="1:15" hidden="1" x14ac:dyDescent="0.45">
      <c r="A2065" s="187">
        <v>2017</v>
      </c>
      <c r="B2065" t="s">
        <v>34</v>
      </c>
      <c r="C2065" t="s">
        <v>329</v>
      </c>
      <c r="D2065" t="s">
        <v>39</v>
      </c>
      <c r="E2065" t="s">
        <v>364</v>
      </c>
      <c r="F2065" t="s">
        <v>364</v>
      </c>
      <c r="G2065" t="s">
        <v>37</v>
      </c>
      <c r="H2065" t="s">
        <v>43</v>
      </c>
      <c r="I2065" s="187">
        <v>1598.7174867856224</v>
      </c>
      <c r="J2065" s="187">
        <v>497</v>
      </c>
      <c r="K2065" s="187">
        <v>3870.7218305935039</v>
      </c>
      <c r="L2065" s="187">
        <v>2805</v>
      </c>
      <c r="M2065" s="187">
        <v>8771.439453125</v>
      </c>
      <c r="N2065" s="187">
        <v>4403.7177734375</v>
      </c>
      <c r="O2065" t="s">
        <v>2524</v>
      </c>
    </row>
    <row r="2066" spans="1:15" hidden="1" x14ac:dyDescent="0.45">
      <c r="A2066" s="187">
        <v>2017</v>
      </c>
      <c r="B2066" t="s">
        <v>34</v>
      </c>
      <c r="C2066" t="s">
        <v>329</v>
      </c>
      <c r="D2066" t="s">
        <v>39</v>
      </c>
      <c r="E2066" t="s">
        <v>365</v>
      </c>
      <c r="F2066" t="s">
        <v>375</v>
      </c>
      <c r="G2066" t="s">
        <v>36</v>
      </c>
      <c r="H2066" t="s">
        <v>43</v>
      </c>
      <c r="I2066" s="187">
        <v>8785.2937500000007</v>
      </c>
      <c r="J2066" s="187">
        <v>1752.6861572265625</v>
      </c>
      <c r="K2066" s="187">
        <v>17616.1953125</v>
      </c>
      <c r="L2066" s="187">
        <v>13336.845703125</v>
      </c>
      <c r="M2066" s="187">
        <v>41491.0234375</v>
      </c>
      <c r="N2066" s="187">
        <v>22122.140625</v>
      </c>
      <c r="O2066" t="s">
        <v>2525</v>
      </c>
    </row>
    <row r="2067" spans="1:15" hidden="1" x14ac:dyDescent="0.45">
      <c r="A2067" s="187">
        <v>2017</v>
      </c>
      <c r="B2067" t="s">
        <v>34</v>
      </c>
      <c r="C2067" t="s">
        <v>329</v>
      </c>
      <c r="D2067" t="s">
        <v>39</v>
      </c>
      <c r="E2067" t="s">
        <v>365</v>
      </c>
      <c r="F2067" t="s">
        <v>375</v>
      </c>
      <c r="G2067" t="s">
        <v>37</v>
      </c>
      <c r="H2067" t="s">
        <v>43</v>
      </c>
      <c r="I2067" s="187">
        <v>7699.1600395760006</v>
      </c>
      <c r="J2067" s="187">
        <v>1536</v>
      </c>
      <c r="K2067" s="187">
        <v>15438.290333239391</v>
      </c>
      <c r="L2067" s="187">
        <v>11688</v>
      </c>
      <c r="M2067" s="187">
        <v>36361.453125</v>
      </c>
      <c r="N2067" s="187">
        <v>19387.16015625</v>
      </c>
      <c r="O2067" t="s">
        <v>2526</v>
      </c>
    </row>
    <row r="2068" spans="1:15" hidden="1" x14ac:dyDescent="0.45">
      <c r="A2068" s="187">
        <v>2017</v>
      </c>
      <c r="B2068" t="s">
        <v>34</v>
      </c>
      <c r="C2068" t="s">
        <v>320</v>
      </c>
      <c r="D2068" t="s">
        <v>336</v>
      </c>
      <c r="E2068" t="s">
        <v>102</v>
      </c>
      <c r="F2068" t="s">
        <v>14</v>
      </c>
      <c r="G2068" t="s">
        <v>36</v>
      </c>
      <c r="H2068" t="s">
        <v>43</v>
      </c>
      <c r="I2068" s="187">
        <v>18298.568359375</v>
      </c>
      <c r="J2068" s="187">
        <v>51.509349822998047</v>
      </c>
      <c r="K2068" s="187">
        <v>0</v>
      </c>
      <c r="L2068" s="187">
        <v>0</v>
      </c>
      <c r="M2068" s="187">
        <v>18350.078125</v>
      </c>
      <c r="N2068" s="187">
        <v>18298.568359375</v>
      </c>
      <c r="O2068" t="s">
        <v>2527</v>
      </c>
    </row>
    <row r="2069" spans="1:15" hidden="1" x14ac:dyDescent="0.45">
      <c r="A2069" s="187">
        <v>2017</v>
      </c>
      <c r="B2069" t="s">
        <v>34</v>
      </c>
      <c r="C2069" t="s">
        <v>320</v>
      </c>
      <c r="D2069" t="s">
        <v>336</v>
      </c>
      <c r="E2069" t="s">
        <v>102</v>
      </c>
      <c r="F2069" t="s">
        <v>14</v>
      </c>
      <c r="G2069" t="s">
        <v>37</v>
      </c>
      <c r="H2069" t="s">
        <v>43</v>
      </c>
      <c r="I2069" s="187">
        <v>15275.6435546875</v>
      </c>
      <c r="J2069" s="187">
        <v>43</v>
      </c>
      <c r="K2069" s="187">
        <v>0</v>
      </c>
      <c r="L2069" s="187">
        <v>0</v>
      </c>
      <c r="M2069" s="187">
        <v>15318.6435546875</v>
      </c>
      <c r="N2069" s="187">
        <v>15275.6435546875</v>
      </c>
      <c r="O2069" t="s">
        <v>2528</v>
      </c>
    </row>
    <row r="2070" spans="1:15" hidden="1" x14ac:dyDescent="0.45">
      <c r="A2070" s="187">
        <v>2017</v>
      </c>
      <c r="B2070" t="s">
        <v>34</v>
      </c>
      <c r="C2070" t="s">
        <v>320</v>
      </c>
      <c r="D2070" t="s">
        <v>336</v>
      </c>
      <c r="E2070" t="s">
        <v>102</v>
      </c>
      <c r="F2070" t="s">
        <v>374</v>
      </c>
      <c r="G2070" t="s">
        <v>36</v>
      </c>
      <c r="H2070" t="s">
        <v>43</v>
      </c>
      <c r="I2070" s="187">
        <v>0</v>
      </c>
      <c r="J2070" s="187">
        <v>0</v>
      </c>
      <c r="K2070" s="187">
        <v>0</v>
      </c>
      <c r="L2070" s="187">
        <v>0</v>
      </c>
      <c r="M2070" s="187">
        <v>0</v>
      </c>
      <c r="N2070" s="187">
        <v>0</v>
      </c>
      <c r="O2070" t="s">
        <v>2529</v>
      </c>
    </row>
    <row r="2071" spans="1:15" hidden="1" x14ac:dyDescent="0.45">
      <c r="A2071" s="187">
        <v>2017</v>
      </c>
      <c r="B2071" t="s">
        <v>34</v>
      </c>
      <c r="C2071" t="s">
        <v>320</v>
      </c>
      <c r="D2071" t="s">
        <v>336</v>
      </c>
      <c r="E2071" t="s">
        <v>102</v>
      </c>
      <c r="F2071" t="s">
        <v>374</v>
      </c>
      <c r="G2071" t="s">
        <v>37</v>
      </c>
      <c r="H2071" t="s">
        <v>43</v>
      </c>
      <c r="I2071" s="187">
        <v>0</v>
      </c>
      <c r="J2071" s="187">
        <v>0</v>
      </c>
      <c r="K2071" s="187">
        <v>0</v>
      </c>
      <c r="L2071" s="187">
        <v>0</v>
      </c>
      <c r="M2071" s="187">
        <v>0</v>
      </c>
      <c r="N2071" s="187">
        <v>0</v>
      </c>
      <c r="O2071" t="s">
        <v>2530</v>
      </c>
    </row>
    <row r="2072" spans="1:15" hidden="1" x14ac:dyDescent="0.45">
      <c r="A2072" s="187">
        <v>2017</v>
      </c>
      <c r="B2072" t="s">
        <v>34</v>
      </c>
      <c r="C2072" t="s">
        <v>320</v>
      </c>
      <c r="D2072" t="s">
        <v>336</v>
      </c>
      <c r="E2072" t="s">
        <v>102</v>
      </c>
      <c r="F2072" t="s">
        <v>375</v>
      </c>
      <c r="G2072" t="s">
        <v>36</v>
      </c>
      <c r="H2072" t="s">
        <v>43</v>
      </c>
      <c r="I2072" s="187">
        <v>6508.8466796875</v>
      </c>
      <c r="J2072" s="187">
        <v>239.62506103515625</v>
      </c>
      <c r="K2072" s="187">
        <v>0</v>
      </c>
      <c r="L2072" s="187">
        <v>67.323226928710938</v>
      </c>
      <c r="M2072" s="187">
        <v>6815.794921875</v>
      </c>
      <c r="N2072" s="187">
        <v>6576.169921875</v>
      </c>
      <c r="O2072" t="s">
        <v>2531</v>
      </c>
    </row>
    <row r="2073" spans="1:15" hidden="1" x14ac:dyDescent="0.45">
      <c r="A2073" s="187">
        <v>2017</v>
      </c>
      <c r="B2073" t="s">
        <v>34</v>
      </c>
      <c r="C2073" t="s">
        <v>320</v>
      </c>
      <c r="D2073" t="s">
        <v>336</v>
      </c>
      <c r="E2073" t="s">
        <v>102</v>
      </c>
      <c r="F2073" t="s">
        <v>375</v>
      </c>
      <c r="G2073" t="s">
        <v>37</v>
      </c>
      <c r="H2073" t="s">
        <v>43</v>
      </c>
      <c r="I2073" s="187">
        <v>5704.15234375</v>
      </c>
      <c r="J2073" s="187">
        <v>210</v>
      </c>
      <c r="K2073" s="187">
        <v>0</v>
      </c>
      <c r="L2073" s="187">
        <v>59</v>
      </c>
      <c r="M2073" s="187">
        <v>5973.15234375</v>
      </c>
      <c r="N2073" s="187">
        <v>5763.15234375</v>
      </c>
      <c r="O2073" t="s">
        <v>2532</v>
      </c>
    </row>
    <row r="2074" spans="1:15" hidden="1" x14ac:dyDescent="0.45">
      <c r="A2074" s="187">
        <v>2017</v>
      </c>
      <c r="B2074" t="s">
        <v>34</v>
      </c>
      <c r="C2074" t="s">
        <v>320</v>
      </c>
      <c r="D2074" t="s">
        <v>336</v>
      </c>
      <c r="E2074" t="s">
        <v>102</v>
      </c>
      <c r="F2074" t="s">
        <v>376</v>
      </c>
      <c r="G2074" t="s">
        <v>36</v>
      </c>
      <c r="H2074" t="s">
        <v>43</v>
      </c>
      <c r="I2074" s="187">
        <v>0</v>
      </c>
      <c r="J2074" s="187">
        <v>0</v>
      </c>
      <c r="K2074" s="187">
        <v>0</v>
      </c>
      <c r="L2074" s="187">
        <v>0</v>
      </c>
      <c r="M2074" s="187">
        <v>0</v>
      </c>
      <c r="N2074" s="187">
        <v>0</v>
      </c>
      <c r="O2074" t="s">
        <v>2533</v>
      </c>
    </row>
    <row r="2075" spans="1:15" hidden="1" x14ac:dyDescent="0.45">
      <c r="A2075" s="187">
        <v>2017</v>
      </c>
      <c r="B2075" t="s">
        <v>34</v>
      </c>
      <c r="C2075" t="s">
        <v>320</v>
      </c>
      <c r="D2075" t="s">
        <v>336</v>
      </c>
      <c r="E2075" t="s">
        <v>102</v>
      </c>
      <c r="F2075" t="s">
        <v>376</v>
      </c>
      <c r="G2075" t="s">
        <v>37</v>
      </c>
      <c r="H2075" t="s">
        <v>43</v>
      </c>
      <c r="I2075" s="187">
        <v>0</v>
      </c>
      <c r="J2075" s="187">
        <v>0</v>
      </c>
      <c r="K2075" s="187">
        <v>0</v>
      </c>
      <c r="L2075" s="187">
        <v>0</v>
      </c>
      <c r="M2075" s="187">
        <v>0</v>
      </c>
      <c r="N2075" s="187">
        <v>0</v>
      </c>
      <c r="O2075" t="s">
        <v>2534</v>
      </c>
    </row>
    <row r="2076" spans="1:15" hidden="1" x14ac:dyDescent="0.45">
      <c r="A2076" s="187">
        <v>2017</v>
      </c>
      <c r="B2076" t="s">
        <v>34</v>
      </c>
      <c r="C2076" t="s">
        <v>320</v>
      </c>
      <c r="D2076" t="s">
        <v>336</v>
      </c>
      <c r="E2076" t="s">
        <v>102</v>
      </c>
      <c r="F2076" t="s">
        <v>347</v>
      </c>
      <c r="G2076" t="s">
        <v>36</v>
      </c>
      <c r="H2076" t="s">
        <v>43</v>
      </c>
      <c r="I2076" s="187">
        <v>0</v>
      </c>
      <c r="J2076" s="187">
        <v>0</v>
      </c>
      <c r="K2076" s="187">
        <v>0</v>
      </c>
      <c r="L2076" s="187">
        <v>5236.63232421875</v>
      </c>
      <c r="M2076" s="187">
        <v>5236.63232421875</v>
      </c>
      <c r="N2076" s="187">
        <v>5236.63232421875</v>
      </c>
      <c r="O2076" t="s">
        <v>2535</v>
      </c>
    </row>
    <row r="2077" spans="1:15" hidden="1" x14ac:dyDescent="0.45">
      <c r="A2077" s="187">
        <v>2017</v>
      </c>
      <c r="B2077" t="s">
        <v>34</v>
      </c>
      <c r="C2077" t="s">
        <v>320</v>
      </c>
      <c r="D2077" t="s">
        <v>336</v>
      </c>
      <c r="E2077" t="s">
        <v>102</v>
      </c>
      <c r="F2077" t="s">
        <v>347</v>
      </c>
      <c r="G2077" t="s">
        <v>37</v>
      </c>
      <c r="H2077" t="s">
        <v>43</v>
      </c>
      <c r="I2077" s="187">
        <v>0</v>
      </c>
      <c r="J2077" s="187">
        <v>0</v>
      </c>
      <c r="K2077" s="187">
        <v>0</v>
      </c>
      <c r="L2077" s="187">
        <v>4657</v>
      </c>
      <c r="M2077" s="187">
        <v>4657</v>
      </c>
      <c r="N2077" s="187">
        <v>4657</v>
      </c>
      <c r="O2077" t="s">
        <v>2536</v>
      </c>
    </row>
    <row r="2078" spans="1:15" hidden="1" x14ac:dyDescent="0.45">
      <c r="A2078" s="187">
        <v>2017</v>
      </c>
      <c r="B2078" t="s">
        <v>34</v>
      </c>
      <c r="C2078" t="s">
        <v>330</v>
      </c>
      <c r="D2078" t="s">
        <v>338</v>
      </c>
      <c r="E2078" t="s">
        <v>366</v>
      </c>
      <c r="F2078" t="s">
        <v>434</v>
      </c>
      <c r="G2078" t="s">
        <v>36</v>
      </c>
      <c r="H2078" t="s">
        <v>43</v>
      </c>
      <c r="I2078" s="187">
        <v>16443.72140896929</v>
      </c>
      <c r="J2078" s="187">
        <v>2568</v>
      </c>
      <c r="K2078" s="187">
        <v>47580.703010238991</v>
      </c>
      <c r="L2078" s="187">
        <v>47927</v>
      </c>
      <c r="M2078" s="187">
        <v>114519.421875</v>
      </c>
      <c r="N2078" s="187">
        <v>64370.71875</v>
      </c>
      <c r="O2078" t="s">
        <v>2537</v>
      </c>
    </row>
    <row r="2079" spans="1:15" hidden="1" x14ac:dyDescent="0.45">
      <c r="A2079" s="187">
        <v>2017</v>
      </c>
      <c r="B2079" t="s">
        <v>34</v>
      </c>
      <c r="C2079" t="s">
        <v>330</v>
      </c>
      <c r="D2079" t="s">
        <v>338</v>
      </c>
      <c r="E2079" t="s">
        <v>366</v>
      </c>
      <c r="F2079" t="s">
        <v>435</v>
      </c>
      <c r="G2079" t="s">
        <v>36</v>
      </c>
      <c r="H2079" t="s">
        <v>43</v>
      </c>
      <c r="I2079" s="187">
        <v>1133.2221077576785</v>
      </c>
      <c r="J2079" s="187">
        <v>212</v>
      </c>
      <c r="K2079" s="187">
        <v>3020.860357832727</v>
      </c>
      <c r="L2079" s="187">
        <v>4137</v>
      </c>
      <c r="M2079" s="187">
        <v>8503.08203125</v>
      </c>
      <c r="N2079" s="187">
        <v>5270.22216796875</v>
      </c>
      <c r="O2079" t="s">
        <v>2538</v>
      </c>
    </row>
    <row r="2080" spans="1:15" hidden="1" x14ac:dyDescent="0.45">
      <c r="A2080" s="187">
        <v>2017</v>
      </c>
      <c r="B2080" t="s">
        <v>34</v>
      </c>
      <c r="C2080" t="s">
        <v>330</v>
      </c>
      <c r="D2080" t="s">
        <v>338</v>
      </c>
      <c r="E2080" t="s">
        <v>366</v>
      </c>
      <c r="F2080" t="s">
        <v>436</v>
      </c>
      <c r="G2080" t="s">
        <v>36</v>
      </c>
      <c r="H2080" t="s">
        <v>43</v>
      </c>
      <c r="I2080" s="187">
        <v>1147.3349665526969</v>
      </c>
      <c r="J2080" s="187">
        <v>7066</v>
      </c>
      <c r="K2080" s="187">
        <v>4664.8726832795301</v>
      </c>
      <c r="L2080" s="187">
        <v>9915</v>
      </c>
      <c r="M2080" s="187">
        <v>22793.20703125</v>
      </c>
      <c r="N2080" s="187">
        <v>11062.3349609375</v>
      </c>
      <c r="O2080" t="s">
        <v>2539</v>
      </c>
    </row>
    <row r="2081" spans="1:15" hidden="1" x14ac:dyDescent="0.45">
      <c r="A2081" s="187">
        <v>2017</v>
      </c>
      <c r="B2081" t="s">
        <v>34</v>
      </c>
      <c r="C2081" t="s">
        <v>330</v>
      </c>
      <c r="D2081" t="s">
        <v>338</v>
      </c>
      <c r="E2081" t="s">
        <v>366</v>
      </c>
      <c r="F2081" t="s">
        <v>437</v>
      </c>
      <c r="G2081" t="s">
        <v>36</v>
      </c>
      <c r="H2081" t="s">
        <v>43</v>
      </c>
      <c r="I2081" s="187">
        <v>67376.64628364495</v>
      </c>
      <c r="J2081" s="187">
        <v>5458</v>
      </c>
      <c r="K2081" s="187">
        <v>172314.77890589301</v>
      </c>
      <c r="L2081" s="187">
        <v>247321</v>
      </c>
      <c r="M2081" s="187">
        <v>492470.4375</v>
      </c>
      <c r="N2081" s="187">
        <v>314697.65625</v>
      </c>
      <c r="O2081" t="s">
        <v>2540</v>
      </c>
    </row>
    <row r="2082" spans="1:15" hidden="1" x14ac:dyDescent="0.45">
      <c r="A2082" s="187">
        <v>2017</v>
      </c>
      <c r="B2082" t="s">
        <v>34</v>
      </c>
      <c r="C2082" t="s">
        <v>330</v>
      </c>
      <c r="D2082" t="s">
        <v>338</v>
      </c>
      <c r="E2082" t="s">
        <v>366</v>
      </c>
      <c r="F2082" t="s">
        <v>44</v>
      </c>
      <c r="G2082" t="s">
        <v>36</v>
      </c>
      <c r="H2082" t="s">
        <v>43</v>
      </c>
      <c r="I2082" s="187">
        <v>3188.950308501257</v>
      </c>
      <c r="J2082" s="187">
        <v>253</v>
      </c>
      <c r="K2082" s="187">
        <v>15791.97668936891</v>
      </c>
      <c r="L2082" s="187">
        <v>8975</v>
      </c>
      <c r="M2082" s="187">
        <v>28208.927734375</v>
      </c>
      <c r="N2082" s="187">
        <v>12163.9501953125</v>
      </c>
      <c r="O2082" t="s">
        <v>2541</v>
      </c>
    </row>
    <row r="2083" spans="1:15" hidden="1" x14ac:dyDescent="0.45">
      <c r="A2083" s="187">
        <v>2017</v>
      </c>
      <c r="B2083" t="s">
        <v>34</v>
      </c>
      <c r="C2083" t="s">
        <v>330</v>
      </c>
      <c r="D2083" t="s">
        <v>338</v>
      </c>
      <c r="E2083" t="s">
        <v>366</v>
      </c>
      <c r="F2083" t="s">
        <v>438</v>
      </c>
      <c r="G2083" t="s">
        <v>36</v>
      </c>
      <c r="H2083" t="s">
        <v>43</v>
      </c>
      <c r="I2083" s="187">
        <v>20125.794059339449</v>
      </c>
      <c r="J2083" s="187">
        <v>6726</v>
      </c>
      <c r="K2083" s="187">
        <v>99474.835315009113</v>
      </c>
      <c r="L2083" s="187">
        <v>62944</v>
      </c>
      <c r="M2083" s="187">
        <v>189270.625</v>
      </c>
      <c r="N2083" s="187">
        <v>83069.796875</v>
      </c>
      <c r="O2083" t="s">
        <v>2542</v>
      </c>
    </row>
    <row r="2084" spans="1:15" hidden="1" x14ac:dyDescent="0.45">
      <c r="A2084" s="187">
        <v>2017</v>
      </c>
      <c r="B2084" t="s">
        <v>34</v>
      </c>
      <c r="C2084" t="s">
        <v>330</v>
      </c>
      <c r="D2084" t="s">
        <v>338</v>
      </c>
      <c r="E2084" t="s">
        <v>366</v>
      </c>
      <c r="F2084" t="s">
        <v>439</v>
      </c>
      <c r="G2084" t="s">
        <v>36</v>
      </c>
      <c r="H2084" t="s">
        <v>43</v>
      </c>
      <c r="I2084" s="187">
        <v>2825.0180790705394</v>
      </c>
      <c r="J2084" s="187">
        <v>447</v>
      </c>
      <c r="K2084" s="187">
        <v>523.21128926513393</v>
      </c>
      <c r="L2084" s="187">
        <v>884</v>
      </c>
      <c r="M2084" s="187">
        <v>4679.2294921875</v>
      </c>
      <c r="N2084" s="187">
        <v>3709.01806640625</v>
      </c>
      <c r="O2084" t="s">
        <v>2543</v>
      </c>
    </row>
    <row r="2085" spans="1:15" hidden="1" x14ac:dyDescent="0.45">
      <c r="A2085" s="187">
        <v>2017</v>
      </c>
      <c r="B2085" t="s">
        <v>34</v>
      </c>
      <c r="C2085" t="s">
        <v>330</v>
      </c>
      <c r="D2085" t="s">
        <v>338</v>
      </c>
      <c r="E2085" t="s">
        <v>366</v>
      </c>
      <c r="F2085" t="s">
        <v>440</v>
      </c>
      <c r="G2085" t="s">
        <v>36</v>
      </c>
      <c r="H2085" t="s">
        <v>43</v>
      </c>
      <c r="I2085" s="187">
        <v>3903.2908969161822</v>
      </c>
      <c r="J2085" s="187">
        <v>164</v>
      </c>
      <c r="K2085" s="187">
        <v>6480.4060884848177</v>
      </c>
      <c r="L2085" s="187">
        <v>4873</v>
      </c>
      <c r="M2085" s="187">
        <v>15420.697265625</v>
      </c>
      <c r="N2085" s="187">
        <v>8776.291015625</v>
      </c>
      <c r="O2085" t="s">
        <v>2544</v>
      </c>
    </row>
    <row r="2086" spans="1:15" hidden="1" x14ac:dyDescent="0.45">
      <c r="A2086" s="187">
        <v>2017</v>
      </c>
      <c r="B2086" t="s">
        <v>34</v>
      </c>
      <c r="C2086" t="s">
        <v>330</v>
      </c>
      <c r="D2086" t="s">
        <v>338</v>
      </c>
      <c r="E2086" t="s">
        <v>366</v>
      </c>
      <c r="F2086" t="s">
        <v>441</v>
      </c>
      <c r="G2086" t="s">
        <v>36</v>
      </c>
      <c r="H2086" t="s">
        <v>43</v>
      </c>
      <c r="I2086" s="187">
        <v>118325.88776556312</v>
      </c>
      <c r="J2086" s="187">
        <v>23171</v>
      </c>
      <c r="K2086" s="187">
        <v>364154.72585294489</v>
      </c>
      <c r="L2086" s="187">
        <v>390463</v>
      </c>
      <c r="M2086" s="187">
        <v>896114.625</v>
      </c>
      <c r="N2086" s="187">
        <v>508788.875</v>
      </c>
      <c r="O2086" t="s">
        <v>2545</v>
      </c>
    </row>
    <row r="2087" spans="1:15" hidden="1" x14ac:dyDescent="0.45">
      <c r="A2087" s="187">
        <v>2017</v>
      </c>
      <c r="B2087" t="s">
        <v>34</v>
      </c>
      <c r="C2087" t="s">
        <v>331</v>
      </c>
      <c r="D2087" t="s">
        <v>339</v>
      </c>
      <c r="E2087" t="s">
        <v>7</v>
      </c>
      <c r="F2087" t="s">
        <v>442</v>
      </c>
      <c r="G2087" t="s">
        <v>453</v>
      </c>
      <c r="H2087" t="s">
        <v>456</v>
      </c>
      <c r="I2087" s="187">
        <v>10.651358608820439</v>
      </c>
      <c r="J2087" s="187">
        <v>22.891566265060241</v>
      </c>
      <c r="K2087" s="187">
        <v>16.579672611095521</v>
      </c>
      <c r="L2087" s="187">
        <v>11.109684569122511</v>
      </c>
      <c r="M2087" s="187">
        <v>61.232280731201172</v>
      </c>
      <c r="N2087" s="187">
        <v>21.761043548583984</v>
      </c>
      <c r="O2087" t="s">
        <v>2546</v>
      </c>
    </row>
    <row r="2088" spans="1:15" hidden="1" x14ac:dyDescent="0.45">
      <c r="A2088" s="187">
        <v>2017</v>
      </c>
      <c r="B2088" t="s">
        <v>34</v>
      </c>
      <c r="C2088" t="s">
        <v>332</v>
      </c>
      <c r="D2088" t="s">
        <v>339</v>
      </c>
      <c r="E2088" t="s">
        <v>110</v>
      </c>
      <c r="F2088" t="s">
        <v>443</v>
      </c>
      <c r="G2088" t="s">
        <v>453</v>
      </c>
      <c r="H2088" t="s">
        <v>456</v>
      </c>
      <c r="I2088" s="187">
        <v>231</v>
      </c>
      <c r="J2088" s="187">
        <v>63</v>
      </c>
      <c r="K2088" s="187">
        <v>344</v>
      </c>
      <c r="L2088" s="187">
        <v>448</v>
      </c>
      <c r="M2088" s="187">
        <v>1086</v>
      </c>
      <c r="N2088" s="187">
        <v>679</v>
      </c>
      <c r="O2088" t="s">
        <v>2547</v>
      </c>
    </row>
    <row r="2089" spans="1:15" hidden="1" x14ac:dyDescent="0.45">
      <c r="A2089" s="187">
        <v>2017</v>
      </c>
      <c r="B2089" t="s">
        <v>34</v>
      </c>
      <c r="C2089" t="s">
        <v>332</v>
      </c>
      <c r="D2089" t="s">
        <v>339</v>
      </c>
      <c r="E2089" t="s">
        <v>110</v>
      </c>
      <c r="F2089" t="s">
        <v>444</v>
      </c>
      <c r="G2089" t="s">
        <v>453</v>
      </c>
      <c r="H2089" t="s">
        <v>456</v>
      </c>
      <c r="I2089" s="187">
        <v>103</v>
      </c>
      <c r="J2089" s="187">
        <v>58</v>
      </c>
      <c r="K2089" s="187">
        <v>458</v>
      </c>
      <c r="L2089" s="187">
        <v>52</v>
      </c>
      <c r="M2089" s="187">
        <v>671</v>
      </c>
      <c r="N2089" s="187">
        <v>155</v>
      </c>
      <c r="O2089" t="s">
        <v>2548</v>
      </c>
    </row>
    <row r="2090" spans="1:15" hidden="1" x14ac:dyDescent="0.45">
      <c r="A2090" s="187">
        <v>2017</v>
      </c>
      <c r="B2090" t="s">
        <v>34</v>
      </c>
      <c r="C2090" t="s">
        <v>333</v>
      </c>
      <c r="D2090" t="s">
        <v>339</v>
      </c>
      <c r="E2090" t="s">
        <v>111</v>
      </c>
      <c r="F2090" t="s">
        <v>188</v>
      </c>
      <c r="G2090" t="s">
        <v>453</v>
      </c>
      <c r="H2090" t="s">
        <v>460</v>
      </c>
      <c r="I2090" s="187">
        <v>197.4733958486988</v>
      </c>
      <c r="J2090" s="187">
        <v>100.5065736814319</v>
      </c>
      <c r="K2090" s="187">
        <v>147.16572237960341</v>
      </c>
      <c r="L2090" s="187">
        <v>158.0556321839081</v>
      </c>
      <c r="M2090" s="187">
        <v>150.80032348632813</v>
      </c>
      <c r="N2090" s="187">
        <v>355.52902221679688</v>
      </c>
      <c r="O2090" t="s">
        <v>2549</v>
      </c>
    </row>
    <row r="2091" spans="1:15" hidden="1" x14ac:dyDescent="0.45">
      <c r="A2091" s="187">
        <v>2017</v>
      </c>
      <c r="B2091" t="s">
        <v>34</v>
      </c>
      <c r="C2091" t="s">
        <v>333</v>
      </c>
      <c r="D2091" t="s">
        <v>339</v>
      </c>
      <c r="E2091" t="s">
        <v>111</v>
      </c>
      <c r="F2091" t="s">
        <v>445</v>
      </c>
      <c r="G2091" t="s">
        <v>453</v>
      </c>
      <c r="H2091" t="s">
        <v>460</v>
      </c>
      <c r="I2091" s="187">
        <v>88.633431085043981</v>
      </c>
      <c r="J2091" s="187">
        <v>100.3232850402906</v>
      </c>
      <c r="K2091" s="187">
        <v>211.33551198257081</v>
      </c>
      <c r="L2091" s="187">
        <v>148.77504456327989</v>
      </c>
      <c r="M2091" s="187">
        <v>137.26681518554688</v>
      </c>
      <c r="N2091" s="187">
        <v>237.40847778320313</v>
      </c>
      <c r="O2091" t="s">
        <v>2550</v>
      </c>
    </row>
    <row r="2092" spans="1:15" hidden="1" x14ac:dyDescent="0.45">
      <c r="A2092" s="187">
        <v>2017</v>
      </c>
      <c r="B2092" t="s">
        <v>34</v>
      </c>
      <c r="C2092" t="s">
        <v>333</v>
      </c>
      <c r="D2092" t="s">
        <v>339</v>
      </c>
      <c r="E2092" t="s">
        <v>0</v>
      </c>
      <c r="F2092" t="s">
        <v>188</v>
      </c>
      <c r="G2092" t="s">
        <v>453</v>
      </c>
      <c r="H2092" t="s">
        <v>460</v>
      </c>
      <c r="I2092" s="187">
        <v>1874.22</v>
      </c>
      <c r="J2092" s="187">
        <v>1180.3290999999999</v>
      </c>
      <c r="K2092" s="187">
        <v>2077.98</v>
      </c>
      <c r="L2092" s="187">
        <v>1375.0840000000001</v>
      </c>
      <c r="M2092" s="187">
        <v>1626.9033203125</v>
      </c>
      <c r="N2092" s="187">
        <v>3249.303955078125</v>
      </c>
      <c r="O2092" t="s">
        <v>2551</v>
      </c>
    </row>
    <row r="2093" spans="1:15" hidden="1" x14ac:dyDescent="0.45">
      <c r="A2093" s="187">
        <v>2017</v>
      </c>
      <c r="B2093" t="s">
        <v>34</v>
      </c>
      <c r="C2093" t="s">
        <v>333</v>
      </c>
      <c r="D2093" t="s">
        <v>339</v>
      </c>
      <c r="E2093" t="s">
        <v>0</v>
      </c>
      <c r="F2093" t="s">
        <v>445</v>
      </c>
      <c r="G2093" t="s">
        <v>453</v>
      </c>
      <c r="H2093" t="s">
        <v>460</v>
      </c>
      <c r="I2093" s="187">
        <v>302.24</v>
      </c>
      <c r="J2093" s="187">
        <v>240.2843</v>
      </c>
      <c r="K2093" s="187">
        <v>970.03</v>
      </c>
      <c r="L2093" s="187">
        <v>417.31400000000002</v>
      </c>
      <c r="M2093" s="187">
        <v>482.46707153320313</v>
      </c>
      <c r="N2093" s="187">
        <v>719.55401611328125</v>
      </c>
      <c r="O2093" t="s">
        <v>2552</v>
      </c>
    </row>
    <row r="2094" spans="1:15" hidden="1" x14ac:dyDescent="0.45">
      <c r="A2094" s="187">
        <v>2017</v>
      </c>
      <c r="B2094" t="s">
        <v>34</v>
      </c>
      <c r="C2094" t="s">
        <v>333</v>
      </c>
      <c r="D2094" t="s">
        <v>339</v>
      </c>
      <c r="E2094" t="s">
        <v>42</v>
      </c>
      <c r="F2094" t="s">
        <v>188</v>
      </c>
      <c r="G2094" t="s">
        <v>453</v>
      </c>
      <c r="H2094" t="s">
        <v>460</v>
      </c>
      <c r="I2094" s="187">
        <v>9.4909999999999997</v>
      </c>
      <c r="J2094" s="187">
        <v>11.7438</v>
      </c>
      <c r="K2094" s="187">
        <v>14.12</v>
      </c>
      <c r="L2094" s="187">
        <v>8.6999999999999993</v>
      </c>
      <c r="M2094" s="187">
        <v>11.013700485229492</v>
      </c>
      <c r="N2094" s="187">
        <v>18.190999984741211</v>
      </c>
      <c r="O2094" t="s">
        <v>2553</v>
      </c>
    </row>
    <row r="2095" spans="1:15" hidden="1" x14ac:dyDescent="0.45">
      <c r="A2095" s="187">
        <v>2017</v>
      </c>
      <c r="B2095" t="s">
        <v>34</v>
      </c>
      <c r="C2095" t="s">
        <v>333</v>
      </c>
      <c r="D2095" t="s">
        <v>339</v>
      </c>
      <c r="E2095" t="s">
        <v>42</v>
      </c>
      <c r="F2095" t="s">
        <v>445</v>
      </c>
      <c r="G2095" t="s">
        <v>453</v>
      </c>
      <c r="H2095" t="s">
        <v>460</v>
      </c>
      <c r="I2095" s="187">
        <v>3.41</v>
      </c>
      <c r="J2095" s="187">
        <v>2.3950999999999998</v>
      </c>
      <c r="K2095" s="187">
        <v>4.59</v>
      </c>
      <c r="L2095" s="187">
        <v>2.8050000000000002</v>
      </c>
      <c r="M2095" s="187">
        <v>3.3000249862670898</v>
      </c>
      <c r="N2095" s="187">
        <v>6.2150001525878906</v>
      </c>
      <c r="O2095" t="s">
        <v>2554</v>
      </c>
    </row>
    <row r="2096" spans="1:15" hidden="1" x14ac:dyDescent="0.45">
      <c r="A2096" s="187">
        <v>2017</v>
      </c>
      <c r="B2096" t="s">
        <v>34</v>
      </c>
      <c r="C2096" t="s">
        <v>319</v>
      </c>
      <c r="D2096" t="s">
        <v>335</v>
      </c>
      <c r="E2096" t="s">
        <v>10</v>
      </c>
      <c r="F2096" t="s">
        <v>372</v>
      </c>
      <c r="G2096" t="s">
        <v>453</v>
      </c>
      <c r="H2096" t="s">
        <v>454</v>
      </c>
      <c r="I2096" s="187">
        <v>0.1004208006148529</v>
      </c>
      <c r="J2096" s="187">
        <v>8.4078742756156899E-2</v>
      </c>
      <c r="K2096" s="187">
        <v>7.5752945235557603E-2</v>
      </c>
      <c r="L2096" s="187">
        <v>7.5753905071525601E-2</v>
      </c>
      <c r="M2096" s="187">
        <v>8.4001600742340088E-2</v>
      </c>
      <c r="N2096" s="187">
        <v>0.17617471516132355</v>
      </c>
      <c r="O2096" t="s">
        <v>2555</v>
      </c>
    </row>
    <row r="2097" spans="1:15" hidden="1" x14ac:dyDescent="0.45">
      <c r="A2097" s="187">
        <v>2017</v>
      </c>
      <c r="B2097" t="s">
        <v>34</v>
      </c>
      <c r="C2097" t="s">
        <v>319</v>
      </c>
      <c r="D2097" t="s">
        <v>335</v>
      </c>
      <c r="E2097" t="s">
        <v>10</v>
      </c>
      <c r="F2097" t="s">
        <v>373</v>
      </c>
      <c r="G2097" t="s">
        <v>453</v>
      </c>
      <c r="H2097" t="s">
        <v>454</v>
      </c>
      <c r="I2097" s="187">
        <v>0.1058292806148529</v>
      </c>
      <c r="J2097" s="187">
        <v>8.9265462756156905E-2</v>
      </c>
      <c r="K2097" s="187">
        <v>8.0668625235557595E-2</v>
      </c>
      <c r="L2097" s="187">
        <v>8.0940625071525593E-2</v>
      </c>
      <c r="M2097" s="187">
        <v>8.9175999164581299E-2</v>
      </c>
      <c r="N2097" s="187">
        <v>0.18676990270614624</v>
      </c>
      <c r="O2097" t="s">
        <v>2556</v>
      </c>
    </row>
    <row r="2098" spans="1:15" hidden="1" x14ac:dyDescent="0.45">
      <c r="A2098" s="187">
        <v>2017</v>
      </c>
      <c r="B2098" t="s">
        <v>34</v>
      </c>
      <c r="C2098" t="s">
        <v>321</v>
      </c>
      <c r="D2098" t="s">
        <v>335</v>
      </c>
      <c r="E2098" t="s">
        <v>341</v>
      </c>
      <c r="F2098" t="s">
        <v>375</v>
      </c>
      <c r="G2098" t="s">
        <v>36</v>
      </c>
      <c r="H2098" t="s">
        <v>43</v>
      </c>
      <c r="I2098" s="187">
        <v>8657.43359375</v>
      </c>
      <c r="J2098" s="187">
        <v>1727.1778564453125</v>
      </c>
      <c r="K2098" s="187">
        <v>17359.8125</v>
      </c>
      <c r="L2098" s="187">
        <v>13142.7431640625</v>
      </c>
      <c r="M2098" s="187">
        <v>40887.16796875</v>
      </c>
      <c r="N2098" s="187">
        <v>21800.17578125</v>
      </c>
      <c r="O2098" t="s">
        <v>2557</v>
      </c>
    </row>
    <row r="2099" spans="1:15" hidden="1" x14ac:dyDescent="0.45">
      <c r="A2099" s="187">
        <v>2017</v>
      </c>
      <c r="B2099" t="s">
        <v>34</v>
      </c>
      <c r="C2099" t="s">
        <v>321</v>
      </c>
      <c r="D2099" t="s">
        <v>335</v>
      </c>
      <c r="E2099" t="s">
        <v>341</v>
      </c>
      <c r="F2099" t="s">
        <v>375</v>
      </c>
      <c r="G2099" t="s">
        <v>37</v>
      </c>
      <c r="H2099" t="s">
        <v>43</v>
      </c>
      <c r="I2099" s="187">
        <v>7699.16015625</v>
      </c>
      <c r="J2099" s="187">
        <v>1536</v>
      </c>
      <c r="K2099" s="187">
        <v>15438.2900390625</v>
      </c>
      <c r="L2099" s="187">
        <v>11688</v>
      </c>
      <c r="M2099" s="187">
        <v>36361.44921875</v>
      </c>
      <c r="N2099" s="187">
        <v>19387.16015625</v>
      </c>
      <c r="O2099" t="s">
        <v>2558</v>
      </c>
    </row>
    <row r="2100" spans="1:15" hidden="1" x14ac:dyDescent="0.45">
      <c r="A2100" s="187">
        <v>2017</v>
      </c>
      <c r="B2100" t="s">
        <v>34</v>
      </c>
      <c r="C2100" t="s">
        <v>321</v>
      </c>
      <c r="D2100" t="s">
        <v>335</v>
      </c>
      <c r="E2100" t="s">
        <v>341</v>
      </c>
      <c r="F2100" t="s">
        <v>377</v>
      </c>
      <c r="G2100" t="s">
        <v>36</v>
      </c>
      <c r="H2100" t="s">
        <v>43</v>
      </c>
      <c r="I2100" s="187">
        <v>737.26718750000009</v>
      </c>
      <c r="J2100" s="187">
        <v>119.19326019287109</v>
      </c>
      <c r="K2100" s="187">
        <v>2600.077880859375</v>
      </c>
      <c r="L2100" s="187">
        <v>3144.00341796875</v>
      </c>
      <c r="M2100" s="187">
        <v>6600.5419921875</v>
      </c>
      <c r="N2100" s="187">
        <v>3881.2705078125</v>
      </c>
      <c r="O2100" t="s">
        <v>2559</v>
      </c>
    </row>
    <row r="2101" spans="1:15" hidden="1" x14ac:dyDescent="0.45">
      <c r="A2101" s="187">
        <v>2017</v>
      </c>
      <c r="B2101" t="s">
        <v>34</v>
      </c>
      <c r="C2101" t="s">
        <v>321</v>
      </c>
      <c r="D2101" t="s">
        <v>335</v>
      </c>
      <c r="E2101" t="s">
        <v>341</v>
      </c>
      <c r="F2101" t="s">
        <v>377</v>
      </c>
      <c r="G2101" t="s">
        <v>37</v>
      </c>
      <c r="H2101" t="s">
        <v>43</v>
      </c>
      <c r="I2101" s="187">
        <v>655.66059570312507</v>
      </c>
      <c r="J2101" s="187">
        <v>106</v>
      </c>
      <c r="K2101" s="187">
        <v>2312.280517578125</v>
      </c>
      <c r="L2101" s="187">
        <v>2796</v>
      </c>
      <c r="M2101" s="187">
        <v>5869.94140625</v>
      </c>
      <c r="N2101" s="187">
        <v>3451.66064453125</v>
      </c>
      <c r="O2101" t="s">
        <v>2560</v>
      </c>
    </row>
    <row r="2102" spans="1:15" hidden="1" x14ac:dyDescent="0.45">
      <c r="A2102" s="187">
        <v>2017</v>
      </c>
      <c r="B2102" t="s">
        <v>34</v>
      </c>
      <c r="C2102" t="s">
        <v>321</v>
      </c>
      <c r="D2102" t="s">
        <v>335</v>
      </c>
      <c r="E2102" t="s">
        <v>342</v>
      </c>
      <c r="F2102" t="s">
        <v>342</v>
      </c>
      <c r="G2102" t="s">
        <v>36</v>
      </c>
      <c r="H2102" t="s">
        <v>43</v>
      </c>
      <c r="I2102" s="187">
        <v>23587.303125000002</v>
      </c>
      <c r="J2102" s="187">
        <v>3434.115234375</v>
      </c>
      <c r="K2102" s="187">
        <v>40263.73828125</v>
      </c>
      <c r="L2102" s="187">
        <v>44188.08984375</v>
      </c>
      <c r="M2102" s="187">
        <v>111473.25</v>
      </c>
      <c r="N2102" s="187">
        <v>67775.390625</v>
      </c>
      <c r="O2102" t="s">
        <v>2561</v>
      </c>
    </row>
    <row r="2103" spans="1:15" hidden="1" x14ac:dyDescent="0.45">
      <c r="A2103" s="187">
        <v>2017</v>
      </c>
      <c r="B2103" t="s">
        <v>34</v>
      </c>
      <c r="C2103" t="s">
        <v>321</v>
      </c>
      <c r="D2103" t="s">
        <v>335</v>
      </c>
      <c r="E2103" t="s">
        <v>342</v>
      </c>
      <c r="F2103" t="s">
        <v>342</v>
      </c>
      <c r="G2103" t="s">
        <v>37</v>
      </c>
      <c r="H2103" t="s">
        <v>43</v>
      </c>
      <c r="I2103" s="187">
        <v>20976.471875000003</v>
      </c>
      <c r="J2103" s="187">
        <v>3054</v>
      </c>
      <c r="K2103" s="187">
        <v>35807.02734375</v>
      </c>
      <c r="L2103" s="187">
        <v>39297</v>
      </c>
      <c r="M2103" s="187">
        <v>99134.5</v>
      </c>
      <c r="N2103" s="187">
        <v>60273.47265625</v>
      </c>
      <c r="O2103" t="s">
        <v>2562</v>
      </c>
    </row>
    <row r="2104" spans="1:15" hidden="1" x14ac:dyDescent="0.45">
      <c r="A2104" s="187">
        <v>2017</v>
      </c>
      <c r="B2104" t="s">
        <v>34</v>
      </c>
      <c r="C2104" t="s">
        <v>321</v>
      </c>
      <c r="D2104" t="s">
        <v>335</v>
      </c>
      <c r="E2104" t="s">
        <v>343</v>
      </c>
      <c r="F2104" t="s">
        <v>343</v>
      </c>
      <c r="G2104" t="s">
        <v>36</v>
      </c>
      <c r="H2104" t="s">
        <v>43</v>
      </c>
      <c r="I2104" s="187">
        <v>15639.50625</v>
      </c>
      <c r="J2104" s="187">
        <v>2171.162841796875</v>
      </c>
      <c r="K2104" s="187">
        <v>29387.251953125</v>
      </c>
      <c r="L2104" s="187">
        <v>31746.4375</v>
      </c>
      <c r="M2104" s="187">
        <v>78944.359375</v>
      </c>
      <c r="N2104" s="187">
        <v>47385.9453125</v>
      </c>
      <c r="O2104" t="s">
        <v>2563</v>
      </c>
    </row>
    <row r="2105" spans="1:15" hidden="1" x14ac:dyDescent="0.45">
      <c r="A2105" s="187">
        <v>2017</v>
      </c>
      <c r="B2105" t="s">
        <v>34</v>
      </c>
      <c r="C2105" t="s">
        <v>321</v>
      </c>
      <c r="D2105" t="s">
        <v>335</v>
      </c>
      <c r="E2105" t="s">
        <v>343</v>
      </c>
      <c r="F2105" t="s">
        <v>343</v>
      </c>
      <c r="G2105" t="s">
        <v>37</v>
      </c>
      <c r="H2105" t="s">
        <v>43</v>
      </c>
      <c r="I2105" s="187">
        <v>13908.401562500001</v>
      </c>
      <c r="J2105" s="187">
        <v>1930.8411865234375</v>
      </c>
      <c r="K2105" s="187">
        <v>26134.4375</v>
      </c>
      <c r="L2105" s="187">
        <v>28232.48828125</v>
      </c>
      <c r="M2105" s="187">
        <v>70206.171875</v>
      </c>
      <c r="N2105" s="187">
        <v>42140.890625</v>
      </c>
      <c r="O2105" t="s">
        <v>2564</v>
      </c>
    </row>
    <row r="2106" spans="1:15" hidden="1" x14ac:dyDescent="0.45">
      <c r="A2106" s="187">
        <v>2017</v>
      </c>
      <c r="B2106" t="s">
        <v>34</v>
      </c>
      <c r="C2106" t="s">
        <v>321</v>
      </c>
      <c r="D2106" t="s">
        <v>335</v>
      </c>
      <c r="E2106" t="s">
        <v>344</v>
      </c>
      <c r="F2106" t="s">
        <v>344</v>
      </c>
      <c r="G2106" t="s">
        <v>36</v>
      </c>
      <c r="H2106" t="s">
        <v>43</v>
      </c>
      <c r="I2106" s="187">
        <v>20556.371875000001</v>
      </c>
      <c r="J2106" s="187">
        <v>2956.94287109375</v>
      </c>
      <c r="K2106" s="187">
        <v>36443.96875</v>
      </c>
      <c r="L2106" s="187">
        <v>39919.36328125</v>
      </c>
      <c r="M2106" s="187">
        <v>99876.640625</v>
      </c>
      <c r="N2106" s="187">
        <v>60475.734375</v>
      </c>
      <c r="O2106" t="s">
        <v>2565</v>
      </c>
    </row>
    <row r="2107" spans="1:15" hidden="1" x14ac:dyDescent="0.45">
      <c r="A2107" s="187">
        <v>2017</v>
      </c>
      <c r="B2107" t="s">
        <v>34</v>
      </c>
      <c r="C2107" t="s">
        <v>321</v>
      </c>
      <c r="D2107" t="s">
        <v>335</v>
      </c>
      <c r="E2107" t="s">
        <v>344</v>
      </c>
      <c r="F2107" t="s">
        <v>344</v>
      </c>
      <c r="G2107" t="s">
        <v>37</v>
      </c>
      <c r="H2107" t="s">
        <v>43</v>
      </c>
      <c r="I2107" s="187">
        <v>18281.028125000001</v>
      </c>
      <c r="J2107" s="187">
        <v>2629.644775390625</v>
      </c>
      <c r="K2107" s="187">
        <v>32410.060546875</v>
      </c>
      <c r="L2107" s="187">
        <v>35500.76953125</v>
      </c>
      <c r="M2107" s="187">
        <v>88821.5</v>
      </c>
      <c r="N2107" s="187">
        <v>53781.796875</v>
      </c>
      <c r="O2107" t="s">
        <v>2566</v>
      </c>
    </row>
    <row r="2108" spans="1:15" hidden="1" x14ac:dyDescent="0.45">
      <c r="A2108" s="187">
        <v>2017</v>
      </c>
      <c r="B2108" t="s">
        <v>34</v>
      </c>
      <c r="C2108" t="s">
        <v>321</v>
      </c>
      <c r="D2108" t="s">
        <v>335</v>
      </c>
      <c r="E2108" t="s">
        <v>345</v>
      </c>
      <c r="F2108" t="s">
        <v>378</v>
      </c>
      <c r="G2108" t="s">
        <v>36</v>
      </c>
      <c r="H2108" t="s">
        <v>43</v>
      </c>
      <c r="I2108" s="187">
        <v>4916.8648437500005</v>
      </c>
      <c r="J2108" s="187">
        <v>785.77996826171875</v>
      </c>
      <c r="K2108" s="187">
        <v>7056.71826171875</v>
      </c>
      <c r="L2108" s="187">
        <v>8056.87841796875</v>
      </c>
      <c r="M2108" s="187">
        <v>20816.2421875</v>
      </c>
      <c r="N2108" s="187">
        <v>12973.7431640625</v>
      </c>
      <c r="O2108" t="s">
        <v>2567</v>
      </c>
    </row>
    <row r="2109" spans="1:15" hidden="1" x14ac:dyDescent="0.45">
      <c r="A2109" s="187">
        <v>2017</v>
      </c>
      <c r="B2109" t="s">
        <v>34</v>
      </c>
      <c r="C2109" t="s">
        <v>321</v>
      </c>
      <c r="D2109" t="s">
        <v>335</v>
      </c>
      <c r="E2109" t="s">
        <v>345</v>
      </c>
      <c r="F2109" t="s">
        <v>378</v>
      </c>
      <c r="G2109" t="s">
        <v>37</v>
      </c>
      <c r="H2109" t="s">
        <v>43</v>
      </c>
      <c r="I2109" s="187">
        <v>4372.626953125</v>
      </c>
      <c r="J2109" s="187">
        <v>698.8035888671875</v>
      </c>
      <c r="K2109" s="187">
        <v>6275.62451171875</v>
      </c>
      <c r="L2109" s="187">
        <v>7165.0791015625</v>
      </c>
      <c r="M2109" s="187">
        <v>18512.1328125</v>
      </c>
      <c r="N2109" s="187">
        <v>11537.7060546875</v>
      </c>
      <c r="O2109" t="s">
        <v>2568</v>
      </c>
    </row>
    <row r="2110" spans="1:15" hidden="1" x14ac:dyDescent="0.45">
      <c r="A2110" s="187">
        <v>2017</v>
      </c>
      <c r="B2110" t="s">
        <v>34</v>
      </c>
      <c r="C2110" t="s">
        <v>321</v>
      </c>
      <c r="D2110" t="s">
        <v>335</v>
      </c>
      <c r="E2110" t="s">
        <v>346</v>
      </c>
      <c r="F2110" t="s">
        <v>379</v>
      </c>
      <c r="G2110" t="s">
        <v>36</v>
      </c>
      <c r="H2110" t="s">
        <v>43</v>
      </c>
      <c r="I2110" s="187">
        <v>0</v>
      </c>
      <c r="J2110" s="187">
        <v>0</v>
      </c>
      <c r="K2110" s="187">
        <v>0</v>
      </c>
      <c r="L2110" s="187">
        <v>116.04737091064453</v>
      </c>
      <c r="M2110" s="187">
        <v>116.04737091064453</v>
      </c>
      <c r="N2110" s="187">
        <v>116.04737091064453</v>
      </c>
      <c r="O2110" t="s">
        <v>2569</v>
      </c>
    </row>
    <row r="2111" spans="1:15" hidden="1" x14ac:dyDescent="0.45">
      <c r="A2111" s="187">
        <v>2017</v>
      </c>
      <c r="B2111" t="s">
        <v>34</v>
      </c>
      <c r="C2111" t="s">
        <v>321</v>
      </c>
      <c r="D2111" t="s">
        <v>335</v>
      </c>
      <c r="E2111" t="s">
        <v>346</v>
      </c>
      <c r="F2111" t="s">
        <v>379</v>
      </c>
      <c r="G2111" t="s">
        <v>37</v>
      </c>
      <c r="H2111" t="s">
        <v>43</v>
      </c>
      <c r="I2111" s="187">
        <v>0</v>
      </c>
      <c r="J2111" s="187">
        <v>0</v>
      </c>
      <c r="K2111" s="187">
        <v>0</v>
      </c>
      <c r="L2111" s="187">
        <v>103.20232391357422</v>
      </c>
      <c r="M2111" s="187">
        <v>103.20232391357422</v>
      </c>
      <c r="N2111" s="187">
        <v>103.20232391357422</v>
      </c>
      <c r="O2111" t="s">
        <v>2570</v>
      </c>
    </row>
    <row r="2112" spans="1:15" hidden="1" x14ac:dyDescent="0.45">
      <c r="A2112" s="187">
        <v>2017</v>
      </c>
      <c r="B2112" t="s">
        <v>34</v>
      </c>
      <c r="C2112" t="s">
        <v>321</v>
      </c>
      <c r="D2112" t="s">
        <v>335</v>
      </c>
      <c r="E2112" t="s">
        <v>347</v>
      </c>
      <c r="F2112" t="s">
        <v>380</v>
      </c>
      <c r="G2112" t="s">
        <v>36</v>
      </c>
      <c r="H2112" t="s">
        <v>43</v>
      </c>
      <c r="I2112" s="187">
        <v>-21.565592956542972</v>
      </c>
      <c r="J2112" s="187">
        <v>0</v>
      </c>
      <c r="K2112" s="187">
        <v>-355.09536743164063</v>
      </c>
      <c r="L2112" s="187">
        <v>-120.31772613525391</v>
      </c>
      <c r="M2112" s="187">
        <v>-496.97866821289063</v>
      </c>
      <c r="N2112" s="187">
        <v>-141.88331604003906</v>
      </c>
      <c r="O2112" t="s">
        <v>2571</v>
      </c>
    </row>
    <row r="2113" spans="1:15" hidden="1" x14ac:dyDescent="0.45">
      <c r="A2113" s="187">
        <v>2017</v>
      </c>
      <c r="B2113" t="s">
        <v>34</v>
      </c>
      <c r="C2113" t="s">
        <v>321</v>
      </c>
      <c r="D2113" t="s">
        <v>335</v>
      </c>
      <c r="E2113" t="s">
        <v>347</v>
      </c>
      <c r="F2113" t="s">
        <v>380</v>
      </c>
      <c r="G2113" t="s">
        <v>37</v>
      </c>
      <c r="H2113" t="s">
        <v>43</v>
      </c>
      <c r="I2113" s="187">
        <v>-19.178541564941408</v>
      </c>
      <c r="J2113" s="187">
        <v>0</v>
      </c>
      <c r="K2113" s="187">
        <v>-315.79058837890625</v>
      </c>
      <c r="L2113" s="187">
        <v>-107</v>
      </c>
      <c r="M2113" s="187">
        <v>-441.9691162109375</v>
      </c>
      <c r="N2113" s="187">
        <v>-126.17854309082031</v>
      </c>
      <c r="O2113" t="s">
        <v>2572</v>
      </c>
    </row>
    <row r="2114" spans="1:15" hidden="1" x14ac:dyDescent="0.45">
      <c r="A2114" s="187">
        <v>2017</v>
      </c>
      <c r="B2114" t="s">
        <v>34</v>
      </c>
      <c r="C2114" t="s">
        <v>321</v>
      </c>
      <c r="D2114" t="s">
        <v>335</v>
      </c>
      <c r="E2114" t="s">
        <v>347</v>
      </c>
      <c r="F2114" t="s">
        <v>11</v>
      </c>
      <c r="G2114" t="s">
        <v>36</v>
      </c>
      <c r="H2114" t="s">
        <v>43</v>
      </c>
      <c r="I2114" s="187">
        <v>33003.568749999999</v>
      </c>
      <c r="J2114" s="187">
        <v>5261.37060546875</v>
      </c>
      <c r="K2114" s="187">
        <v>60310.47265625</v>
      </c>
      <c r="L2114" s="187">
        <v>60595.15625</v>
      </c>
      <c r="M2114" s="187">
        <v>159170.5625</v>
      </c>
      <c r="N2114" s="187">
        <v>93598.7265625</v>
      </c>
      <c r="O2114" t="s">
        <v>2573</v>
      </c>
    </row>
    <row r="2115" spans="1:15" hidden="1" x14ac:dyDescent="0.45">
      <c r="A2115" s="187">
        <v>2017</v>
      </c>
      <c r="B2115" t="s">
        <v>34</v>
      </c>
      <c r="C2115" t="s">
        <v>321</v>
      </c>
      <c r="D2115" t="s">
        <v>335</v>
      </c>
      <c r="E2115" t="s">
        <v>347</v>
      </c>
      <c r="F2115" t="s">
        <v>11</v>
      </c>
      <c r="G2115" t="s">
        <v>37</v>
      </c>
      <c r="H2115" t="s">
        <v>43</v>
      </c>
      <c r="I2115" s="187">
        <v>29350.471875000003</v>
      </c>
      <c r="J2115" s="187">
        <v>4679</v>
      </c>
      <c r="K2115" s="187">
        <v>53634.828125</v>
      </c>
      <c r="L2115" s="187">
        <v>53888</v>
      </c>
      <c r="M2115" s="187">
        <v>141552.296875</v>
      </c>
      <c r="N2115" s="187">
        <v>83238.46875</v>
      </c>
      <c r="O2115" t="s">
        <v>2574</v>
      </c>
    </row>
    <row r="2116" spans="1:15" hidden="1" x14ac:dyDescent="0.45">
      <c r="A2116" s="187">
        <v>2017</v>
      </c>
      <c r="B2116" t="s">
        <v>34</v>
      </c>
      <c r="C2116" t="s">
        <v>321</v>
      </c>
      <c r="D2116" t="s">
        <v>335</v>
      </c>
      <c r="E2116" t="s">
        <v>347</v>
      </c>
      <c r="F2116" t="s">
        <v>381</v>
      </c>
      <c r="G2116" t="s">
        <v>36</v>
      </c>
      <c r="H2116" t="s">
        <v>43</v>
      </c>
      <c r="I2116" s="187">
        <v>0</v>
      </c>
      <c r="J2116" s="187">
        <v>19.115900039672852</v>
      </c>
      <c r="K2116" s="187">
        <v>268.25396728515625</v>
      </c>
      <c r="L2116" s="187">
        <v>0</v>
      </c>
      <c r="M2116" s="187">
        <v>287.369873046875</v>
      </c>
      <c r="N2116" s="187">
        <v>0</v>
      </c>
      <c r="O2116" t="s">
        <v>2575</v>
      </c>
    </row>
    <row r="2117" spans="1:15" hidden="1" x14ac:dyDescent="0.45">
      <c r="A2117" s="187">
        <v>2017</v>
      </c>
      <c r="B2117" t="s">
        <v>34</v>
      </c>
      <c r="C2117" t="s">
        <v>321</v>
      </c>
      <c r="D2117" t="s">
        <v>335</v>
      </c>
      <c r="E2117" t="s">
        <v>347</v>
      </c>
      <c r="F2117" t="s">
        <v>381</v>
      </c>
      <c r="G2117" t="s">
        <v>37</v>
      </c>
      <c r="H2117" t="s">
        <v>43</v>
      </c>
      <c r="I2117" s="187">
        <v>0</v>
      </c>
      <c r="J2117" s="187">
        <v>17</v>
      </c>
      <c r="K2117" s="187">
        <v>238.56147766113281</v>
      </c>
      <c r="L2117" s="187">
        <v>0</v>
      </c>
      <c r="M2117" s="187">
        <v>255.56147766113281</v>
      </c>
      <c r="N2117" s="187">
        <v>0</v>
      </c>
      <c r="O2117" t="s">
        <v>2576</v>
      </c>
    </row>
    <row r="2118" spans="1:15" hidden="1" x14ac:dyDescent="0.45">
      <c r="A2118" s="187">
        <v>2017</v>
      </c>
      <c r="B2118" t="s">
        <v>34</v>
      </c>
      <c r="C2118" t="s">
        <v>321</v>
      </c>
      <c r="D2118" t="s">
        <v>335</v>
      </c>
      <c r="E2118" t="s">
        <v>347</v>
      </c>
      <c r="F2118" t="s">
        <v>347</v>
      </c>
      <c r="G2118" t="s">
        <v>36</v>
      </c>
      <c r="H2118" t="s">
        <v>43</v>
      </c>
      <c r="I2118" s="187">
        <v>32982</v>
      </c>
      <c r="J2118" s="187">
        <v>5280.486328125</v>
      </c>
      <c r="K2118" s="187">
        <v>60223.62890625</v>
      </c>
      <c r="L2118" s="187">
        <v>60474.8359375</v>
      </c>
      <c r="M2118" s="187">
        <v>158960.9375</v>
      </c>
      <c r="N2118" s="187">
        <v>93456.8359375</v>
      </c>
      <c r="O2118" t="s">
        <v>2577</v>
      </c>
    </row>
    <row r="2119" spans="1:15" hidden="1" x14ac:dyDescent="0.45">
      <c r="A2119" s="187">
        <v>2017</v>
      </c>
      <c r="B2119" t="s">
        <v>34</v>
      </c>
      <c r="C2119" t="s">
        <v>321</v>
      </c>
      <c r="D2119" t="s">
        <v>335</v>
      </c>
      <c r="E2119" t="s">
        <v>347</v>
      </c>
      <c r="F2119" t="s">
        <v>347</v>
      </c>
      <c r="G2119" t="s">
        <v>37</v>
      </c>
      <c r="H2119" t="s">
        <v>43</v>
      </c>
      <c r="I2119" s="187">
        <v>29331.290625000001</v>
      </c>
      <c r="J2119" s="187">
        <v>4696</v>
      </c>
      <c r="K2119" s="187">
        <v>53557.59765625</v>
      </c>
      <c r="L2119" s="187">
        <v>53781</v>
      </c>
      <c r="M2119" s="187">
        <v>141365.890625</v>
      </c>
      <c r="N2119" s="187">
        <v>83112.2890625</v>
      </c>
      <c r="O2119" t="s">
        <v>2578</v>
      </c>
    </row>
    <row r="2120" spans="1:15" hidden="1" x14ac:dyDescent="0.45">
      <c r="A2120" s="187">
        <v>2018</v>
      </c>
      <c r="B2120" t="s">
        <v>309</v>
      </c>
      <c r="C2120" t="s">
        <v>322</v>
      </c>
      <c r="D2120" t="s">
        <v>35</v>
      </c>
      <c r="E2120" t="s">
        <v>348</v>
      </c>
      <c r="F2120" t="s">
        <v>382</v>
      </c>
      <c r="G2120" t="s">
        <v>36</v>
      </c>
      <c r="H2120" t="s">
        <v>43</v>
      </c>
      <c r="I2120" s="187"/>
      <c r="J2120" s="187">
        <v>1012.0593999554681</v>
      </c>
      <c r="K2120" s="187">
        <v>17171.506979112837</v>
      </c>
      <c r="L2120" s="187">
        <v>24339.763631913313</v>
      </c>
      <c r="M2120" s="187">
        <v>42523.328125</v>
      </c>
      <c r="N2120" s="187">
        <v>24339.763671875</v>
      </c>
      <c r="O2120" t="s">
        <v>2580</v>
      </c>
    </row>
    <row r="2121" spans="1:15" hidden="1" x14ac:dyDescent="0.45">
      <c r="A2121" s="187">
        <v>2018</v>
      </c>
      <c r="B2121" t="s">
        <v>311</v>
      </c>
      <c r="C2121" t="s">
        <v>322</v>
      </c>
      <c r="D2121" t="s">
        <v>35</v>
      </c>
      <c r="E2121" t="s">
        <v>348</v>
      </c>
      <c r="F2121" t="s">
        <v>382</v>
      </c>
      <c r="G2121" t="s">
        <v>36</v>
      </c>
      <c r="H2121" t="s">
        <v>43</v>
      </c>
      <c r="I2121" s="187"/>
      <c r="J2121" s="187">
        <v>1192.4000046824287</v>
      </c>
      <c r="K2121" s="187">
        <v>18177.66016470403</v>
      </c>
      <c r="L2121" s="187">
        <v>35783.477787576754</v>
      </c>
      <c r="M2121" s="187">
        <v>55153.5390625</v>
      </c>
      <c r="N2121" s="187">
        <v>35783.4765625</v>
      </c>
      <c r="O2121" t="s">
        <v>2584</v>
      </c>
    </row>
    <row r="2122" spans="1:15" hidden="1" x14ac:dyDescent="0.45">
      <c r="A2122" s="187">
        <v>2018</v>
      </c>
      <c r="B2122" t="s">
        <v>312</v>
      </c>
      <c r="C2122" t="s">
        <v>322</v>
      </c>
      <c r="D2122" t="s">
        <v>35</v>
      </c>
      <c r="E2122" t="s">
        <v>348</v>
      </c>
      <c r="F2122" t="s">
        <v>382</v>
      </c>
      <c r="G2122" t="s">
        <v>36</v>
      </c>
      <c r="H2122" t="s">
        <v>43</v>
      </c>
      <c r="I2122" s="187">
        <v>15278.521483453251</v>
      </c>
      <c r="J2122" s="187">
        <v>1335.5001748296074</v>
      </c>
      <c r="K2122" s="187">
        <v>18197.638620116188</v>
      </c>
      <c r="L2122" s="187">
        <v>27092.104935501731</v>
      </c>
      <c r="M2122" s="187">
        <v>61903.765625</v>
      </c>
      <c r="N2122" s="187">
        <v>42370.625</v>
      </c>
      <c r="O2122" t="s">
        <v>2583</v>
      </c>
    </row>
    <row r="2123" spans="1:15" hidden="1" x14ac:dyDescent="0.45">
      <c r="A2123" s="187">
        <v>2018</v>
      </c>
      <c r="B2123" t="s">
        <v>314</v>
      </c>
      <c r="C2123" t="s">
        <v>322</v>
      </c>
      <c r="D2123" t="s">
        <v>35</v>
      </c>
      <c r="E2123" t="s">
        <v>348</v>
      </c>
      <c r="F2123" t="s">
        <v>382</v>
      </c>
      <c r="G2123" t="s">
        <v>36</v>
      </c>
      <c r="H2123" t="s">
        <v>43</v>
      </c>
      <c r="I2123" s="187">
        <v>15575.144735253563</v>
      </c>
      <c r="J2123" s="187">
        <v>984.27345862857032</v>
      </c>
      <c r="K2123" s="187">
        <v>23294.220532765288</v>
      </c>
      <c r="L2123" s="187">
        <v>32347.069758716447</v>
      </c>
      <c r="M2123" s="187">
        <v>72200.703125</v>
      </c>
      <c r="N2123" s="187">
        <v>47922.21484375</v>
      </c>
      <c r="O2123" t="s">
        <v>2582</v>
      </c>
    </row>
    <row r="2124" spans="1:15" hidden="1" x14ac:dyDescent="0.45">
      <c r="A2124" s="187">
        <v>2018</v>
      </c>
      <c r="B2124" t="s">
        <v>313</v>
      </c>
      <c r="C2124" t="s">
        <v>322</v>
      </c>
      <c r="D2124" t="s">
        <v>35</v>
      </c>
      <c r="E2124" t="s">
        <v>348</v>
      </c>
      <c r="F2124" t="s">
        <v>382</v>
      </c>
      <c r="G2124" t="s">
        <v>36</v>
      </c>
      <c r="H2124" t="s">
        <v>43</v>
      </c>
      <c r="I2124" s="187">
        <v>19366.217748239436</v>
      </c>
      <c r="J2124" s="187">
        <v>1111.4040811908478</v>
      </c>
      <c r="K2124" s="187">
        <v>21773.441783719107</v>
      </c>
      <c r="L2124" s="187">
        <v>30228.801453816603</v>
      </c>
      <c r="M2124" s="187">
        <v>72479.8671875</v>
      </c>
      <c r="N2124" s="187">
        <v>49595.01953125</v>
      </c>
      <c r="O2124" t="s">
        <v>2581</v>
      </c>
    </row>
    <row r="2125" spans="1:15" hidden="1" x14ac:dyDescent="0.45">
      <c r="A2125" s="187">
        <v>2018</v>
      </c>
      <c r="B2125" t="s">
        <v>310</v>
      </c>
      <c r="C2125" t="s">
        <v>322</v>
      </c>
      <c r="D2125" t="s">
        <v>35</v>
      </c>
      <c r="E2125" t="s">
        <v>348</v>
      </c>
      <c r="F2125" t="s">
        <v>382</v>
      </c>
      <c r="G2125" t="s">
        <v>36</v>
      </c>
      <c r="H2125" t="s">
        <v>43</v>
      </c>
      <c r="I2125" s="187"/>
      <c r="J2125" s="187">
        <v>954.63620153653858</v>
      </c>
      <c r="K2125" s="187">
        <v>16699.83910623673</v>
      </c>
      <c r="L2125" s="187">
        <v>33985.048774700772</v>
      </c>
      <c r="M2125" s="187">
        <v>51639.5234375</v>
      </c>
      <c r="N2125" s="187">
        <v>33985.046875</v>
      </c>
      <c r="O2125" t="s">
        <v>2579</v>
      </c>
    </row>
    <row r="2126" spans="1:15" hidden="1" x14ac:dyDescent="0.45">
      <c r="A2126" s="187">
        <v>2018</v>
      </c>
      <c r="B2126" t="s">
        <v>314</v>
      </c>
      <c r="C2126" t="s">
        <v>322</v>
      </c>
      <c r="D2126" t="s">
        <v>35</v>
      </c>
      <c r="E2126" t="s">
        <v>348</v>
      </c>
      <c r="F2126" t="s">
        <v>382</v>
      </c>
      <c r="G2126" t="s">
        <v>37</v>
      </c>
      <c r="H2126" t="s">
        <v>43</v>
      </c>
      <c r="I2126" s="187">
        <v>13371.22226</v>
      </c>
      <c r="J2126" s="187">
        <v>845</v>
      </c>
      <c r="K2126" s="187">
        <v>19998.117573557942</v>
      </c>
      <c r="L2126" s="187">
        <v>27770</v>
      </c>
      <c r="M2126" s="187">
        <v>61984.33984375</v>
      </c>
      <c r="N2126" s="187">
        <v>41141.22265625</v>
      </c>
      <c r="O2126" t="s">
        <v>2590</v>
      </c>
    </row>
    <row r="2127" spans="1:15" hidden="1" x14ac:dyDescent="0.45">
      <c r="A2127" s="187">
        <v>2018</v>
      </c>
      <c r="B2127" t="s">
        <v>312</v>
      </c>
      <c r="C2127" t="s">
        <v>322</v>
      </c>
      <c r="D2127" t="s">
        <v>35</v>
      </c>
      <c r="E2127" t="s">
        <v>348</v>
      </c>
      <c r="F2127" t="s">
        <v>382</v>
      </c>
      <c r="G2127" t="s">
        <v>37</v>
      </c>
      <c r="H2127" t="s">
        <v>43</v>
      </c>
      <c r="I2127" s="187">
        <v>12633.361703519369</v>
      </c>
      <c r="J2127" s="187">
        <v>1123</v>
      </c>
      <c r="K2127" s="187">
        <v>15263.567226195441</v>
      </c>
      <c r="L2127" s="187">
        <v>22699</v>
      </c>
      <c r="M2127" s="187">
        <v>51718.9296875</v>
      </c>
      <c r="N2127" s="187">
        <v>35332.359375</v>
      </c>
      <c r="O2127" t="s">
        <v>2588</v>
      </c>
    </row>
    <row r="2128" spans="1:15" hidden="1" x14ac:dyDescent="0.45">
      <c r="A2128" s="187">
        <v>2018</v>
      </c>
      <c r="B2128" t="s">
        <v>313</v>
      </c>
      <c r="C2128" t="s">
        <v>322</v>
      </c>
      <c r="D2128" t="s">
        <v>35</v>
      </c>
      <c r="E2128" t="s">
        <v>348</v>
      </c>
      <c r="F2128" t="s">
        <v>382</v>
      </c>
      <c r="G2128" t="s">
        <v>37</v>
      </c>
      <c r="H2128" t="s">
        <v>43</v>
      </c>
      <c r="I2128" s="187">
        <v>16448.220708363639</v>
      </c>
      <c r="J2128" s="187">
        <v>946</v>
      </c>
      <c r="K2128" s="187">
        <v>18495.092098132409</v>
      </c>
      <c r="L2128" s="187">
        <v>25717</v>
      </c>
      <c r="M2128" s="187">
        <v>61606.3125</v>
      </c>
      <c r="N2128" s="187">
        <v>42165.21875</v>
      </c>
      <c r="O2128" t="s">
        <v>2589</v>
      </c>
    </row>
    <row r="2129" spans="1:15" hidden="1" x14ac:dyDescent="0.45">
      <c r="A2129" s="187">
        <v>2018</v>
      </c>
      <c r="B2129" t="s">
        <v>310</v>
      </c>
      <c r="C2129" t="s">
        <v>322</v>
      </c>
      <c r="D2129" t="s">
        <v>35</v>
      </c>
      <c r="E2129" t="s">
        <v>348</v>
      </c>
      <c r="F2129" t="s">
        <v>382</v>
      </c>
      <c r="G2129" t="s">
        <v>37</v>
      </c>
      <c r="H2129" t="s">
        <v>43</v>
      </c>
      <c r="I2129" s="187"/>
      <c r="J2129" s="187">
        <v>792</v>
      </c>
      <c r="K2129" s="187">
        <v>13878.161445742369</v>
      </c>
      <c r="L2129" s="187">
        <v>28984</v>
      </c>
      <c r="M2129" s="187">
        <v>43654.16015625</v>
      </c>
      <c r="N2129" s="187">
        <v>28984</v>
      </c>
      <c r="O2129" t="s">
        <v>2585</v>
      </c>
    </row>
    <row r="2130" spans="1:15" hidden="1" x14ac:dyDescent="0.45">
      <c r="A2130" s="187">
        <v>2018</v>
      </c>
      <c r="B2130" t="s">
        <v>309</v>
      </c>
      <c r="C2130" t="s">
        <v>322</v>
      </c>
      <c r="D2130" t="s">
        <v>35</v>
      </c>
      <c r="E2130" t="s">
        <v>348</v>
      </c>
      <c r="F2130" t="s">
        <v>382</v>
      </c>
      <c r="G2130" t="s">
        <v>37</v>
      </c>
      <c r="H2130" t="s">
        <v>43</v>
      </c>
      <c r="I2130" s="187"/>
      <c r="J2130" s="187">
        <v>842.9212</v>
      </c>
      <c r="K2130" s="187">
        <v>14505.973443768051</v>
      </c>
      <c r="L2130" s="187">
        <v>21319</v>
      </c>
      <c r="M2130" s="187">
        <v>36667.89453125</v>
      </c>
      <c r="N2130" s="187">
        <v>21319</v>
      </c>
      <c r="O2130" t="s">
        <v>2587</v>
      </c>
    </row>
    <row r="2131" spans="1:15" hidden="1" x14ac:dyDescent="0.45">
      <c r="A2131" s="187">
        <v>2018</v>
      </c>
      <c r="B2131" t="s">
        <v>311</v>
      </c>
      <c r="C2131" t="s">
        <v>322</v>
      </c>
      <c r="D2131" t="s">
        <v>35</v>
      </c>
      <c r="E2131" t="s">
        <v>348</v>
      </c>
      <c r="F2131" t="s">
        <v>382</v>
      </c>
      <c r="G2131" t="s">
        <v>37</v>
      </c>
      <c r="H2131" t="s">
        <v>43</v>
      </c>
      <c r="I2131" s="187"/>
      <c r="J2131" s="187">
        <v>992</v>
      </c>
      <c r="K2131" s="187">
        <v>15021.16997737258</v>
      </c>
      <c r="L2131" s="187">
        <v>30558</v>
      </c>
      <c r="M2131" s="187">
        <v>46571.171875</v>
      </c>
      <c r="N2131" s="187">
        <v>30558</v>
      </c>
      <c r="O2131" t="s">
        <v>2586</v>
      </c>
    </row>
    <row r="2132" spans="1:15" hidden="1" x14ac:dyDescent="0.45">
      <c r="A2132" s="187">
        <v>2018</v>
      </c>
      <c r="B2132" t="s">
        <v>310</v>
      </c>
      <c r="C2132" t="s">
        <v>322</v>
      </c>
      <c r="D2132" t="s">
        <v>35</v>
      </c>
      <c r="E2132" t="s">
        <v>19</v>
      </c>
      <c r="F2132" t="s">
        <v>19</v>
      </c>
      <c r="G2132" t="s">
        <v>36</v>
      </c>
      <c r="H2132" t="s">
        <v>43</v>
      </c>
      <c r="I2132" s="187"/>
      <c r="J2132" s="187">
        <v>0</v>
      </c>
      <c r="K2132" s="187">
        <v>148.6408739879929</v>
      </c>
      <c r="L2132" s="187">
        <v>6226.0588431718634</v>
      </c>
      <c r="M2132" s="187">
        <v>6374.69970703125</v>
      </c>
      <c r="N2132" s="187">
        <v>6226.05908203125</v>
      </c>
      <c r="O2132" t="s">
        <v>2595</v>
      </c>
    </row>
    <row r="2133" spans="1:15" hidden="1" x14ac:dyDescent="0.45">
      <c r="A2133" s="187">
        <v>2018</v>
      </c>
      <c r="B2133" t="s">
        <v>311</v>
      </c>
      <c r="C2133" t="s">
        <v>322</v>
      </c>
      <c r="D2133" t="s">
        <v>35</v>
      </c>
      <c r="E2133" t="s">
        <v>19</v>
      </c>
      <c r="F2133" t="s">
        <v>19</v>
      </c>
      <c r="G2133" t="s">
        <v>36</v>
      </c>
      <c r="H2133" t="s">
        <v>43</v>
      </c>
      <c r="I2133" s="187"/>
      <c r="J2133" s="187">
        <v>0</v>
      </c>
      <c r="K2133" s="187">
        <v>142.05008294374298</v>
      </c>
      <c r="L2133" s="187">
        <v>5084.5976670255004</v>
      </c>
      <c r="M2133" s="187">
        <v>5226.64794921875</v>
      </c>
      <c r="N2133" s="187">
        <v>5084.59765625</v>
      </c>
      <c r="O2133" t="s">
        <v>2591</v>
      </c>
    </row>
    <row r="2134" spans="1:15" hidden="1" x14ac:dyDescent="0.45">
      <c r="A2134" s="187">
        <v>2018</v>
      </c>
      <c r="B2134" t="s">
        <v>313</v>
      </c>
      <c r="C2134" t="s">
        <v>322</v>
      </c>
      <c r="D2134" t="s">
        <v>35</v>
      </c>
      <c r="E2134" t="s">
        <v>19</v>
      </c>
      <c r="F2134" t="s">
        <v>19</v>
      </c>
      <c r="G2134" t="s">
        <v>36</v>
      </c>
      <c r="H2134" t="s">
        <v>43</v>
      </c>
      <c r="I2134" s="187">
        <v>2712.8657282527624</v>
      </c>
      <c r="J2134" s="187">
        <v>11.978918745320629</v>
      </c>
      <c r="K2134" s="187">
        <v>132.14846713872626</v>
      </c>
      <c r="L2134" s="187">
        <v>3267.8490337234671</v>
      </c>
      <c r="M2134" s="187">
        <v>6124.84228515625</v>
      </c>
      <c r="N2134" s="187">
        <v>5980.71484375</v>
      </c>
      <c r="O2134" t="s">
        <v>2594</v>
      </c>
    </row>
    <row r="2135" spans="1:15" hidden="1" x14ac:dyDescent="0.45">
      <c r="A2135" s="187">
        <v>2018</v>
      </c>
      <c r="B2135" t="s">
        <v>314</v>
      </c>
      <c r="C2135" t="s">
        <v>322</v>
      </c>
      <c r="D2135" t="s">
        <v>35</v>
      </c>
      <c r="E2135" t="s">
        <v>19</v>
      </c>
      <c r="F2135" t="s">
        <v>19</v>
      </c>
      <c r="G2135" t="s">
        <v>36</v>
      </c>
      <c r="H2135" t="s">
        <v>43</v>
      </c>
      <c r="I2135" s="187">
        <v>2635.972569020596</v>
      </c>
      <c r="J2135" s="187">
        <v>0</v>
      </c>
      <c r="K2135" s="187">
        <v>226.57506759723927</v>
      </c>
      <c r="L2135" s="187">
        <v>4988.9268914865879</v>
      </c>
      <c r="M2135" s="187">
        <v>7851.474609375</v>
      </c>
      <c r="N2135" s="187">
        <v>7624.8994140625</v>
      </c>
      <c r="O2135" t="s">
        <v>2592</v>
      </c>
    </row>
    <row r="2136" spans="1:15" hidden="1" x14ac:dyDescent="0.45">
      <c r="A2136" s="187">
        <v>2018</v>
      </c>
      <c r="B2136" t="s">
        <v>309</v>
      </c>
      <c r="C2136" t="s">
        <v>322</v>
      </c>
      <c r="D2136" t="s">
        <v>35</v>
      </c>
      <c r="E2136" t="s">
        <v>19</v>
      </c>
      <c r="F2136" t="s">
        <v>19</v>
      </c>
      <c r="G2136" t="s">
        <v>36</v>
      </c>
      <c r="H2136" t="s">
        <v>43</v>
      </c>
      <c r="I2136" s="187"/>
      <c r="J2136" s="187">
        <v>0</v>
      </c>
      <c r="K2136" s="187">
        <v>150.70942137818534</v>
      </c>
      <c r="L2136" s="187">
        <v>3136.8542658305605</v>
      </c>
      <c r="M2136" s="187">
        <v>3287.563720703125</v>
      </c>
      <c r="N2136" s="187">
        <v>3136.854248046875</v>
      </c>
      <c r="O2136" t="s">
        <v>2596</v>
      </c>
    </row>
    <row r="2137" spans="1:15" hidden="1" x14ac:dyDescent="0.45">
      <c r="A2137" s="187">
        <v>2018</v>
      </c>
      <c r="B2137" t="s">
        <v>312</v>
      </c>
      <c r="C2137" t="s">
        <v>322</v>
      </c>
      <c r="D2137" t="s">
        <v>35</v>
      </c>
      <c r="E2137" t="s">
        <v>19</v>
      </c>
      <c r="F2137" t="s">
        <v>19</v>
      </c>
      <c r="G2137" t="s">
        <v>36</v>
      </c>
      <c r="H2137" t="s">
        <v>43</v>
      </c>
      <c r="I2137" s="187">
        <v>1081.6314841883868</v>
      </c>
      <c r="J2137" s="187">
        <v>160.75465067393424</v>
      </c>
      <c r="K2137" s="187">
        <v>138.05675217895995</v>
      </c>
      <c r="L2137" s="187">
        <v>3638.001402174727</v>
      </c>
      <c r="M2137" s="187">
        <v>5018.4443359375</v>
      </c>
      <c r="N2137" s="187">
        <v>4719.6328125</v>
      </c>
      <c r="O2137" t="s">
        <v>2593</v>
      </c>
    </row>
    <row r="2138" spans="1:15" hidden="1" x14ac:dyDescent="0.45">
      <c r="A2138" s="187">
        <v>2018</v>
      </c>
      <c r="B2138" t="s">
        <v>312</v>
      </c>
      <c r="C2138" t="s">
        <v>322</v>
      </c>
      <c r="D2138" t="s">
        <v>35</v>
      </c>
      <c r="E2138" t="s">
        <v>19</v>
      </c>
      <c r="F2138" t="s">
        <v>19</v>
      </c>
      <c r="G2138" t="s">
        <v>37</v>
      </c>
      <c r="H2138" t="s">
        <v>43</v>
      </c>
      <c r="I2138" s="187">
        <v>894.3693788999999</v>
      </c>
      <c r="J2138" s="187">
        <v>135</v>
      </c>
      <c r="K2138" s="187">
        <v>115.7973604105071</v>
      </c>
      <c r="L2138" s="187">
        <v>3048</v>
      </c>
      <c r="M2138" s="187">
        <v>4193.1669921875</v>
      </c>
      <c r="N2138" s="187">
        <v>3942.369384765625</v>
      </c>
      <c r="O2138" t="s">
        <v>2598</v>
      </c>
    </row>
    <row r="2139" spans="1:15" hidden="1" x14ac:dyDescent="0.45">
      <c r="A2139" s="187">
        <v>2018</v>
      </c>
      <c r="B2139" t="s">
        <v>311</v>
      </c>
      <c r="C2139" t="s">
        <v>322</v>
      </c>
      <c r="D2139" t="s">
        <v>35</v>
      </c>
      <c r="E2139" t="s">
        <v>19</v>
      </c>
      <c r="F2139" t="s">
        <v>19</v>
      </c>
      <c r="G2139" t="s">
        <v>37</v>
      </c>
      <c r="H2139" t="s">
        <v>43</v>
      </c>
      <c r="I2139" s="187"/>
      <c r="J2139" s="187">
        <v>0</v>
      </c>
      <c r="K2139" s="187">
        <v>117.3835588224387</v>
      </c>
      <c r="L2139" s="187">
        <v>4341</v>
      </c>
      <c r="M2139" s="187">
        <v>4458.3837890625</v>
      </c>
      <c r="N2139" s="187">
        <v>4341</v>
      </c>
      <c r="O2139" t="s">
        <v>2601</v>
      </c>
    </row>
    <row r="2140" spans="1:15" hidden="1" x14ac:dyDescent="0.45">
      <c r="A2140" s="187">
        <v>2018</v>
      </c>
      <c r="B2140" t="s">
        <v>310</v>
      </c>
      <c r="C2140" t="s">
        <v>322</v>
      </c>
      <c r="D2140" t="s">
        <v>35</v>
      </c>
      <c r="E2140" t="s">
        <v>19</v>
      </c>
      <c r="F2140" t="s">
        <v>19</v>
      </c>
      <c r="G2140" t="s">
        <v>37</v>
      </c>
      <c r="H2140" t="s">
        <v>43</v>
      </c>
      <c r="I2140" s="187"/>
      <c r="J2140" s="187">
        <v>0</v>
      </c>
      <c r="K2140" s="187">
        <v>123.5226811624828</v>
      </c>
      <c r="L2140" s="187">
        <v>5310</v>
      </c>
      <c r="M2140" s="187">
        <v>5433.5224609375</v>
      </c>
      <c r="N2140" s="187">
        <v>5310</v>
      </c>
      <c r="O2140" t="s">
        <v>2600</v>
      </c>
    </row>
    <row r="2141" spans="1:15" hidden="1" x14ac:dyDescent="0.45">
      <c r="A2141" s="187">
        <v>2018</v>
      </c>
      <c r="B2141" t="s">
        <v>314</v>
      </c>
      <c r="C2141" t="s">
        <v>322</v>
      </c>
      <c r="D2141" t="s">
        <v>35</v>
      </c>
      <c r="E2141" t="s">
        <v>19</v>
      </c>
      <c r="F2141" t="s">
        <v>19</v>
      </c>
      <c r="G2141" t="s">
        <v>37</v>
      </c>
      <c r="H2141" t="s">
        <v>43</v>
      </c>
      <c r="I2141" s="187">
        <v>2262.98576</v>
      </c>
      <c r="J2141" s="187">
        <v>0</v>
      </c>
      <c r="K2141" s="187">
        <v>194.51498000000001</v>
      </c>
      <c r="L2141" s="187">
        <v>4283</v>
      </c>
      <c r="M2141" s="187">
        <v>6740.5009765625</v>
      </c>
      <c r="N2141" s="187">
        <v>6545.98583984375</v>
      </c>
      <c r="O2141" t="s">
        <v>2602</v>
      </c>
    </row>
    <row r="2142" spans="1:15" hidden="1" x14ac:dyDescent="0.45">
      <c r="A2142" s="187">
        <v>2018</v>
      </c>
      <c r="B2142" t="s">
        <v>313</v>
      </c>
      <c r="C2142" t="s">
        <v>322</v>
      </c>
      <c r="D2142" t="s">
        <v>35</v>
      </c>
      <c r="E2142" t="s">
        <v>19</v>
      </c>
      <c r="F2142" t="s">
        <v>19</v>
      </c>
      <c r="G2142" t="s">
        <v>37</v>
      </c>
      <c r="H2142" t="s">
        <v>43</v>
      </c>
      <c r="I2142" s="187">
        <v>2304.1057799999999</v>
      </c>
      <c r="J2142" s="187">
        <v>10</v>
      </c>
      <c r="K2142" s="187">
        <v>112.2513424673778</v>
      </c>
      <c r="L2142" s="187">
        <v>2780</v>
      </c>
      <c r="M2142" s="187">
        <v>5206.35693359375</v>
      </c>
      <c r="N2142" s="187">
        <v>5084.10546875</v>
      </c>
      <c r="O2142" t="s">
        <v>2599</v>
      </c>
    </row>
    <row r="2143" spans="1:15" hidden="1" x14ac:dyDescent="0.45">
      <c r="A2143" s="187">
        <v>2018</v>
      </c>
      <c r="B2143" t="s">
        <v>309</v>
      </c>
      <c r="C2143" t="s">
        <v>322</v>
      </c>
      <c r="D2143" t="s">
        <v>35</v>
      </c>
      <c r="E2143" t="s">
        <v>19</v>
      </c>
      <c r="F2143" t="s">
        <v>19</v>
      </c>
      <c r="G2143" t="s">
        <v>37</v>
      </c>
      <c r="H2143" t="s">
        <v>43</v>
      </c>
      <c r="I2143" s="187"/>
      <c r="J2143" s="187">
        <v>0</v>
      </c>
      <c r="K2143" s="187">
        <v>127.31479344805609</v>
      </c>
      <c r="L2143" s="187">
        <v>2747</v>
      </c>
      <c r="M2143" s="187">
        <v>2874.314697265625</v>
      </c>
      <c r="N2143" s="187">
        <v>2747</v>
      </c>
      <c r="O2143" t="s">
        <v>2597</v>
      </c>
    </row>
    <row r="2144" spans="1:15" hidden="1" x14ac:dyDescent="0.45">
      <c r="A2144" s="187">
        <v>2018</v>
      </c>
      <c r="B2144" t="s">
        <v>309</v>
      </c>
      <c r="C2144" t="s">
        <v>322</v>
      </c>
      <c r="D2144" t="s">
        <v>35</v>
      </c>
      <c r="E2144" t="s">
        <v>349</v>
      </c>
      <c r="F2144" t="s">
        <v>349</v>
      </c>
      <c r="G2144" t="s">
        <v>36</v>
      </c>
      <c r="H2144" t="s">
        <v>43</v>
      </c>
      <c r="I2144" s="187"/>
      <c r="J2144" s="187">
        <v>543.12088217505482</v>
      </c>
      <c r="K2144" s="187">
        <v>4219.8637985891883</v>
      </c>
      <c r="L2144" s="187">
        <v>1510.1409894623475</v>
      </c>
      <c r="M2144" s="187">
        <v>6273.1259765625</v>
      </c>
      <c r="N2144" s="187">
        <v>1510.1409912109375</v>
      </c>
      <c r="O2144" t="s">
        <v>2604</v>
      </c>
    </row>
    <row r="2145" spans="1:15" hidden="1" x14ac:dyDescent="0.45">
      <c r="A2145" s="187">
        <v>2018</v>
      </c>
      <c r="B2145" t="s">
        <v>310</v>
      </c>
      <c r="C2145" t="s">
        <v>322</v>
      </c>
      <c r="D2145" t="s">
        <v>35</v>
      </c>
      <c r="E2145" t="s">
        <v>349</v>
      </c>
      <c r="F2145" t="s">
        <v>349</v>
      </c>
      <c r="G2145" t="s">
        <v>36</v>
      </c>
      <c r="H2145" t="s">
        <v>43</v>
      </c>
      <c r="I2145" s="187"/>
      <c r="J2145" s="187">
        <v>529.62693372917545</v>
      </c>
      <c r="K2145" s="187">
        <v>3937.6434795370919</v>
      </c>
      <c r="L2145" s="187">
        <v>2924.0637625146578</v>
      </c>
      <c r="M2145" s="187">
        <v>7391.33447265625</v>
      </c>
      <c r="N2145" s="187">
        <v>2924.063720703125</v>
      </c>
      <c r="O2145" t="s">
        <v>2605</v>
      </c>
    </row>
    <row r="2146" spans="1:15" hidden="1" x14ac:dyDescent="0.45">
      <c r="A2146" s="187">
        <v>2018</v>
      </c>
      <c r="B2146" t="s">
        <v>311</v>
      </c>
      <c r="C2146" t="s">
        <v>322</v>
      </c>
      <c r="D2146" t="s">
        <v>35</v>
      </c>
      <c r="E2146" t="s">
        <v>349</v>
      </c>
      <c r="F2146" t="s">
        <v>349</v>
      </c>
      <c r="G2146" t="s">
        <v>36</v>
      </c>
      <c r="H2146" t="s">
        <v>43</v>
      </c>
      <c r="I2146" s="187"/>
      <c r="J2146" s="187">
        <v>803.43529727265252</v>
      </c>
      <c r="K2146" s="187">
        <v>4332.6595588517221</v>
      </c>
      <c r="L2146" s="187">
        <v>3026.2729530603247</v>
      </c>
      <c r="M2146" s="187">
        <v>8162.36767578125</v>
      </c>
      <c r="N2146" s="187">
        <v>3026.27294921875</v>
      </c>
      <c r="O2146" t="s">
        <v>2607</v>
      </c>
    </row>
    <row r="2147" spans="1:15" hidden="1" x14ac:dyDescent="0.45">
      <c r="A2147" s="187">
        <v>2018</v>
      </c>
      <c r="B2147" t="s">
        <v>314</v>
      </c>
      <c r="C2147" t="s">
        <v>322</v>
      </c>
      <c r="D2147" t="s">
        <v>35</v>
      </c>
      <c r="E2147" t="s">
        <v>349</v>
      </c>
      <c r="F2147" t="s">
        <v>349</v>
      </c>
      <c r="G2147" t="s">
        <v>36</v>
      </c>
      <c r="H2147" t="s">
        <v>43</v>
      </c>
      <c r="I2147" s="187">
        <v>1844.4469240236638</v>
      </c>
      <c r="J2147" s="187">
        <v>392.54456279032922</v>
      </c>
      <c r="K2147" s="187">
        <v>3172.00042080915</v>
      </c>
      <c r="L2147" s="187">
        <v>1460.6851090180203</v>
      </c>
      <c r="M2147" s="187">
        <v>6869.6767578125</v>
      </c>
      <c r="N2147" s="187">
        <v>3305.132080078125</v>
      </c>
      <c r="O2147" t="s">
        <v>2606</v>
      </c>
    </row>
    <row r="2148" spans="1:15" hidden="1" x14ac:dyDescent="0.45">
      <c r="A2148" s="187">
        <v>2018</v>
      </c>
      <c r="B2148" t="s">
        <v>313</v>
      </c>
      <c r="C2148" t="s">
        <v>322</v>
      </c>
      <c r="D2148" t="s">
        <v>35</v>
      </c>
      <c r="E2148" t="s">
        <v>349</v>
      </c>
      <c r="F2148" t="s">
        <v>349</v>
      </c>
      <c r="G2148" t="s">
        <v>36</v>
      </c>
      <c r="H2148" t="s">
        <v>43</v>
      </c>
      <c r="I2148" s="187">
        <v>4276.4739920794646</v>
      </c>
      <c r="J2148" s="187">
        <v>539.05134353942822</v>
      </c>
      <c r="K2148" s="187">
        <v>2010.0288998368915</v>
      </c>
      <c r="L2148" s="187">
        <v>2001.6773223430769</v>
      </c>
      <c r="M2148" s="187">
        <v>8827.2314453125</v>
      </c>
      <c r="N2148" s="187">
        <v>6278.1513671875</v>
      </c>
      <c r="O2148" t="s">
        <v>2608</v>
      </c>
    </row>
    <row r="2149" spans="1:15" hidden="1" x14ac:dyDescent="0.45">
      <c r="A2149" s="187">
        <v>2018</v>
      </c>
      <c r="B2149" t="s">
        <v>312</v>
      </c>
      <c r="C2149" t="s">
        <v>322</v>
      </c>
      <c r="D2149" t="s">
        <v>35</v>
      </c>
      <c r="E2149" t="s">
        <v>349</v>
      </c>
      <c r="F2149" t="s">
        <v>349</v>
      </c>
      <c r="G2149" t="s">
        <v>36</v>
      </c>
      <c r="H2149" t="s">
        <v>43</v>
      </c>
      <c r="I2149" s="187">
        <v>4179.6209175222903</v>
      </c>
      <c r="J2149" s="187">
        <v>408.06949786460228</v>
      </c>
      <c r="K2149" s="187">
        <v>3338.125037907193</v>
      </c>
      <c r="L2149" s="187">
        <v>1572.9224281326487</v>
      </c>
      <c r="M2149" s="187">
        <v>9498.73828125</v>
      </c>
      <c r="N2149" s="187">
        <v>5752.54345703125</v>
      </c>
      <c r="O2149" t="s">
        <v>2603</v>
      </c>
    </row>
    <row r="2150" spans="1:15" hidden="1" x14ac:dyDescent="0.45">
      <c r="A2150" s="187">
        <v>2018</v>
      </c>
      <c r="B2150" t="s">
        <v>313</v>
      </c>
      <c r="C2150" t="s">
        <v>322</v>
      </c>
      <c r="D2150" t="s">
        <v>35</v>
      </c>
      <c r="E2150" t="s">
        <v>349</v>
      </c>
      <c r="F2150" t="s">
        <v>349</v>
      </c>
      <c r="G2150" t="s">
        <v>37</v>
      </c>
      <c r="H2150" t="s">
        <v>43</v>
      </c>
      <c r="I2150" s="187">
        <v>3632.1179999999999</v>
      </c>
      <c r="J2150" s="187">
        <v>459</v>
      </c>
      <c r="K2150" s="187">
        <v>1707.385997660178</v>
      </c>
      <c r="L2150" s="187">
        <v>1703</v>
      </c>
      <c r="M2150" s="187">
        <v>7501.50390625</v>
      </c>
      <c r="N2150" s="187">
        <v>5335.1181640625</v>
      </c>
      <c r="O2150" t="s">
        <v>2613</v>
      </c>
    </row>
    <row r="2151" spans="1:15" hidden="1" x14ac:dyDescent="0.45">
      <c r="A2151" s="187">
        <v>2018</v>
      </c>
      <c r="B2151" t="s">
        <v>309</v>
      </c>
      <c r="C2151" t="s">
        <v>322</v>
      </c>
      <c r="D2151" t="s">
        <v>35</v>
      </c>
      <c r="E2151" t="s">
        <v>349</v>
      </c>
      <c r="F2151" t="s">
        <v>349</v>
      </c>
      <c r="G2151" t="s">
        <v>37</v>
      </c>
      <c r="H2151" t="s">
        <v>43</v>
      </c>
      <c r="I2151" s="187"/>
      <c r="J2151" s="187">
        <v>452.35300000000001</v>
      </c>
      <c r="K2151" s="187">
        <v>3564.8142165455711</v>
      </c>
      <c r="L2151" s="187">
        <v>1325</v>
      </c>
      <c r="M2151" s="187">
        <v>5342.1669921875</v>
      </c>
      <c r="N2151" s="187">
        <v>1325</v>
      </c>
      <c r="O2151" t="s">
        <v>2611</v>
      </c>
    </row>
    <row r="2152" spans="1:15" hidden="1" x14ac:dyDescent="0.45">
      <c r="A2152" s="187">
        <v>2018</v>
      </c>
      <c r="B2152" t="s">
        <v>314</v>
      </c>
      <c r="C2152" t="s">
        <v>322</v>
      </c>
      <c r="D2152" t="s">
        <v>35</v>
      </c>
      <c r="E2152" t="s">
        <v>349</v>
      </c>
      <c r="F2152" t="s">
        <v>349</v>
      </c>
      <c r="G2152" t="s">
        <v>37</v>
      </c>
      <c r="H2152" t="s">
        <v>43</v>
      </c>
      <c r="I2152" s="187">
        <v>1583.45994</v>
      </c>
      <c r="J2152" s="187">
        <v>337</v>
      </c>
      <c r="K2152" s="187">
        <v>2723.1663437500001</v>
      </c>
      <c r="L2152" s="187">
        <v>1254</v>
      </c>
      <c r="M2152" s="187">
        <v>5897.62646484375</v>
      </c>
      <c r="N2152" s="187">
        <v>2837.4599609375</v>
      </c>
      <c r="O2152" t="s">
        <v>2609</v>
      </c>
    </row>
    <row r="2153" spans="1:15" hidden="1" x14ac:dyDescent="0.45">
      <c r="A2153" s="187">
        <v>2018</v>
      </c>
      <c r="B2153" t="s">
        <v>310</v>
      </c>
      <c r="C2153" t="s">
        <v>322</v>
      </c>
      <c r="D2153" t="s">
        <v>35</v>
      </c>
      <c r="E2153" t="s">
        <v>349</v>
      </c>
      <c r="F2153" t="s">
        <v>349</v>
      </c>
      <c r="G2153" t="s">
        <v>37</v>
      </c>
      <c r="H2153" t="s">
        <v>43</v>
      </c>
      <c r="I2153" s="187"/>
      <c r="J2153" s="187">
        <v>440</v>
      </c>
      <c r="K2153" s="187">
        <v>3272.3228182481571</v>
      </c>
      <c r="L2153" s="187">
        <v>2494</v>
      </c>
      <c r="M2153" s="187">
        <v>6206.32275390625</v>
      </c>
      <c r="N2153" s="187">
        <v>2494</v>
      </c>
      <c r="O2153" t="s">
        <v>2614</v>
      </c>
    </row>
    <row r="2154" spans="1:15" hidden="1" x14ac:dyDescent="0.45">
      <c r="A2154" s="187">
        <v>2018</v>
      </c>
      <c r="B2154" t="s">
        <v>311</v>
      </c>
      <c r="C2154" t="s">
        <v>322</v>
      </c>
      <c r="D2154" t="s">
        <v>35</v>
      </c>
      <c r="E2154" t="s">
        <v>349</v>
      </c>
      <c r="F2154" t="s">
        <v>349</v>
      </c>
      <c r="G2154" t="s">
        <v>37</v>
      </c>
      <c r="H2154" t="s">
        <v>43</v>
      </c>
      <c r="I2154" s="187"/>
      <c r="J2154" s="187">
        <v>669</v>
      </c>
      <c r="K2154" s="187">
        <v>3580.3076467437909</v>
      </c>
      <c r="L2154" s="187">
        <v>2585</v>
      </c>
      <c r="M2154" s="187">
        <v>6834.3076171875</v>
      </c>
      <c r="N2154" s="187">
        <v>2585</v>
      </c>
      <c r="O2154" t="s">
        <v>2610</v>
      </c>
    </row>
    <row r="2155" spans="1:15" hidden="1" x14ac:dyDescent="0.45">
      <c r="A2155" s="187">
        <v>2018</v>
      </c>
      <c r="B2155" t="s">
        <v>312</v>
      </c>
      <c r="C2155" t="s">
        <v>322</v>
      </c>
      <c r="D2155" t="s">
        <v>35</v>
      </c>
      <c r="E2155" t="s">
        <v>349</v>
      </c>
      <c r="F2155" t="s">
        <v>349</v>
      </c>
      <c r="G2155" t="s">
        <v>37</v>
      </c>
      <c r="H2155" t="s">
        <v>43</v>
      </c>
      <c r="I2155" s="187">
        <v>3456.0060600000002</v>
      </c>
      <c r="J2155" s="187">
        <v>343</v>
      </c>
      <c r="K2155" s="187">
        <v>2799.9070093203841</v>
      </c>
      <c r="L2155" s="187">
        <v>1318</v>
      </c>
      <c r="M2155" s="187">
        <v>7916.9130859375</v>
      </c>
      <c r="N2155" s="187">
        <v>4774.005859375</v>
      </c>
      <c r="O2155" t="s">
        <v>2612</v>
      </c>
    </row>
    <row r="2156" spans="1:15" hidden="1" x14ac:dyDescent="0.45">
      <c r="A2156" s="187">
        <v>2018</v>
      </c>
      <c r="B2156" t="s">
        <v>313</v>
      </c>
      <c r="C2156" t="s">
        <v>322</v>
      </c>
      <c r="D2156" t="s">
        <v>35</v>
      </c>
      <c r="E2156" t="s">
        <v>46</v>
      </c>
      <c r="F2156" t="s">
        <v>46</v>
      </c>
      <c r="G2156" t="s">
        <v>37</v>
      </c>
      <c r="H2156" t="s">
        <v>43</v>
      </c>
      <c r="I2156" s="187">
        <v>15211.681937520441</v>
      </c>
      <c r="J2156" s="187">
        <v>946</v>
      </c>
      <c r="K2156" s="187">
        <v>18060.1210773741</v>
      </c>
      <c r="L2156" s="187"/>
      <c r="M2156" s="187">
        <v>34217.80078125</v>
      </c>
      <c r="N2156" s="187">
        <v>15211.681640625</v>
      </c>
      <c r="O2156" t="s">
        <v>2617</v>
      </c>
    </row>
    <row r="2157" spans="1:15" hidden="1" x14ac:dyDescent="0.45">
      <c r="A2157" s="187">
        <v>2018</v>
      </c>
      <c r="B2157" t="s">
        <v>312</v>
      </c>
      <c r="C2157" t="s">
        <v>322</v>
      </c>
      <c r="D2157" t="s">
        <v>35</v>
      </c>
      <c r="E2157" t="s">
        <v>46</v>
      </c>
      <c r="F2157" t="s">
        <v>46</v>
      </c>
      <c r="G2157" t="s">
        <v>37</v>
      </c>
      <c r="H2157" t="s">
        <v>43</v>
      </c>
      <c r="I2157" s="187">
        <v>11799.556274603379</v>
      </c>
      <c r="J2157" s="187">
        <v>1123</v>
      </c>
      <c r="K2157" s="187">
        <v>14719.638571823671</v>
      </c>
      <c r="L2157" s="187">
        <v>18119</v>
      </c>
      <c r="M2157" s="187">
        <v>45761.1953125</v>
      </c>
      <c r="N2157" s="187">
        <v>29918.556640625</v>
      </c>
      <c r="O2157" t="s">
        <v>2618</v>
      </c>
    </row>
    <row r="2158" spans="1:15" hidden="1" x14ac:dyDescent="0.45">
      <c r="A2158" s="187">
        <v>2018</v>
      </c>
      <c r="B2158" t="s">
        <v>311</v>
      </c>
      <c r="C2158" t="s">
        <v>322</v>
      </c>
      <c r="D2158" t="s">
        <v>35</v>
      </c>
      <c r="E2158" t="s">
        <v>46</v>
      </c>
      <c r="F2158" t="s">
        <v>46</v>
      </c>
      <c r="G2158" t="s">
        <v>37</v>
      </c>
      <c r="H2158" t="s">
        <v>43</v>
      </c>
      <c r="I2158" s="187"/>
      <c r="J2158" s="187">
        <v>992</v>
      </c>
      <c r="K2158" s="187">
        <v>14446.10282866365</v>
      </c>
      <c r="L2158" s="187">
        <v>23407</v>
      </c>
      <c r="M2158" s="187">
        <v>38845.1015625</v>
      </c>
      <c r="N2158" s="187">
        <v>23407</v>
      </c>
      <c r="O2158" t="s">
        <v>2615</v>
      </c>
    </row>
    <row r="2159" spans="1:15" hidden="1" x14ac:dyDescent="0.45">
      <c r="A2159" s="187">
        <v>2018</v>
      </c>
      <c r="B2159" t="s">
        <v>314</v>
      </c>
      <c r="C2159" t="s">
        <v>322</v>
      </c>
      <c r="D2159" t="s">
        <v>35</v>
      </c>
      <c r="E2159" t="s">
        <v>46</v>
      </c>
      <c r="F2159" t="s">
        <v>46</v>
      </c>
      <c r="G2159" t="s">
        <v>37</v>
      </c>
      <c r="H2159" t="s">
        <v>43</v>
      </c>
      <c r="I2159" s="187">
        <v>12482.557169158899</v>
      </c>
      <c r="J2159" s="187">
        <v>845</v>
      </c>
      <c r="K2159" s="187">
        <v>19166.774535618639</v>
      </c>
      <c r="L2159" s="187">
        <v>21006</v>
      </c>
      <c r="M2159" s="187">
        <v>53500.33203125</v>
      </c>
      <c r="N2159" s="187">
        <v>33488.55859375</v>
      </c>
      <c r="O2159" t="s">
        <v>2616</v>
      </c>
    </row>
    <row r="2160" spans="1:15" hidden="1" x14ac:dyDescent="0.45">
      <c r="A2160" s="187">
        <v>2018</v>
      </c>
      <c r="B2160" t="s">
        <v>314</v>
      </c>
      <c r="C2160" t="s">
        <v>322</v>
      </c>
      <c r="D2160" t="s">
        <v>35</v>
      </c>
      <c r="E2160" t="s">
        <v>350</v>
      </c>
      <c r="F2160" t="s">
        <v>350</v>
      </c>
      <c r="G2160" t="s">
        <v>37</v>
      </c>
      <c r="H2160" t="s">
        <v>43</v>
      </c>
      <c r="I2160" s="187">
        <v>11644.565162019009</v>
      </c>
      <c r="J2160" s="187">
        <v>845</v>
      </c>
      <c r="K2160" s="187">
        <v>19641.39788476568</v>
      </c>
      <c r="L2160" s="187">
        <v>20925</v>
      </c>
      <c r="M2160" s="187">
        <v>53055.9609375</v>
      </c>
      <c r="N2160" s="187">
        <v>32569.56640625</v>
      </c>
      <c r="O2160" t="s">
        <v>2619</v>
      </c>
    </row>
    <row r="2161" spans="1:15" hidden="1" x14ac:dyDescent="0.45">
      <c r="A2161" s="187">
        <v>2018</v>
      </c>
      <c r="B2161" t="s">
        <v>309</v>
      </c>
      <c r="C2161" t="s">
        <v>322</v>
      </c>
      <c r="D2161" t="s">
        <v>35</v>
      </c>
      <c r="E2161" t="s">
        <v>350</v>
      </c>
      <c r="F2161" t="s">
        <v>350</v>
      </c>
      <c r="G2161" t="s">
        <v>37</v>
      </c>
      <c r="H2161" t="s">
        <v>43</v>
      </c>
      <c r="I2161" s="187"/>
      <c r="J2161" s="187">
        <v>842.9212</v>
      </c>
      <c r="K2161" s="187">
        <v>14019.92254363441</v>
      </c>
      <c r="L2161" s="187">
        <v>17571</v>
      </c>
      <c r="M2161" s="187">
        <v>32433.84375</v>
      </c>
      <c r="N2161" s="187">
        <v>17571</v>
      </c>
      <c r="O2161" t="s">
        <v>2623</v>
      </c>
    </row>
    <row r="2162" spans="1:15" hidden="1" x14ac:dyDescent="0.45">
      <c r="A2162" s="187">
        <v>2018</v>
      </c>
      <c r="B2162" t="s">
        <v>310</v>
      </c>
      <c r="C2162" t="s">
        <v>322</v>
      </c>
      <c r="D2162" t="s">
        <v>35</v>
      </c>
      <c r="E2162" t="s">
        <v>350</v>
      </c>
      <c r="F2162" t="s">
        <v>350</v>
      </c>
      <c r="G2162" t="s">
        <v>37</v>
      </c>
      <c r="H2162" t="s">
        <v>43</v>
      </c>
      <c r="I2162" s="187"/>
      <c r="J2162" s="187">
        <v>792</v>
      </c>
      <c r="K2162" s="187">
        <v>13255.30082004583</v>
      </c>
      <c r="L2162" s="187">
        <v>22637</v>
      </c>
      <c r="M2162" s="187">
        <v>36684.30078125</v>
      </c>
      <c r="N2162" s="187">
        <v>22637</v>
      </c>
      <c r="O2162" t="s">
        <v>2622</v>
      </c>
    </row>
    <row r="2163" spans="1:15" hidden="1" x14ac:dyDescent="0.45">
      <c r="A2163" s="187">
        <v>2018</v>
      </c>
      <c r="B2163" t="s">
        <v>313</v>
      </c>
      <c r="C2163" t="s">
        <v>322</v>
      </c>
      <c r="D2163" t="s">
        <v>35</v>
      </c>
      <c r="E2163" t="s">
        <v>350</v>
      </c>
      <c r="F2163" t="s">
        <v>350</v>
      </c>
      <c r="G2163" t="s">
        <v>37</v>
      </c>
      <c r="H2163" t="s">
        <v>43</v>
      </c>
      <c r="I2163" s="187">
        <v>14278.90862672406</v>
      </c>
      <c r="J2163" s="187">
        <v>946</v>
      </c>
      <c r="K2163" s="187">
        <v>18277.136788064949</v>
      </c>
      <c r="L2163" s="187">
        <v>21668</v>
      </c>
      <c r="M2163" s="187">
        <v>55170.046875</v>
      </c>
      <c r="N2163" s="187">
        <v>35946.90625</v>
      </c>
      <c r="O2163" t="s">
        <v>2621</v>
      </c>
    </row>
    <row r="2164" spans="1:15" hidden="1" x14ac:dyDescent="0.45">
      <c r="A2164" s="187">
        <v>2018</v>
      </c>
      <c r="B2164" t="s">
        <v>312</v>
      </c>
      <c r="C2164" t="s">
        <v>322</v>
      </c>
      <c r="D2164" t="s">
        <v>35</v>
      </c>
      <c r="E2164" t="s">
        <v>350</v>
      </c>
      <c r="F2164" t="s">
        <v>350</v>
      </c>
      <c r="G2164" t="s">
        <v>37</v>
      </c>
      <c r="H2164" t="s">
        <v>43</v>
      </c>
      <c r="I2164" s="187">
        <v>12010.75195069831</v>
      </c>
      <c r="J2164" s="187">
        <v>1123</v>
      </c>
      <c r="K2164" s="187">
        <v>14582.73645540713</v>
      </c>
      <c r="L2164" s="187">
        <v>18118</v>
      </c>
      <c r="M2164" s="187">
        <v>45834.48828125</v>
      </c>
      <c r="N2164" s="187">
        <v>30128.751953125</v>
      </c>
      <c r="O2164" t="s">
        <v>2624</v>
      </c>
    </row>
    <row r="2165" spans="1:15" hidden="1" x14ac:dyDescent="0.45">
      <c r="A2165" s="187">
        <v>2018</v>
      </c>
      <c r="B2165" t="s">
        <v>311</v>
      </c>
      <c r="C2165" t="s">
        <v>322</v>
      </c>
      <c r="D2165" t="s">
        <v>35</v>
      </c>
      <c r="E2165" t="s">
        <v>350</v>
      </c>
      <c r="F2165" t="s">
        <v>350</v>
      </c>
      <c r="G2165" t="s">
        <v>37</v>
      </c>
      <c r="H2165" t="s">
        <v>43</v>
      </c>
      <c r="I2165" s="187"/>
      <c r="J2165" s="187">
        <v>992</v>
      </c>
      <c r="K2165" s="187">
        <v>14411.42314167191</v>
      </c>
      <c r="L2165" s="187">
        <v>23392</v>
      </c>
      <c r="M2165" s="187">
        <v>38795.421875</v>
      </c>
      <c r="N2165" s="187">
        <v>23392</v>
      </c>
      <c r="O2165" t="s">
        <v>2620</v>
      </c>
    </row>
    <row r="2166" spans="1:15" hidden="1" x14ac:dyDescent="0.45">
      <c r="A2166" s="187">
        <v>2018</v>
      </c>
      <c r="B2166" t="s">
        <v>314</v>
      </c>
      <c r="C2166" t="s">
        <v>322</v>
      </c>
      <c r="D2166" t="s">
        <v>35</v>
      </c>
      <c r="E2166" t="s">
        <v>16</v>
      </c>
      <c r="F2166" t="s">
        <v>16</v>
      </c>
      <c r="G2166" t="s">
        <v>36</v>
      </c>
      <c r="H2166" t="s">
        <v>43</v>
      </c>
      <c r="I2166" s="187">
        <v>7992.4239550540669</v>
      </c>
      <c r="J2166" s="187">
        <v>210.83253965890086</v>
      </c>
      <c r="K2166" s="187">
        <v>8870.8279058225344</v>
      </c>
      <c r="L2166" s="187">
        <v>22281.854426160855</v>
      </c>
      <c r="M2166" s="187">
        <v>39355.9375</v>
      </c>
      <c r="N2166" s="187">
        <v>30274.27734375</v>
      </c>
      <c r="O2166" t="s">
        <v>2630</v>
      </c>
    </row>
    <row r="2167" spans="1:15" hidden="1" x14ac:dyDescent="0.45">
      <c r="A2167" s="187">
        <v>2018</v>
      </c>
      <c r="B2167" t="s">
        <v>309</v>
      </c>
      <c r="C2167" t="s">
        <v>322</v>
      </c>
      <c r="D2167" t="s">
        <v>35</v>
      </c>
      <c r="E2167" t="s">
        <v>16</v>
      </c>
      <c r="F2167" t="s">
        <v>16</v>
      </c>
      <c r="G2167" t="s">
        <v>36</v>
      </c>
      <c r="H2167" t="s">
        <v>43</v>
      </c>
      <c r="I2167" s="187"/>
      <c r="J2167" s="187">
        <v>111.27354659196246</v>
      </c>
      <c r="K2167" s="187">
        <v>4887.5065352945494</v>
      </c>
      <c r="L2167" s="187">
        <v>13372.695867212631</v>
      </c>
      <c r="M2167" s="187">
        <v>18371.4765625</v>
      </c>
      <c r="N2167" s="187">
        <v>13372.6962890625</v>
      </c>
      <c r="O2167" t="s">
        <v>2628</v>
      </c>
    </row>
    <row r="2168" spans="1:15" hidden="1" x14ac:dyDescent="0.45">
      <c r="A2168" s="187">
        <v>2018</v>
      </c>
      <c r="B2168" t="s">
        <v>313</v>
      </c>
      <c r="C2168" t="s">
        <v>322</v>
      </c>
      <c r="D2168" t="s">
        <v>35</v>
      </c>
      <c r="E2168" t="s">
        <v>16</v>
      </c>
      <c r="F2168" t="s">
        <v>16</v>
      </c>
      <c r="G2168" t="s">
        <v>36</v>
      </c>
      <c r="H2168" t="s">
        <v>43</v>
      </c>
      <c r="I2168" s="187">
        <v>5143.5876273265358</v>
      </c>
      <c r="J2168" s="187">
        <v>165.30907868542465</v>
      </c>
      <c r="K2168" s="187">
        <v>6092.4281198429562</v>
      </c>
      <c r="L2168" s="187">
        <v>19036.897670063543</v>
      </c>
      <c r="M2168" s="187">
        <v>30438.22265625</v>
      </c>
      <c r="N2168" s="187">
        <v>24180.484375</v>
      </c>
      <c r="O2168" t="s">
        <v>2629</v>
      </c>
    </row>
    <row r="2169" spans="1:15" hidden="1" x14ac:dyDescent="0.45">
      <c r="A2169" s="187">
        <v>2018</v>
      </c>
      <c r="B2169" t="s">
        <v>312</v>
      </c>
      <c r="C2169" t="s">
        <v>322</v>
      </c>
      <c r="D2169" t="s">
        <v>35</v>
      </c>
      <c r="E2169" t="s">
        <v>16</v>
      </c>
      <c r="F2169" t="s">
        <v>16</v>
      </c>
      <c r="G2169" t="s">
        <v>36</v>
      </c>
      <c r="H2169" t="s">
        <v>43</v>
      </c>
      <c r="I2169" s="187">
        <v>4678.0284161187901</v>
      </c>
      <c r="J2169" s="187">
        <v>129.84029477510072</v>
      </c>
      <c r="K2169" s="187">
        <v>4876.8072222816245</v>
      </c>
      <c r="L2169" s="187">
        <v>17474.030528256651</v>
      </c>
      <c r="M2169" s="187">
        <v>27158.70703125</v>
      </c>
      <c r="N2169" s="187">
        <v>22152.05859375</v>
      </c>
      <c r="O2169" t="s">
        <v>2627</v>
      </c>
    </row>
    <row r="2170" spans="1:15" hidden="1" x14ac:dyDescent="0.45">
      <c r="A2170" s="187">
        <v>2018</v>
      </c>
      <c r="B2170" t="s">
        <v>310</v>
      </c>
      <c r="C2170" t="s">
        <v>322</v>
      </c>
      <c r="D2170" t="s">
        <v>35</v>
      </c>
      <c r="E2170" t="s">
        <v>16</v>
      </c>
      <c r="F2170" t="s">
        <v>16</v>
      </c>
      <c r="G2170" t="s">
        <v>36</v>
      </c>
      <c r="H2170" t="s">
        <v>43</v>
      </c>
      <c r="I2170" s="187"/>
      <c r="J2170" s="187">
        <v>104.61766592181245</v>
      </c>
      <c r="K2170" s="187">
        <v>5464.7757302323071</v>
      </c>
      <c r="L2170" s="187">
        <v>18988.106364808958</v>
      </c>
      <c r="M2170" s="187">
        <v>24557.5</v>
      </c>
      <c r="N2170" s="187">
        <v>18988.10546875</v>
      </c>
      <c r="O2170" t="s">
        <v>2625</v>
      </c>
    </row>
    <row r="2171" spans="1:15" hidden="1" x14ac:dyDescent="0.45">
      <c r="A2171" s="187">
        <v>2018</v>
      </c>
      <c r="B2171" t="s">
        <v>311</v>
      </c>
      <c r="C2171" t="s">
        <v>322</v>
      </c>
      <c r="D2171" t="s">
        <v>35</v>
      </c>
      <c r="E2171" t="s">
        <v>16</v>
      </c>
      <c r="F2171" t="s">
        <v>16</v>
      </c>
      <c r="G2171" t="s">
        <v>36</v>
      </c>
      <c r="H2171" t="s">
        <v>43</v>
      </c>
      <c r="I2171" s="187"/>
      <c r="J2171" s="187">
        <v>127.5294122655004</v>
      </c>
      <c r="K2171" s="187">
        <v>5203.9912894003519</v>
      </c>
      <c r="L2171" s="187">
        <v>20965.835376448264</v>
      </c>
      <c r="M2171" s="187">
        <v>26297.35546875</v>
      </c>
      <c r="N2171" s="187">
        <v>20965.8359375</v>
      </c>
      <c r="O2171" t="s">
        <v>2626</v>
      </c>
    </row>
    <row r="2172" spans="1:15" hidden="1" x14ac:dyDescent="0.45">
      <c r="A2172" s="187">
        <v>2018</v>
      </c>
      <c r="B2172" t="s">
        <v>313</v>
      </c>
      <c r="C2172" t="s">
        <v>322</v>
      </c>
      <c r="D2172" t="s">
        <v>35</v>
      </c>
      <c r="E2172" t="s">
        <v>16</v>
      </c>
      <c r="F2172" t="s">
        <v>16</v>
      </c>
      <c r="G2172" t="s">
        <v>37</v>
      </c>
      <c r="H2172" t="s">
        <v>43</v>
      </c>
      <c r="I2172" s="187">
        <v>4368.5796383636361</v>
      </c>
      <c r="J2172" s="187">
        <v>141</v>
      </c>
      <c r="K2172" s="187">
        <v>5175.1128873893767</v>
      </c>
      <c r="L2172" s="187">
        <v>16196</v>
      </c>
      <c r="M2172" s="187">
        <v>25880.69140625</v>
      </c>
      <c r="N2172" s="187">
        <v>20564.580078125</v>
      </c>
      <c r="O2172" t="s">
        <v>2636</v>
      </c>
    </row>
    <row r="2173" spans="1:15" hidden="1" x14ac:dyDescent="0.45">
      <c r="A2173" s="187">
        <v>2018</v>
      </c>
      <c r="B2173" t="s">
        <v>314</v>
      </c>
      <c r="C2173" t="s">
        <v>322</v>
      </c>
      <c r="D2173" t="s">
        <v>35</v>
      </c>
      <c r="E2173" t="s">
        <v>16</v>
      </c>
      <c r="F2173" t="s">
        <v>16</v>
      </c>
      <c r="G2173" t="s">
        <v>37</v>
      </c>
      <c r="H2173" t="s">
        <v>43</v>
      </c>
      <c r="I2173" s="187">
        <v>6861.5045399999999</v>
      </c>
      <c r="J2173" s="187">
        <v>181</v>
      </c>
      <c r="K2173" s="187">
        <v>7615.6168945816362</v>
      </c>
      <c r="L2173" s="187">
        <v>19129</v>
      </c>
      <c r="M2173" s="187">
        <v>33787.12109375</v>
      </c>
      <c r="N2173" s="187">
        <v>25990.50390625</v>
      </c>
      <c r="O2173" t="s">
        <v>2635</v>
      </c>
    </row>
    <row r="2174" spans="1:15" hidden="1" x14ac:dyDescent="0.45">
      <c r="A2174" s="187">
        <v>2018</v>
      </c>
      <c r="B2174" t="s">
        <v>312</v>
      </c>
      <c r="C2174" t="s">
        <v>322</v>
      </c>
      <c r="D2174" t="s">
        <v>35</v>
      </c>
      <c r="E2174" t="s">
        <v>16</v>
      </c>
      <c r="F2174" t="s">
        <v>16</v>
      </c>
      <c r="G2174" t="s">
        <v>37</v>
      </c>
      <c r="H2174" t="s">
        <v>43</v>
      </c>
      <c r="I2174" s="187">
        <v>3868.1246156033781</v>
      </c>
      <c r="J2174" s="187">
        <v>109</v>
      </c>
      <c r="K2174" s="187">
        <v>4090.5018744687959</v>
      </c>
      <c r="L2174" s="187">
        <v>14640</v>
      </c>
      <c r="M2174" s="187">
        <v>22707.626953125</v>
      </c>
      <c r="N2174" s="187">
        <v>18508.125</v>
      </c>
      <c r="O2174" t="s">
        <v>2634</v>
      </c>
    </row>
    <row r="2175" spans="1:15" hidden="1" x14ac:dyDescent="0.45">
      <c r="A2175" s="187">
        <v>2018</v>
      </c>
      <c r="B2175" t="s">
        <v>310</v>
      </c>
      <c r="C2175" t="s">
        <v>322</v>
      </c>
      <c r="D2175" t="s">
        <v>35</v>
      </c>
      <c r="E2175" t="s">
        <v>16</v>
      </c>
      <c r="F2175" t="s">
        <v>16</v>
      </c>
      <c r="G2175" t="s">
        <v>37</v>
      </c>
      <c r="H2175" t="s">
        <v>43</v>
      </c>
      <c r="I2175" s="187"/>
      <c r="J2175" s="187">
        <v>87</v>
      </c>
      <c r="K2175" s="187">
        <v>4541.424436107196</v>
      </c>
      <c r="L2175" s="187">
        <v>16193</v>
      </c>
      <c r="M2175" s="187">
        <v>20821.423828125</v>
      </c>
      <c r="N2175" s="187">
        <v>16193</v>
      </c>
      <c r="O2175" t="s">
        <v>2631</v>
      </c>
    </row>
    <row r="2176" spans="1:15" hidden="1" x14ac:dyDescent="0.45">
      <c r="A2176" s="187">
        <v>2018</v>
      </c>
      <c r="B2176" t="s">
        <v>311</v>
      </c>
      <c r="C2176" t="s">
        <v>322</v>
      </c>
      <c r="D2176" t="s">
        <v>35</v>
      </c>
      <c r="E2176" t="s">
        <v>16</v>
      </c>
      <c r="F2176" t="s">
        <v>16</v>
      </c>
      <c r="G2176" t="s">
        <v>37</v>
      </c>
      <c r="H2176" t="s">
        <v>43</v>
      </c>
      <c r="I2176" s="187"/>
      <c r="J2176" s="187">
        <v>106</v>
      </c>
      <c r="K2176" s="187">
        <v>4300.3355223151066</v>
      </c>
      <c r="L2176" s="187">
        <v>17904</v>
      </c>
      <c r="M2176" s="187">
        <v>22310.3359375</v>
      </c>
      <c r="N2176" s="187">
        <v>17904</v>
      </c>
      <c r="O2176" t="s">
        <v>2632</v>
      </c>
    </row>
    <row r="2177" spans="1:15" hidden="1" x14ac:dyDescent="0.45">
      <c r="A2177" s="187">
        <v>2018</v>
      </c>
      <c r="B2177" t="s">
        <v>309</v>
      </c>
      <c r="C2177" t="s">
        <v>322</v>
      </c>
      <c r="D2177" t="s">
        <v>35</v>
      </c>
      <c r="E2177" t="s">
        <v>16</v>
      </c>
      <c r="F2177" t="s">
        <v>16</v>
      </c>
      <c r="G2177" t="s">
        <v>37</v>
      </c>
      <c r="H2177" t="s">
        <v>43</v>
      </c>
      <c r="I2177" s="187"/>
      <c r="J2177" s="187">
        <v>92.677199999999999</v>
      </c>
      <c r="K2177" s="187">
        <v>4128.81875152046</v>
      </c>
      <c r="L2177" s="187">
        <v>11712</v>
      </c>
      <c r="M2177" s="187">
        <v>15933.49609375</v>
      </c>
      <c r="N2177" s="187">
        <v>11712</v>
      </c>
      <c r="O2177" t="s">
        <v>2633</v>
      </c>
    </row>
    <row r="2178" spans="1:15" hidden="1" x14ac:dyDescent="0.45">
      <c r="A2178" s="187">
        <v>2018</v>
      </c>
      <c r="B2178" t="s">
        <v>310</v>
      </c>
      <c r="C2178" t="s">
        <v>322</v>
      </c>
      <c r="D2178" t="s">
        <v>35</v>
      </c>
      <c r="E2178" t="s">
        <v>351</v>
      </c>
      <c r="F2178" t="s">
        <v>351</v>
      </c>
      <c r="G2178" t="s">
        <v>37</v>
      </c>
      <c r="H2178" t="s">
        <v>43</v>
      </c>
      <c r="I2178" s="187"/>
      <c r="J2178" s="187">
        <v>0</v>
      </c>
      <c r="K2178" s="187">
        <v>30.570860923367999</v>
      </c>
      <c r="L2178" s="187">
        <v>178</v>
      </c>
      <c r="M2178" s="187">
        <v>208.57086181640625</v>
      </c>
      <c r="N2178" s="187">
        <v>178</v>
      </c>
      <c r="O2178" t="s">
        <v>2642</v>
      </c>
    </row>
    <row r="2179" spans="1:15" hidden="1" x14ac:dyDescent="0.45">
      <c r="A2179" s="187">
        <v>2018</v>
      </c>
      <c r="B2179" t="s">
        <v>313</v>
      </c>
      <c r="C2179" t="s">
        <v>322</v>
      </c>
      <c r="D2179" t="s">
        <v>35</v>
      </c>
      <c r="E2179" t="s">
        <v>351</v>
      </c>
      <c r="F2179" t="s">
        <v>351</v>
      </c>
      <c r="G2179" t="s">
        <v>37</v>
      </c>
      <c r="H2179" t="s">
        <v>43</v>
      </c>
      <c r="I2179" s="187">
        <v>59.677723566427282</v>
      </c>
      <c r="J2179" s="187">
        <v>0</v>
      </c>
      <c r="K2179" s="187">
        <v>115.5304890085286</v>
      </c>
      <c r="L2179" s="187">
        <v>399</v>
      </c>
      <c r="M2179" s="187">
        <v>574.20819091796875</v>
      </c>
      <c r="N2179" s="187">
        <v>458.677734375</v>
      </c>
      <c r="O2179" t="s">
        <v>2637</v>
      </c>
    </row>
    <row r="2180" spans="1:15" hidden="1" x14ac:dyDescent="0.45">
      <c r="A2180" s="187">
        <v>2018</v>
      </c>
      <c r="B2180" t="s">
        <v>312</v>
      </c>
      <c r="C2180" t="s">
        <v>322</v>
      </c>
      <c r="D2180" t="s">
        <v>35</v>
      </c>
      <c r="E2180" t="s">
        <v>351</v>
      </c>
      <c r="F2180" t="s">
        <v>351</v>
      </c>
      <c r="G2180" t="s">
        <v>37</v>
      </c>
      <c r="H2180" t="s">
        <v>43</v>
      </c>
      <c r="I2180" s="187">
        <v>431.30018943458703</v>
      </c>
      <c r="J2180" s="187">
        <v>0</v>
      </c>
      <c r="K2180" s="187">
        <v>36.634712058014941</v>
      </c>
      <c r="L2180" s="187">
        <v>104</v>
      </c>
      <c r="M2180" s="187">
        <v>571.9349365234375</v>
      </c>
      <c r="N2180" s="187">
        <v>535.3001708984375</v>
      </c>
      <c r="O2180" t="s">
        <v>2638</v>
      </c>
    </row>
    <row r="2181" spans="1:15" hidden="1" x14ac:dyDescent="0.45">
      <c r="A2181" s="187">
        <v>2018</v>
      </c>
      <c r="B2181" t="s">
        <v>311</v>
      </c>
      <c r="C2181" t="s">
        <v>322</v>
      </c>
      <c r="D2181" t="s">
        <v>35</v>
      </c>
      <c r="E2181" t="s">
        <v>351</v>
      </c>
      <c r="F2181" t="s">
        <v>351</v>
      </c>
      <c r="G2181" t="s">
        <v>37</v>
      </c>
      <c r="H2181" t="s">
        <v>43</v>
      </c>
      <c r="I2181" s="187"/>
      <c r="J2181" s="187">
        <v>0</v>
      </c>
      <c r="K2181" s="187">
        <v>41.951076491027223</v>
      </c>
      <c r="L2181" s="187">
        <v>156</v>
      </c>
      <c r="M2181" s="187">
        <v>197.95108032226563</v>
      </c>
      <c r="N2181" s="187">
        <v>156</v>
      </c>
      <c r="O2181" t="s">
        <v>2639</v>
      </c>
    </row>
    <row r="2182" spans="1:15" hidden="1" x14ac:dyDescent="0.45">
      <c r="A2182" s="187">
        <v>2018</v>
      </c>
      <c r="B2182" t="s">
        <v>314</v>
      </c>
      <c r="C2182" t="s">
        <v>322</v>
      </c>
      <c r="D2182" t="s">
        <v>35</v>
      </c>
      <c r="E2182" t="s">
        <v>351</v>
      </c>
      <c r="F2182" t="s">
        <v>351</v>
      </c>
      <c r="G2182" t="s">
        <v>37</v>
      </c>
      <c r="H2182" t="s">
        <v>43</v>
      </c>
      <c r="I2182" s="187">
        <v>47.376420570385619</v>
      </c>
      <c r="J2182" s="187">
        <v>0</v>
      </c>
      <c r="K2182" s="187">
        <v>57.6</v>
      </c>
      <c r="L2182" s="187">
        <v>421</v>
      </c>
      <c r="M2182" s="187">
        <v>525.9764404296875</v>
      </c>
      <c r="N2182" s="187">
        <v>468.37640380859375</v>
      </c>
      <c r="O2182" t="s">
        <v>2640</v>
      </c>
    </row>
    <row r="2183" spans="1:15" hidden="1" x14ac:dyDescent="0.45">
      <c r="A2183" s="187">
        <v>2018</v>
      </c>
      <c r="B2183" t="s">
        <v>309</v>
      </c>
      <c r="C2183" t="s">
        <v>322</v>
      </c>
      <c r="D2183" t="s">
        <v>35</v>
      </c>
      <c r="E2183" t="s">
        <v>351</v>
      </c>
      <c r="F2183" t="s">
        <v>351</v>
      </c>
      <c r="G2183" t="s">
        <v>37</v>
      </c>
      <c r="H2183" t="s">
        <v>43</v>
      </c>
      <c r="I2183" s="187"/>
      <c r="J2183" s="187">
        <v>0</v>
      </c>
      <c r="K2183" s="187">
        <v>189.43770040690541</v>
      </c>
      <c r="L2183" s="187">
        <v>129</v>
      </c>
      <c r="M2183" s="187">
        <v>318.43768310546875</v>
      </c>
      <c r="N2183" s="187">
        <v>129</v>
      </c>
      <c r="O2183" t="s">
        <v>2641</v>
      </c>
    </row>
    <row r="2184" spans="1:15" hidden="1" x14ac:dyDescent="0.45">
      <c r="A2184" s="187">
        <v>2018</v>
      </c>
      <c r="B2184" t="s">
        <v>311</v>
      </c>
      <c r="C2184" t="s">
        <v>322</v>
      </c>
      <c r="D2184" t="s">
        <v>35</v>
      </c>
      <c r="E2184" t="s">
        <v>352</v>
      </c>
      <c r="F2184" t="s">
        <v>361</v>
      </c>
      <c r="G2184" t="s">
        <v>36</v>
      </c>
      <c r="H2184" t="s">
        <v>43</v>
      </c>
      <c r="I2184" s="187"/>
      <c r="J2184" s="187">
        <v>0</v>
      </c>
      <c r="K2184" s="187">
        <v>0</v>
      </c>
      <c r="L2184" s="187"/>
      <c r="M2184" s="187">
        <v>0</v>
      </c>
      <c r="N2184" s="187">
        <v>0</v>
      </c>
      <c r="O2184" t="s">
        <v>2646</v>
      </c>
    </row>
    <row r="2185" spans="1:15" hidden="1" x14ac:dyDescent="0.45">
      <c r="A2185" s="187">
        <v>2018</v>
      </c>
      <c r="B2185" t="s">
        <v>313</v>
      </c>
      <c r="C2185" t="s">
        <v>322</v>
      </c>
      <c r="D2185" t="s">
        <v>35</v>
      </c>
      <c r="E2185" t="s">
        <v>352</v>
      </c>
      <c r="F2185" t="s">
        <v>361</v>
      </c>
      <c r="G2185" t="s">
        <v>36</v>
      </c>
      <c r="H2185" t="s">
        <v>43</v>
      </c>
      <c r="I2185" s="187"/>
      <c r="J2185" s="187">
        <v>0</v>
      </c>
      <c r="K2185" s="187">
        <v>0</v>
      </c>
      <c r="L2185" s="187"/>
      <c r="M2185" s="187">
        <v>0</v>
      </c>
      <c r="N2185" s="187">
        <v>0</v>
      </c>
      <c r="O2185" t="s">
        <v>2647</v>
      </c>
    </row>
    <row r="2186" spans="1:15" hidden="1" x14ac:dyDescent="0.45">
      <c r="A2186" s="187">
        <v>2018</v>
      </c>
      <c r="B2186" t="s">
        <v>310</v>
      </c>
      <c r="C2186" t="s">
        <v>322</v>
      </c>
      <c r="D2186" t="s">
        <v>35</v>
      </c>
      <c r="E2186" t="s">
        <v>352</v>
      </c>
      <c r="F2186" t="s">
        <v>361</v>
      </c>
      <c r="G2186" t="s">
        <v>36</v>
      </c>
      <c r="H2186" t="s">
        <v>43</v>
      </c>
      <c r="I2186" s="187"/>
      <c r="J2186" s="187">
        <v>0</v>
      </c>
      <c r="K2186" s="187">
        <v>0</v>
      </c>
      <c r="L2186" s="187"/>
      <c r="M2186" s="187">
        <v>0</v>
      </c>
      <c r="N2186" s="187">
        <v>0</v>
      </c>
      <c r="O2186" t="s">
        <v>2645</v>
      </c>
    </row>
    <row r="2187" spans="1:15" hidden="1" x14ac:dyDescent="0.45">
      <c r="A2187" s="187">
        <v>2018</v>
      </c>
      <c r="B2187" t="s">
        <v>309</v>
      </c>
      <c r="C2187" t="s">
        <v>322</v>
      </c>
      <c r="D2187" t="s">
        <v>35</v>
      </c>
      <c r="E2187" t="s">
        <v>352</v>
      </c>
      <c r="F2187" t="s">
        <v>361</v>
      </c>
      <c r="G2187" t="s">
        <v>36</v>
      </c>
      <c r="H2187" t="s">
        <v>43</v>
      </c>
      <c r="I2187" s="187"/>
      <c r="J2187" s="187">
        <v>0</v>
      </c>
      <c r="K2187" s="187">
        <v>0</v>
      </c>
      <c r="L2187" s="187">
        <v>0</v>
      </c>
      <c r="M2187" s="187">
        <v>0</v>
      </c>
      <c r="N2187" s="187">
        <v>0</v>
      </c>
      <c r="O2187" t="s">
        <v>2644</v>
      </c>
    </row>
    <row r="2188" spans="1:15" hidden="1" x14ac:dyDescent="0.45">
      <c r="A2188" s="187">
        <v>2018</v>
      </c>
      <c r="B2188" t="s">
        <v>314</v>
      </c>
      <c r="C2188" t="s">
        <v>322</v>
      </c>
      <c r="D2188" t="s">
        <v>35</v>
      </c>
      <c r="E2188" t="s">
        <v>352</v>
      </c>
      <c r="F2188" t="s">
        <v>361</v>
      </c>
      <c r="G2188" t="s">
        <v>36</v>
      </c>
      <c r="H2188" t="s">
        <v>43</v>
      </c>
      <c r="I2188" s="187">
        <v>0</v>
      </c>
      <c r="J2188" s="187">
        <v>0</v>
      </c>
      <c r="K2188" s="187">
        <v>0</v>
      </c>
      <c r="L2188" s="187"/>
      <c r="M2188" s="187">
        <v>0</v>
      </c>
      <c r="N2188" s="187">
        <v>0</v>
      </c>
      <c r="O2188" t="s">
        <v>2648</v>
      </c>
    </row>
    <row r="2189" spans="1:15" hidden="1" x14ac:dyDescent="0.45">
      <c r="A2189" s="187">
        <v>2018</v>
      </c>
      <c r="B2189" t="s">
        <v>312</v>
      </c>
      <c r="C2189" t="s">
        <v>322</v>
      </c>
      <c r="D2189" t="s">
        <v>35</v>
      </c>
      <c r="E2189" t="s">
        <v>352</v>
      </c>
      <c r="F2189" t="s">
        <v>361</v>
      </c>
      <c r="G2189" t="s">
        <v>36</v>
      </c>
      <c r="H2189" t="s">
        <v>43</v>
      </c>
      <c r="I2189" s="187"/>
      <c r="J2189" s="187">
        <v>0</v>
      </c>
      <c r="K2189" s="187">
        <v>0</v>
      </c>
      <c r="L2189" s="187"/>
      <c r="M2189" s="187">
        <v>0</v>
      </c>
      <c r="N2189" s="187">
        <v>0</v>
      </c>
      <c r="O2189" t="s">
        <v>2643</v>
      </c>
    </row>
    <row r="2190" spans="1:15" hidden="1" x14ac:dyDescent="0.45">
      <c r="A2190" s="187">
        <v>2018</v>
      </c>
      <c r="B2190" t="s">
        <v>314</v>
      </c>
      <c r="C2190" t="s">
        <v>322</v>
      </c>
      <c r="D2190" t="s">
        <v>35</v>
      </c>
      <c r="E2190" t="s">
        <v>353</v>
      </c>
      <c r="F2190" t="s">
        <v>383</v>
      </c>
      <c r="G2190" t="s">
        <v>36</v>
      </c>
      <c r="H2190" t="s">
        <v>43</v>
      </c>
      <c r="I2190" s="187">
        <v>15339.716366684195</v>
      </c>
      <c r="J2190" s="187">
        <v>894.58226772395506</v>
      </c>
      <c r="K2190" s="187">
        <v>18500.743438173384</v>
      </c>
      <c r="L2190" s="187">
        <v>31013.350101758206</v>
      </c>
      <c r="M2190" s="187">
        <v>65748.390625</v>
      </c>
      <c r="N2190" s="187">
        <v>46353.06640625</v>
      </c>
      <c r="O2190" t="s">
        <v>2651</v>
      </c>
    </row>
    <row r="2191" spans="1:15" hidden="1" x14ac:dyDescent="0.45">
      <c r="A2191" s="187">
        <v>2018</v>
      </c>
      <c r="B2191" t="s">
        <v>310</v>
      </c>
      <c r="C2191" t="s">
        <v>322</v>
      </c>
      <c r="D2191" t="s">
        <v>35</v>
      </c>
      <c r="E2191" t="s">
        <v>353</v>
      </c>
      <c r="F2191" t="s">
        <v>383</v>
      </c>
      <c r="G2191" t="s">
        <v>36</v>
      </c>
      <c r="H2191" t="s">
        <v>43</v>
      </c>
      <c r="I2191" s="187"/>
      <c r="J2191" s="187">
        <v>804.24830677393311</v>
      </c>
      <c r="K2191" s="187">
        <v>14868.042498568451</v>
      </c>
      <c r="L2191" s="187">
        <v>32762.329804239591</v>
      </c>
      <c r="M2191" s="187">
        <v>48434.62109375</v>
      </c>
      <c r="N2191" s="187">
        <v>32762.330078125</v>
      </c>
      <c r="O2191" t="s">
        <v>2649</v>
      </c>
    </row>
    <row r="2192" spans="1:15" hidden="1" x14ac:dyDescent="0.45">
      <c r="A2192" s="187">
        <v>2018</v>
      </c>
      <c r="B2192" t="s">
        <v>309</v>
      </c>
      <c r="C2192" t="s">
        <v>322</v>
      </c>
      <c r="D2192" t="s">
        <v>35</v>
      </c>
      <c r="E2192" t="s">
        <v>353</v>
      </c>
      <c r="F2192" t="s">
        <v>383</v>
      </c>
      <c r="G2192" t="s">
        <v>36</v>
      </c>
      <c r="H2192" t="s">
        <v>43</v>
      </c>
      <c r="I2192" s="187"/>
      <c r="J2192" s="187">
        <v>813.35663818410649</v>
      </c>
      <c r="K2192" s="187">
        <v>15261.288137019183</v>
      </c>
      <c r="L2192" s="187">
        <v>22673.309803190827</v>
      </c>
      <c r="M2192" s="187">
        <v>38747.953125</v>
      </c>
      <c r="N2192" s="187">
        <v>22673.310546875</v>
      </c>
      <c r="O2192" t="s">
        <v>2654</v>
      </c>
    </row>
    <row r="2193" spans="1:15" hidden="1" x14ac:dyDescent="0.45">
      <c r="A2193" s="187">
        <v>2018</v>
      </c>
      <c r="B2193" t="s">
        <v>312</v>
      </c>
      <c r="C2193" t="s">
        <v>322</v>
      </c>
      <c r="D2193" t="s">
        <v>35</v>
      </c>
      <c r="E2193" t="s">
        <v>353</v>
      </c>
      <c r="F2193" t="s">
        <v>383</v>
      </c>
      <c r="G2193" t="s">
        <v>36</v>
      </c>
      <c r="H2193" t="s">
        <v>43</v>
      </c>
      <c r="I2193" s="187">
        <v>14543.046698283755</v>
      </c>
      <c r="J2193" s="187">
        <v>1162.3797817961399</v>
      </c>
      <c r="K2193" s="187">
        <v>16401.226328359218</v>
      </c>
      <c r="L2193" s="187">
        <v>25007.2407736844</v>
      </c>
      <c r="M2193" s="187">
        <v>57113.89453125</v>
      </c>
      <c r="N2193" s="187">
        <v>39550.2890625</v>
      </c>
      <c r="O2193" t="s">
        <v>2652</v>
      </c>
    </row>
    <row r="2194" spans="1:15" hidden="1" x14ac:dyDescent="0.45">
      <c r="A2194" s="187">
        <v>2018</v>
      </c>
      <c r="B2194" t="s">
        <v>313</v>
      </c>
      <c r="C2194" t="s">
        <v>322</v>
      </c>
      <c r="D2194" t="s">
        <v>35</v>
      </c>
      <c r="E2194" t="s">
        <v>353</v>
      </c>
      <c r="F2194" t="s">
        <v>383</v>
      </c>
      <c r="G2194" t="s">
        <v>36</v>
      </c>
      <c r="H2194" t="s">
        <v>43</v>
      </c>
      <c r="I2194" s="187">
        <v>18829.142926292989</v>
      </c>
      <c r="J2194" s="187">
        <v>1031.9838499093721</v>
      </c>
      <c r="K2194" s="187">
        <v>17180.385978277904</v>
      </c>
      <c r="L2194" s="187">
        <v>28210.35364523008</v>
      </c>
      <c r="M2194" s="187">
        <v>65251.8671875</v>
      </c>
      <c r="N2194" s="187">
        <v>47039.49609375</v>
      </c>
      <c r="O2194" t="s">
        <v>2653</v>
      </c>
    </row>
    <row r="2195" spans="1:15" hidden="1" x14ac:dyDescent="0.45">
      <c r="A2195" s="187">
        <v>2018</v>
      </c>
      <c r="B2195" t="s">
        <v>311</v>
      </c>
      <c r="C2195" t="s">
        <v>322</v>
      </c>
      <c r="D2195" t="s">
        <v>35</v>
      </c>
      <c r="E2195" t="s">
        <v>353</v>
      </c>
      <c r="F2195" t="s">
        <v>383</v>
      </c>
      <c r="G2195" t="s">
        <v>36</v>
      </c>
      <c r="H2195" t="s">
        <v>43</v>
      </c>
      <c r="I2195" s="187"/>
      <c r="J2195" s="187">
        <v>1103.1294160965783</v>
      </c>
      <c r="K2195" s="187">
        <v>16346.26042896842</v>
      </c>
      <c r="L2195" s="187">
        <v>33368.07071926818</v>
      </c>
      <c r="M2195" s="187">
        <v>50817.4609375</v>
      </c>
      <c r="N2195" s="187">
        <v>33368.0703125</v>
      </c>
      <c r="O2195" t="s">
        <v>2650</v>
      </c>
    </row>
    <row r="2196" spans="1:15" hidden="1" x14ac:dyDescent="0.45">
      <c r="A2196" s="187">
        <v>2018</v>
      </c>
      <c r="B2196" t="s">
        <v>313</v>
      </c>
      <c r="C2196" t="s">
        <v>322</v>
      </c>
      <c r="D2196" t="s">
        <v>35</v>
      </c>
      <c r="E2196" t="s">
        <v>353</v>
      </c>
      <c r="F2196" t="s">
        <v>383</v>
      </c>
      <c r="G2196" t="s">
        <v>37</v>
      </c>
      <c r="H2196" t="s">
        <v>43</v>
      </c>
      <c r="I2196" s="187">
        <v>15992.069418363641</v>
      </c>
      <c r="J2196" s="187">
        <v>878</v>
      </c>
      <c r="K2196" s="187">
        <v>14593.59636873345</v>
      </c>
      <c r="L2196" s="187">
        <v>24000</v>
      </c>
      <c r="M2196" s="187">
        <v>55463.6640625</v>
      </c>
      <c r="N2196" s="187">
        <v>39992.0703125</v>
      </c>
      <c r="O2196" t="s">
        <v>2657</v>
      </c>
    </row>
    <row r="2197" spans="1:15" hidden="1" x14ac:dyDescent="0.45">
      <c r="A2197" s="187">
        <v>2018</v>
      </c>
      <c r="B2197" t="s">
        <v>310</v>
      </c>
      <c r="C2197" t="s">
        <v>322</v>
      </c>
      <c r="D2197" t="s">
        <v>35</v>
      </c>
      <c r="E2197" t="s">
        <v>353</v>
      </c>
      <c r="F2197" t="s">
        <v>383</v>
      </c>
      <c r="G2197" t="s">
        <v>37</v>
      </c>
      <c r="H2197" t="s">
        <v>43</v>
      </c>
      <c r="I2197" s="187"/>
      <c r="J2197" s="187">
        <v>667</v>
      </c>
      <c r="K2197" s="187">
        <v>12355.872831038439</v>
      </c>
      <c r="L2197" s="187">
        <v>27942</v>
      </c>
      <c r="M2197" s="187">
        <v>40964.875</v>
      </c>
      <c r="N2197" s="187">
        <v>27942</v>
      </c>
      <c r="O2197" t="s">
        <v>2656</v>
      </c>
    </row>
    <row r="2198" spans="1:15" hidden="1" x14ac:dyDescent="0.45">
      <c r="A2198" s="187">
        <v>2018</v>
      </c>
      <c r="B2198" t="s">
        <v>312</v>
      </c>
      <c r="C2198" t="s">
        <v>322</v>
      </c>
      <c r="D2198" t="s">
        <v>35</v>
      </c>
      <c r="E2198" t="s">
        <v>353</v>
      </c>
      <c r="F2198" t="s">
        <v>383</v>
      </c>
      <c r="G2198" t="s">
        <v>37</v>
      </c>
      <c r="H2198" t="s">
        <v>43</v>
      </c>
      <c r="I2198" s="187">
        <v>12025.219155503381</v>
      </c>
      <c r="J2198" s="187">
        <v>977</v>
      </c>
      <c r="K2198" s="187">
        <v>13756.797015312921</v>
      </c>
      <c r="L2198" s="187">
        <v>20952</v>
      </c>
      <c r="M2198" s="187">
        <v>47711.015625</v>
      </c>
      <c r="N2198" s="187">
        <v>32977.21875</v>
      </c>
      <c r="O2198" t="s">
        <v>2655</v>
      </c>
    </row>
    <row r="2199" spans="1:15" hidden="1" x14ac:dyDescent="0.45">
      <c r="A2199" s="187">
        <v>2018</v>
      </c>
      <c r="B2199" t="s">
        <v>311</v>
      </c>
      <c r="C2199" t="s">
        <v>322</v>
      </c>
      <c r="D2199" t="s">
        <v>35</v>
      </c>
      <c r="E2199" t="s">
        <v>353</v>
      </c>
      <c r="F2199" t="s">
        <v>383</v>
      </c>
      <c r="G2199" t="s">
        <v>37</v>
      </c>
      <c r="H2199" t="s">
        <v>43</v>
      </c>
      <c r="I2199" s="187"/>
      <c r="J2199" s="187">
        <v>918</v>
      </c>
      <c r="K2199" s="187">
        <v>13507.78671034374</v>
      </c>
      <c r="L2199" s="187">
        <v>28495</v>
      </c>
      <c r="M2199" s="187">
        <v>42920.7890625</v>
      </c>
      <c r="N2199" s="187">
        <v>28495</v>
      </c>
      <c r="O2199" t="s">
        <v>2658</v>
      </c>
    </row>
    <row r="2200" spans="1:15" hidden="1" x14ac:dyDescent="0.45">
      <c r="A2200" s="187">
        <v>2018</v>
      </c>
      <c r="B2200" t="s">
        <v>309</v>
      </c>
      <c r="C2200" t="s">
        <v>322</v>
      </c>
      <c r="D2200" t="s">
        <v>35</v>
      </c>
      <c r="E2200" t="s">
        <v>353</v>
      </c>
      <c r="F2200" t="s">
        <v>383</v>
      </c>
      <c r="G2200" t="s">
        <v>37</v>
      </c>
      <c r="H2200" t="s">
        <v>43</v>
      </c>
      <c r="I2200" s="187"/>
      <c r="J2200" s="187">
        <v>677.42619999999999</v>
      </c>
      <c r="K2200" s="187">
        <v>12892.277928930511</v>
      </c>
      <c r="L2200" s="187">
        <v>19860</v>
      </c>
      <c r="M2200" s="187">
        <v>33429.703125</v>
      </c>
      <c r="N2200" s="187">
        <v>19860</v>
      </c>
      <c r="O2200" t="s">
        <v>2659</v>
      </c>
    </row>
    <row r="2201" spans="1:15" hidden="1" x14ac:dyDescent="0.45">
      <c r="A2201" s="187">
        <v>2018</v>
      </c>
      <c r="B2201" t="s">
        <v>314</v>
      </c>
      <c r="C2201" t="s">
        <v>322</v>
      </c>
      <c r="D2201" t="s">
        <v>35</v>
      </c>
      <c r="E2201" t="s">
        <v>353</v>
      </c>
      <c r="F2201" t="s">
        <v>383</v>
      </c>
      <c r="G2201" t="s">
        <v>37</v>
      </c>
      <c r="H2201" t="s">
        <v>43</v>
      </c>
      <c r="I2201" s="187">
        <v>13169.10671</v>
      </c>
      <c r="J2201" s="187">
        <v>768</v>
      </c>
      <c r="K2201" s="187">
        <v>15882.911469581641</v>
      </c>
      <c r="L2201" s="187">
        <v>26625</v>
      </c>
      <c r="M2201" s="187">
        <v>56445.015625</v>
      </c>
      <c r="N2201" s="187">
        <v>39794.10546875</v>
      </c>
      <c r="O2201" t="s">
        <v>2660</v>
      </c>
    </row>
    <row r="2202" spans="1:15" hidden="1" x14ac:dyDescent="0.45">
      <c r="A2202" s="187">
        <v>2018</v>
      </c>
      <c r="B2202" t="s">
        <v>310</v>
      </c>
      <c r="C2202" t="s">
        <v>322</v>
      </c>
      <c r="D2202" t="s">
        <v>35</v>
      </c>
      <c r="E2202" t="s">
        <v>38</v>
      </c>
      <c r="F2202" t="s">
        <v>38</v>
      </c>
      <c r="G2202" t="s">
        <v>36</v>
      </c>
      <c r="H2202" t="s">
        <v>43</v>
      </c>
      <c r="I2202" s="187"/>
      <c r="J2202" s="187">
        <v>150.38789476260538</v>
      </c>
      <c r="K2202" s="187">
        <v>1831.7966076682815</v>
      </c>
      <c r="L2202" s="187">
        <v>1222.7189704611828</v>
      </c>
      <c r="M2202" s="187">
        <v>3204.9033203125</v>
      </c>
      <c r="N2202" s="187">
        <v>1222.718994140625</v>
      </c>
      <c r="O2202" t="s">
        <v>2666</v>
      </c>
    </row>
    <row r="2203" spans="1:15" hidden="1" x14ac:dyDescent="0.45">
      <c r="A2203" s="187">
        <v>2018</v>
      </c>
      <c r="B2203" t="s">
        <v>309</v>
      </c>
      <c r="C2203" t="s">
        <v>322</v>
      </c>
      <c r="D2203" t="s">
        <v>35</v>
      </c>
      <c r="E2203" t="s">
        <v>38</v>
      </c>
      <c r="F2203" t="s">
        <v>38</v>
      </c>
      <c r="G2203" t="s">
        <v>36</v>
      </c>
      <c r="H2203" t="s">
        <v>43</v>
      </c>
      <c r="I2203" s="187"/>
      <c r="J2203" s="187">
        <v>198.70276177136154</v>
      </c>
      <c r="K2203" s="187">
        <v>1910.2188420936607</v>
      </c>
      <c r="L2203" s="187">
        <v>1666.4538287224852</v>
      </c>
      <c r="M2203" s="187">
        <v>3775.37548828125</v>
      </c>
      <c r="N2203" s="187">
        <v>1666.453857421875</v>
      </c>
      <c r="O2203" t="s">
        <v>2664</v>
      </c>
    </row>
    <row r="2204" spans="1:15" hidden="1" x14ac:dyDescent="0.45">
      <c r="A2204" s="187">
        <v>2018</v>
      </c>
      <c r="B2204" t="s">
        <v>314</v>
      </c>
      <c r="C2204" t="s">
        <v>322</v>
      </c>
      <c r="D2204" t="s">
        <v>35</v>
      </c>
      <c r="E2204" t="s">
        <v>38</v>
      </c>
      <c r="F2204" t="s">
        <v>38</v>
      </c>
      <c r="G2204" t="s">
        <v>36</v>
      </c>
      <c r="H2204" t="s">
        <v>43</v>
      </c>
      <c r="I2204" s="187">
        <v>235.42836856936773</v>
      </c>
      <c r="J2204" s="187">
        <v>89.691190904615283</v>
      </c>
      <c r="K2204" s="187">
        <v>4793.4770945919026</v>
      </c>
      <c r="L2204" s="187">
        <v>1333.7196569582402</v>
      </c>
      <c r="M2204" s="187">
        <v>6452.31640625</v>
      </c>
      <c r="N2204" s="187">
        <v>1569.1480712890625</v>
      </c>
      <c r="O2204" t="s">
        <v>2665</v>
      </c>
    </row>
    <row r="2205" spans="1:15" hidden="1" x14ac:dyDescent="0.45">
      <c r="A2205" s="187">
        <v>2018</v>
      </c>
      <c r="B2205" t="s">
        <v>313</v>
      </c>
      <c r="C2205" t="s">
        <v>322</v>
      </c>
      <c r="D2205" t="s">
        <v>35</v>
      </c>
      <c r="E2205" t="s">
        <v>38</v>
      </c>
      <c r="F2205" t="s">
        <v>38</v>
      </c>
      <c r="G2205" t="s">
        <v>36</v>
      </c>
      <c r="H2205" t="s">
        <v>43</v>
      </c>
      <c r="I2205" s="187">
        <v>537.07482194645036</v>
      </c>
      <c r="J2205" s="187">
        <v>79.420231281475765</v>
      </c>
      <c r="K2205" s="187">
        <v>4593.0558054412077</v>
      </c>
      <c r="L2205" s="187">
        <v>2018.4478085865258</v>
      </c>
      <c r="M2205" s="187">
        <v>7227.99853515625</v>
      </c>
      <c r="N2205" s="187">
        <v>2555.522705078125</v>
      </c>
      <c r="O2205" t="s">
        <v>2663</v>
      </c>
    </row>
    <row r="2206" spans="1:15" hidden="1" x14ac:dyDescent="0.45">
      <c r="A2206" s="187">
        <v>2018</v>
      </c>
      <c r="B2206" t="s">
        <v>311</v>
      </c>
      <c r="C2206" t="s">
        <v>322</v>
      </c>
      <c r="D2206" t="s">
        <v>35</v>
      </c>
      <c r="E2206" t="s">
        <v>38</v>
      </c>
      <c r="F2206" t="s">
        <v>38</v>
      </c>
      <c r="G2206" t="s">
        <v>36</v>
      </c>
      <c r="H2206" t="s">
        <v>43</v>
      </c>
      <c r="I2206" s="187"/>
      <c r="J2206" s="187">
        <v>89.270588585850277</v>
      </c>
      <c r="K2206" s="187">
        <v>1831.3997357356</v>
      </c>
      <c r="L2206" s="187">
        <v>2415.4070683085774</v>
      </c>
      <c r="M2206" s="187">
        <v>4336.0771484375</v>
      </c>
      <c r="N2206" s="187">
        <v>2415.406982421875</v>
      </c>
      <c r="O2206" t="s">
        <v>2661</v>
      </c>
    </row>
    <row r="2207" spans="1:15" hidden="1" x14ac:dyDescent="0.45">
      <c r="A2207" s="187">
        <v>2018</v>
      </c>
      <c r="B2207" t="s">
        <v>312</v>
      </c>
      <c r="C2207" t="s">
        <v>322</v>
      </c>
      <c r="D2207" t="s">
        <v>35</v>
      </c>
      <c r="E2207" t="s">
        <v>38</v>
      </c>
      <c r="F2207" t="s">
        <v>38</v>
      </c>
      <c r="G2207" t="s">
        <v>36</v>
      </c>
      <c r="H2207" t="s">
        <v>43</v>
      </c>
      <c r="I2207" s="187">
        <v>735.47478516949627</v>
      </c>
      <c r="J2207" s="187">
        <v>173.12039303346762</v>
      </c>
      <c r="K2207" s="187">
        <v>1796.4122917569678</v>
      </c>
      <c r="L2207" s="187">
        <v>2084.8641618173315</v>
      </c>
      <c r="M2207" s="187">
        <v>4789.87158203125</v>
      </c>
      <c r="N2207" s="187">
        <v>2820.3388671875</v>
      </c>
      <c r="O2207" t="s">
        <v>2662</v>
      </c>
    </row>
    <row r="2208" spans="1:15" hidden="1" x14ac:dyDescent="0.45">
      <c r="A2208" s="187">
        <v>2018</v>
      </c>
      <c r="B2208" t="s">
        <v>310</v>
      </c>
      <c r="C2208" t="s">
        <v>322</v>
      </c>
      <c r="D2208" t="s">
        <v>35</v>
      </c>
      <c r="E2208" t="s">
        <v>38</v>
      </c>
      <c r="F2208" t="s">
        <v>38</v>
      </c>
      <c r="G2208" t="s">
        <v>37</v>
      </c>
      <c r="H2208" t="s">
        <v>43</v>
      </c>
      <c r="I2208" s="187"/>
      <c r="J2208" s="187">
        <v>125</v>
      </c>
      <c r="K2208" s="187">
        <v>1522.288614703931</v>
      </c>
      <c r="L2208" s="187">
        <v>1042</v>
      </c>
      <c r="M2208" s="187">
        <v>2689.28857421875</v>
      </c>
      <c r="N2208" s="187">
        <v>1042</v>
      </c>
      <c r="O2208" t="s">
        <v>2667</v>
      </c>
    </row>
    <row r="2209" spans="1:15" hidden="1" x14ac:dyDescent="0.45">
      <c r="A2209" s="187">
        <v>2018</v>
      </c>
      <c r="B2209" t="s">
        <v>311</v>
      </c>
      <c r="C2209" t="s">
        <v>322</v>
      </c>
      <c r="D2209" t="s">
        <v>35</v>
      </c>
      <c r="E2209" t="s">
        <v>38</v>
      </c>
      <c r="F2209" t="s">
        <v>38</v>
      </c>
      <c r="G2209" t="s">
        <v>37</v>
      </c>
      <c r="H2209" t="s">
        <v>43</v>
      </c>
      <c r="I2209" s="187"/>
      <c r="J2209" s="187">
        <v>74</v>
      </c>
      <c r="K2209" s="187">
        <v>1513.3832670288341</v>
      </c>
      <c r="L2209" s="187">
        <v>2063</v>
      </c>
      <c r="M2209" s="187">
        <v>3650.38330078125</v>
      </c>
      <c r="N2209" s="187">
        <v>2063</v>
      </c>
      <c r="O2209" t="s">
        <v>2671</v>
      </c>
    </row>
    <row r="2210" spans="1:15" hidden="1" x14ac:dyDescent="0.45">
      <c r="A2210" s="187">
        <v>2018</v>
      </c>
      <c r="B2210" t="s">
        <v>312</v>
      </c>
      <c r="C2210" t="s">
        <v>322</v>
      </c>
      <c r="D2210" t="s">
        <v>35</v>
      </c>
      <c r="E2210" t="s">
        <v>38</v>
      </c>
      <c r="F2210" t="s">
        <v>38</v>
      </c>
      <c r="G2210" t="s">
        <v>37</v>
      </c>
      <c r="H2210" t="s">
        <v>43</v>
      </c>
      <c r="I2210" s="187">
        <v>608.14254801599998</v>
      </c>
      <c r="J2210" s="187">
        <v>146</v>
      </c>
      <c r="K2210" s="187">
        <v>1506.770210882516</v>
      </c>
      <c r="L2210" s="187">
        <v>1747</v>
      </c>
      <c r="M2210" s="187">
        <v>4007.912841796875</v>
      </c>
      <c r="N2210" s="187">
        <v>2355.142578125</v>
      </c>
      <c r="O2210" t="s">
        <v>2668</v>
      </c>
    </row>
    <row r="2211" spans="1:15" hidden="1" x14ac:dyDescent="0.45">
      <c r="A2211" s="187">
        <v>2018</v>
      </c>
      <c r="B2211" t="s">
        <v>313</v>
      </c>
      <c r="C2211" t="s">
        <v>322</v>
      </c>
      <c r="D2211" t="s">
        <v>35</v>
      </c>
      <c r="E2211" t="s">
        <v>38</v>
      </c>
      <c r="F2211" t="s">
        <v>38</v>
      </c>
      <c r="G2211" t="s">
        <v>37</v>
      </c>
      <c r="H2211" t="s">
        <v>43</v>
      </c>
      <c r="I2211" s="187">
        <v>456.15128999999996</v>
      </c>
      <c r="J2211" s="187">
        <v>68</v>
      </c>
      <c r="K2211" s="187">
        <v>3901.4957293989542</v>
      </c>
      <c r="L2211" s="187">
        <v>1717</v>
      </c>
      <c r="M2211" s="187">
        <v>6142.64697265625</v>
      </c>
      <c r="N2211" s="187">
        <v>2173.1513671875</v>
      </c>
      <c r="O2211" t="s">
        <v>2669</v>
      </c>
    </row>
    <row r="2212" spans="1:15" hidden="1" x14ac:dyDescent="0.45">
      <c r="A2212" s="187">
        <v>2018</v>
      </c>
      <c r="B2212" t="s">
        <v>314</v>
      </c>
      <c r="C2212" t="s">
        <v>322</v>
      </c>
      <c r="D2212" t="s">
        <v>35</v>
      </c>
      <c r="E2212" t="s">
        <v>38</v>
      </c>
      <c r="F2212" t="s">
        <v>38</v>
      </c>
      <c r="G2212" t="s">
        <v>37</v>
      </c>
      <c r="H2212" t="s">
        <v>43</v>
      </c>
      <c r="I2212" s="187">
        <v>202.11555000000001</v>
      </c>
      <c r="J2212" s="187">
        <v>77</v>
      </c>
      <c r="K2212" s="187">
        <v>4115.2061039763012</v>
      </c>
      <c r="L2212" s="187">
        <v>1145</v>
      </c>
      <c r="M2212" s="187">
        <v>5539.32177734375</v>
      </c>
      <c r="N2212" s="187">
        <v>1347.1156005859375</v>
      </c>
      <c r="O2212" t="s">
        <v>2672</v>
      </c>
    </row>
    <row r="2213" spans="1:15" hidden="1" x14ac:dyDescent="0.45">
      <c r="A2213" s="187">
        <v>2018</v>
      </c>
      <c r="B2213" t="s">
        <v>309</v>
      </c>
      <c r="C2213" t="s">
        <v>322</v>
      </c>
      <c r="D2213" t="s">
        <v>35</v>
      </c>
      <c r="E2213" t="s">
        <v>38</v>
      </c>
      <c r="F2213" t="s">
        <v>38</v>
      </c>
      <c r="G2213" t="s">
        <v>37</v>
      </c>
      <c r="H2213" t="s">
        <v>43</v>
      </c>
      <c r="I2213" s="187"/>
      <c r="J2213" s="187">
        <v>165.495</v>
      </c>
      <c r="K2213" s="187">
        <v>1613.695514837545</v>
      </c>
      <c r="L2213" s="187">
        <v>1459</v>
      </c>
      <c r="M2213" s="187">
        <v>3238.1904296875</v>
      </c>
      <c r="N2213" s="187">
        <v>1459</v>
      </c>
      <c r="O2213" t="s">
        <v>2670</v>
      </c>
    </row>
    <row r="2214" spans="1:15" hidden="1" x14ac:dyDescent="0.45">
      <c r="A2214" s="187">
        <v>2018</v>
      </c>
      <c r="B2214" t="s">
        <v>312</v>
      </c>
      <c r="C2214" t="s">
        <v>322</v>
      </c>
      <c r="D2214" t="s">
        <v>35</v>
      </c>
      <c r="E2214" t="s">
        <v>354</v>
      </c>
      <c r="F2214" t="s">
        <v>384</v>
      </c>
      <c r="G2214" t="s">
        <v>36</v>
      </c>
      <c r="H2214" t="s">
        <v>43</v>
      </c>
      <c r="I2214" s="187">
        <v>0</v>
      </c>
      <c r="J2214" s="187">
        <v>0</v>
      </c>
      <c r="K2214" s="187">
        <v>0</v>
      </c>
      <c r="L2214" s="187">
        <v>0</v>
      </c>
      <c r="M2214" s="187">
        <v>0</v>
      </c>
      <c r="N2214" s="187">
        <v>0</v>
      </c>
      <c r="O2214" t="s">
        <v>2675</v>
      </c>
    </row>
    <row r="2215" spans="1:15" hidden="1" x14ac:dyDescent="0.45">
      <c r="A2215" s="187">
        <v>2018</v>
      </c>
      <c r="B2215" t="s">
        <v>314</v>
      </c>
      <c r="C2215" t="s">
        <v>322</v>
      </c>
      <c r="D2215" t="s">
        <v>35</v>
      </c>
      <c r="E2215" t="s">
        <v>354</v>
      </c>
      <c r="F2215" t="s">
        <v>384</v>
      </c>
      <c r="G2215" t="s">
        <v>36</v>
      </c>
      <c r="H2215" t="s">
        <v>43</v>
      </c>
      <c r="I2215" s="187">
        <v>0</v>
      </c>
      <c r="J2215" s="187">
        <v>0</v>
      </c>
      <c r="K2215" s="187">
        <v>0</v>
      </c>
      <c r="L2215" s="187">
        <v>539.31196608879054</v>
      </c>
      <c r="M2215" s="187">
        <v>539.31195068359375</v>
      </c>
      <c r="N2215" s="187">
        <v>539.31195068359375</v>
      </c>
      <c r="O2215" t="s">
        <v>2676</v>
      </c>
    </row>
    <row r="2216" spans="1:15" hidden="1" x14ac:dyDescent="0.45">
      <c r="A2216" s="187">
        <v>2018</v>
      </c>
      <c r="B2216" t="s">
        <v>313</v>
      </c>
      <c r="C2216" t="s">
        <v>322</v>
      </c>
      <c r="D2216" t="s">
        <v>35</v>
      </c>
      <c r="E2216" t="s">
        <v>354</v>
      </c>
      <c r="F2216" t="s">
        <v>384</v>
      </c>
      <c r="G2216" t="s">
        <v>36</v>
      </c>
      <c r="H2216" t="s">
        <v>43</v>
      </c>
      <c r="I2216" s="187">
        <v>0</v>
      </c>
      <c r="J2216" s="187">
        <v>0</v>
      </c>
      <c r="K2216" s="187">
        <v>0</v>
      </c>
      <c r="L2216" s="187">
        <v>0</v>
      </c>
      <c r="M2216" s="187">
        <v>0</v>
      </c>
      <c r="N2216" s="187">
        <v>0</v>
      </c>
      <c r="O2216" t="s">
        <v>2673</v>
      </c>
    </row>
    <row r="2217" spans="1:15" hidden="1" x14ac:dyDescent="0.45">
      <c r="A2217" s="187">
        <v>2018</v>
      </c>
      <c r="B2217" t="s">
        <v>310</v>
      </c>
      <c r="C2217" t="s">
        <v>322</v>
      </c>
      <c r="D2217" t="s">
        <v>35</v>
      </c>
      <c r="E2217" t="s">
        <v>354</v>
      </c>
      <c r="F2217" t="s">
        <v>384</v>
      </c>
      <c r="G2217" t="s">
        <v>36</v>
      </c>
      <c r="H2217" t="s">
        <v>43</v>
      </c>
      <c r="I2217" s="187"/>
      <c r="J2217" s="187">
        <v>0</v>
      </c>
      <c r="K2217" s="187">
        <v>0</v>
      </c>
      <c r="L2217" s="187">
        <v>0</v>
      </c>
      <c r="M2217" s="187">
        <v>0</v>
      </c>
      <c r="N2217" s="187">
        <v>0</v>
      </c>
      <c r="O2217" t="s">
        <v>2678</v>
      </c>
    </row>
    <row r="2218" spans="1:15" hidden="1" x14ac:dyDescent="0.45">
      <c r="A2218" s="187">
        <v>2018</v>
      </c>
      <c r="B2218" t="s">
        <v>311</v>
      </c>
      <c r="C2218" t="s">
        <v>322</v>
      </c>
      <c r="D2218" t="s">
        <v>35</v>
      </c>
      <c r="E2218" t="s">
        <v>354</v>
      </c>
      <c r="F2218" t="s">
        <v>384</v>
      </c>
      <c r="G2218" t="s">
        <v>36</v>
      </c>
      <c r="H2218" t="s">
        <v>43</v>
      </c>
      <c r="I2218" s="187"/>
      <c r="J2218" s="187">
        <v>0</v>
      </c>
      <c r="K2218" s="187">
        <v>0</v>
      </c>
      <c r="L2218" s="187">
        <v>0</v>
      </c>
      <c r="M2218" s="187">
        <v>0</v>
      </c>
      <c r="N2218" s="187">
        <v>0</v>
      </c>
      <c r="O2218" t="s">
        <v>2677</v>
      </c>
    </row>
    <row r="2219" spans="1:15" hidden="1" x14ac:dyDescent="0.45">
      <c r="A2219" s="187">
        <v>2018</v>
      </c>
      <c r="B2219" t="s">
        <v>309</v>
      </c>
      <c r="C2219" t="s">
        <v>322</v>
      </c>
      <c r="D2219" t="s">
        <v>35</v>
      </c>
      <c r="E2219" t="s">
        <v>354</v>
      </c>
      <c r="F2219" t="s">
        <v>384</v>
      </c>
      <c r="G2219" t="s">
        <v>36</v>
      </c>
      <c r="H2219" t="s">
        <v>43</v>
      </c>
      <c r="I2219" s="187"/>
      <c r="J2219" s="187">
        <v>0</v>
      </c>
      <c r="K2219" s="187">
        <v>0</v>
      </c>
      <c r="L2219" s="187">
        <v>0</v>
      </c>
      <c r="M2219" s="187">
        <v>0</v>
      </c>
      <c r="N2219" s="187">
        <v>0</v>
      </c>
      <c r="O2219" t="s">
        <v>2674</v>
      </c>
    </row>
    <row r="2220" spans="1:15" hidden="1" x14ac:dyDescent="0.45">
      <c r="A2220" s="187">
        <v>2018</v>
      </c>
      <c r="B2220" t="s">
        <v>311</v>
      </c>
      <c r="C2220" t="s">
        <v>322</v>
      </c>
      <c r="D2220" t="s">
        <v>35</v>
      </c>
      <c r="E2220" t="s">
        <v>354</v>
      </c>
      <c r="F2220" t="s">
        <v>384</v>
      </c>
      <c r="G2220" t="s">
        <v>37</v>
      </c>
      <c r="H2220" t="s">
        <v>43</v>
      </c>
      <c r="I2220" s="187"/>
      <c r="J2220" s="187">
        <v>0</v>
      </c>
      <c r="K2220" s="187">
        <v>0</v>
      </c>
      <c r="L2220" s="187">
        <v>0</v>
      </c>
      <c r="M2220" s="187">
        <v>0</v>
      </c>
      <c r="N2220" s="187">
        <v>0</v>
      </c>
      <c r="O2220" t="s">
        <v>2680</v>
      </c>
    </row>
    <row r="2221" spans="1:15" hidden="1" x14ac:dyDescent="0.45">
      <c r="A2221" s="187">
        <v>2018</v>
      </c>
      <c r="B2221" t="s">
        <v>310</v>
      </c>
      <c r="C2221" t="s">
        <v>322</v>
      </c>
      <c r="D2221" t="s">
        <v>35</v>
      </c>
      <c r="E2221" t="s">
        <v>354</v>
      </c>
      <c r="F2221" t="s">
        <v>384</v>
      </c>
      <c r="G2221" t="s">
        <v>37</v>
      </c>
      <c r="H2221" t="s">
        <v>43</v>
      </c>
      <c r="I2221" s="187"/>
      <c r="J2221" s="187">
        <v>0</v>
      </c>
      <c r="K2221" s="187">
        <v>0</v>
      </c>
      <c r="L2221" s="187">
        <v>0</v>
      </c>
      <c r="M2221" s="187">
        <v>0</v>
      </c>
      <c r="N2221" s="187">
        <v>0</v>
      </c>
      <c r="O2221" t="s">
        <v>2681</v>
      </c>
    </row>
    <row r="2222" spans="1:15" hidden="1" x14ac:dyDescent="0.45">
      <c r="A2222" s="187">
        <v>2018</v>
      </c>
      <c r="B2222" t="s">
        <v>313</v>
      </c>
      <c r="C2222" t="s">
        <v>322</v>
      </c>
      <c r="D2222" t="s">
        <v>35</v>
      </c>
      <c r="E2222" t="s">
        <v>354</v>
      </c>
      <c r="F2222" t="s">
        <v>384</v>
      </c>
      <c r="G2222" t="s">
        <v>37</v>
      </c>
      <c r="H2222" t="s">
        <v>43</v>
      </c>
      <c r="I2222" s="187"/>
      <c r="J2222" s="187">
        <v>0</v>
      </c>
      <c r="K2222" s="187">
        <v>0</v>
      </c>
      <c r="L2222" s="187">
        <v>0</v>
      </c>
      <c r="M2222" s="187">
        <v>0</v>
      </c>
      <c r="N2222" s="187">
        <v>0</v>
      </c>
      <c r="O2222" t="s">
        <v>2684</v>
      </c>
    </row>
    <row r="2223" spans="1:15" hidden="1" x14ac:dyDescent="0.45">
      <c r="A2223" s="187">
        <v>2018</v>
      </c>
      <c r="B2223" t="s">
        <v>309</v>
      </c>
      <c r="C2223" t="s">
        <v>322</v>
      </c>
      <c r="D2223" t="s">
        <v>35</v>
      </c>
      <c r="E2223" t="s">
        <v>354</v>
      </c>
      <c r="F2223" t="s">
        <v>384</v>
      </c>
      <c r="G2223" t="s">
        <v>37</v>
      </c>
      <c r="H2223" t="s">
        <v>43</v>
      </c>
      <c r="I2223" s="187"/>
      <c r="J2223" s="187">
        <v>0</v>
      </c>
      <c r="K2223" s="187">
        <v>0</v>
      </c>
      <c r="L2223" s="187">
        <v>0</v>
      </c>
      <c r="M2223" s="187">
        <v>0</v>
      </c>
      <c r="N2223" s="187">
        <v>0</v>
      </c>
      <c r="O2223" t="s">
        <v>2679</v>
      </c>
    </row>
    <row r="2224" spans="1:15" hidden="1" x14ac:dyDescent="0.45">
      <c r="A2224" s="187">
        <v>2018</v>
      </c>
      <c r="B2224" t="s">
        <v>314</v>
      </c>
      <c r="C2224" t="s">
        <v>322</v>
      </c>
      <c r="D2224" t="s">
        <v>35</v>
      </c>
      <c r="E2224" t="s">
        <v>354</v>
      </c>
      <c r="F2224" t="s">
        <v>384</v>
      </c>
      <c r="G2224" t="s">
        <v>37</v>
      </c>
      <c r="H2224" t="s">
        <v>43</v>
      </c>
      <c r="I2224" s="187">
        <v>0</v>
      </c>
      <c r="J2224" s="187">
        <v>0</v>
      </c>
      <c r="K2224" s="187">
        <v>0</v>
      </c>
      <c r="L2224" s="187">
        <v>463</v>
      </c>
      <c r="M2224" s="187">
        <v>463</v>
      </c>
      <c r="N2224" s="187">
        <v>463</v>
      </c>
      <c r="O2224" t="s">
        <v>2682</v>
      </c>
    </row>
    <row r="2225" spans="1:15" hidden="1" x14ac:dyDescent="0.45">
      <c r="A2225" s="187">
        <v>2018</v>
      </c>
      <c r="B2225" t="s">
        <v>312</v>
      </c>
      <c r="C2225" t="s">
        <v>322</v>
      </c>
      <c r="D2225" t="s">
        <v>35</v>
      </c>
      <c r="E2225" t="s">
        <v>354</v>
      </c>
      <c r="F2225" t="s">
        <v>384</v>
      </c>
      <c r="G2225" t="s">
        <v>37</v>
      </c>
      <c r="H2225" t="s">
        <v>43</v>
      </c>
      <c r="I2225" s="187"/>
      <c r="J2225" s="187">
        <v>0</v>
      </c>
      <c r="K2225" s="187">
        <v>0</v>
      </c>
      <c r="L2225" s="187">
        <v>0</v>
      </c>
      <c r="M2225" s="187">
        <v>0</v>
      </c>
      <c r="N2225" s="187">
        <v>0</v>
      </c>
      <c r="O2225" t="s">
        <v>2683</v>
      </c>
    </row>
    <row r="2226" spans="1:15" hidden="1" x14ac:dyDescent="0.45">
      <c r="A2226" s="187">
        <v>2018</v>
      </c>
      <c r="B2226" t="s">
        <v>309</v>
      </c>
      <c r="C2226" t="s">
        <v>322</v>
      </c>
      <c r="D2226" t="s">
        <v>35</v>
      </c>
      <c r="E2226" t="s">
        <v>354</v>
      </c>
      <c r="F2226" t="s">
        <v>385</v>
      </c>
      <c r="G2226" t="s">
        <v>36</v>
      </c>
      <c r="H2226" t="s">
        <v>43</v>
      </c>
      <c r="I2226" s="187"/>
      <c r="J2226" s="187">
        <v>52.987403139029738</v>
      </c>
      <c r="K2226" s="187">
        <v>1187.5902404601004</v>
      </c>
      <c r="L2226" s="187">
        <v>0</v>
      </c>
      <c r="M2226" s="187">
        <v>1240.57763671875</v>
      </c>
      <c r="N2226" s="187">
        <v>0</v>
      </c>
      <c r="O2226" t="s">
        <v>2689</v>
      </c>
    </row>
    <row r="2227" spans="1:15" hidden="1" x14ac:dyDescent="0.45">
      <c r="A2227" s="187">
        <v>2018</v>
      </c>
      <c r="B2227" t="s">
        <v>313</v>
      </c>
      <c r="C2227" t="s">
        <v>322</v>
      </c>
      <c r="D2227" t="s">
        <v>35</v>
      </c>
      <c r="E2227" t="s">
        <v>354</v>
      </c>
      <c r="F2227" t="s">
        <v>385</v>
      </c>
      <c r="G2227" t="s">
        <v>36</v>
      </c>
      <c r="H2227" t="s">
        <v>43</v>
      </c>
      <c r="I2227" s="187">
        <v>0</v>
      </c>
      <c r="J2227" s="187">
        <v>17.96837811798094</v>
      </c>
      <c r="K2227" s="187">
        <v>2737.2909526959061</v>
      </c>
      <c r="L2227" s="187">
        <v>570.19653227726189</v>
      </c>
      <c r="M2227" s="187">
        <v>3325.455810546875</v>
      </c>
      <c r="N2227" s="187">
        <v>570.196533203125</v>
      </c>
      <c r="O2227" t="s">
        <v>2687</v>
      </c>
    </row>
    <row r="2228" spans="1:15" hidden="1" x14ac:dyDescent="0.45">
      <c r="A2228" s="187">
        <v>2018</v>
      </c>
      <c r="B2228" t="s">
        <v>314</v>
      </c>
      <c r="C2228" t="s">
        <v>322</v>
      </c>
      <c r="D2228" t="s">
        <v>35</v>
      </c>
      <c r="E2228" t="s">
        <v>354</v>
      </c>
      <c r="F2228" t="s">
        <v>385</v>
      </c>
      <c r="G2228" t="s">
        <v>36</v>
      </c>
      <c r="H2228" t="s">
        <v>43</v>
      </c>
      <c r="I2228" s="187">
        <v>0</v>
      </c>
      <c r="J2228" s="187">
        <v>19.801951238681294</v>
      </c>
      <c r="K2228" s="187">
        <v>2158.2054241079545</v>
      </c>
      <c r="L2228" s="187">
        <v>123.47099007648337</v>
      </c>
      <c r="M2228" s="187">
        <v>2301.478271484375</v>
      </c>
      <c r="N2228" s="187">
        <v>123.47099304199219</v>
      </c>
      <c r="O2228" t="s">
        <v>2688</v>
      </c>
    </row>
    <row r="2229" spans="1:15" hidden="1" x14ac:dyDescent="0.45">
      <c r="A2229" s="187">
        <v>2018</v>
      </c>
      <c r="B2229" t="s">
        <v>310</v>
      </c>
      <c r="C2229" t="s">
        <v>322</v>
      </c>
      <c r="D2229" t="s">
        <v>35</v>
      </c>
      <c r="E2229" t="s">
        <v>354</v>
      </c>
      <c r="F2229" t="s">
        <v>385</v>
      </c>
      <c r="G2229" t="s">
        <v>36</v>
      </c>
      <c r="H2229" t="s">
        <v>43</v>
      </c>
      <c r="I2229" s="187"/>
      <c r="J2229" s="187">
        <v>52.308832960906223</v>
      </c>
      <c r="K2229" s="187">
        <v>1171.2596402333108</v>
      </c>
      <c r="L2229" s="187">
        <v>0</v>
      </c>
      <c r="M2229" s="187">
        <v>1223.5684814453125</v>
      </c>
      <c r="N2229" s="187">
        <v>0</v>
      </c>
      <c r="O2229" t="s">
        <v>2685</v>
      </c>
    </row>
    <row r="2230" spans="1:15" hidden="1" x14ac:dyDescent="0.45">
      <c r="A2230" s="187">
        <v>2018</v>
      </c>
      <c r="B2230" t="s">
        <v>312</v>
      </c>
      <c r="C2230" t="s">
        <v>322</v>
      </c>
      <c r="D2230" t="s">
        <v>35</v>
      </c>
      <c r="E2230" t="s">
        <v>354</v>
      </c>
      <c r="F2230" t="s">
        <v>385</v>
      </c>
      <c r="G2230" t="s">
        <v>36</v>
      </c>
      <c r="H2230" t="s">
        <v>43</v>
      </c>
      <c r="I2230" s="187">
        <v>0</v>
      </c>
      <c r="J2230" s="187">
        <v>12.365742359533403</v>
      </c>
      <c r="K2230" s="187">
        <v>3000.0708729314802</v>
      </c>
      <c r="L2230" s="187">
        <v>252.26114413448141</v>
      </c>
      <c r="M2230" s="187">
        <v>3264.69775390625</v>
      </c>
      <c r="N2230" s="187">
        <v>252.26113891601563</v>
      </c>
      <c r="O2230" t="s">
        <v>2690</v>
      </c>
    </row>
    <row r="2231" spans="1:15" hidden="1" x14ac:dyDescent="0.45">
      <c r="A2231" s="187">
        <v>2018</v>
      </c>
      <c r="B2231" t="s">
        <v>311</v>
      </c>
      <c r="C2231" t="s">
        <v>322</v>
      </c>
      <c r="D2231" t="s">
        <v>35</v>
      </c>
      <c r="E2231" t="s">
        <v>354</v>
      </c>
      <c r="F2231" t="s">
        <v>385</v>
      </c>
      <c r="G2231" t="s">
        <v>36</v>
      </c>
      <c r="H2231" t="s">
        <v>43</v>
      </c>
      <c r="I2231" s="187"/>
      <c r="J2231" s="187">
        <v>51.011764906200156</v>
      </c>
      <c r="K2231" s="187">
        <v>1119.3546535966948</v>
      </c>
      <c r="L2231" s="187">
        <v>0</v>
      </c>
      <c r="M2231" s="187">
        <v>1170.366455078125</v>
      </c>
      <c r="N2231" s="187">
        <v>0</v>
      </c>
      <c r="O2231" t="s">
        <v>2686</v>
      </c>
    </row>
    <row r="2232" spans="1:15" hidden="1" x14ac:dyDescent="0.45">
      <c r="A2232" s="187">
        <v>2018</v>
      </c>
      <c r="B2232" t="s">
        <v>313</v>
      </c>
      <c r="C2232" t="s">
        <v>322</v>
      </c>
      <c r="D2232" t="s">
        <v>35</v>
      </c>
      <c r="E2232" t="s">
        <v>354</v>
      </c>
      <c r="F2232" t="s">
        <v>385</v>
      </c>
      <c r="G2232" t="s">
        <v>37</v>
      </c>
      <c r="H2232" t="s">
        <v>43</v>
      </c>
      <c r="I2232" s="187"/>
      <c r="J2232" s="187">
        <v>15</v>
      </c>
      <c r="K2232" s="187">
        <v>2325.14678994622</v>
      </c>
      <c r="L2232" s="187">
        <v>485</v>
      </c>
      <c r="M2232" s="187">
        <v>2825.146728515625</v>
      </c>
      <c r="N2232" s="187">
        <v>485</v>
      </c>
      <c r="O2232" t="s">
        <v>2693</v>
      </c>
    </row>
    <row r="2233" spans="1:15" hidden="1" x14ac:dyDescent="0.45">
      <c r="A2233" s="187">
        <v>2018</v>
      </c>
      <c r="B2233" t="s">
        <v>311</v>
      </c>
      <c r="C2233" t="s">
        <v>322</v>
      </c>
      <c r="D2233" t="s">
        <v>35</v>
      </c>
      <c r="E2233" t="s">
        <v>354</v>
      </c>
      <c r="F2233" t="s">
        <v>385</v>
      </c>
      <c r="G2233" t="s">
        <v>37</v>
      </c>
      <c r="H2233" t="s">
        <v>43</v>
      </c>
      <c r="I2233" s="187"/>
      <c r="J2233" s="187">
        <v>42</v>
      </c>
      <c r="K2233" s="187">
        <v>924.98244352081747</v>
      </c>
      <c r="L2233" s="187">
        <v>0</v>
      </c>
      <c r="M2233" s="187">
        <v>966.982421875</v>
      </c>
      <c r="N2233" s="187">
        <v>0</v>
      </c>
      <c r="O2233" t="s">
        <v>2692</v>
      </c>
    </row>
    <row r="2234" spans="1:15" hidden="1" x14ac:dyDescent="0.45">
      <c r="A2234" s="187">
        <v>2018</v>
      </c>
      <c r="B2234" t="s">
        <v>310</v>
      </c>
      <c r="C2234" t="s">
        <v>322</v>
      </c>
      <c r="D2234" t="s">
        <v>35</v>
      </c>
      <c r="E2234" t="s">
        <v>354</v>
      </c>
      <c r="F2234" t="s">
        <v>385</v>
      </c>
      <c r="G2234" t="s">
        <v>37</v>
      </c>
      <c r="H2234" t="s">
        <v>43</v>
      </c>
      <c r="I2234" s="187"/>
      <c r="J2234" s="187">
        <v>43</v>
      </c>
      <c r="K2234" s="187">
        <v>973.35872756036463</v>
      </c>
      <c r="L2234" s="187">
        <v>0</v>
      </c>
      <c r="M2234" s="187">
        <v>1016.3587036132813</v>
      </c>
      <c r="N2234" s="187">
        <v>0</v>
      </c>
      <c r="O2234" t="s">
        <v>2696</v>
      </c>
    </row>
    <row r="2235" spans="1:15" hidden="1" x14ac:dyDescent="0.45">
      <c r="A2235" s="187">
        <v>2018</v>
      </c>
      <c r="B2235" t="s">
        <v>312</v>
      </c>
      <c r="C2235" t="s">
        <v>322</v>
      </c>
      <c r="D2235" t="s">
        <v>35</v>
      </c>
      <c r="E2235" t="s">
        <v>354</v>
      </c>
      <c r="F2235" t="s">
        <v>385</v>
      </c>
      <c r="G2235" t="s">
        <v>37</v>
      </c>
      <c r="H2235" t="s">
        <v>43</v>
      </c>
      <c r="I2235" s="187"/>
      <c r="J2235" s="187">
        <v>10</v>
      </c>
      <c r="K2235" s="187">
        <v>2516.3585456478359</v>
      </c>
      <c r="L2235" s="187">
        <v>211</v>
      </c>
      <c r="M2235" s="187">
        <v>2737.358642578125</v>
      </c>
      <c r="N2235" s="187">
        <v>211</v>
      </c>
      <c r="O2235" t="s">
        <v>2695</v>
      </c>
    </row>
    <row r="2236" spans="1:15" hidden="1" x14ac:dyDescent="0.45">
      <c r="A2236" s="187">
        <v>2018</v>
      </c>
      <c r="B2236" t="s">
        <v>314</v>
      </c>
      <c r="C2236" t="s">
        <v>322</v>
      </c>
      <c r="D2236" t="s">
        <v>35</v>
      </c>
      <c r="E2236" t="s">
        <v>354</v>
      </c>
      <c r="F2236" t="s">
        <v>385</v>
      </c>
      <c r="G2236" t="s">
        <v>37</v>
      </c>
      <c r="H2236" t="s">
        <v>43</v>
      </c>
      <c r="I2236" s="187">
        <v>0</v>
      </c>
      <c r="J2236" s="187">
        <v>17</v>
      </c>
      <c r="K2236" s="187">
        <v>1852.82206625</v>
      </c>
      <c r="L2236" s="187">
        <v>106</v>
      </c>
      <c r="M2236" s="187">
        <v>1975.822021484375</v>
      </c>
      <c r="N2236" s="187">
        <v>106</v>
      </c>
      <c r="O2236" t="s">
        <v>2694</v>
      </c>
    </row>
    <row r="2237" spans="1:15" hidden="1" x14ac:dyDescent="0.45">
      <c r="A2237" s="187">
        <v>2018</v>
      </c>
      <c r="B2237" t="s">
        <v>309</v>
      </c>
      <c r="C2237" t="s">
        <v>322</v>
      </c>
      <c r="D2237" t="s">
        <v>35</v>
      </c>
      <c r="E2237" t="s">
        <v>354</v>
      </c>
      <c r="F2237" t="s">
        <v>385</v>
      </c>
      <c r="G2237" t="s">
        <v>37</v>
      </c>
      <c r="H2237" t="s">
        <v>43</v>
      </c>
      <c r="I2237" s="187"/>
      <c r="J2237" s="187">
        <v>44.131999999999998</v>
      </c>
      <c r="K2237" s="187">
        <v>1003.240572370682</v>
      </c>
      <c r="L2237" s="187">
        <v>0</v>
      </c>
      <c r="M2237" s="187">
        <v>1047.37255859375</v>
      </c>
      <c r="N2237" s="187">
        <v>0</v>
      </c>
      <c r="O2237" t="s">
        <v>2691</v>
      </c>
    </row>
    <row r="2238" spans="1:15" hidden="1" x14ac:dyDescent="0.45">
      <c r="A2238" s="187">
        <v>2018</v>
      </c>
      <c r="B2238" t="s">
        <v>311</v>
      </c>
      <c r="C2238" t="s">
        <v>322</v>
      </c>
      <c r="D2238" t="s">
        <v>35</v>
      </c>
      <c r="E2238" t="s">
        <v>354</v>
      </c>
      <c r="F2238" t="s">
        <v>386</v>
      </c>
      <c r="G2238" t="s">
        <v>36</v>
      </c>
      <c r="H2238" t="s">
        <v>43</v>
      </c>
      <c r="I2238" s="187"/>
      <c r="J2238" s="187">
        <v>63.764706132750199</v>
      </c>
      <c r="K2238" s="187">
        <v>3267.1959173952764</v>
      </c>
      <c r="L2238" s="187">
        <v>475.68470775031648</v>
      </c>
      <c r="M2238" s="187">
        <v>3806.6455078125</v>
      </c>
      <c r="N2238" s="187">
        <v>475.68472290039063</v>
      </c>
      <c r="O2238" t="s">
        <v>2700</v>
      </c>
    </row>
    <row r="2239" spans="1:15" hidden="1" x14ac:dyDescent="0.45">
      <c r="A2239" s="187">
        <v>2018</v>
      </c>
      <c r="B2239" t="s">
        <v>314</v>
      </c>
      <c r="C2239" t="s">
        <v>322</v>
      </c>
      <c r="D2239" t="s">
        <v>35</v>
      </c>
      <c r="E2239" t="s">
        <v>354</v>
      </c>
      <c r="F2239" t="s">
        <v>386</v>
      </c>
      <c r="G2239" t="s">
        <v>36</v>
      </c>
      <c r="H2239" t="s">
        <v>43</v>
      </c>
      <c r="I2239" s="187">
        <v>0</v>
      </c>
      <c r="J2239" s="187">
        <v>0</v>
      </c>
      <c r="K2239" s="187">
        <v>2607.5250698548225</v>
      </c>
      <c r="L2239" s="187">
        <v>0</v>
      </c>
      <c r="M2239" s="187">
        <v>2607.525146484375</v>
      </c>
      <c r="N2239" s="187">
        <v>0</v>
      </c>
      <c r="O2239" t="s">
        <v>2702</v>
      </c>
    </row>
    <row r="2240" spans="1:15" hidden="1" x14ac:dyDescent="0.45">
      <c r="A2240" s="187">
        <v>2018</v>
      </c>
      <c r="B2240" t="s">
        <v>310</v>
      </c>
      <c r="C2240" t="s">
        <v>322</v>
      </c>
      <c r="D2240" t="s">
        <v>35</v>
      </c>
      <c r="E2240" t="s">
        <v>354</v>
      </c>
      <c r="F2240" t="s">
        <v>386</v>
      </c>
      <c r="G2240" t="s">
        <v>36</v>
      </c>
      <c r="H2240" t="s">
        <v>43</v>
      </c>
      <c r="I2240" s="187"/>
      <c r="J2240" s="187">
        <v>65.386041201132784</v>
      </c>
      <c r="K2240" s="187">
        <v>1857.9626272736539</v>
      </c>
      <c r="L2240" s="187">
        <v>151.69561558662804</v>
      </c>
      <c r="M2240" s="187">
        <v>2075.044189453125</v>
      </c>
      <c r="N2240" s="187">
        <v>151.69561767578125</v>
      </c>
      <c r="O2240" t="s">
        <v>2701</v>
      </c>
    </row>
    <row r="2241" spans="1:15" hidden="1" x14ac:dyDescent="0.45">
      <c r="A2241" s="187">
        <v>2018</v>
      </c>
      <c r="B2241" t="s">
        <v>309</v>
      </c>
      <c r="C2241" t="s">
        <v>322</v>
      </c>
      <c r="D2241" t="s">
        <v>35</v>
      </c>
      <c r="E2241" t="s">
        <v>354</v>
      </c>
      <c r="F2241" t="s">
        <v>386</v>
      </c>
      <c r="G2241" t="s">
        <v>36</v>
      </c>
      <c r="H2241" t="s">
        <v>43</v>
      </c>
      <c r="I2241" s="187"/>
      <c r="J2241" s="187">
        <v>66.234253923787179</v>
      </c>
      <c r="K2241" s="187">
        <v>753.54710689092667</v>
      </c>
      <c r="L2241" s="187">
        <v>152.33878402471049</v>
      </c>
      <c r="M2241" s="187">
        <v>972.12017822265625</v>
      </c>
      <c r="N2241" s="187">
        <v>152.33879089355469</v>
      </c>
      <c r="O2241" t="s">
        <v>2699</v>
      </c>
    </row>
    <row r="2242" spans="1:15" hidden="1" x14ac:dyDescent="0.45">
      <c r="A2242" s="187">
        <v>2018</v>
      </c>
      <c r="B2242" t="s">
        <v>312</v>
      </c>
      <c r="C2242" t="s">
        <v>322</v>
      </c>
      <c r="D2242" t="s">
        <v>35</v>
      </c>
      <c r="E2242" t="s">
        <v>354</v>
      </c>
      <c r="F2242" t="s">
        <v>386</v>
      </c>
      <c r="G2242" t="s">
        <v>36</v>
      </c>
      <c r="H2242" t="s">
        <v>43</v>
      </c>
      <c r="I2242" s="187">
        <v>0</v>
      </c>
      <c r="J2242" s="187">
        <v>61.828711797667012</v>
      </c>
      <c r="K2242" s="187">
        <v>3451.4188044739981</v>
      </c>
      <c r="L2242" s="187">
        <v>468.66163542631597</v>
      </c>
      <c r="M2242" s="187">
        <v>3981.9091796875</v>
      </c>
      <c r="N2242" s="187">
        <v>468.66162109375</v>
      </c>
      <c r="O2242" t="s">
        <v>2697</v>
      </c>
    </row>
    <row r="2243" spans="1:15" hidden="1" x14ac:dyDescent="0.45">
      <c r="A2243" s="187">
        <v>2018</v>
      </c>
      <c r="B2243" t="s">
        <v>313</v>
      </c>
      <c r="C2243" t="s">
        <v>322</v>
      </c>
      <c r="D2243" t="s">
        <v>35</v>
      </c>
      <c r="E2243" t="s">
        <v>354</v>
      </c>
      <c r="F2243" t="s">
        <v>386</v>
      </c>
      <c r="G2243" t="s">
        <v>36</v>
      </c>
      <c r="H2243" t="s">
        <v>43</v>
      </c>
      <c r="I2243" s="187">
        <v>0</v>
      </c>
      <c r="J2243" s="187">
        <v>52.108296542144728</v>
      </c>
      <c r="K2243" s="187">
        <v>4325.6818635987192</v>
      </c>
      <c r="L2243" s="187">
        <v>462.38626356937624</v>
      </c>
      <c r="M2243" s="187">
        <v>4840.17626953125</v>
      </c>
      <c r="N2243" s="187">
        <v>462.38626098632813</v>
      </c>
      <c r="O2243" t="s">
        <v>2698</v>
      </c>
    </row>
    <row r="2244" spans="1:15" hidden="1" x14ac:dyDescent="0.45">
      <c r="A2244" s="187">
        <v>2018</v>
      </c>
      <c r="B2244" t="s">
        <v>311</v>
      </c>
      <c r="C2244" t="s">
        <v>322</v>
      </c>
      <c r="D2244" t="s">
        <v>35</v>
      </c>
      <c r="E2244" t="s">
        <v>354</v>
      </c>
      <c r="F2244" t="s">
        <v>386</v>
      </c>
      <c r="G2244" t="s">
        <v>37</v>
      </c>
      <c r="H2244" t="s">
        <v>43</v>
      </c>
      <c r="I2244" s="187"/>
      <c r="J2244" s="187">
        <v>53</v>
      </c>
      <c r="K2244" s="187">
        <v>2699.858220469227</v>
      </c>
      <c r="L2244" s="187">
        <v>406</v>
      </c>
      <c r="M2244" s="187">
        <v>3158.858154296875</v>
      </c>
      <c r="N2244" s="187">
        <v>406</v>
      </c>
      <c r="O2244" t="s">
        <v>2706</v>
      </c>
    </row>
    <row r="2245" spans="1:15" hidden="1" x14ac:dyDescent="0.45">
      <c r="A2245" s="187">
        <v>2018</v>
      </c>
      <c r="B2245" t="s">
        <v>310</v>
      </c>
      <c r="C2245" t="s">
        <v>322</v>
      </c>
      <c r="D2245" t="s">
        <v>35</v>
      </c>
      <c r="E2245" t="s">
        <v>354</v>
      </c>
      <c r="F2245" t="s">
        <v>386</v>
      </c>
      <c r="G2245" t="s">
        <v>37</v>
      </c>
      <c r="H2245" t="s">
        <v>43</v>
      </c>
      <c r="I2245" s="187"/>
      <c r="J2245" s="187">
        <v>54</v>
      </c>
      <c r="K2245" s="187">
        <v>1544.033514531036</v>
      </c>
      <c r="L2245" s="187">
        <v>130</v>
      </c>
      <c r="M2245" s="187">
        <v>1728.0335693359375</v>
      </c>
      <c r="N2245" s="187">
        <v>130</v>
      </c>
      <c r="O2245" t="s">
        <v>2703</v>
      </c>
    </row>
    <row r="2246" spans="1:15" hidden="1" x14ac:dyDescent="0.45">
      <c r="A2246" s="187">
        <v>2018</v>
      </c>
      <c r="B2246" t="s">
        <v>313</v>
      </c>
      <c r="C2246" t="s">
        <v>322</v>
      </c>
      <c r="D2246" t="s">
        <v>35</v>
      </c>
      <c r="E2246" t="s">
        <v>354</v>
      </c>
      <c r="F2246" t="s">
        <v>386</v>
      </c>
      <c r="G2246" t="s">
        <v>37</v>
      </c>
      <c r="H2246" t="s">
        <v>43</v>
      </c>
      <c r="I2246" s="187"/>
      <c r="J2246" s="187">
        <v>44</v>
      </c>
      <c r="K2246" s="187">
        <v>3674.379330983928</v>
      </c>
      <c r="L2246" s="187">
        <v>393</v>
      </c>
      <c r="M2246" s="187">
        <v>4111.37939453125</v>
      </c>
      <c r="N2246" s="187">
        <v>393</v>
      </c>
      <c r="O2246" t="s">
        <v>2708</v>
      </c>
    </row>
    <row r="2247" spans="1:15" hidden="1" x14ac:dyDescent="0.45">
      <c r="A2247" s="187">
        <v>2018</v>
      </c>
      <c r="B2247" t="s">
        <v>314</v>
      </c>
      <c r="C2247" t="s">
        <v>322</v>
      </c>
      <c r="D2247" t="s">
        <v>35</v>
      </c>
      <c r="E2247" t="s">
        <v>354</v>
      </c>
      <c r="F2247" t="s">
        <v>386</v>
      </c>
      <c r="G2247" t="s">
        <v>37</v>
      </c>
      <c r="H2247" t="s">
        <v>43</v>
      </c>
      <c r="I2247" s="187">
        <v>0</v>
      </c>
      <c r="J2247" s="187">
        <v>0</v>
      </c>
      <c r="K2247" s="187">
        <v>2238.5635462499999</v>
      </c>
      <c r="L2247" s="187">
        <v>0</v>
      </c>
      <c r="M2247" s="187">
        <v>2238.5634765625</v>
      </c>
      <c r="N2247" s="187">
        <v>0</v>
      </c>
      <c r="O2247" t="s">
        <v>2705</v>
      </c>
    </row>
    <row r="2248" spans="1:15" hidden="1" x14ac:dyDescent="0.45">
      <c r="A2248" s="187">
        <v>2018</v>
      </c>
      <c r="B2248" t="s">
        <v>309</v>
      </c>
      <c r="C2248" t="s">
        <v>322</v>
      </c>
      <c r="D2248" t="s">
        <v>35</v>
      </c>
      <c r="E2248" t="s">
        <v>354</v>
      </c>
      <c r="F2248" t="s">
        <v>386</v>
      </c>
      <c r="G2248" t="s">
        <v>37</v>
      </c>
      <c r="H2248" t="s">
        <v>43</v>
      </c>
      <c r="I2248" s="187"/>
      <c r="J2248" s="187">
        <v>55.164999999999999</v>
      </c>
      <c r="K2248" s="187">
        <v>636.57396724028058</v>
      </c>
      <c r="L2248" s="187">
        <v>134</v>
      </c>
      <c r="M2248" s="187">
        <v>825.73895263671875</v>
      </c>
      <c r="N2248" s="187">
        <v>134</v>
      </c>
      <c r="O2248" t="s">
        <v>2704</v>
      </c>
    </row>
    <row r="2249" spans="1:15" hidden="1" x14ac:dyDescent="0.45">
      <c r="A2249" s="187">
        <v>2018</v>
      </c>
      <c r="B2249" t="s">
        <v>312</v>
      </c>
      <c r="C2249" t="s">
        <v>322</v>
      </c>
      <c r="D2249" t="s">
        <v>35</v>
      </c>
      <c r="E2249" t="s">
        <v>354</v>
      </c>
      <c r="F2249" t="s">
        <v>386</v>
      </c>
      <c r="G2249" t="s">
        <v>37</v>
      </c>
      <c r="H2249" t="s">
        <v>43</v>
      </c>
      <c r="I2249" s="187"/>
      <c r="J2249" s="187">
        <v>52</v>
      </c>
      <c r="K2249" s="187">
        <v>2894.9340102626788</v>
      </c>
      <c r="L2249" s="187">
        <v>393</v>
      </c>
      <c r="M2249" s="187">
        <v>3339.93408203125</v>
      </c>
      <c r="N2249" s="187">
        <v>393</v>
      </c>
      <c r="O2249" t="s">
        <v>2707</v>
      </c>
    </row>
    <row r="2250" spans="1:15" hidden="1" x14ac:dyDescent="0.45">
      <c r="A2250" s="187">
        <v>2018</v>
      </c>
      <c r="B2250" t="s">
        <v>309</v>
      </c>
      <c r="C2250" t="s">
        <v>322</v>
      </c>
      <c r="D2250" t="s">
        <v>35</v>
      </c>
      <c r="E2250" t="s">
        <v>354</v>
      </c>
      <c r="F2250" t="s">
        <v>387</v>
      </c>
      <c r="G2250" t="s">
        <v>36</v>
      </c>
      <c r="H2250" t="s">
        <v>43</v>
      </c>
      <c r="I2250" s="187"/>
      <c r="J2250" s="187">
        <v>119.22165706281692</v>
      </c>
      <c r="K2250" s="187">
        <v>1941.1373473510273</v>
      </c>
      <c r="L2250" s="187">
        <v>152.33878402471049</v>
      </c>
      <c r="M2250" s="187">
        <v>2212.69775390625</v>
      </c>
      <c r="N2250" s="187">
        <v>152.33879089355469</v>
      </c>
      <c r="O2250" t="s">
        <v>2712</v>
      </c>
    </row>
    <row r="2251" spans="1:15" hidden="1" x14ac:dyDescent="0.45">
      <c r="A2251" s="187">
        <v>2018</v>
      </c>
      <c r="B2251" t="s">
        <v>311</v>
      </c>
      <c r="C2251" t="s">
        <v>322</v>
      </c>
      <c r="D2251" t="s">
        <v>35</v>
      </c>
      <c r="E2251" t="s">
        <v>354</v>
      </c>
      <c r="F2251" t="s">
        <v>387</v>
      </c>
      <c r="G2251" t="s">
        <v>36</v>
      </c>
      <c r="H2251" t="s">
        <v>43</v>
      </c>
      <c r="I2251" s="187"/>
      <c r="J2251" s="187">
        <v>114.77647103895036</v>
      </c>
      <c r="K2251" s="187">
        <v>4386.5505709919698</v>
      </c>
      <c r="L2251" s="187">
        <v>475.68470775031648</v>
      </c>
      <c r="M2251" s="187">
        <v>4977.01171875</v>
      </c>
      <c r="N2251" s="187">
        <v>475.68472290039063</v>
      </c>
      <c r="O2251" t="s">
        <v>2710</v>
      </c>
    </row>
    <row r="2252" spans="1:15" hidden="1" x14ac:dyDescent="0.45">
      <c r="A2252" s="187">
        <v>2018</v>
      </c>
      <c r="B2252" t="s">
        <v>310</v>
      </c>
      <c r="C2252" t="s">
        <v>322</v>
      </c>
      <c r="D2252" t="s">
        <v>35</v>
      </c>
      <c r="E2252" t="s">
        <v>354</v>
      </c>
      <c r="F2252" t="s">
        <v>387</v>
      </c>
      <c r="G2252" t="s">
        <v>36</v>
      </c>
      <c r="H2252" t="s">
        <v>43</v>
      </c>
      <c r="I2252" s="187"/>
      <c r="J2252" s="187">
        <v>117.694874162039</v>
      </c>
      <c r="K2252" s="187">
        <v>3029.2222675069634</v>
      </c>
      <c r="L2252" s="187">
        <v>151.69561558662804</v>
      </c>
      <c r="M2252" s="187">
        <v>3298.61279296875</v>
      </c>
      <c r="N2252" s="187">
        <v>151.69561767578125</v>
      </c>
      <c r="O2252" t="s">
        <v>2713</v>
      </c>
    </row>
    <row r="2253" spans="1:15" hidden="1" x14ac:dyDescent="0.45">
      <c r="A2253" s="187">
        <v>2018</v>
      </c>
      <c r="B2253" t="s">
        <v>312</v>
      </c>
      <c r="C2253" t="s">
        <v>322</v>
      </c>
      <c r="D2253" t="s">
        <v>35</v>
      </c>
      <c r="E2253" t="s">
        <v>354</v>
      </c>
      <c r="F2253" t="s">
        <v>387</v>
      </c>
      <c r="G2253" t="s">
        <v>36</v>
      </c>
      <c r="H2253" t="s">
        <v>43</v>
      </c>
      <c r="I2253" s="187">
        <v>0</v>
      </c>
      <c r="J2253" s="187">
        <v>74.194454157200411</v>
      </c>
      <c r="K2253" s="187">
        <v>6451.4896774054778</v>
      </c>
      <c r="L2253" s="187">
        <v>720.92277956079738</v>
      </c>
      <c r="M2253" s="187">
        <v>7246.60693359375</v>
      </c>
      <c r="N2253" s="187">
        <v>720.92279052734375</v>
      </c>
      <c r="O2253" t="s">
        <v>2711</v>
      </c>
    </row>
    <row r="2254" spans="1:15" hidden="1" x14ac:dyDescent="0.45">
      <c r="A2254" s="187">
        <v>2018</v>
      </c>
      <c r="B2254" t="s">
        <v>313</v>
      </c>
      <c r="C2254" t="s">
        <v>322</v>
      </c>
      <c r="D2254" t="s">
        <v>35</v>
      </c>
      <c r="E2254" t="s">
        <v>354</v>
      </c>
      <c r="F2254" t="s">
        <v>387</v>
      </c>
      <c r="G2254" t="s">
        <v>36</v>
      </c>
      <c r="H2254" t="s">
        <v>43</v>
      </c>
      <c r="I2254" s="187">
        <v>0</v>
      </c>
      <c r="J2254" s="187">
        <v>70.076674660125676</v>
      </c>
      <c r="K2254" s="187">
        <v>7062.9728162946258</v>
      </c>
      <c r="L2254" s="187">
        <v>1032.5827958466382</v>
      </c>
      <c r="M2254" s="187">
        <v>8165.63232421875</v>
      </c>
      <c r="N2254" s="187">
        <v>1032.582763671875</v>
      </c>
      <c r="O2254" t="s">
        <v>2714</v>
      </c>
    </row>
    <row r="2255" spans="1:15" hidden="1" x14ac:dyDescent="0.45">
      <c r="A2255" s="187">
        <v>2018</v>
      </c>
      <c r="B2255" t="s">
        <v>314</v>
      </c>
      <c r="C2255" t="s">
        <v>322</v>
      </c>
      <c r="D2255" t="s">
        <v>35</v>
      </c>
      <c r="E2255" t="s">
        <v>354</v>
      </c>
      <c r="F2255" t="s">
        <v>387</v>
      </c>
      <c r="G2255" t="s">
        <v>36</v>
      </c>
      <c r="H2255" t="s">
        <v>43</v>
      </c>
      <c r="I2255" s="187">
        <v>0</v>
      </c>
      <c r="J2255" s="187">
        <v>19.801951238681294</v>
      </c>
      <c r="K2255" s="187">
        <v>4765.7304939627775</v>
      </c>
      <c r="L2255" s="187">
        <v>662.78295616527396</v>
      </c>
      <c r="M2255" s="187">
        <v>5448.31494140625</v>
      </c>
      <c r="N2255" s="187">
        <v>662.782958984375</v>
      </c>
      <c r="O2255" t="s">
        <v>2709</v>
      </c>
    </row>
    <row r="2256" spans="1:15" hidden="1" x14ac:dyDescent="0.45">
      <c r="A2256" s="187">
        <v>2018</v>
      </c>
      <c r="B2256" t="s">
        <v>309</v>
      </c>
      <c r="C2256" t="s">
        <v>322</v>
      </c>
      <c r="D2256" t="s">
        <v>35</v>
      </c>
      <c r="E2256" t="s">
        <v>354</v>
      </c>
      <c r="F2256" t="s">
        <v>387</v>
      </c>
      <c r="G2256" t="s">
        <v>37</v>
      </c>
      <c r="H2256" t="s">
        <v>43</v>
      </c>
      <c r="I2256" s="187"/>
      <c r="J2256" s="187">
        <v>99.296999999999997</v>
      </c>
      <c r="K2256" s="187">
        <v>1639.814539610963</v>
      </c>
      <c r="L2256" s="187">
        <v>134</v>
      </c>
      <c r="M2256" s="187">
        <v>1873.111572265625</v>
      </c>
      <c r="N2256" s="187">
        <v>134</v>
      </c>
      <c r="O2256" t="s">
        <v>2719</v>
      </c>
    </row>
    <row r="2257" spans="1:15" hidden="1" x14ac:dyDescent="0.45">
      <c r="A2257" s="187">
        <v>2018</v>
      </c>
      <c r="B2257" t="s">
        <v>313</v>
      </c>
      <c r="C2257" t="s">
        <v>322</v>
      </c>
      <c r="D2257" t="s">
        <v>35</v>
      </c>
      <c r="E2257" t="s">
        <v>354</v>
      </c>
      <c r="F2257" t="s">
        <v>387</v>
      </c>
      <c r="G2257" t="s">
        <v>37</v>
      </c>
      <c r="H2257" t="s">
        <v>43</v>
      </c>
      <c r="I2257" s="187">
        <v>0</v>
      </c>
      <c r="J2257" s="187">
        <v>59</v>
      </c>
      <c r="K2257" s="187">
        <v>5999.526120930148</v>
      </c>
      <c r="L2257" s="187">
        <v>878</v>
      </c>
      <c r="M2257" s="187">
        <v>6936.52587890625</v>
      </c>
      <c r="N2257" s="187">
        <v>878</v>
      </c>
      <c r="O2257" t="s">
        <v>2718</v>
      </c>
    </row>
    <row r="2258" spans="1:15" hidden="1" x14ac:dyDescent="0.45">
      <c r="A2258" s="187">
        <v>2018</v>
      </c>
      <c r="B2258" t="s">
        <v>311</v>
      </c>
      <c r="C2258" t="s">
        <v>322</v>
      </c>
      <c r="D2258" t="s">
        <v>35</v>
      </c>
      <c r="E2258" t="s">
        <v>354</v>
      </c>
      <c r="F2258" t="s">
        <v>387</v>
      </c>
      <c r="G2258" t="s">
        <v>37</v>
      </c>
      <c r="H2258" t="s">
        <v>43</v>
      </c>
      <c r="I2258" s="187"/>
      <c r="J2258" s="187">
        <v>95</v>
      </c>
      <c r="K2258" s="187">
        <v>3624.840663990045</v>
      </c>
      <c r="L2258" s="187">
        <v>406</v>
      </c>
      <c r="M2258" s="187">
        <v>4125.8408203125</v>
      </c>
      <c r="N2258" s="187">
        <v>406</v>
      </c>
      <c r="O2258" t="s">
        <v>2715</v>
      </c>
    </row>
    <row r="2259" spans="1:15" hidden="1" x14ac:dyDescent="0.45">
      <c r="A2259" s="187">
        <v>2018</v>
      </c>
      <c r="B2259" t="s">
        <v>310</v>
      </c>
      <c r="C2259" t="s">
        <v>322</v>
      </c>
      <c r="D2259" t="s">
        <v>35</v>
      </c>
      <c r="E2259" t="s">
        <v>354</v>
      </c>
      <c r="F2259" t="s">
        <v>387</v>
      </c>
      <c r="G2259" t="s">
        <v>37</v>
      </c>
      <c r="H2259" t="s">
        <v>43</v>
      </c>
      <c r="I2259" s="187"/>
      <c r="J2259" s="187">
        <v>97</v>
      </c>
      <c r="K2259" s="187">
        <v>2517.3922420914</v>
      </c>
      <c r="L2259" s="187">
        <v>130</v>
      </c>
      <c r="M2259" s="187">
        <v>2744.392333984375</v>
      </c>
      <c r="N2259" s="187">
        <v>130</v>
      </c>
      <c r="O2259" t="s">
        <v>2720</v>
      </c>
    </row>
    <row r="2260" spans="1:15" hidden="1" x14ac:dyDescent="0.45">
      <c r="A2260" s="187">
        <v>2018</v>
      </c>
      <c r="B2260" t="s">
        <v>314</v>
      </c>
      <c r="C2260" t="s">
        <v>322</v>
      </c>
      <c r="D2260" t="s">
        <v>35</v>
      </c>
      <c r="E2260" t="s">
        <v>354</v>
      </c>
      <c r="F2260" t="s">
        <v>387</v>
      </c>
      <c r="G2260" t="s">
        <v>37</v>
      </c>
      <c r="H2260" t="s">
        <v>43</v>
      </c>
      <c r="I2260" s="187">
        <v>0</v>
      </c>
      <c r="J2260" s="187">
        <v>17</v>
      </c>
      <c r="K2260" s="187">
        <v>4091.3856125000002</v>
      </c>
      <c r="L2260" s="187">
        <v>569</v>
      </c>
      <c r="M2260" s="187">
        <v>4677.3857421875</v>
      </c>
      <c r="N2260" s="187">
        <v>569</v>
      </c>
      <c r="O2260" t="s">
        <v>2717</v>
      </c>
    </row>
    <row r="2261" spans="1:15" hidden="1" x14ac:dyDescent="0.45">
      <c r="A2261" s="187">
        <v>2018</v>
      </c>
      <c r="B2261" t="s">
        <v>312</v>
      </c>
      <c r="C2261" t="s">
        <v>322</v>
      </c>
      <c r="D2261" t="s">
        <v>35</v>
      </c>
      <c r="E2261" t="s">
        <v>354</v>
      </c>
      <c r="F2261" t="s">
        <v>387</v>
      </c>
      <c r="G2261" t="s">
        <v>37</v>
      </c>
      <c r="H2261" t="s">
        <v>43</v>
      </c>
      <c r="I2261" s="187">
        <v>0</v>
      </c>
      <c r="J2261" s="187">
        <v>62</v>
      </c>
      <c r="K2261" s="187">
        <v>5411.2925559105151</v>
      </c>
      <c r="L2261" s="187">
        <v>604</v>
      </c>
      <c r="M2261" s="187">
        <v>6077.29248046875</v>
      </c>
      <c r="N2261" s="187">
        <v>604</v>
      </c>
      <c r="O2261" t="s">
        <v>2716</v>
      </c>
    </row>
    <row r="2262" spans="1:15" hidden="1" x14ac:dyDescent="0.45">
      <c r="A2262" s="187">
        <v>2018</v>
      </c>
      <c r="B2262" t="s">
        <v>313</v>
      </c>
      <c r="C2262" t="s">
        <v>322</v>
      </c>
      <c r="D2262" t="s">
        <v>35</v>
      </c>
      <c r="E2262" t="s">
        <v>17</v>
      </c>
      <c r="F2262" t="s">
        <v>17</v>
      </c>
      <c r="G2262" t="s">
        <v>36</v>
      </c>
      <c r="H2262" t="s">
        <v>43</v>
      </c>
      <c r="I2262" s="187">
        <v>6696.215578634231</v>
      </c>
      <c r="J2262" s="187">
        <v>245.56783427907285</v>
      </c>
      <c r="K2262" s="187">
        <v>1882.807675164705</v>
      </c>
      <c r="L2262" s="187">
        <v>2871.3468232533546</v>
      </c>
      <c r="M2262" s="187">
        <v>11695.9384765625</v>
      </c>
      <c r="N2262" s="187">
        <v>9567.5625</v>
      </c>
      <c r="O2262" t="s">
        <v>2723</v>
      </c>
    </row>
    <row r="2263" spans="1:15" hidden="1" x14ac:dyDescent="0.45">
      <c r="A2263" s="187">
        <v>2018</v>
      </c>
      <c r="B2263" t="s">
        <v>311</v>
      </c>
      <c r="C2263" t="s">
        <v>322</v>
      </c>
      <c r="D2263" t="s">
        <v>35</v>
      </c>
      <c r="E2263" t="s">
        <v>17</v>
      </c>
      <c r="F2263" t="s">
        <v>17</v>
      </c>
      <c r="G2263" t="s">
        <v>36</v>
      </c>
      <c r="H2263" t="s">
        <v>43</v>
      </c>
      <c r="I2263" s="187"/>
      <c r="J2263" s="187">
        <v>57.388235519475181</v>
      </c>
      <c r="K2263" s="187">
        <v>2281.0089267806325</v>
      </c>
      <c r="L2263" s="187">
        <v>3815.6800149837718</v>
      </c>
      <c r="M2263" s="187">
        <v>6154.0771484375</v>
      </c>
      <c r="N2263" s="187">
        <v>3815.679931640625</v>
      </c>
      <c r="O2263" t="s">
        <v>2726</v>
      </c>
    </row>
    <row r="2264" spans="1:15" hidden="1" x14ac:dyDescent="0.45">
      <c r="A2264" s="187">
        <v>2018</v>
      </c>
      <c r="B2264" t="s">
        <v>310</v>
      </c>
      <c r="C2264" t="s">
        <v>322</v>
      </c>
      <c r="D2264" t="s">
        <v>35</v>
      </c>
      <c r="E2264" t="s">
        <v>17</v>
      </c>
      <c r="F2264" t="s">
        <v>17</v>
      </c>
      <c r="G2264" t="s">
        <v>36</v>
      </c>
      <c r="H2264" t="s">
        <v>43</v>
      </c>
      <c r="I2264" s="187"/>
      <c r="J2264" s="187">
        <v>52.308832960906223</v>
      </c>
      <c r="K2264" s="187">
        <v>2287.7601473040982</v>
      </c>
      <c r="L2264" s="187">
        <v>4472.4052181574816</v>
      </c>
      <c r="M2264" s="187">
        <v>6812.47412109375</v>
      </c>
      <c r="N2264" s="187">
        <v>4472.4052734375</v>
      </c>
      <c r="O2264" t="s">
        <v>2722</v>
      </c>
    </row>
    <row r="2265" spans="1:15" hidden="1" x14ac:dyDescent="0.45">
      <c r="A2265" s="187">
        <v>2018</v>
      </c>
      <c r="B2265" t="s">
        <v>309</v>
      </c>
      <c r="C2265" t="s">
        <v>322</v>
      </c>
      <c r="D2265" t="s">
        <v>35</v>
      </c>
      <c r="E2265" t="s">
        <v>17</v>
      </c>
      <c r="F2265" t="s">
        <v>17</v>
      </c>
      <c r="G2265" t="s">
        <v>36</v>
      </c>
      <c r="H2265" t="s">
        <v>43</v>
      </c>
      <c r="I2265" s="187"/>
      <c r="J2265" s="187">
        <v>39.740552354272303</v>
      </c>
      <c r="K2265" s="187">
        <v>4062.0710344062295</v>
      </c>
      <c r="L2265" s="187">
        <v>4501.279896660576</v>
      </c>
      <c r="M2265" s="187">
        <v>8603.091796875</v>
      </c>
      <c r="N2265" s="187">
        <v>4501.27978515625</v>
      </c>
      <c r="O2265" t="s">
        <v>2724</v>
      </c>
    </row>
    <row r="2266" spans="1:15" hidden="1" x14ac:dyDescent="0.45">
      <c r="A2266" s="187">
        <v>2018</v>
      </c>
      <c r="B2266" t="s">
        <v>314</v>
      </c>
      <c r="C2266" t="s">
        <v>322</v>
      </c>
      <c r="D2266" t="s">
        <v>35</v>
      </c>
      <c r="E2266" t="s">
        <v>17</v>
      </c>
      <c r="F2266" t="s">
        <v>17</v>
      </c>
      <c r="G2266" t="s">
        <v>36</v>
      </c>
      <c r="H2266" t="s">
        <v>43</v>
      </c>
      <c r="I2266" s="187">
        <v>2866.8729185858674</v>
      </c>
      <c r="J2266" s="187">
        <v>271.40321403604366</v>
      </c>
      <c r="K2266" s="187">
        <v>1465.6095499816827</v>
      </c>
      <c r="L2266" s="187">
        <v>1619.1007189274706</v>
      </c>
      <c r="M2266" s="187">
        <v>6222.986328125</v>
      </c>
      <c r="N2266" s="187">
        <v>4485.9736328125</v>
      </c>
      <c r="O2266" t="s">
        <v>2721</v>
      </c>
    </row>
    <row r="2267" spans="1:15" hidden="1" x14ac:dyDescent="0.45">
      <c r="A2267" s="187">
        <v>2018</v>
      </c>
      <c r="B2267" t="s">
        <v>312</v>
      </c>
      <c r="C2267" t="s">
        <v>322</v>
      </c>
      <c r="D2267" t="s">
        <v>35</v>
      </c>
      <c r="E2267" t="s">
        <v>17</v>
      </c>
      <c r="F2267" t="s">
        <v>17</v>
      </c>
      <c r="G2267" t="s">
        <v>36</v>
      </c>
      <c r="H2267" t="s">
        <v>43</v>
      </c>
      <c r="I2267" s="187">
        <v>4603.7658804542862</v>
      </c>
      <c r="J2267" s="187">
        <v>389.52088432530218</v>
      </c>
      <c r="K2267" s="187">
        <v>1596.7476385859627</v>
      </c>
      <c r="L2267" s="187">
        <v>1601.3636355595756</v>
      </c>
      <c r="M2267" s="187">
        <v>8191.3984375</v>
      </c>
      <c r="N2267" s="187">
        <v>6205.1298828125</v>
      </c>
      <c r="O2267" t="s">
        <v>2725</v>
      </c>
    </row>
    <row r="2268" spans="1:15" hidden="1" x14ac:dyDescent="0.45">
      <c r="A2268" s="187">
        <v>2018</v>
      </c>
      <c r="B2268" t="s">
        <v>309</v>
      </c>
      <c r="C2268" t="s">
        <v>322</v>
      </c>
      <c r="D2268" t="s">
        <v>35</v>
      </c>
      <c r="E2268" t="s">
        <v>17</v>
      </c>
      <c r="F2268" t="s">
        <v>17</v>
      </c>
      <c r="G2268" t="s">
        <v>37</v>
      </c>
      <c r="H2268" t="s">
        <v>43</v>
      </c>
      <c r="I2268" s="187"/>
      <c r="J2268" s="187">
        <v>33.098999999999997</v>
      </c>
      <c r="K2268" s="187">
        <v>3431.515627805456</v>
      </c>
      <c r="L2268" s="187">
        <v>3942</v>
      </c>
      <c r="M2268" s="187">
        <v>7406.61474609375</v>
      </c>
      <c r="N2268" s="187">
        <v>3942</v>
      </c>
      <c r="O2268" t="s">
        <v>2730</v>
      </c>
    </row>
    <row r="2269" spans="1:15" hidden="1" x14ac:dyDescent="0.45">
      <c r="A2269" s="187">
        <v>2018</v>
      </c>
      <c r="B2269" t="s">
        <v>314</v>
      </c>
      <c r="C2269" t="s">
        <v>322</v>
      </c>
      <c r="D2269" t="s">
        <v>35</v>
      </c>
      <c r="E2269" t="s">
        <v>17</v>
      </c>
      <c r="F2269" t="s">
        <v>17</v>
      </c>
      <c r="G2269" t="s">
        <v>37</v>
      </c>
      <c r="H2269" t="s">
        <v>43</v>
      </c>
      <c r="I2269" s="187">
        <v>2461.1564699999999</v>
      </c>
      <c r="J2269" s="187">
        <v>233</v>
      </c>
      <c r="K2269" s="187">
        <v>1258.2276387500001</v>
      </c>
      <c r="L2269" s="187">
        <v>1390</v>
      </c>
      <c r="M2269" s="187">
        <v>5342.3837890625</v>
      </c>
      <c r="N2269" s="187">
        <v>3851.156494140625</v>
      </c>
      <c r="O2269" t="s">
        <v>2727</v>
      </c>
    </row>
    <row r="2270" spans="1:15" hidden="1" x14ac:dyDescent="0.45">
      <c r="A2270" s="187">
        <v>2018</v>
      </c>
      <c r="B2270" t="s">
        <v>313</v>
      </c>
      <c r="C2270" t="s">
        <v>322</v>
      </c>
      <c r="D2270" t="s">
        <v>35</v>
      </c>
      <c r="E2270" t="s">
        <v>17</v>
      </c>
      <c r="F2270" t="s">
        <v>17</v>
      </c>
      <c r="G2270" t="s">
        <v>37</v>
      </c>
      <c r="H2270" t="s">
        <v>43</v>
      </c>
      <c r="I2270" s="187">
        <v>5687.2659999999996</v>
      </c>
      <c r="J2270" s="187">
        <v>209</v>
      </c>
      <c r="K2270" s="187">
        <v>1599.320020286372</v>
      </c>
      <c r="L2270" s="187">
        <v>2443</v>
      </c>
      <c r="M2270" s="187">
        <v>9938.5859375</v>
      </c>
      <c r="N2270" s="187">
        <v>8130.26611328125</v>
      </c>
      <c r="O2270" t="s">
        <v>2729</v>
      </c>
    </row>
    <row r="2271" spans="1:15" hidden="1" x14ac:dyDescent="0.45">
      <c r="A2271" s="187">
        <v>2018</v>
      </c>
      <c r="B2271" t="s">
        <v>311</v>
      </c>
      <c r="C2271" t="s">
        <v>322</v>
      </c>
      <c r="D2271" t="s">
        <v>35</v>
      </c>
      <c r="E2271" t="s">
        <v>17</v>
      </c>
      <c r="F2271" t="s">
        <v>17</v>
      </c>
      <c r="G2271" t="s">
        <v>37</v>
      </c>
      <c r="H2271" t="s">
        <v>43</v>
      </c>
      <c r="I2271" s="187"/>
      <c r="J2271" s="187">
        <v>48</v>
      </c>
      <c r="K2271" s="187">
        <v>1884.9193184723611</v>
      </c>
      <c r="L2271" s="187">
        <v>3259</v>
      </c>
      <c r="M2271" s="187">
        <v>5191.91943359375</v>
      </c>
      <c r="N2271" s="187">
        <v>3259</v>
      </c>
      <c r="O2271" t="s">
        <v>2728</v>
      </c>
    </row>
    <row r="2272" spans="1:15" hidden="1" x14ac:dyDescent="0.45">
      <c r="A2272" s="187">
        <v>2018</v>
      </c>
      <c r="B2272" t="s">
        <v>310</v>
      </c>
      <c r="C2272" t="s">
        <v>322</v>
      </c>
      <c r="D2272" t="s">
        <v>35</v>
      </c>
      <c r="E2272" t="s">
        <v>17</v>
      </c>
      <c r="F2272" t="s">
        <v>17</v>
      </c>
      <c r="G2272" t="s">
        <v>37</v>
      </c>
      <c r="H2272" t="s">
        <v>43</v>
      </c>
      <c r="I2272" s="187"/>
      <c r="J2272" s="187">
        <v>43</v>
      </c>
      <c r="K2272" s="187">
        <v>1901.2106534292061</v>
      </c>
      <c r="L2272" s="187">
        <v>3815</v>
      </c>
      <c r="M2272" s="187">
        <v>5759.2109375</v>
      </c>
      <c r="N2272" s="187">
        <v>3815</v>
      </c>
      <c r="O2272" t="s">
        <v>2732</v>
      </c>
    </row>
    <row r="2273" spans="1:15" hidden="1" x14ac:dyDescent="0.45">
      <c r="A2273" s="187">
        <v>2018</v>
      </c>
      <c r="B2273" t="s">
        <v>312</v>
      </c>
      <c r="C2273" t="s">
        <v>322</v>
      </c>
      <c r="D2273" t="s">
        <v>35</v>
      </c>
      <c r="E2273" t="s">
        <v>17</v>
      </c>
      <c r="F2273" t="s">
        <v>17</v>
      </c>
      <c r="G2273" t="s">
        <v>37</v>
      </c>
      <c r="H2273" t="s">
        <v>43</v>
      </c>
      <c r="I2273" s="187">
        <v>3806.7191010000001</v>
      </c>
      <c r="J2273" s="187">
        <v>328</v>
      </c>
      <c r="K2273" s="187">
        <v>1339.298215202718</v>
      </c>
      <c r="L2273" s="187">
        <v>1342</v>
      </c>
      <c r="M2273" s="187">
        <v>6816.01708984375</v>
      </c>
      <c r="N2273" s="187">
        <v>5148.71875</v>
      </c>
      <c r="O2273" t="s">
        <v>2731</v>
      </c>
    </row>
    <row r="2274" spans="1:15" hidden="1" x14ac:dyDescent="0.45">
      <c r="A2274" s="187">
        <v>2018</v>
      </c>
      <c r="B2274" t="s">
        <v>309</v>
      </c>
      <c r="C2274" t="s">
        <v>322</v>
      </c>
      <c r="D2274" t="s">
        <v>35</v>
      </c>
      <c r="E2274" t="s">
        <v>45</v>
      </c>
      <c r="F2274" t="s">
        <v>45</v>
      </c>
      <c r="G2274" t="s">
        <v>37</v>
      </c>
      <c r="H2274" t="s">
        <v>43</v>
      </c>
      <c r="I2274" s="187"/>
      <c r="J2274" s="187">
        <v>0</v>
      </c>
      <c r="K2274" s="187">
        <v>675.48860054054694</v>
      </c>
      <c r="L2274" s="187">
        <v>3877</v>
      </c>
      <c r="M2274" s="187">
        <v>4552.48876953125</v>
      </c>
      <c r="N2274" s="187">
        <v>3877</v>
      </c>
      <c r="O2274" t="s">
        <v>2738</v>
      </c>
    </row>
    <row r="2275" spans="1:15" hidden="1" x14ac:dyDescent="0.45">
      <c r="A2275" s="187">
        <v>2018</v>
      </c>
      <c r="B2275" t="s">
        <v>312</v>
      </c>
      <c r="C2275" t="s">
        <v>322</v>
      </c>
      <c r="D2275" t="s">
        <v>35</v>
      </c>
      <c r="E2275" t="s">
        <v>45</v>
      </c>
      <c r="F2275" t="s">
        <v>45</v>
      </c>
      <c r="G2275" t="s">
        <v>37</v>
      </c>
      <c r="H2275" t="s">
        <v>43</v>
      </c>
      <c r="I2275" s="187">
        <v>1053.909942255656</v>
      </c>
      <c r="J2275" s="187">
        <v>0</v>
      </c>
      <c r="K2275" s="187">
        <v>717.46548284631751</v>
      </c>
      <c r="L2275" s="187">
        <v>4685</v>
      </c>
      <c r="M2275" s="187">
        <v>6456.37548828125</v>
      </c>
      <c r="N2275" s="187">
        <v>5738.91015625</v>
      </c>
      <c r="O2275" t="s">
        <v>2737</v>
      </c>
    </row>
    <row r="2276" spans="1:15" hidden="1" x14ac:dyDescent="0.45">
      <c r="A2276" s="187">
        <v>2018</v>
      </c>
      <c r="B2276" t="s">
        <v>313</v>
      </c>
      <c r="C2276" t="s">
        <v>322</v>
      </c>
      <c r="D2276" t="s">
        <v>35</v>
      </c>
      <c r="E2276" t="s">
        <v>45</v>
      </c>
      <c r="F2276" t="s">
        <v>45</v>
      </c>
      <c r="G2276" t="s">
        <v>37</v>
      </c>
      <c r="H2276" t="s">
        <v>43</v>
      </c>
      <c r="I2276" s="187">
        <v>2228.9898052059998</v>
      </c>
      <c r="J2276" s="187">
        <v>0</v>
      </c>
      <c r="K2276" s="187">
        <v>333.48579907598912</v>
      </c>
      <c r="L2276" s="187">
        <v>4448</v>
      </c>
      <c r="M2276" s="187">
        <v>7010.4755859375</v>
      </c>
      <c r="N2276" s="187">
        <v>6676.98974609375</v>
      </c>
      <c r="O2276" t="s">
        <v>2734</v>
      </c>
    </row>
    <row r="2277" spans="1:15" hidden="1" x14ac:dyDescent="0.45">
      <c r="A2277" s="187">
        <v>2018</v>
      </c>
      <c r="B2277" t="s">
        <v>311</v>
      </c>
      <c r="C2277" t="s">
        <v>322</v>
      </c>
      <c r="D2277" t="s">
        <v>35</v>
      </c>
      <c r="E2277" t="s">
        <v>45</v>
      </c>
      <c r="F2277" t="s">
        <v>45</v>
      </c>
      <c r="G2277" t="s">
        <v>37</v>
      </c>
      <c r="H2277" t="s">
        <v>43</v>
      </c>
      <c r="I2277" s="187"/>
      <c r="J2277" s="187">
        <v>0</v>
      </c>
      <c r="K2277" s="187">
        <v>651.69791219169588</v>
      </c>
      <c r="L2277" s="187">
        <v>7322</v>
      </c>
      <c r="M2277" s="187">
        <v>7973.69775390625</v>
      </c>
      <c r="N2277" s="187">
        <v>7322</v>
      </c>
      <c r="O2277" t="s">
        <v>2735</v>
      </c>
    </row>
    <row r="2278" spans="1:15" hidden="1" x14ac:dyDescent="0.45">
      <c r="A2278" s="187">
        <v>2018</v>
      </c>
      <c r="B2278" t="s">
        <v>310</v>
      </c>
      <c r="C2278" t="s">
        <v>322</v>
      </c>
      <c r="D2278" t="s">
        <v>35</v>
      </c>
      <c r="E2278" t="s">
        <v>45</v>
      </c>
      <c r="F2278" t="s">
        <v>45</v>
      </c>
      <c r="G2278" t="s">
        <v>37</v>
      </c>
      <c r="H2278" t="s">
        <v>43</v>
      </c>
      <c r="I2278" s="187"/>
      <c r="J2278" s="187">
        <v>0</v>
      </c>
      <c r="K2278" s="187">
        <v>653.43148661991313</v>
      </c>
      <c r="L2278" s="187">
        <v>6525</v>
      </c>
      <c r="M2278" s="187">
        <v>7178.431640625</v>
      </c>
      <c r="N2278" s="187">
        <v>6525</v>
      </c>
      <c r="O2278" t="s">
        <v>2736</v>
      </c>
    </row>
    <row r="2279" spans="1:15" hidden="1" x14ac:dyDescent="0.45">
      <c r="A2279" s="187">
        <v>2018</v>
      </c>
      <c r="B2279" t="s">
        <v>314</v>
      </c>
      <c r="C2279" t="s">
        <v>322</v>
      </c>
      <c r="D2279" t="s">
        <v>35</v>
      </c>
      <c r="E2279" t="s">
        <v>45</v>
      </c>
      <c r="F2279" t="s">
        <v>45</v>
      </c>
      <c r="G2279" t="s">
        <v>37</v>
      </c>
      <c r="H2279" t="s">
        <v>43</v>
      </c>
      <c r="I2279" s="187">
        <v>1774.03351855138</v>
      </c>
      <c r="J2279" s="187">
        <v>0</v>
      </c>
      <c r="K2279" s="187">
        <v>414.31968879226082</v>
      </c>
      <c r="L2279" s="187">
        <v>7266</v>
      </c>
      <c r="M2279" s="187">
        <v>9454.353515625</v>
      </c>
      <c r="N2279" s="187">
        <v>9040.033203125</v>
      </c>
      <c r="O2279" t="s">
        <v>2733</v>
      </c>
    </row>
    <row r="2280" spans="1:15" hidden="1" x14ac:dyDescent="0.45">
      <c r="A2280" s="187">
        <v>2018</v>
      </c>
      <c r="B2280" t="s">
        <v>313</v>
      </c>
      <c r="C2280" t="s">
        <v>322</v>
      </c>
      <c r="D2280" t="s">
        <v>35</v>
      </c>
      <c r="E2280" t="s">
        <v>355</v>
      </c>
      <c r="F2280" t="s">
        <v>355</v>
      </c>
      <c r="G2280" t="s">
        <v>37</v>
      </c>
      <c r="H2280" t="s">
        <v>43</v>
      </c>
      <c r="I2280" s="187"/>
      <c r="J2280" s="187"/>
      <c r="K2280" s="187"/>
      <c r="L2280" s="187">
        <v>21582</v>
      </c>
      <c r="M2280" s="187">
        <v>21582</v>
      </c>
      <c r="N2280" s="187">
        <v>21582</v>
      </c>
      <c r="O2280" t="s">
        <v>2739</v>
      </c>
    </row>
    <row r="2281" spans="1:15" hidden="1" x14ac:dyDescent="0.45">
      <c r="A2281" s="187">
        <v>2018</v>
      </c>
      <c r="B2281" t="s">
        <v>310</v>
      </c>
      <c r="C2281" t="s">
        <v>322</v>
      </c>
      <c r="D2281" t="s">
        <v>35</v>
      </c>
      <c r="E2281" t="s">
        <v>355</v>
      </c>
      <c r="F2281" t="s">
        <v>355</v>
      </c>
      <c r="G2281" t="s">
        <v>37</v>
      </c>
      <c r="H2281" t="s">
        <v>43</v>
      </c>
      <c r="I2281" s="187"/>
      <c r="J2281" s="187">
        <v>792</v>
      </c>
      <c r="K2281" s="187">
        <v>13393.03878334108</v>
      </c>
      <c r="L2281" s="187">
        <v>22637</v>
      </c>
      <c r="M2281" s="187">
        <v>36822.0390625</v>
      </c>
      <c r="N2281" s="187">
        <v>22637</v>
      </c>
      <c r="O2281" t="s">
        <v>2740</v>
      </c>
    </row>
    <row r="2282" spans="1:15" hidden="1" x14ac:dyDescent="0.45">
      <c r="A2282" s="187">
        <v>2018</v>
      </c>
      <c r="B2282" t="s">
        <v>309</v>
      </c>
      <c r="C2282" t="s">
        <v>322</v>
      </c>
      <c r="D2282" t="s">
        <v>35</v>
      </c>
      <c r="E2282" t="s">
        <v>355</v>
      </c>
      <c r="F2282" t="s">
        <v>355</v>
      </c>
      <c r="G2282" t="s">
        <v>37</v>
      </c>
      <c r="H2282" t="s">
        <v>43</v>
      </c>
      <c r="I2282" s="187"/>
      <c r="J2282" s="187">
        <v>842.9212</v>
      </c>
      <c r="K2282" s="187">
        <v>13318.92641645269</v>
      </c>
      <c r="L2282" s="187">
        <v>17571</v>
      </c>
      <c r="M2282" s="187">
        <v>31732.84765625</v>
      </c>
      <c r="N2282" s="187">
        <v>17571</v>
      </c>
      <c r="O2282" t="s">
        <v>2741</v>
      </c>
    </row>
    <row r="2283" spans="1:15" hidden="1" x14ac:dyDescent="0.45">
      <c r="A2283" s="187">
        <v>2018</v>
      </c>
      <c r="B2283" t="s">
        <v>311</v>
      </c>
      <c r="C2283" t="s">
        <v>322</v>
      </c>
      <c r="D2283" t="s">
        <v>35</v>
      </c>
      <c r="E2283" t="s">
        <v>356</v>
      </c>
      <c r="F2283" t="s">
        <v>356</v>
      </c>
      <c r="G2283" t="s">
        <v>37</v>
      </c>
      <c r="H2283" t="s">
        <v>43</v>
      </c>
      <c r="I2283" s="187"/>
      <c r="J2283" s="187">
        <v>0</v>
      </c>
      <c r="K2283" s="187">
        <v>0</v>
      </c>
      <c r="L2283" s="187">
        <v>0</v>
      </c>
      <c r="M2283" s="187">
        <v>0</v>
      </c>
      <c r="N2283" s="187">
        <v>0</v>
      </c>
      <c r="O2283" t="s">
        <v>2747</v>
      </c>
    </row>
    <row r="2284" spans="1:15" hidden="1" x14ac:dyDescent="0.45">
      <c r="A2284" s="187">
        <v>2018</v>
      </c>
      <c r="B2284" t="s">
        <v>313</v>
      </c>
      <c r="C2284" t="s">
        <v>322</v>
      </c>
      <c r="D2284" t="s">
        <v>35</v>
      </c>
      <c r="E2284" t="s">
        <v>356</v>
      </c>
      <c r="F2284" t="s">
        <v>356</v>
      </c>
      <c r="G2284" t="s">
        <v>37</v>
      </c>
      <c r="H2284" t="s">
        <v>43</v>
      </c>
      <c r="I2284" s="187"/>
      <c r="J2284" s="187">
        <v>0</v>
      </c>
      <c r="K2284" s="187">
        <v>0</v>
      </c>
      <c r="L2284" s="187">
        <v>0</v>
      </c>
      <c r="M2284" s="187">
        <v>0</v>
      </c>
      <c r="N2284" s="187">
        <v>0</v>
      </c>
      <c r="O2284" t="s">
        <v>2743</v>
      </c>
    </row>
    <row r="2285" spans="1:15" hidden="1" x14ac:dyDescent="0.45">
      <c r="A2285" s="187">
        <v>2018</v>
      </c>
      <c r="B2285" t="s">
        <v>310</v>
      </c>
      <c r="C2285" t="s">
        <v>322</v>
      </c>
      <c r="D2285" t="s">
        <v>35</v>
      </c>
      <c r="E2285" t="s">
        <v>356</v>
      </c>
      <c r="F2285" t="s">
        <v>356</v>
      </c>
      <c r="G2285" t="s">
        <v>37</v>
      </c>
      <c r="H2285" t="s">
        <v>43</v>
      </c>
      <c r="I2285" s="187"/>
      <c r="J2285" s="187">
        <v>0</v>
      </c>
      <c r="K2285" s="187">
        <v>0</v>
      </c>
      <c r="L2285" s="187">
        <v>0</v>
      </c>
      <c r="M2285" s="187">
        <v>0</v>
      </c>
      <c r="N2285" s="187">
        <v>0</v>
      </c>
      <c r="O2285" t="s">
        <v>2745</v>
      </c>
    </row>
    <row r="2286" spans="1:15" hidden="1" x14ac:dyDescent="0.45">
      <c r="A2286" s="187">
        <v>2018</v>
      </c>
      <c r="B2286" t="s">
        <v>309</v>
      </c>
      <c r="C2286" t="s">
        <v>322</v>
      </c>
      <c r="D2286" t="s">
        <v>35</v>
      </c>
      <c r="E2286" t="s">
        <v>356</v>
      </c>
      <c r="F2286" t="s">
        <v>356</v>
      </c>
      <c r="G2286" t="s">
        <v>37</v>
      </c>
      <c r="H2286" t="s">
        <v>43</v>
      </c>
      <c r="I2286" s="187"/>
      <c r="J2286" s="187">
        <v>0</v>
      </c>
      <c r="K2286" s="187">
        <v>0</v>
      </c>
      <c r="L2286" s="187">
        <v>0</v>
      </c>
      <c r="M2286" s="187">
        <v>0</v>
      </c>
      <c r="N2286" s="187">
        <v>0</v>
      </c>
      <c r="O2286" t="s">
        <v>2744</v>
      </c>
    </row>
    <row r="2287" spans="1:15" hidden="1" x14ac:dyDescent="0.45">
      <c r="A2287" s="187">
        <v>2018</v>
      </c>
      <c r="B2287" t="s">
        <v>314</v>
      </c>
      <c r="C2287" t="s">
        <v>322</v>
      </c>
      <c r="D2287" t="s">
        <v>35</v>
      </c>
      <c r="E2287" t="s">
        <v>356</v>
      </c>
      <c r="F2287" t="s">
        <v>356</v>
      </c>
      <c r="G2287" t="s">
        <v>37</v>
      </c>
      <c r="H2287" t="s">
        <v>43</v>
      </c>
      <c r="I2287" s="187"/>
      <c r="J2287" s="187">
        <v>0</v>
      </c>
      <c r="K2287" s="187">
        <v>0</v>
      </c>
      <c r="L2287" s="187">
        <v>0</v>
      </c>
      <c r="M2287" s="187">
        <v>0</v>
      </c>
      <c r="N2287" s="187">
        <v>0</v>
      </c>
      <c r="O2287" t="s">
        <v>2746</v>
      </c>
    </row>
    <row r="2288" spans="1:15" hidden="1" x14ac:dyDescent="0.45">
      <c r="A2288" s="187">
        <v>2018</v>
      </c>
      <c r="B2288" t="s">
        <v>312</v>
      </c>
      <c r="C2288" t="s">
        <v>322</v>
      </c>
      <c r="D2288" t="s">
        <v>35</v>
      </c>
      <c r="E2288" t="s">
        <v>356</v>
      </c>
      <c r="F2288" t="s">
        <v>356</v>
      </c>
      <c r="G2288" t="s">
        <v>37</v>
      </c>
      <c r="H2288" t="s">
        <v>43</v>
      </c>
      <c r="I2288" s="187">
        <v>0</v>
      </c>
      <c r="J2288" s="187">
        <v>0</v>
      </c>
      <c r="K2288" s="187">
        <v>0</v>
      </c>
      <c r="L2288" s="187">
        <v>0</v>
      </c>
      <c r="M2288" s="187">
        <v>0</v>
      </c>
      <c r="N2288" s="187">
        <v>0</v>
      </c>
      <c r="O2288" t="s">
        <v>2742</v>
      </c>
    </row>
    <row r="2289" spans="1:15" hidden="1" x14ac:dyDescent="0.45">
      <c r="A2289" s="187">
        <v>2018</v>
      </c>
      <c r="B2289" t="s">
        <v>313</v>
      </c>
      <c r="C2289" t="s">
        <v>323</v>
      </c>
      <c r="D2289" t="s">
        <v>35</v>
      </c>
      <c r="E2289" t="s">
        <v>349</v>
      </c>
      <c r="F2289" t="s">
        <v>388</v>
      </c>
      <c r="G2289" t="s">
        <v>36</v>
      </c>
      <c r="H2289" t="s">
        <v>43</v>
      </c>
      <c r="I2289" s="187">
        <v>4276.4739920794646</v>
      </c>
      <c r="J2289" s="187">
        <v>539.05134353942822</v>
      </c>
      <c r="K2289" s="187">
        <v>2010.0288998368915</v>
      </c>
      <c r="L2289" s="187">
        <v>2001.6773223430769</v>
      </c>
      <c r="M2289" s="187">
        <v>8827.2314453125</v>
      </c>
      <c r="N2289" s="187">
        <v>6278.1513671875</v>
      </c>
      <c r="O2289" t="s">
        <v>2753</v>
      </c>
    </row>
    <row r="2290" spans="1:15" hidden="1" x14ac:dyDescent="0.45">
      <c r="A2290" s="187">
        <v>2018</v>
      </c>
      <c r="B2290" t="s">
        <v>312</v>
      </c>
      <c r="C2290" t="s">
        <v>323</v>
      </c>
      <c r="D2290" t="s">
        <v>35</v>
      </c>
      <c r="E2290" t="s">
        <v>349</v>
      </c>
      <c r="F2290" t="s">
        <v>388</v>
      </c>
      <c r="G2290" t="s">
        <v>36</v>
      </c>
      <c r="H2290" t="s">
        <v>43</v>
      </c>
      <c r="I2290" s="187">
        <v>4179.6209175222903</v>
      </c>
      <c r="J2290" s="187">
        <v>408.06949786460228</v>
      </c>
      <c r="K2290" s="187">
        <v>3338.125037907193</v>
      </c>
      <c r="L2290" s="187">
        <v>1572.9224281326487</v>
      </c>
      <c r="M2290" s="187">
        <v>9498.73828125</v>
      </c>
      <c r="N2290" s="187">
        <v>5752.54345703125</v>
      </c>
      <c r="O2290" t="s">
        <v>2751</v>
      </c>
    </row>
    <row r="2291" spans="1:15" hidden="1" x14ac:dyDescent="0.45">
      <c r="A2291" s="187">
        <v>2018</v>
      </c>
      <c r="B2291" t="s">
        <v>311</v>
      </c>
      <c r="C2291" t="s">
        <v>323</v>
      </c>
      <c r="D2291" t="s">
        <v>35</v>
      </c>
      <c r="E2291" t="s">
        <v>349</v>
      </c>
      <c r="F2291" t="s">
        <v>388</v>
      </c>
      <c r="G2291" t="s">
        <v>36</v>
      </c>
      <c r="H2291" t="s">
        <v>43</v>
      </c>
      <c r="I2291" s="187"/>
      <c r="J2291" s="187">
        <v>803.43529727265252</v>
      </c>
      <c r="K2291" s="187">
        <v>4332.6595588517221</v>
      </c>
      <c r="L2291" s="187">
        <v>3026.2729530603247</v>
      </c>
      <c r="M2291" s="187">
        <v>8162.36767578125</v>
      </c>
      <c r="N2291" s="187">
        <v>3026.27294921875</v>
      </c>
      <c r="O2291" t="s">
        <v>2752</v>
      </c>
    </row>
    <row r="2292" spans="1:15" hidden="1" x14ac:dyDescent="0.45">
      <c r="A2292" s="187">
        <v>2018</v>
      </c>
      <c r="B2292" t="s">
        <v>310</v>
      </c>
      <c r="C2292" t="s">
        <v>323</v>
      </c>
      <c r="D2292" t="s">
        <v>35</v>
      </c>
      <c r="E2292" t="s">
        <v>349</v>
      </c>
      <c r="F2292" t="s">
        <v>388</v>
      </c>
      <c r="G2292" t="s">
        <v>36</v>
      </c>
      <c r="H2292" t="s">
        <v>43</v>
      </c>
      <c r="I2292" s="187"/>
      <c r="J2292" s="187">
        <v>529.62693372917545</v>
      </c>
      <c r="K2292" s="187">
        <v>3937.6434795370919</v>
      </c>
      <c r="L2292" s="187">
        <v>2924.0637625146578</v>
      </c>
      <c r="M2292" s="187">
        <v>7391.33447265625</v>
      </c>
      <c r="N2292" s="187">
        <v>2924.063720703125</v>
      </c>
      <c r="O2292" t="s">
        <v>2749</v>
      </c>
    </row>
    <row r="2293" spans="1:15" hidden="1" x14ac:dyDescent="0.45">
      <c r="A2293" s="187">
        <v>2018</v>
      </c>
      <c r="B2293" t="s">
        <v>314</v>
      </c>
      <c r="C2293" t="s">
        <v>323</v>
      </c>
      <c r="D2293" t="s">
        <v>35</v>
      </c>
      <c r="E2293" t="s">
        <v>349</v>
      </c>
      <c r="F2293" t="s">
        <v>388</v>
      </c>
      <c r="G2293" t="s">
        <v>36</v>
      </c>
      <c r="H2293" t="s">
        <v>43</v>
      </c>
      <c r="I2293" s="187">
        <v>1844.4469240236638</v>
      </c>
      <c r="J2293" s="187">
        <v>392.54456279032922</v>
      </c>
      <c r="K2293" s="187">
        <v>3172.00042080915</v>
      </c>
      <c r="L2293" s="187">
        <v>1460.6851090180203</v>
      </c>
      <c r="M2293" s="187">
        <v>6869.6767578125</v>
      </c>
      <c r="N2293" s="187">
        <v>3305.132080078125</v>
      </c>
      <c r="O2293" t="s">
        <v>2750</v>
      </c>
    </row>
    <row r="2294" spans="1:15" hidden="1" x14ac:dyDescent="0.45">
      <c r="A2294" s="187">
        <v>2018</v>
      </c>
      <c r="B2294" t="s">
        <v>309</v>
      </c>
      <c r="C2294" t="s">
        <v>323</v>
      </c>
      <c r="D2294" t="s">
        <v>35</v>
      </c>
      <c r="E2294" t="s">
        <v>349</v>
      </c>
      <c r="F2294" t="s">
        <v>388</v>
      </c>
      <c r="G2294" t="s">
        <v>36</v>
      </c>
      <c r="H2294" t="s">
        <v>43</v>
      </c>
      <c r="I2294" s="187"/>
      <c r="J2294" s="187">
        <v>543.12088217505482</v>
      </c>
      <c r="K2294" s="187">
        <v>4219.8637985891883</v>
      </c>
      <c r="L2294" s="187">
        <v>1510.1409894623475</v>
      </c>
      <c r="M2294" s="187">
        <v>6273.1259765625</v>
      </c>
      <c r="N2294" s="187">
        <v>1510.1409912109375</v>
      </c>
      <c r="O2294" t="s">
        <v>2748</v>
      </c>
    </row>
    <row r="2295" spans="1:15" hidden="1" x14ac:dyDescent="0.45">
      <c r="A2295" s="187">
        <v>2018</v>
      </c>
      <c r="B2295" t="s">
        <v>310</v>
      </c>
      <c r="C2295" t="s">
        <v>323</v>
      </c>
      <c r="D2295" t="s">
        <v>35</v>
      </c>
      <c r="E2295" t="s">
        <v>349</v>
      </c>
      <c r="F2295" t="s">
        <v>389</v>
      </c>
      <c r="G2295" t="s">
        <v>36</v>
      </c>
      <c r="H2295" t="s">
        <v>43</v>
      </c>
      <c r="I2295" s="187"/>
      <c r="J2295" s="187">
        <v>0</v>
      </c>
      <c r="K2295" s="187">
        <v>0</v>
      </c>
      <c r="L2295" s="187">
        <v>0</v>
      </c>
      <c r="M2295" s="187">
        <v>0</v>
      </c>
      <c r="N2295" s="187">
        <v>0</v>
      </c>
      <c r="O2295" t="s">
        <v>2756</v>
      </c>
    </row>
    <row r="2296" spans="1:15" hidden="1" x14ac:dyDescent="0.45">
      <c r="A2296" s="187">
        <v>2018</v>
      </c>
      <c r="B2296" t="s">
        <v>314</v>
      </c>
      <c r="C2296" t="s">
        <v>323</v>
      </c>
      <c r="D2296" t="s">
        <v>35</v>
      </c>
      <c r="E2296" t="s">
        <v>349</v>
      </c>
      <c r="F2296" t="s">
        <v>389</v>
      </c>
      <c r="G2296" t="s">
        <v>36</v>
      </c>
      <c r="H2296" t="s">
        <v>43</v>
      </c>
      <c r="I2296" s="187">
        <v>0</v>
      </c>
      <c r="J2296" s="187">
        <v>0</v>
      </c>
      <c r="K2296" s="187">
        <v>0</v>
      </c>
      <c r="L2296" s="187"/>
      <c r="M2296" s="187">
        <v>0</v>
      </c>
      <c r="N2296" s="187">
        <v>0</v>
      </c>
      <c r="O2296" t="s">
        <v>2754</v>
      </c>
    </row>
    <row r="2297" spans="1:15" hidden="1" x14ac:dyDescent="0.45">
      <c r="A2297" s="187">
        <v>2018</v>
      </c>
      <c r="B2297" t="s">
        <v>311</v>
      </c>
      <c r="C2297" t="s">
        <v>323</v>
      </c>
      <c r="D2297" t="s">
        <v>35</v>
      </c>
      <c r="E2297" t="s">
        <v>349</v>
      </c>
      <c r="F2297" t="s">
        <v>389</v>
      </c>
      <c r="G2297" t="s">
        <v>36</v>
      </c>
      <c r="H2297" t="s">
        <v>43</v>
      </c>
      <c r="I2297" s="187"/>
      <c r="J2297" s="187">
        <v>0</v>
      </c>
      <c r="K2297" s="187">
        <v>0</v>
      </c>
      <c r="L2297" s="187">
        <v>0</v>
      </c>
      <c r="M2297" s="187">
        <v>0</v>
      </c>
      <c r="N2297" s="187">
        <v>0</v>
      </c>
      <c r="O2297" t="s">
        <v>2757</v>
      </c>
    </row>
    <row r="2298" spans="1:15" hidden="1" x14ac:dyDescent="0.45">
      <c r="A2298" s="187">
        <v>2018</v>
      </c>
      <c r="B2298" t="s">
        <v>309</v>
      </c>
      <c r="C2298" t="s">
        <v>323</v>
      </c>
      <c r="D2298" t="s">
        <v>35</v>
      </c>
      <c r="E2298" t="s">
        <v>349</v>
      </c>
      <c r="F2298" t="s">
        <v>389</v>
      </c>
      <c r="G2298" t="s">
        <v>36</v>
      </c>
      <c r="H2298" t="s">
        <v>43</v>
      </c>
      <c r="I2298" s="187"/>
      <c r="J2298" s="187"/>
      <c r="K2298" s="187">
        <v>0</v>
      </c>
      <c r="L2298" s="187">
        <v>0</v>
      </c>
      <c r="M2298" s="187">
        <v>0</v>
      </c>
      <c r="N2298" s="187">
        <v>0</v>
      </c>
      <c r="O2298" t="s">
        <v>2758</v>
      </c>
    </row>
    <row r="2299" spans="1:15" hidden="1" x14ac:dyDescent="0.45">
      <c r="A2299" s="187">
        <v>2018</v>
      </c>
      <c r="B2299" t="s">
        <v>312</v>
      </c>
      <c r="C2299" t="s">
        <v>323</v>
      </c>
      <c r="D2299" t="s">
        <v>35</v>
      </c>
      <c r="E2299" t="s">
        <v>349</v>
      </c>
      <c r="F2299" t="s">
        <v>389</v>
      </c>
      <c r="G2299" t="s">
        <v>36</v>
      </c>
      <c r="H2299" t="s">
        <v>43</v>
      </c>
      <c r="I2299" s="187"/>
      <c r="J2299" s="187">
        <v>0</v>
      </c>
      <c r="K2299" s="187">
        <v>0</v>
      </c>
      <c r="L2299" s="187">
        <v>0</v>
      </c>
      <c r="M2299" s="187">
        <v>0</v>
      </c>
      <c r="N2299" s="187">
        <v>0</v>
      </c>
      <c r="O2299" t="s">
        <v>2759</v>
      </c>
    </row>
    <row r="2300" spans="1:15" hidden="1" x14ac:dyDescent="0.45">
      <c r="A2300" s="187">
        <v>2018</v>
      </c>
      <c r="B2300" t="s">
        <v>313</v>
      </c>
      <c r="C2300" t="s">
        <v>323</v>
      </c>
      <c r="D2300" t="s">
        <v>35</v>
      </c>
      <c r="E2300" t="s">
        <v>349</v>
      </c>
      <c r="F2300" t="s">
        <v>389</v>
      </c>
      <c r="G2300" t="s">
        <v>36</v>
      </c>
      <c r="H2300" t="s">
        <v>43</v>
      </c>
      <c r="I2300" s="187"/>
      <c r="J2300" s="187">
        <v>0</v>
      </c>
      <c r="K2300" s="187">
        <v>0</v>
      </c>
      <c r="L2300" s="187"/>
      <c r="M2300" s="187">
        <v>0</v>
      </c>
      <c r="N2300" s="187">
        <v>0</v>
      </c>
      <c r="O2300" t="s">
        <v>2755</v>
      </c>
    </row>
    <row r="2301" spans="1:15" hidden="1" x14ac:dyDescent="0.45">
      <c r="A2301" s="187">
        <v>2018</v>
      </c>
      <c r="B2301" t="s">
        <v>312</v>
      </c>
      <c r="C2301" t="s">
        <v>323</v>
      </c>
      <c r="D2301" t="s">
        <v>35</v>
      </c>
      <c r="E2301" t="s">
        <v>349</v>
      </c>
      <c r="F2301" t="s">
        <v>390</v>
      </c>
      <c r="G2301" t="s">
        <v>36</v>
      </c>
      <c r="H2301" t="s">
        <v>43</v>
      </c>
      <c r="I2301" s="187">
        <v>4179.6209175222903</v>
      </c>
      <c r="J2301" s="187">
        <v>408.06949786460228</v>
      </c>
      <c r="K2301" s="187">
        <v>3338.125037907193</v>
      </c>
      <c r="L2301" s="187">
        <v>1572.9224281326487</v>
      </c>
      <c r="M2301" s="187">
        <v>9498.73828125</v>
      </c>
      <c r="N2301" s="187">
        <v>5752.54345703125</v>
      </c>
      <c r="O2301" t="s">
        <v>2764</v>
      </c>
    </row>
    <row r="2302" spans="1:15" hidden="1" x14ac:dyDescent="0.45">
      <c r="A2302" s="187">
        <v>2018</v>
      </c>
      <c r="B2302" t="s">
        <v>313</v>
      </c>
      <c r="C2302" t="s">
        <v>323</v>
      </c>
      <c r="D2302" t="s">
        <v>35</v>
      </c>
      <c r="E2302" t="s">
        <v>349</v>
      </c>
      <c r="F2302" t="s">
        <v>390</v>
      </c>
      <c r="G2302" t="s">
        <v>36</v>
      </c>
      <c r="H2302" t="s">
        <v>43</v>
      </c>
      <c r="I2302" s="187">
        <v>4276.4739920794646</v>
      </c>
      <c r="J2302" s="187">
        <v>539.05134353942822</v>
      </c>
      <c r="K2302" s="187">
        <v>2010.0288998368915</v>
      </c>
      <c r="L2302" s="187">
        <v>2001.6773223430769</v>
      </c>
      <c r="M2302" s="187">
        <v>8827.2314453125</v>
      </c>
      <c r="N2302" s="187">
        <v>6278.1513671875</v>
      </c>
      <c r="O2302" t="s">
        <v>2765</v>
      </c>
    </row>
    <row r="2303" spans="1:15" hidden="1" x14ac:dyDescent="0.45">
      <c r="A2303" s="187">
        <v>2018</v>
      </c>
      <c r="B2303" t="s">
        <v>314</v>
      </c>
      <c r="C2303" t="s">
        <v>323</v>
      </c>
      <c r="D2303" t="s">
        <v>35</v>
      </c>
      <c r="E2303" t="s">
        <v>349</v>
      </c>
      <c r="F2303" t="s">
        <v>390</v>
      </c>
      <c r="G2303" t="s">
        <v>36</v>
      </c>
      <c r="H2303" t="s">
        <v>43</v>
      </c>
      <c r="I2303" s="187">
        <v>1844.4469240236638</v>
      </c>
      <c r="J2303" s="187">
        <v>392.54456279032922</v>
      </c>
      <c r="K2303" s="187">
        <v>3172.00042080915</v>
      </c>
      <c r="L2303" s="187">
        <v>1460.6851090180203</v>
      </c>
      <c r="M2303" s="187">
        <v>6869.6767578125</v>
      </c>
      <c r="N2303" s="187">
        <v>3305.132080078125</v>
      </c>
      <c r="O2303" t="s">
        <v>2762</v>
      </c>
    </row>
    <row r="2304" spans="1:15" hidden="1" x14ac:dyDescent="0.45">
      <c r="A2304" s="187">
        <v>2018</v>
      </c>
      <c r="B2304" t="s">
        <v>309</v>
      </c>
      <c r="C2304" t="s">
        <v>323</v>
      </c>
      <c r="D2304" t="s">
        <v>35</v>
      </c>
      <c r="E2304" t="s">
        <v>349</v>
      </c>
      <c r="F2304" t="s">
        <v>390</v>
      </c>
      <c r="G2304" t="s">
        <v>36</v>
      </c>
      <c r="H2304" t="s">
        <v>43</v>
      </c>
      <c r="I2304" s="187"/>
      <c r="J2304" s="187">
        <v>543.12088217505482</v>
      </c>
      <c r="K2304" s="187">
        <v>4219.8637985891883</v>
      </c>
      <c r="L2304" s="187">
        <v>1510.1409894623475</v>
      </c>
      <c r="M2304" s="187">
        <v>6273.1259765625</v>
      </c>
      <c r="N2304" s="187">
        <v>1510.1409912109375</v>
      </c>
      <c r="O2304" t="s">
        <v>2763</v>
      </c>
    </row>
    <row r="2305" spans="1:15" hidden="1" x14ac:dyDescent="0.45">
      <c r="A2305" s="187">
        <v>2018</v>
      </c>
      <c r="B2305" t="s">
        <v>310</v>
      </c>
      <c r="C2305" t="s">
        <v>323</v>
      </c>
      <c r="D2305" t="s">
        <v>35</v>
      </c>
      <c r="E2305" t="s">
        <v>349</v>
      </c>
      <c r="F2305" t="s">
        <v>390</v>
      </c>
      <c r="G2305" t="s">
        <v>36</v>
      </c>
      <c r="H2305" t="s">
        <v>43</v>
      </c>
      <c r="I2305" s="187"/>
      <c r="J2305" s="187">
        <v>529.62693372917545</v>
      </c>
      <c r="K2305" s="187">
        <v>3937.6434795370919</v>
      </c>
      <c r="L2305" s="187">
        <v>2924.0637625146578</v>
      </c>
      <c r="M2305" s="187">
        <v>7391.33447265625</v>
      </c>
      <c r="N2305" s="187">
        <v>2924.063720703125</v>
      </c>
      <c r="O2305" t="s">
        <v>2761</v>
      </c>
    </row>
    <row r="2306" spans="1:15" hidden="1" x14ac:dyDescent="0.45">
      <c r="A2306" s="187">
        <v>2018</v>
      </c>
      <c r="B2306" t="s">
        <v>311</v>
      </c>
      <c r="C2306" t="s">
        <v>323</v>
      </c>
      <c r="D2306" t="s">
        <v>35</v>
      </c>
      <c r="E2306" t="s">
        <v>349</v>
      </c>
      <c r="F2306" t="s">
        <v>390</v>
      </c>
      <c r="G2306" t="s">
        <v>36</v>
      </c>
      <c r="H2306" t="s">
        <v>43</v>
      </c>
      <c r="I2306" s="187"/>
      <c r="J2306" s="187">
        <v>803.43529727265252</v>
      </c>
      <c r="K2306" s="187">
        <v>4332.6595588517221</v>
      </c>
      <c r="L2306" s="187">
        <v>3026.2729530603247</v>
      </c>
      <c r="M2306" s="187">
        <v>8162.36767578125</v>
      </c>
      <c r="N2306" s="187">
        <v>3026.27294921875</v>
      </c>
      <c r="O2306" t="s">
        <v>2760</v>
      </c>
    </row>
    <row r="2307" spans="1:15" hidden="1" x14ac:dyDescent="0.45">
      <c r="A2307" s="187">
        <v>2018</v>
      </c>
      <c r="B2307" t="s">
        <v>313</v>
      </c>
      <c r="C2307" t="s">
        <v>323</v>
      </c>
      <c r="D2307" t="s">
        <v>35</v>
      </c>
      <c r="E2307" t="s">
        <v>349</v>
      </c>
      <c r="F2307" t="s">
        <v>391</v>
      </c>
      <c r="G2307" t="s">
        <v>36</v>
      </c>
      <c r="H2307" t="s">
        <v>43</v>
      </c>
      <c r="I2307" s="187">
        <v>1048.1553902155549</v>
      </c>
      <c r="J2307" s="187">
        <v>180.88167305434149</v>
      </c>
      <c r="K2307" s="187">
        <v>231.55648544582317</v>
      </c>
      <c r="L2307" s="187">
        <v>894.82523027545085</v>
      </c>
      <c r="M2307" s="187">
        <v>2355.4189453125</v>
      </c>
      <c r="N2307" s="187">
        <v>1942.9805908203125</v>
      </c>
      <c r="O2307" t="s">
        <v>2767</v>
      </c>
    </row>
    <row r="2308" spans="1:15" hidden="1" x14ac:dyDescent="0.45">
      <c r="A2308" s="187">
        <v>2018</v>
      </c>
      <c r="B2308" t="s">
        <v>309</v>
      </c>
      <c r="C2308" t="s">
        <v>323</v>
      </c>
      <c r="D2308" t="s">
        <v>35</v>
      </c>
      <c r="E2308" t="s">
        <v>349</v>
      </c>
      <c r="F2308" t="s">
        <v>391</v>
      </c>
      <c r="G2308" t="s">
        <v>36</v>
      </c>
      <c r="H2308" t="s">
        <v>43</v>
      </c>
      <c r="I2308" s="187"/>
      <c r="J2308" s="187">
        <v>0</v>
      </c>
      <c r="K2308" s="187">
        <v>110.73685992010699</v>
      </c>
      <c r="L2308" s="187">
        <v>650.42037353159003</v>
      </c>
      <c r="M2308" s="187">
        <v>761.1572265625</v>
      </c>
      <c r="N2308" s="187">
        <v>650.42034912109375</v>
      </c>
      <c r="O2308" t="s">
        <v>2771</v>
      </c>
    </row>
    <row r="2309" spans="1:15" hidden="1" x14ac:dyDescent="0.45">
      <c r="A2309" s="187">
        <v>2018</v>
      </c>
      <c r="B2309" t="s">
        <v>311</v>
      </c>
      <c r="C2309" t="s">
        <v>323</v>
      </c>
      <c r="D2309" t="s">
        <v>35</v>
      </c>
      <c r="E2309" t="s">
        <v>349</v>
      </c>
      <c r="F2309" t="s">
        <v>391</v>
      </c>
      <c r="G2309" t="s">
        <v>36</v>
      </c>
      <c r="H2309" t="s">
        <v>43</v>
      </c>
      <c r="I2309" s="187"/>
      <c r="J2309" s="187">
        <v>0</v>
      </c>
      <c r="K2309" s="187">
        <v>130.25614789739427</v>
      </c>
      <c r="L2309" s="187">
        <v>947.5435331326679</v>
      </c>
      <c r="M2309" s="187">
        <v>1077.7996826171875</v>
      </c>
      <c r="N2309" s="187">
        <v>947.54351806640625</v>
      </c>
      <c r="O2309" t="s">
        <v>2770</v>
      </c>
    </row>
    <row r="2310" spans="1:15" hidden="1" x14ac:dyDescent="0.45">
      <c r="A2310" s="187">
        <v>2018</v>
      </c>
      <c r="B2310" t="s">
        <v>310</v>
      </c>
      <c r="C2310" t="s">
        <v>323</v>
      </c>
      <c r="D2310" t="s">
        <v>35</v>
      </c>
      <c r="E2310" t="s">
        <v>349</v>
      </c>
      <c r="F2310" t="s">
        <v>391</v>
      </c>
      <c r="G2310" t="s">
        <v>36</v>
      </c>
      <c r="H2310" t="s">
        <v>43</v>
      </c>
      <c r="I2310" s="187"/>
      <c r="J2310" s="187">
        <v>0</v>
      </c>
      <c r="K2310" s="187">
        <v>109.2141129926612</v>
      </c>
      <c r="L2310" s="187">
        <v>647.32180789121446</v>
      </c>
      <c r="M2310" s="187">
        <v>756.53594970703125</v>
      </c>
      <c r="N2310" s="187">
        <v>647.32183837890625</v>
      </c>
      <c r="O2310" t="s">
        <v>2766</v>
      </c>
    </row>
    <row r="2311" spans="1:15" hidden="1" x14ac:dyDescent="0.45">
      <c r="A2311" s="187">
        <v>2018</v>
      </c>
      <c r="B2311" t="s">
        <v>312</v>
      </c>
      <c r="C2311" t="s">
        <v>323</v>
      </c>
      <c r="D2311" t="s">
        <v>35</v>
      </c>
      <c r="E2311" t="s">
        <v>349</v>
      </c>
      <c r="F2311" t="s">
        <v>391</v>
      </c>
      <c r="G2311" t="s">
        <v>36</v>
      </c>
      <c r="H2311" t="s">
        <v>43</v>
      </c>
      <c r="I2311" s="187">
        <v>945.97929050430525</v>
      </c>
      <c r="J2311" s="187">
        <v>0</v>
      </c>
      <c r="K2311" s="187">
        <v>719.30234722039609</v>
      </c>
      <c r="L2311" s="187">
        <v>435.27413105557577</v>
      </c>
      <c r="M2311" s="187">
        <v>2100.5556640625</v>
      </c>
      <c r="N2311" s="187">
        <v>1381.25341796875</v>
      </c>
      <c r="O2311" t="s">
        <v>2768</v>
      </c>
    </row>
    <row r="2312" spans="1:15" hidden="1" x14ac:dyDescent="0.45">
      <c r="A2312" s="187">
        <v>2018</v>
      </c>
      <c r="B2312" t="s">
        <v>314</v>
      </c>
      <c r="C2312" t="s">
        <v>323</v>
      </c>
      <c r="D2312" t="s">
        <v>35</v>
      </c>
      <c r="E2312" t="s">
        <v>349</v>
      </c>
      <c r="F2312" t="s">
        <v>391</v>
      </c>
      <c r="G2312" t="s">
        <v>36</v>
      </c>
      <c r="H2312" t="s">
        <v>43</v>
      </c>
      <c r="I2312" s="187">
        <v>762.57780148426104</v>
      </c>
      <c r="J2312" s="187">
        <v>11.648206610988998</v>
      </c>
      <c r="K2312" s="187">
        <v>668.24910514510805</v>
      </c>
      <c r="L2312" s="187">
        <v>591.7288958382411</v>
      </c>
      <c r="M2312" s="187">
        <v>2034.2039794921875</v>
      </c>
      <c r="N2312" s="187">
        <v>1354.3067626953125</v>
      </c>
      <c r="O2312" t="s">
        <v>2769</v>
      </c>
    </row>
    <row r="2313" spans="1:15" hidden="1" x14ac:dyDescent="0.45">
      <c r="A2313" s="187">
        <v>2018</v>
      </c>
      <c r="B2313" t="s">
        <v>309</v>
      </c>
      <c r="C2313" t="s">
        <v>323</v>
      </c>
      <c r="D2313" t="s">
        <v>35</v>
      </c>
      <c r="E2313" t="s">
        <v>349</v>
      </c>
      <c r="F2313" t="s">
        <v>392</v>
      </c>
      <c r="G2313" t="s">
        <v>36</v>
      </c>
      <c r="H2313" t="s">
        <v>43</v>
      </c>
      <c r="I2313" s="187"/>
      <c r="J2313" s="187">
        <v>0</v>
      </c>
      <c r="K2313" s="187">
        <v>1.2120100797502362</v>
      </c>
      <c r="L2313" s="187">
        <v>0</v>
      </c>
      <c r="M2313" s="187">
        <v>1.2120100259780884</v>
      </c>
      <c r="N2313" s="187">
        <v>0</v>
      </c>
      <c r="O2313" t="s">
        <v>2774</v>
      </c>
    </row>
    <row r="2314" spans="1:15" hidden="1" x14ac:dyDescent="0.45">
      <c r="A2314" s="187">
        <v>2018</v>
      </c>
      <c r="B2314" t="s">
        <v>313</v>
      </c>
      <c r="C2314" t="s">
        <v>323</v>
      </c>
      <c r="D2314" t="s">
        <v>35</v>
      </c>
      <c r="E2314" t="s">
        <v>349</v>
      </c>
      <c r="F2314" t="s">
        <v>392</v>
      </c>
      <c r="G2314" t="s">
        <v>36</v>
      </c>
      <c r="H2314" t="s">
        <v>43</v>
      </c>
      <c r="I2314" s="187">
        <v>119.78918745320628</v>
      </c>
      <c r="J2314" s="187">
        <v>0</v>
      </c>
      <c r="K2314" s="187">
        <v>0.17499611873503895</v>
      </c>
      <c r="L2314" s="187">
        <v>0</v>
      </c>
      <c r="M2314" s="187">
        <v>119.96417999267578</v>
      </c>
      <c r="N2314" s="187">
        <v>119.7891845703125</v>
      </c>
      <c r="O2314" t="s">
        <v>2772</v>
      </c>
    </row>
    <row r="2315" spans="1:15" hidden="1" x14ac:dyDescent="0.45">
      <c r="A2315" s="187">
        <v>2018</v>
      </c>
      <c r="B2315" t="s">
        <v>311</v>
      </c>
      <c r="C2315" t="s">
        <v>323</v>
      </c>
      <c r="D2315" t="s">
        <v>35</v>
      </c>
      <c r="E2315" t="s">
        <v>349</v>
      </c>
      <c r="F2315" t="s">
        <v>392</v>
      </c>
      <c r="G2315" t="s">
        <v>36</v>
      </c>
      <c r="H2315" t="s">
        <v>43</v>
      </c>
      <c r="I2315" s="187"/>
      <c r="J2315" s="187">
        <v>0</v>
      </c>
      <c r="K2315" s="187">
        <v>0.89538767257063445</v>
      </c>
      <c r="L2315" s="187">
        <v>0</v>
      </c>
      <c r="M2315" s="187">
        <v>0.89538764953613281</v>
      </c>
      <c r="N2315" s="187">
        <v>0</v>
      </c>
      <c r="O2315" t="s">
        <v>2777</v>
      </c>
    </row>
    <row r="2316" spans="1:15" hidden="1" x14ac:dyDescent="0.45">
      <c r="A2316" s="187">
        <v>2018</v>
      </c>
      <c r="B2316" t="s">
        <v>312</v>
      </c>
      <c r="C2316" t="s">
        <v>323</v>
      </c>
      <c r="D2316" t="s">
        <v>35</v>
      </c>
      <c r="E2316" t="s">
        <v>349</v>
      </c>
      <c r="F2316" t="s">
        <v>392</v>
      </c>
      <c r="G2316" t="s">
        <v>36</v>
      </c>
      <c r="H2316" t="s">
        <v>43</v>
      </c>
      <c r="I2316" s="187">
        <v>61.828711797667012</v>
      </c>
      <c r="J2316" s="187">
        <v>0</v>
      </c>
      <c r="K2316" s="187">
        <v>0.34477841259980896</v>
      </c>
      <c r="L2316" s="187">
        <v>0</v>
      </c>
      <c r="M2316" s="187">
        <v>62.173492431640625</v>
      </c>
      <c r="N2316" s="187">
        <v>61.828712463378906</v>
      </c>
      <c r="O2316" t="s">
        <v>2775</v>
      </c>
    </row>
    <row r="2317" spans="1:15" hidden="1" x14ac:dyDescent="0.45">
      <c r="A2317" s="187">
        <v>2018</v>
      </c>
      <c r="B2317" t="s">
        <v>310</v>
      </c>
      <c r="C2317" t="s">
        <v>323</v>
      </c>
      <c r="D2317" t="s">
        <v>35</v>
      </c>
      <c r="E2317" t="s">
        <v>349</v>
      </c>
      <c r="F2317" t="s">
        <v>392</v>
      </c>
      <c r="G2317" t="s">
        <v>36</v>
      </c>
      <c r="H2317" t="s">
        <v>43</v>
      </c>
      <c r="I2317" s="187"/>
      <c r="J2317" s="187">
        <v>0</v>
      </c>
      <c r="K2317" s="187">
        <v>1.1953436813504212</v>
      </c>
      <c r="L2317" s="187">
        <v>0</v>
      </c>
      <c r="M2317" s="187">
        <v>1.1953437328338623</v>
      </c>
      <c r="N2317" s="187">
        <v>0</v>
      </c>
      <c r="O2317" t="s">
        <v>2773</v>
      </c>
    </row>
    <row r="2318" spans="1:15" hidden="1" x14ac:dyDescent="0.45">
      <c r="A2318" s="187">
        <v>2018</v>
      </c>
      <c r="B2318" t="s">
        <v>314</v>
      </c>
      <c r="C2318" t="s">
        <v>323</v>
      </c>
      <c r="D2318" t="s">
        <v>35</v>
      </c>
      <c r="E2318" t="s">
        <v>349</v>
      </c>
      <c r="F2318" t="s">
        <v>392</v>
      </c>
      <c r="G2318" t="s">
        <v>36</v>
      </c>
      <c r="H2318" t="s">
        <v>43</v>
      </c>
      <c r="I2318" s="187">
        <v>0</v>
      </c>
      <c r="J2318" s="187">
        <v>0</v>
      </c>
      <c r="K2318" s="187">
        <v>0.32155111601341935</v>
      </c>
      <c r="L2318" s="187">
        <v>0</v>
      </c>
      <c r="M2318" s="187">
        <v>0.321551114320755</v>
      </c>
      <c r="N2318" s="187">
        <v>0</v>
      </c>
      <c r="O2318" t="s">
        <v>2776</v>
      </c>
    </row>
    <row r="2319" spans="1:15" hidden="1" x14ac:dyDescent="0.45">
      <c r="A2319" s="187">
        <v>2018</v>
      </c>
      <c r="B2319" t="s">
        <v>311</v>
      </c>
      <c r="C2319" t="s">
        <v>323</v>
      </c>
      <c r="D2319" t="s">
        <v>35</v>
      </c>
      <c r="E2319" t="s">
        <v>349</v>
      </c>
      <c r="F2319" t="s">
        <v>393</v>
      </c>
      <c r="G2319" t="s">
        <v>36</v>
      </c>
      <c r="H2319" t="s">
        <v>43</v>
      </c>
      <c r="I2319" s="187"/>
      <c r="J2319" s="187">
        <v>0</v>
      </c>
      <c r="K2319" s="187">
        <v>90.177549036906129</v>
      </c>
      <c r="L2319" s="187">
        <v>24.230588330445077</v>
      </c>
      <c r="M2319" s="187">
        <v>114.40814208984375</v>
      </c>
      <c r="N2319" s="187">
        <v>24.230588912963867</v>
      </c>
      <c r="O2319" t="s">
        <v>2779</v>
      </c>
    </row>
    <row r="2320" spans="1:15" hidden="1" x14ac:dyDescent="0.45">
      <c r="A2320" s="187">
        <v>2018</v>
      </c>
      <c r="B2320" t="s">
        <v>313</v>
      </c>
      <c r="C2320" t="s">
        <v>323</v>
      </c>
      <c r="D2320" t="s">
        <v>35</v>
      </c>
      <c r="E2320" t="s">
        <v>349</v>
      </c>
      <c r="F2320" t="s">
        <v>393</v>
      </c>
      <c r="G2320" t="s">
        <v>36</v>
      </c>
      <c r="H2320" t="s">
        <v>43</v>
      </c>
      <c r="I2320" s="187">
        <v>23.957837490641257</v>
      </c>
      <c r="J2320" s="187">
        <v>147.34070056744372</v>
      </c>
      <c r="K2320" s="187">
        <v>13.202452311805708</v>
      </c>
      <c r="L2320" s="187">
        <v>0</v>
      </c>
      <c r="M2320" s="187">
        <v>184.50099182128906</v>
      </c>
      <c r="N2320" s="187">
        <v>23.95783805847168</v>
      </c>
      <c r="O2320" t="s">
        <v>2778</v>
      </c>
    </row>
    <row r="2321" spans="1:15" hidden="1" x14ac:dyDescent="0.45">
      <c r="A2321" s="187">
        <v>2018</v>
      </c>
      <c r="B2321" t="s">
        <v>314</v>
      </c>
      <c r="C2321" t="s">
        <v>323</v>
      </c>
      <c r="D2321" t="s">
        <v>35</v>
      </c>
      <c r="E2321" t="s">
        <v>349</v>
      </c>
      <c r="F2321" t="s">
        <v>393</v>
      </c>
      <c r="G2321" t="s">
        <v>36</v>
      </c>
      <c r="H2321" t="s">
        <v>43</v>
      </c>
      <c r="I2321" s="187">
        <v>18.695371610637341</v>
      </c>
      <c r="J2321" s="187">
        <v>11.648206610988998</v>
      </c>
      <c r="K2321" s="187">
        <v>24.259185321720263</v>
      </c>
      <c r="L2321" s="187">
        <v>8.1537446276922978</v>
      </c>
      <c r="M2321" s="187">
        <v>62.756507873535156</v>
      </c>
      <c r="N2321" s="187">
        <v>26.849115371704102</v>
      </c>
      <c r="O2321" t="s">
        <v>2781</v>
      </c>
    </row>
    <row r="2322" spans="1:15" hidden="1" x14ac:dyDescent="0.45">
      <c r="A2322" s="187">
        <v>2018</v>
      </c>
      <c r="B2322" t="s">
        <v>310</v>
      </c>
      <c r="C2322" t="s">
        <v>323</v>
      </c>
      <c r="D2322" t="s">
        <v>35</v>
      </c>
      <c r="E2322" t="s">
        <v>349</v>
      </c>
      <c r="F2322" t="s">
        <v>393</v>
      </c>
      <c r="G2322" t="s">
        <v>36</v>
      </c>
      <c r="H2322" t="s">
        <v>43</v>
      </c>
      <c r="I2322" s="187"/>
      <c r="J2322" s="187">
        <v>0</v>
      </c>
      <c r="K2322" s="187">
        <v>76.072560511717555</v>
      </c>
      <c r="L2322" s="187">
        <v>13.077208240226556</v>
      </c>
      <c r="M2322" s="187">
        <v>89.149772644042969</v>
      </c>
      <c r="N2322" s="187">
        <v>13.077208518981934</v>
      </c>
      <c r="O2322" t="s">
        <v>2782</v>
      </c>
    </row>
    <row r="2323" spans="1:15" hidden="1" x14ac:dyDescent="0.45">
      <c r="A2323" s="187">
        <v>2018</v>
      </c>
      <c r="B2323" t="s">
        <v>309</v>
      </c>
      <c r="C2323" t="s">
        <v>323</v>
      </c>
      <c r="D2323" t="s">
        <v>35</v>
      </c>
      <c r="E2323" t="s">
        <v>349</v>
      </c>
      <c r="F2323" t="s">
        <v>393</v>
      </c>
      <c r="G2323" t="s">
        <v>36</v>
      </c>
      <c r="H2323" t="s">
        <v>43</v>
      </c>
      <c r="I2323" s="187"/>
      <c r="J2323" s="187">
        <v>0</v>
      </c>
      <c r="K2323" s="187">
        <v>77.133222495850831</v>
      </c>
      <c r="L2323" s="187">
        <v>13.246850784757434</v>
      </c>
      <c r="M2323" s="187">
        <v>90.380073547363281</v>
      </c>
      <c r="N2323" s="187">
        <v>13.246850967407227</v>
      </c>
      <c r="O2323" t="s">
        <v>2780</v>
      </c>
    </row>
    <row r="2324" spans="1:15" hidden="1" x14ac:dyDescent="0.45">
      <c r="A2324" s="187">
        <v>2018</v>
      </c>
      <c r="B2324" t="s">
        <v>312</v>
      </c>
      <c r="C2324" t="s">
        <v>323</v>
      </c>
      <c r="D2324" t="s">
        <v>35</v>
      </c>
      <c r="E2324" t="s">
        <v>349</v>
      </c>
      <c r="F2324" t="s">
        <v>393</v>
      </c>
      <c r="G2324" t="s">
        <v>36</v>
      </c>
      <c r="H2324" t="s">
        <v>43</v>
      </c>
      <c r="I2324" s="187">
        <v>24.731484719066806</v>
      </c>
      <c r="J2324" s="187">
        <v>0</v>
      </c>
      <c r="K2324" s="187">
        <v>31.908611128562963</v>
      </c>
      <c r="L2324" s="187">
        <v>0</v>
      </c>
      <c r="M2324" s="187">
        <v>56.640094757080078</v>
      </c>
      <c r="N2324" s="187">
        <v>24.731485366821289</v>
      </c>
      <c r="O2324" t="s">
        <v>2783</v>
      </c>
    </row>
    <row r="2325" spans="1:15" hidden="1" x14ac:dyDescent="0.45">
      <c r="A2325" s="187">
        <v>2018</v>
      </c>
      <c r="B2325" t="s">
        <v>312</v>
      </c>
      <c r="C2325" t="s">
        <v>323</v>
      </c>
      <c r="D2325" t="s">
        <v>35</v>
      </c>
      <c r="E2325" t="s">
        <v>349</v>
      </c>
      <c r="F2325" t="s">
        <v>394</v>
      </c>
      <c r="G2325" t="s">
        <v>36</v>
      </c>
      <c r="H2325" t="s">
        <v>43</v>
      </c>
      <c r="I2325" s="187">
        <v>185.48613539300104</v>
      </c>
      <c r="J2325" s="187">
        <v>0</v>
      </c>
      <c r="K2325" s="187">
        <v>13.7708298242431</v>
      </c>
      <c r="L2325" s="187">
        <v>0</v>
      </c>
      <c r="M2325" s="187">
        <v>199.2569580078125</v>
      </c>
      <c r="N2325" s="187">
        <v>185.48612976074219</v>
      </c>
      <c r="O2325" t="s">
        <v>2785</v>
      </c>
    </row>
    <row r="2326" spans="1:15" hidden="1" x14ac:dyDescent="0.45">
      <c r="A2326" s="187">
        <v>2018</v>
      </c>
      <c r="B2326" t="s">
        <v>311</v>
      </c>
      <c r="C2326" t="s">
        <v>323</v>
      </c>
      <c r="D2326" t="s">
        <v>35</v>
      </c>
      <c r="E2326" t="s">
        <v>349</v>
      </c>
      <c r="F2326" t="s">
        <v>394</v>
      </c>
      <c r="G2326" t="s">
        <v>36</v>
      </c>
      <c r="H2326" t="s">
        <v>43</v>
      </c>
      <c r="I2326" s="187"/>
      <c r="J2326" s="187">
        <v>0</v>
      </c>
      <c r="K2326" s="187">
        <v>39.042732621019496</v>
      </c>
      <c r="L2326" s="187">
        <v>0</v>
      </c>
      <c r="M2326" s="187">
        <v>39.042732238769531</v>
      </c>
      <c r="N2326" s="187">
        <v>0</v>
      </c>
      <c r="O2326" t="s">
        <v>2786</v>
      </c>
    </row>
    <row r="2327" spans="1:15" hidden="1" x14ac:dyDescent="0.45">
      <c r="A2327" s="187">
        <v>2018</v>
      </c>
      <c r="B2327" t="s">
        <v>310</v>
      </c>
      <c r="C2327" t="s">
        <v>323</v>
      </c>
      <c r="D2327" t="s">
        <v>35</v>
      </c>
      <c r="E2327" t="s">
        <v>349</v>
      </c>
      <c r="F2327" t="s">
        <v>394</v>
      </c>
      <c r="G2327" t="s">
        <v>36</v>
      </c>
      <c r="H2327" t="s">
        <v>43</v>
      </c>
      <c r="I2327" s="187"/>
      <c r="J2327" s="187">
        <v>0</v>
      </c>
      <c r="K2327" s="187">
        <v>31.885679374695194</v>
      </c>
      <c r="L2327" s="187">
        <v>0</v>
      </c>
      <c r="M2327" s="187">
        <v>31.885679244995117</v>
      </c>
      <c r="N2327" s="187">
        <v>0</v>
      </c>
      <c r="O2327" t="s">
        <v>2787</v>
      </c>
    </row>
    <row r="2328" spans="1:15" hidden="1" x14ac:dyDescent="0.45">
      <c r="A2328" s="187">
        <v>2018</v>
      </c>
      <c r="B2328" t="s">
        <v>309</v>
      </c>
      <c r="C2328" t="s">
        <v>323</v>
      </c>
      <c r="D2328" t="s">
        <v>35</v>
      </c>
      <c r="E2328" t="s">
        <v>349</v>
      </c>
      <c r="F2328" t="s">
        <v>394</v>
      </c>
      <c r="G2328" t="s">
        <v>36</v>
      </c>
      <c r="H2328" t="s">
        <v>43</v>
      </c>
      <c r="I2328" s="187"/>
      <c r="J2328" s="187">
        <v>0</v>
      </c>
      <c r="K2328" s="187">
        <v>32.33025397194163</v>
      </c>
      <c r="L2328" s="187">
        <v>0</v>
      </c>
      <c r="M2328" s="187">
        <v>32.330253601074219</v>
      </c>
      <c r="N2328" s="187">
        <v>0</v>
      </c>
      <c r="O2328" t="s">
        <v>2788</v>
      </c>
    </row>
    <row r="2329" spans="1:15" hidden="1" x14ac:dyDescent="0.45">
      <c r="A2329" s="187">
        <v>2018</v>
      </c>
      <c r="B2329" t="s">
        <v>313</v>
      </c>
      <c r="C2329" t="s">
        <v>323</v>
      </c>
      <c r="D2329" t="s">
        <v>35</v>
      </c>
      <c r="E2329" t="s">
        <v>349</v>
      </c>
      <c r="F2329" t="s">
        <v>394</v>
      </c>
      <c r="G2329" t="s">
        <v>36</v>
      </c>
      <c r="H2329" t="s">
        <v>43</v>
      </c>
      <c r="I2329" s="187">
        <v>0</v>
      </c>
      <c r="J2329" s="187">
        <v>33.540972486897758</v>
      </c>
      <c r="K2329" s="187">
        <v>5.6851408661043701</v>
      </c>
      <c r="L2329" s="187">
        <v>0</v>
      </c>
      <c r="M2329" s="187">
        <v>39.226116180419922</v>
      </c>
      <c r="N2329" s="187">
        <v>0</v>
      </c>
      <c r="O2329" t="s">
        <v>2784</v>
      </c>
    </row>
    <row r="2330" spans="1:15" hidden="1" x14ac:dyDescent="0.45">
      <c r="A2330" s="187">
        <v>2018</v>
      </c>
      <c r="B2330" t="s">
        <v>314</v>
      </c>
      <c r="C2330" t="s">
        <v>323</v>
      </c>
      <c r="D2330" t="s">
        <v>35</v>
      </c>
      <c r="E2330" t="s">
        <v>349</v>
      </c>
      <c r="F2330" t="s">
        <v>394</v>
      </c>
      <c r="G2330" t="s">
        <v>36</v>
      </c>
      <c r="H2330" t="s">
        <v>43</v>
      </c>
      <c r="I2330" s="187">
        <v>0</v>
      </c>
      <c r="J2330" s="187">
        <v>0</v>
      </c>
      <c r="K2330" s="187">
        <v>10.446308200453418</v>
      </c>
      <c r="L2330" s="187">
        <v>0</v>
      </c>
      <c r="M2330" s="187">
        <v>10.446308135986328</v>
      </c>
      <c r="N2330" s="187">
        <v>0</v>
      </c>
      <c r="O2330" t="s">
        <v>2789</v>
      </c>
    </row>
    <row r="2331" spans="1:15" hidden="1" x14ac:dyDescent="0.45">
      <c r="A2331" s="187">
        <v>2018</v>
      </c>
      <c r="B2331" t="s">
        <v>311</v>
      </c>
      <c r="C2331" t="s">
        <v>323</v>
      </c>
      <c r="D2331" t="s">
        <v>35</v>
      </c>
      <c r="E2331" t="s">
        <v>349</v>
      </c>
      <c r="F2331" t="s">
        <v>395</v>
      </c>
      <c r="G2331" t="s">
        <v>36</v>
      </c>
      <c r="H2331" t="s">
        <v>43</v>
      </c>
      <c r="I2331" s="187"/>
      <c r="J2331" s="187">
        <v>0</v>
      </c>
      <c r="K2331" s="187">
        <v>0.14047856689798779</v>
      </c>
      <c r="L2331" s="187">
        <v>246.13176567241575</v>
      </c>
      <c r="M2331" s="187">
        <v>246.27224731445313</v>
      </c>
      <c r="N2331" s="187">
        <v>246.13175964355469</v>
      </c>
      <c r="O2331" t="s">
        <v>2794</v>
      </c>
    </row>
    <row r="2332" spans="1:15" hidden="1" x14ac:dyDescent="0.45">
      <c r="A2332" s="187">
        <v>2018</v>
      </c>
      <c r="B2332" t="s">
        <v>309</v>
      </c>
      <c r="C2332" t="s">
        <v>323</v>
      </c>
      <c r="D2332" t="s">
        <v>35</v>
      </c>
      <c r="E2332" t="s">
        <v>349</v>
      </c>
      <c r="F2332" t="s">
        <v>395</v>
      </c>
      <c r="G2332" t="s">
        <v>36</v>
      </c>
      <c r="H2332" t="s">
        <v>43</v>
      </c>
      <c r="I2332" s="187"/>
      <c r="J2332" s="187">
        <v>0</v>
      </c>
      <c r="K2332" s="187">
        <v>6.1373372564298853E-2</v>
      </c>
      <c r="L2332" s="187">
        <v>127.16976753367138</v>
      </c>
      <c r="M2332" s="187">
        <v>127.23114013671875</v>
      </c>
      <c r="N2332" s="187">
        <v>127.16976928710938</v>
      </c>
      <c r="O2332" t="s">
        <v>2791</v>
      </c>
    </row>
    <row r="2333" spans="1:15" hidden="1" x14ac:dyDescent="0.45">
      <c r="A2333" s="187">
        <v>2018</v>
      </c>
      <c r="B2333" t="s">
        <v>314</v>
      </c>
      <c r="C2333" t="s">
        <v>323</v>
      </c>
      <c r="D2333" t="s">
        <v>35</v>
      </c>
      <c r="E2333" t="s">
        <v>349</v>
      </c>
      <c r="F2333" t="s">
        <v>395</v>
      </c>
      <c r="G2333" t="s">
        <v>36</v>
      </c>
      <c r="H2333" t="s">
        <v>43</v>
      </c>
      <c r="I2333" s="187">
        <v>0</v>
      </c>
      <c r="J2333" s="187">
        <v>0</v>
      </c>
      <c r="K2333" s="187">
        <v>5.1288374783873165E-2</v>
      </c>
      <c r="L2333" s="187">
        <v>0</v>
      </c>
      <c r="M2333" s="187">
        <v>5.128837376832962E-2</v>
      </c>
      <c r="N2333" s="187">
        <v>0</v>
      </c>
      <c r="O2333" t="s">
        <v>2790</v>
      </c>
    </row>
    <row r="2334" spans="1:15" hidden="1" x14ac:dyDescent="0.45">
      <c r="A2334" s="187">
        <v>2018</v>
      </c>
      <c r="B2334" t="s">
        <v>312</v>
      </c>
      <c r="C2334" t="s">
        <v>323</v>
      </c>
      <c r="D2334" t="s">
        <v>35</v>
      </c>
      <c r="E2334" t="s">
        <v>349</v>
      </c>
      <c r="F2334" t="s">
        <v>395</v>
      </c>
      <c r="G2334" t="s">
        <v>36</v>
      </c>
      <c r="H2334" t="s">
        <v>43</v>
      </c>
      <c r="I2334" s="187">
        <v>0</v>
      </c>
      <c r="J2334" s="187">
        <v>0</v>
      </c>
      <c r="K2334" s="187">
        <v>5.3377558198035219E-2</v>
      </c>
      <c r="L2334" s="187">
        <v>60.59213756171367</v>
      </c>
      <c r="M2334" s="187">
        <v>60.645515441894531</v>
      </c>
      <c r="N2334" s="187">
        <v>60.592136383056641</v>
      </c>
      <c r="O2334" t="s">
        <v>2793</v>
      </c>
    </row>
    <row r="2335" spans="1:15" hidden="1" x14ac:dyDescent="0.45">
      <c r="A2335" s="187">
        <v>2018</v>
      </c>
      <c r="B2335" t="s">
        <v>310</v>
      </c>
      <c r="C2335" t="s">
        <v>323</v>
      </c>
      <c r="D2335" t="s">
        <v>35</v>
      </c>
      <c r="E2335" t="s">
        <v>349</v>
      </c>
      <c r="F2335" t="s">
        <v>395</v>
      </c>
      <c r="G2335" t="s">
        <v>36</v>
      </c>
      <c r="H2335" t="s">
        <v>43</v>
      </c>
      <c r="I2335" s="187"/>
      <c r="J2335" s="187">
        <v>0</v>
      </c>
      <c r="K2335" s="187">
        <v>6.0529424898032119E-2</v>
      </c>
      <c r="L2335" s="187">
        <v>126.84891993019758</v>
      </c>
      <c r="M2335" s="187">
        <v>126.90944671630859</v>
      </c>
      <c r="N2335" s="187">
        <v>126.84892272949219</v>
      </c>
      <c r="O2335" t="s">
        <v>2795</v>
      </c>
    </row>
    <row r="2336" spans="1:15" hidden="1" x14ac:dyDescent="0.45">
      <c r="A2336" s="187">
        <v>2018</v>
      </c>
      <c r="B2336" t="s">
        <v>313</v>
      </c>
      <c r="C2336" t="s">
        <v>323</v>
      </c>
      <c r="D2336" t="s">
        <v>35</v>
      </c>
      <c r="E2336" t="s">
        <v>349</v>
      </c>
      <c r="F2336" t="s">
        <v>395</v>
      </c>
      <c r="G2336" t="s">
        <v>36</v>
      </c>
      <c r="H2336" t="s">
        <v>43</v>
      </c>
      <c r="I2336" s="187">
        <v>0</v>
      </c>
      <c r="J2336" s="187">
        <v>0</v>
      </c>
      <c r="K2336" s="187">
        <v>2.7912409804950807E-2</v>
      </c>
      <c r="L2336" s="187">
        <v>294.68140113488744</v>
      </c>
      <c r="M2336" s="187">
        <v>294.70932006835938</v>
      </c>
      <c r="N2336" s="187">
        <v>294.681396484375</v>
      </c>
      <c r="O2336" t="s">
        <v>2792</v>
      </c>
    </row>
    <row r="2337" spans="1:15" hidden="1" x14ac:dyDescent="0.45">
      <c r="A2337" s="187">
        <v>2018</v>
      </c>
      <c r="B2337" t="s">
        <v>312</v>
      </c>
      <c r="C2337" t="s">
        <v>323</v>
      </c>
      <c r="D2337" t="s">
        <v>35</v>
      </c>
      <c r="E2337" t="s">
        <v>349</v>
      </c>
      <c r="F2337" t="s">
        <v>396</v>
      </c>
      <c r="G2337" t="s">
        <v>36</v>
      </c>
      <c r="H2337" t="s">
        <v>43</v>
      </c>
      <c r="I2337" s="187">
        <v>673.93295859457044</v>
      </c>
      <c r="J2337" s="187">
        <v>0</v>
      </c>
      <c r="K2337" s="187">
        <v>673.22475029679219</v>
      </c>
      <c r="L2337" s="187">
        <v>374.68199349386208</v>
      </c>
      <c r="M2337" s="187">
        <v>1721.8397216796875</v>
      </c>
      <c r="N2337" s="187">
        <v>1048.614990234375</v>
      </c>
      <c r="O2337" t="s">
        <v>2799</v>
      </c>
    </row>
    <row r="2338" spans="1:15" hidden="1" x14ac:dyDescent="0.45">
      <c r="A2338" s="187">
        <v>2018</v>
      </c>
      <c r="B2338" t="s">
        <v>310</v>
      </c>
      <c r="C2338" t="s">
        <v>323</v>
      </c>
      <c r="D2338" t="s">
        <v>35</v>
      </c>
      <c r="E2338" t="s">
        <v>349</v>
      </c>
      <c r="F2338" t="s">
        <v>396</v>
      </c>
      <c r="G2338" t="s">
        <v>36</v>
      </c>
      <c r="H2338" t="s">
        <v>43</v>
      </c>
      <c r="I2338" s="187"/>
      <c r="J2338" s="187">
        <v>0</v>
      </c>
      <c r="K2338" s="187">
        <v>0</v>
      </c>
      <c r="L2338" s="187">
        <v>507.39567972079033</v>
      </c>
      <c r="M2338" s="187">
        <v>507.39569091796875</v>
      </c>
      <c r="N2338" s="187">
        <v>507.39569091796875</v>
      </c>
      <c r="O2338" t="s">
        <v>2801</v>
      </c>
    </row>
    <row r="2339" spans="1:15" hidden="1" x14ac:dyDescent="0.45">
      <c r="A2339" s="187">
        <v>2018</v>
      </c>
      <c r="B2339" t="s">
        <v>309</v>
      </c>
      <c r="C2339" t="s">
        <v>323</v>
      </c>
      <c r="D2339" t="s">
        <v>35</v>
      </c>
      <c r="E2339" t="s">
        <v>349</v>
      </c>
      <c r="F2339" t="s">
        <v>396</v>
      </c>
      <c r="G2339" t="s">
        <v>36</v>
      </c>
      <c r="H2339" t="s">
        <v>43</v>
      </c>
      <c r="I2339" s="187"/>
      <c r="J2339" s="187">
        <v>0</v>
      </c>
      <c r="K2339" s="187">
        <v>0</v>
      </c>
      <c r="L2339" s="187">
        <v>510.00375521316124</v>
      </c>
      <c r="M2339" s="187">
        <v>510.00375366210938</v>
      </c>
      <c r="N2339" s="187">
        <v>510.00375366210938</v>
      </c>
      <c r="O2339" t="s">
        <v>2800</v>
      </c>
    </row>
    <row r="2340" spans="1:15" hidden="1" x14ac:dyDescent="0.45">
      <c r="A2340" s="187">
        <v>2018</v>
      </c>
      <c r="B2340" t="s">
        <v>313</v>
      </c>
      <c r="C2340" t="s">
        <v>323</v>
      </c>
      <c r="D2340" t="s">
        <v>35</v>
      </c>
      <c r="E2340" t="s">
        <v>349</v>
      </c>
      <c r="F2340" t="s">
        <v>396</v>
      </c>
      <c r="G2340" t="s">
        <v>36</v>
      </c>
      <c r="H2340" t="s">
        <v>43</v>
      </c>
      <c r="I2340" s="187">
        <v>904.40836527170745</v>
      </c>
      <c r="J2340" s="187">
        <v>0</v>
      </c>
      <c r="K2340" s="187">
        <v>212.46598373937309</v>
      </c>
      <c r="L2340" s="187">
        <v>600.14382914056341</v>
      </c>
      <c r="M2340" s="187">
        <v>1717.0181884765625</v>
      </c>
      <c r="N2340" s="187">
        <v>1504.55224609375</v>
      </c>
      <c r="O2340" t="s">
        <v>2796</v>
      </c>
    </row>
    <row r="2341" spans="1:15" hidden="1" x14ac:dyDescent="0.45">
      <c r="A2341" s="187">
        <v>2018</v>
      </c>
      <c r="B2341" t="s">
        <v>311</v>
      </c>
      <c r="C2341" t="s">
        <v>323</v>
      </c>
      <c r="D2341" t="s">
        <v>35</v>
      </c>
      <c r="E2341" t="s">
        <v>349</v>
      </c>
      <c r="F2341" t="s">
        <v>396</v>
      </c>
      <c r="G2341" t="s">
        <v>36</v>
      </c>
      <c r="H2341" t="s">
        <v>43</v>
      </c>
      <c r="I2341" s="187"/>
      <c r="J2341" s="187">
        <v>0</v>
      </c>
      <c r="K2341" s="187">
        <v>0</v>
      </c>
      <c r="L2341" s="187">
        <v>677.18117912980711</v>
      </c>
      <c r="M2341" s="187">
        <v>677.18115234375</v>
      </c>
      <c r="N2341" s="187">
        <v>677.18115234375</v>
      </c>
      <c r="O2341" t="s">
        <v>2797</v>
      </c>
    </row>
    <row r="2342" spans="1:15" hidden="1" x14ac:dyDescent="0.45">
      <c r="A2342" s="187">
        <v>2018</v>
      </c>
      <c r="B2342" t="s">
        <v>314</v>
      </c>
      <c r="C2342" t="s">
        <v>323</v>
      </c>
      <c r="D2342" t="s">
        <v>35</v>
      </c>
      <c r="E2342" t="s">
        <v>349</v>
      </c>
      <c r="F2342" t="s">
        <v>396</v>
      </c>
      <c r="G2342" t="s">
        <v>36</v>
      </c>
      <c r="H2342" t="s">
        <v>43</v>
      </c>
      <c r="I2342" s="187">
        <v>743.88242987362378</v>
      </c>
      <c r="J2342" s="187">
        <v>0</v>
      </c>
      <c r="K2342" s="187">
        <v>633.17077213213702</v>
      </c>
      <c r="L2342" s="187">
        <v>583.57515121054882</v>
      </c>
      <c r="M2342" s="187">
        <v>1960.62841796875</v>
      </c>
      <c r="N2342" s="187">
        <v>1327.4576416015625</v>
      </c>
      <c r="O2342" t="s">
        <v>2798</v>
      </c>
    </row>
    <row r="2343" spans="1:15" hidden="1" x14ac:dyDescent="0.45">
      <c r="A2343" s="187">
        <v>2018</v>
      </c>
      <c r="B2343" t="s">
        <v>312</v>
      </c>
      <c r="C2343" t="s">
        <v>323</v>
      </c>
      <c r="D2343" t="s">
        <v>35</v>
      </c>
      <c r="E2343" t="s">
        <v>349</v>
      </c>
      <c r="F2343" t="s">
        <v>397</v>
      </c>
      <c r="G2343" t="s">
        <v>36</v>
      </c>
      <c r="H2343" t="s">
        <v>43</v>
      </c>
      <c r="I2343" s="187">
        <v>0</v>
      </c>
      <c r="J2343" s="187">
        <v>0</v>
      </c>
      <c r="K2343" s="187">
        <v>8.1655525370237972E-2</v>
      </c>
      <c r="L2343" s="187">
        <v>0</v>
      </c>
      <c r="M2343" s="187">
        <v>8.1655524671077728E-2</v>
      </c>
      <c r="N2343" s="187">
        <v>0</v>
      </c>
      <c r="O2343" t="s">
        <v>2802</v>
      </c>
    </row>
    <row r="2344" spans="1:15" hidden="1" x14ac:dyDescent="0.45">
      <c r="A2344" s="187">
        <v>2018</v>
      </c>
      <c r="B2344" t="s">
        <v>310</v>
      </c>
      <c r="C2344" t="s">
        <v>323</v>
      </c>
      <c r="D2344" t="s">
        <v>35</v>
      </c>
      <c r="E2344" t="s">
        <v>349</v>
      </c>
      <c r="F2344" t="s">
        <v>397</v>
      </c>
      <c r="G2344" t="s">
        <v>36</v>
      </c>
      <c r="H2344" t="s">
        <v>43</v>
      </c>
      <c r="I2344" s="187"/>
      <c r="J2344" s="187">
        <v>0</v>
      </c>
      <c r="K2344" s="187">
        <v>0.30100694622663093</v>
      </c>
      <c r="L2344" s="187">
        <v>0</v>
      </c>
      <c r="M2344" s="187">
        <v>0.30100694298744202</v>
      </c>
      <c r="N2344" s="187">
        <v>0</v>
      </c>
      <c r="O2344" t="s">
        <v>2805</v>
      </c>
    </row>
    <row r="2345" spans="1:15" hidden="1" x14ac:dyDescent="0.45">
      <c r="A2345" s="187">
        <v>2018</v>
      </c>
      <c r="B2345" t="s">
        <v>311</v>
      </c>
      <c r="C2345" t="s">
        <v>323</v>
      </c>
      <c r="D2345" t="s">
        <v>35</v>
      </c>
      <c r="E2345" t="s">
        <v>349</v>
      </c>
      <c r="F2345" t="s">
        <v>397</v>
      </c>
      <c r="G2345" t="s">
        <v>36</v>
      </c>
      <c r="H2345" t="s">
        <v>43</v>
      </c>
      <c r="I2345" s="187"/>
      <c r="J2345" s="187">
        <v>0</v>
      </c>
      <c r="K2345" s="187">
        <v>0.2148440005127345</v>
      </c>
      <c r="L2345" s="187">
        <v>0</v>
      </c>
      <c r="M2345" s="187">
        <v>0.2148440033197403</v>
      </c>
      <c r="N2345" s="187">
        <v>0</v>
      </c>
      <c r="O2345" t="s">
        <v>2803</v>
      </c>
    </row>
    <row r="2346" spans="1:15" hidden="1" x14ac:dyDescent="0.45">
      <c r="A2346" s="187">
        <v>2018</v>
      </c>
      <c r="B2346" t="s">
        <v>309</v>
      </c>
      <c r="C2346" t="s">
        <v>323</v>
      </c>
      <c r="D2346" t="s">
        <v>35</v>
      </c>
      <c r="E2346" t="s">
        <v>349</v>
      </c>
      <c r="F2346" t="s">
        <v>397</v>
      </c>
      <c r="G2346" t="s">
        <v>36</v>
      </c>
      <c r="H2346" t="s">
        <v>43</v>
      </c>
      <c r="I2346" s="187"/>
      <c r="J2346" s="187"/>
      <c r="K2346" s="187">
        <v>0.30520381593464418</v>
      </c>
      <c r="L2346" s="187">
        <v>0</v>
      </c>
      <c r="M2346" s="187">
        <v>0.30520382523536682</v>
      </c>
      <c r="N2346" s="187">
        <v>0</v>
      </c>
      <c r="O2346" t="s">
        <v>2806</v>
      </c>
    </row>
    <row r="2347" spans="1:15" hidden="1" x14ac:dyDescent="0.45">
      <c r="A2347" s="187">
        <v>2018</v>
      </c>
      <c r="B2347" t="s">
        <v>314</v>
      </c>
      <c r="C2347" t="s">
        <v>323</v>
      </c>
      <c r="D2347" t="s">
        <v>35</v>
      </c>
      <c r="E2347" t="s">
        <v>349</v>
      </c>
      <c r="F2347" t="s">
        <v>397</v>
      </c>
      <c r="G2347" t="s">
        <v>36</v>
      </c>
      <c r="H2347" t="s">
        <v>43</v>
      </c>
      <c r="I2347" s="187">
        <v>0</v>
      </c>
      <c r="J2347" s="187">
        <v>0</v>
      </c>
      <c r="K2347" s="187">
        <v>6.4583080045267749E-2</v>
      </c>
      <c r="L2347" s="187"/>
      <c r="M2347" s="187">
        <v>6.4583078026771545E-2</v>
      </c>
      <c r="N2347" s="187">
        <v>0</v>
      </c>
      <c r="O2347" t="s">
        <v>2807</v>
      </c>
    </row>
    <row r="2348" spans="1:15" hidden="1" x14ac:dyDescent="0.45">
      <c r="A2348" s="187">
        <v>2018</v>
      </c>
      <c r="B2348" t="s">
        <v>313</v>
      </c>
      <c r="C2348" t="s">
        <v>323</v>
      </c>
      <c r="D2348" t="s">
        <v>35</v>
      </c>
      <c r="E2348" t="s">
        <v>349</v>
      </c>
      <c r="F2348" t="s">
        <v>397</v>
      </c>
      <c r="G2348" t="s">
        <v>36</v>
      </c>
      <c r="H2348" t="s">
        <v>43</v>
      </c>
      <c r="I2348" s="187">
        <v>0</v>
      </c>
      <c r="J2348" s="187">
        <v>0</v>
      </c>
      <c r="K2348" s="187">
        <v>3.5147719230445927E-2</v>
      </c>
      <c r="L2348" s="187">
        <v>0</v>
      </c>
      <c r="M2348" s="187">
        <v>3.5147719085216522E-2</v>
      </c>
      <c r="N2348" s="187">
        <v>0</v>
      </c>
      <c r="O2348" t="s">
        <v>2804</v>
      </c>
    </row>
    <row r="2349" spans="1:15" hidden="1" x14ac:dyDescent="0.45">
      <c r="A2349" s="187">
        <v>2018</v>
      </c>
      <c r="B2349" t="s">
        <v>310</v>
      </c>
      <c r="C2349" t="s">
        <v>323</v>
      </c>
      <c r="D2349" t="s">
        <v>35</v>
      </c>
      <c r="E2349" t="s">
        <v>349</v>
      </c>
      <c r="F2349" t="s">
        <v>398</v>
      </c>
      <c r="G2349" t="s">
        <v>36</v>
      </c>
      <c r="H2349" t="s">
        <v>43</v>
      </c>
      <c r="I2349" s="187"/>
      <c r="J2349" s="187">
        <v>529.62693372917545</v>
      </c>
      <c r="K2349" s="187">
        <v>27.501886821062218</v>
      </c>
      <c r="L2349" s="187">
        <v>0</v>
      </c>
      <c r="M2349" s="187">
        <v>557.12884521484375</v>
      </c>
      <c r="N2349" s="187">
        <v>0</v>
      </c>
      <c r="O2349" t="s">
        <v>2808</v>
      </c>
    </row>
    <row r="2350" spans="1:15" hidden="1" x14ac:dyDescent="0.45">
      <c r="A2350" s="187">
        <v>2018</v>
      </c>
      <c r="B2350" t="s">
        <v>309</v>
      </c>
      <c r="C2350" t="s">
        <v>323</v>
      </c>
      <c r="D2350" t="s">
        <v>35</v>
      </c>
      <c r="E2350" t="s">
        <v>349</v>
      </c>
      <c r="F2350" t="s">
        <v>398</v>
      </c>
      <c r="G2350" t="s">
        <v>36</v>
      </c>
      <c r="H2350" t="s">
        <v>43</v>
      </c>
      <c r="I2350" s="187"/>
      <c r="J2350" s="187">
        <v>543.12088217505482</v>
      </c>
      <c r="K2350" s="187">
        <v>27.885339220282358</v>
      </c>
      <c r="L2350" s="187">
        <v>0</v>
      </c>
      <c r="M2350" s="187">
        <v>571.0062255859375</v>
      </c>
      <c r="N2350" s="187">
        <v>0</v>
      </c>
      <c r="O2350" t="s">
        <v>2813</v>
      </c>
    </row>
    <row r="2351" spans="1:15" hidden="1" x14ac:dyDescent="0.45">
      <c r="A2351" s="187">
        <v>2018</v>
      </c>
      <c r="B2351" t="s">
        <v>312</v>
      </c>
      <c r="C2351" t="s">
        <v>323</v>
      </c>
      <c r="D2351" t="s">
        <v>35</v>
      </c>
      <c r="E2351" t="s">
        <v>349</v>
      </c>
      <c r="F2351" t="s">
        <v>398</v>
      </c>
      <c r="G2351" t="s">
        <v>36</v>
      </c>
      <c r="H2351" t="s">
        <v>43</v>
      </c>
      <c r="I2351" s="187">
        <v>0</v>
      </c>
      <c r="J2351" s="187">
        <v>408.06949786460228</v>
      </c>
      <c r="K2351" s="187">
        <v>10.912778315277347</v>
      </c>
      <c r="L2351" s="187">
        <v>0</v>
      </c>
      <c r="M2351" s="187">
        <v>418.98226928710938</v>
      </c>
      <c r="N2351" s="187">
        <v>0</v>
      </c>
      <c r="O2351" t="s">
        <v>2812</v>
      </c>
    </row>
    <row r="2352" spans="1:15" hidden="1" x14ac:dyDescent="0.45">
      <c r="A2352" s="187">
        <v>2018</v>
      </c>
      <c r="B2352" t="s">
        <v>311</v>
      </c>
      <c r="C2352" t="s">
        <v>323</v>
      </c>
      <c r="D2352" t="s">
        <v>35</v>
      </c>
      <c r="E2352" t="s">
        <v>349</v>
      </c>
      <c r="F2352" t="s">
        <v>398</v>
      </c>
      <c r="G2352" t="s">
        <v>36</v>
      </c>
      <c r="H2352" t="s">
        <v>43</v>
      </c>
      <c r="I2352" s="187"/>
      <c r="J2352" s="187">
        <v>803.43529727265252</v>
      </c>
      <c r="K2352" s="187">
        <v>31.254341290305142</v>
      </c>
      <c r="L2352" s="187">
        <v>0</v>
      </c>
      <c r="M2352" s="187">
        <v>834.68963623046875</v>
      </c>
      <c r="N2352" s="187">
        <v>0</v>
      </c>
      <c r="O2352" t="s">
        <v>2810</v>
      </c>
    </row>
    <row r="2353" spans="1:15" hidden="1" x14ac:dyDescent="0.45">
      <c r="A2353" s="187">
        <v>2018</v>
      </c>
      <c r="B2353" t="s">
        <v>313</v>
      </c>
      <c r="C2353" t="s">
        <v>323</v>
      </c>
      <c r="D2353" t="s">
        <v>35</v>
      </c>
      <c r="E2353" t="s">
        <v>349</v>
      </c>
      <c r="F2353" t="s">
        <v>398</v>
      </c>
      <c r="G2353" t="s">
        <v>36</v>
      </c>
      <c r="H2353" t="s">
        <v>43</v>
      </c>
      <c r="I2353" s="187">
        <v>0</v>
      </c>
      <c r="J2353" s="187">
        <v>287.49404988769504</v>
      </c>
      <c r="K2353" s="187">
        <v>3.8342998621734909</v>
      </c>
      <c r="L2353" s="187">
        <v>0</v>
      </c>
      <c r="M2353" s="187">
        <v>291.32833862304688</v>
      </c>
      <c r="N2353" s="187">
        <v>0</v>
      </c>
      <c r="O2353" t="s">
        <v>2809</v>
      </c>
    </row>
    <row r="2354" spans="1:15" hidden="1" x14ac:dyDescent="0.45">
      <c r="A2354" s="187">
        <v>2018</v>
      </c>
      <c r="B2354" t="s">
        <v>314</v>
      </c>
      <c r="C2354" t="s">
        <v>323</v>
      </c>
      <c r="D2354" t="s">
        <v>35</v>
      </c>
      <c r="E2354" t="s">
        <v>349</v>
      </c>
      <c r="F2354" t="s">
        <v>398</v>
      </c>
      <c r="G2354" t="s">
        <v>36</v>
      </c>
      <c r="H2354" t="s">
        <v>43</v>
      </c>
      <c r="I2354" s="187">
        <v>0</v>
      </c>
      <c r="J2354" s="187">
        <v>280.72177932483481</v>
      </c>
      <c r="K2354" s="187">
        <v>7.0454328285917676</v>
      </c>
      <c r="L2354" s="187">
        <v>0</v>
      </c>
      <c r="M2354" s="187">
        <v>287.7672119140625</v>
      </c>
      <c r="N2354" s="187">
        <v>0</v>
      </c>
      <c r="O2354" t="s">
        <v>2811</v>
      </c>
    </row>
    <row r="2355" spans="1:15" hidden="1" x14ac:dyDescent="0.45">
      <c r="A2355" s="187">
        <v>2018</v>
      </c>
      <c r="B2355" t="s">
        <v>309</v>
      </c>
      <c r="C2355" t="s">
        <v>323</v>
      </c>
      <c r="D2355" t="s">
        <v>35</v>
      </c>
      <c r="E2355" t="s">
        <v>349</v>
      </c>
      <c r="F2355" t="s">
        <v>399</v>
      </c>
      <c r="G2355" t="s">
        <v>36</v>
      </c>
      <c r="H2355" t="s">
        <v>43</v>
      </c>
      <c r="I2355" s="187"/>
      <c r="J2355" s="187">
        <v>357.66497118845075</v>
      </c>
      <c r="K2355" s="187">
        <v>19.423397737682897</v>
      </c>
      <c r="L2355" s="187">
        <v>0</v>
      </c>
      <c r="M2355" s="187">
        <v>377.08837890625</v>
      </c>
      <c r="N2355" s="187">
        <v>0</v>
      </c>
      <c r="O2355" t="s">
        <v>2815</v>
      </c>
    </row>
    <row r="2356" spans="1:15" hidden="1" x14ac:dyDescent="0.45">
      <c r="A2356" s="187">
        <v>2018</v>
      </c>
      <c r="B2356" t="s">
        <v>310</v>
      </c>
      <c r="C2356" t="s">
        <v>323</v>
      </c>
      <c r="D2356" t="s">
        <v>35</v>
      </c>
      <c r="E2356" t="s">
        <v>349</v>
      </c>
      <c r="F2356" t="s">
        <v>399</v>
      </c>
      <c r="G2356" t="s">
        <v>36</v>
      </c>
      <c r="H2356" t="s">
        <v>43</v>
      </c>
      <c r="I2356" s="187"/>
      <c r="J2356" s="187">
        <v>354.39234331013967</v>
      </c>
      <c r="K2356" s="187">
        <v>19.156305829469567</v>
      </c>
      <c r="L2356" s="187">
        <v>0</v>
      </c>
      <c r="M2356" s="187">
        <v>373.54864501953125</v>
      </c>
      <c r="N2356" s="187">
        <v>0</v>
      </c>
      <c r="O2356" t="s">
        <v>2816</v>
      </c>
    </row>
    <row r="2357" spans="1:15" hidden="1" x14ac:dyDescent="0.45">
      <c r="A2357" s="187">
        <v>2018</v>
      </c>
      <c r="B2357" t="s">
        <v>312</v>
      </c>
      <c r="C2357" t="s">
        <v>323</v>
      </c>
      <c r="D2357" t="s">
        <v>35</v>
      </c>
      <c r="E2357" t="s">
        <v>349</v>
      </c>
      <c r="F2357" t="s">
        <v>399</v>
      </c>
      <c r="G2357" t="s">
        <v>36</v>
      </c>
      <c r="H2357" t="s">
        <v>43</v>
      </c>
      <c r="I2357" s="187">
        <v>0</v>
      </c>
      <c r="J2357" s="187">
        <v>309.14355898833509</v>
      </c>
      <c r="K2357" s="187">
        <v>7.5570694403123921</v>
      </c>
      <c r="L2357" s="187">
        <v>0</v>
      </c>
      <c r="M2357" s="187">
        <v>316.70062255859375</v>
      </c>
      <c r="N2357" s="187">
        <v>0</v>
      </c>
      <c r="O2357" t="s">
        <v>2817</v>
      </c>
    </row>
    <row r="2358" spans="1:15" hidden="1" x14ac:dyDescent="0.45">
      <c r="A2358" s="187">
        <v>2018</v>
      </c>
      <c r="B2358" t="s">
        <v>313</v>
      </c>
      <c r="C2358" t="s">
        <v>323</v>
      </c>
      <c r="D2358" t="s">
        <v>35</v>
      </c>
      <c r="E2358" t="s">
        <v>349</v>
      </c>
      <c r="F2358" t="s">
        <v>399</v>
      </c>
      <c r="G2358" t="s">
        <v>36</v>
      </c>
      <c r="H2358" t="s">
        <v>43</v>
      </c>
      <c r="I2358" s="187">
        <v>0</v>
      </c>
      <c r="J2358" s="187">
        <v>179.68378117980942</v>
      </c>
      <c r="K2358" s="187">
        <v>2.6516935939093278</v>
      </c>
      <c r="L2358" s="187">
        <v>0</v>
      </c>
      <c r="M2358" s="187">
        <v>182.33546447753906</v>
      </c>
      <c r="N2358" s="187">
        <v>0</v>
      </c>
      <c r="O2358" t="s">
        <v>2814</v>
      </c>
    </row>
    <row r="2359" spans="1:15" hidden="1" x14ac:dyDescent="0.45">
      <c r="A2359" s="187">
        <v>2018</v>
      </c>
      <c r="B2359" t="s">
        <v>311</v>
      </c>
      <c r="C2359" t="s">
        <v>323</v>
      </c>
      <c r="D2359" t="s">
        <v>35</v>
      </c>
      <c r="E2359" t="s">
        <v>349</v>
      </c>
      <c r="F2359" t="s">
        <v>399</v>
      </c>
      <c r="G2359" t="s">
        <v>36</v>
      </c>
      <c r="H2359" t="s">
        <v>43</v>
      </c>
      <c r="I2359" s="187"/>
      <c r="J2359" s="187">
        <v>637.647061327502</v>
      </c>
      <c r="K2359" s="187">
        <v>21.637672691985653</v>
      </c>
      <c r="L2359" s="187">
        <v>0</v>
      </c>
      <c r="M2359" s="187">
        <v>659.28472900390625</v>
      </c>
      <c r="N2359" s="187">
        <v>0</v>
      </c>
      <c r="O2359" t="s">
        <v>2818</v>
      </c>
    </row>
    <row r="2360" spans="1:15" hidden="1" x14ac:dyDescent="0.45">
      <c r="A2360" s="187">
        <v>2018</v>
      </c>
      <c r="B2360" t="s">
        <v>314</v>
      </c>
      <c r="C2360" t="s">
        <v>323</v>
      </c>
      <c r="D2360" t="s">
        <v>35</v>
      </c>
      <c r="E2360" t="s">
        <v>349</v>
      </c>
      <c r="F2360" t="s">
        <v>399</v>
      </c>
      <c r="G2360" t="s">
        <v>36</v>
      </c>
      <c r="H2360" t="s">
        <v>43</v>
      </c>
      <c r="I2360" s="187">
        <v>0</v>
      </c>
      <c r="J2360" s="187">
        <v>208.50289833670305</v>
      </c>
      <c r="K2360" s="187">
        <v>4.8724225463433335</v>
      </c>
      <c r="L2360" s="187"/>
      <c r="M2360" s="187">
        <v>213.37532043457031</v>
      </c>
      <c r="N2360" s="187">
        <v>0</v>
      </c>
      <c r="O2360" t="s">
        <v>2819</v>
      </c>
    </row>
    <row r="2361" spans="1:15" hidden="1" x14ac:dyDescent="0.45">
      <c r="A2361" s="187">
        <v>2018</v>
      </c>
      <c r="B2361" t="s">
        <v>313</v>
      </c>
      <c r="C2361" t="s">
        <v>323</v>
      </c>
      <c r="D2361" t="s">
        <v>35</v>
      </c>
      <c r="E2361" t="s">
        <v>349</v>
      </c>
      <c r="F2361" t="s">
        <v>400</v>
      </c>
      <c r="G2361" t="s">
        <v>36</v>
      </c>
      <c r="H2361" t="s">
        <v>43</v>
      </c>
      <c r="I2361" s="187">
        <v>0</v>
      </c>
      <c r="J2361" s="187">
        <v>107.81026870788565</v>
      </c>
      <c r="K2361" s="187">
        <v>1.1418523815943424</v>
      </c>
      <c r="L2361" s="187">
        <v>0</v>
      </c>
      <c r="M2361" s="187">
        <v>108.95212554931641</v>
      </c>
      <c r="N2361" s="187">
        <v>0</v>
      </c>
      <c r="O2361" t="s">
        <v>2822</v>
      </c>
    </row>
    <row r="2362" spans="1:15" hidden="1" x14ac:dyDescent="0.45">
      <c r="A2362" s="187">
        <v>2018</v>
      </c>
      <c r="B2362" t="s">
        <v>311</v>
      </c>
      <c r="C2362" t="s">
        <v>323</v>
      </c>
      <c r="D2362" t="s">
        <v>35</v>
      </c>
      <c r="E2362" t="s">
        <v>349</v>
      </c>
      <c r="F2362" t="s">
        <v>400</v>
      </c>
      <c r="G2362" t="s">
        <v>36</v>
      </c>
      <c r="H2362" t="s">
        <v>43</v>
      </c>
      <c r="I2362" s="187"/>
      <c r="J2362" s="187">
        <v>165.78823594515052</v>
      </c>
      <c r="K2362" s="187">
        <v>9.3681174358441464</v>
      </c>
      <c r="L2362" s="187">
        <v>0</v>
      </c>
      <c r="M2362" s="187">
        <v>175.15635681152344</v>
      </c>
      <c r="N2362" s="187">
        <v>0</v>
      </c>
      <c r="O2362" t="s">
        <v>2824</v>
      </c>
    </row>
    <row r="2363" spans="1:15" hidden="1" x14ac:dyDescent="0.45">
      <c r="A2363" s="187">
        <v>2018</v>
      </c>
      <c r="B2363" t="s">
        <v>310</v>
      </c>
      <c r="C2363" t="s">
        <v>323</v>
      </c>
      <c r="D2363" t="s">
        <v>35</v>
      </c>
      <c r="E2363" t="s">
        <v>349</v>
      </c>
      <c r="F2363" t="s">
        <v>400</v>
      </c>
      <c r="G2363" t="s">
        <v>36</v>
      </c>
      <c r="H2363" t="s">
        <v>43</v>
      </c>
      <c r="I2363" s="187"/>
      <c r="J2363" s="187">
        <v>175.23459041903584</v>
      </c>
      <c r="K2363" s="187">
        <v>8.0293317534380488</v>
      </c>
      <c r="L2363" s="187">
        <v>0</v>
      </c>
      <c r="M2363" s="187">
        <v>183.263916015625</v>
      </c>
      <c r="N2363" s="187">
        <v>0</v>
      </c>
      <c r="O2363" t="s">
        <v>2825</v>
      </c>
    </row>
    <row r="2364" spans="1:15" hidden="1" x14ac:dyDescent="0.45">
      <c r="A2364" s="187">
        <v>2018</v>
      </c>
      <c r="B2364" t="s">
        <v>309</v>
      </c>
      <c r="C2364" t="s">
        <v>323</v>
      </c>
      <c r="D2364" t="s">
        <v>35</v>
      </c>
      <c r="E2364" t="s">
        <v>349</v>
      </c>
      <c r="F2364" t="s">
        <v>400</v>
      </c>
      <c r="G2364" t="s">
        <v>36</v>
      </c>
      <c r="H2364" t="s">
        <v>43</v>
      </c>
      <c r="I2364" s="187"/>
      <c r="J2364" s="187">
        <v>172.20906020184665</v>
      </c>
      <c r="K2364" s="187">
        <v>8.1412828550123688</v>
      </c>
      <c r="L2364" s="187">
        <v>0</v>
      </c>
      <c r="M2364" s="187">
        <v>180.350341796875</v>
      </c>
      <c r="N2364" s="187">
        <v>0</v>
      </c>
      <c r="O2364" t="s">
        <v>2820</v>
      </c>
    </row>
    <row r="2365" spans="1:15" hidden="1" x14ac:dyDescent="0.45">
      <c r="A2365" s="187">
        <v>2018</v>
      </c>
      <c r="B2365" t="s">
        <v>312</v>
      </c>
      <c r="C2365" t="s">
        <v>323</v>
      </c>
      <c r="D2365" t="s">
        <v>35</v>
      </c>
      <c r="E2365" t="s">
        <v>349</v>
      </c>
      <c r="F2365" t="s">
        <v>400</v>
      </c>
      <c r="G2365" t="s">
        <v>36</v>
      </c>
      <c r="H2365" t="s">
        <v>43</v>
      </c>
      <c r="I2365" s="187">
        <v>0</v>
      </c>
      <c r="J2365" s="187">
        <v>98.925938876267224</v>
      </c>
      <c r="K2365" s="187">
        <v>3.2614116864326457</v>
      </c>
      <c r="L2365" s="187">
        <v>0</v>
      </c>
      <c r="M2365" s="187">
        <v>102.18735504150391</v>
      </c>
      <c r="N2365" s="187">
        <v>0</v>
      </c>
      <c r="O2365" t="s">
        <v>2821</v>
      </c>
    </row>
    <row r="2366" spans="1:15" hidden="1" x14ac:dyDescent="0.45">
      <c r="A2366" s="187">
        <v>2018</v>
      </c>
      <c r="B2366" t="s">
        <v>314</v>
      </c>
      <c r="C2366" t="s">
        <v>323</v>
      </c>
      <c r="D2366" t="s">
        <v>35</v>
      </c>
      <c r="E2366" t="s">
        <v>349</v>
      </c>
      <c r="F2366" t="s">
        <v>400</v>
      </c>
      <c r="G2366" t="s">
        <v>36</v>
      </c>
      <c r="H2366" t="s">
        <v>43</v>
      </c>
      <c r="I2366" s="187">
        <v>0</v>
      </c>
      <c r="J2366" s="187">
        <v>72.218880988131787</v>
      </c>
      <c r="K2366" s="187">
        <v>2.0981260057553799</v>
      </c>
      <c r="L2366" s="187"/>
      <c r="M2366" s="187">
        <v>74.317008972167969</v>
      </c>
      <c r="N2366" s="187">
        <v>0</v>
      </c>
      <c r="O2366" t="s">
        <v>2823</v>
      </c>
    </row>
    <row r="2367" spans="1:15" hidden="1" x14ac:dyDescent="0.45">
      <c r="A2367" s="187">
        <v>2018</v>
      </c>
      <c r="B2367" t="s">
        <v>310</v>
      </c>
      <c r="C2367" t="s">
        <v>323</v>
      </c>
      <c r="D2367" t="s">
        <v>35</v>
      </c>
      <c r="E2367" t="s">
        <v>349</v>
      </c>
      <c r="F2367" t="s">
        <v>401</v>
      </c>
      <c r="G2367" t="s">
        <v>36</v>
      </c>
      <c r="H2367" t="s">
        <v>43</v>
      </c>
      <c r="I2367" s="187"/>
      <c r="J2367" s="187">
        <v>0</v>
      </c>
      <c r="K2367" s="187">
        <v>1.5242291927981197E-2</v>
      </c>
      <c r="L2367" s="187">
        <v>0</v>
      </c>
      <c r="M2367" s="187">
        <v>1.5242291614413261E-2</v>
      </c>
      <c r="N2367" s="187">
        <v>0</v>
      </c>
      <c r="O2367" t="s">
        <v>2826</v>
      </c>
    </row>
    <row r="2368" spans="1:15" hidden="1" x14ac:dyDescent="0.45">
      <c r="A2368" s="187">
        <v>2018</v>
      </c>
      <c r="B2368" t="s">
        <v>311</v>
      </c>
      <c r="C2368" t="s">
        <v>323</v>
      </c>
      <c r="D2368" t="s">
        <v>35</v>
      </c>
      <c r="E2368" t="s">
        <v>349</v>
      </c>
      <c r="F2368" t="s">
        <v>401</v>
      </c>
      <c r="G2368" t="s">
        <v>36</v>
      </c>
      <c r="H2368" t="s">
        <v>43</v>
      </c>
      <c r="I2368" s="187"/>
      <c r="J2368" s="187">
        <v>0</v>
      </c>
      <c r="K2368" s="187">
        <v>3.3707161962606334E-2</v>
      </c>
      <c r="L2368" s="187">
        <v>0</v>
      </c>
      <c r="M2368" s="187">
        <v>3.3707160502672195E-2</v>
      </c>
      <c r="N2368" s="187">
        <v>0</v>
      </c>
      <c r="O2368" t="s">
        <v>2830</v>
      </c>
    </row>
    <row r="2369" spans="1:15" hidden="1" x14ac:dyDescent="0.45">
      <c r="A2369" s="187">
        <v>2018</v>
      </c>
      <c r="B2369" t="s">
        <v>314</v>
      </c>
      <c r="C2369" t="s">
        <v>323</v>
      </c>
      <c r="D2369" t="s">
        <v>35</v>
      </c>
      <c r="E2369" t="s">
        <v>349</v>
      </c>
      <c r="F2369" t="s">
        <v>401</v>
      </c>
      <c r="G2369" t="s">
        <v>36</v>
      </c>
      <c r="H2369" t="s">
        <v>43</v>
      </c>
      <c r="I2369" s="187">
        <v>0</v>
      </c>
      <c r="J2369" s="187"/>
      <c r="K2369" s="187">
        <v>1.0301196447784506E-2</v>
      </c>
      <c r="L2369" s="187"/>
      <c r="M2369" s="187">
        <v>1.030119601637125E-2</v>
      </c>
      <c r="N2369" s="187">
        <v>0</v>
      </c>
      <c r="O2369" t="s">
        <v>2828</v>
      </c>
    </row>
    <row r="2370" spans="1:15" hidden="1" x14ac:dyDescent="0.45">
      <c r="A2370" s="187">
        <v>2018</v>
      </c>
      <c r="B2370" t="s">
        <v>313</v>
      </c>
      <c r="C2370" t="s">
        <v>323</v>
      </c>
      <c r="D2370" t="s">
        <v>35</v>
      </c>
      <c r="E2370" t="s">
        <v>349</v>
      </c>
      <c r="F2370" t="s">
        <v>401</v>
      </c>
      <c r="G2370" t="s">
        <v>36</v>
      </c>
      <c r="H2370" t="s">
        <v>43</v>
      </c>
      <c r="I2370" s="187">
        <v>0</v>
      </c>
      <c r="J2370" s="187">
        <v>0</v>
      </c>
      <c r="K2370" s="187">
        <v>5.6061674393760854E-3</v>
      </c>
      <c r="L2370" s="187">
        <v>0</v>
      </c>
      <c r="M2370" s="187">
        <v>5.606167484074831E-3</v>
      </c>
      <c r="N2370" s="187">
        <v>0</v>
      </c>
      <c r="O2370" t="s">
        <v>2829</v>
      </c>
    </row>
    <row r="2371" spans="1:15" hidden="1" x14ac:dyDescent="0.45">
      <c r="A2371" s="187">
        <v>2018</v>
      </c>
      <c r="B2371" t="s">
        <v>309</v>
      </c>
      <c r="C2371" t="s">
        <v>323</v>
      </c>
      <c r="D2371" t="s">
        <v>35</v>
      </c>
      <c r="E2371" t="s">
        <v>349</v>
      </c>
      <c r="F2371" t="s">
        <v>401</v>
      </c>
      <c r="G2371" t="s">
        <v>36</v>
      </c>
      <c r="H2371" t="s">
        <v>43</v>
      </c>
      <c r="I2371" s="187"/>
      <c r="J2371" s="187">
        <v>13.246850784757434</v>
      </c>
      <c r="K2371" s="187">
        <v>1.5454811652443255E-2</v>
      </c>
      <c r="L2371" s="187">
        <v>0</v>
      </c>
      <c r="M2371" s="187">
        <v>13.262306213378906</v>
      </c>
      <c r="N2371" s="187">
        <v>0</v>
      </c>
      <c r="O2371" t="s">
        <v>2831</v>
      </c>
    </row>
    <row r="2372" spans="1:15" hidden="1" x14ac:dyDescent="0.45">
      <c r="A2372" s="187">
        <v>2018</v>
      </c>
      <c r="B2372" t="s">
        <v>312</v>
      </c>
      <c r="C2372" t="s">
        <v>323</v>
      </c>
      <c r="D2372" t="s">
        <v>35</v>
      </c>
      <c r="E2372" t="s">
        <v>349</v>
      </c>
      <c r="F2372" t="s">
        <v>401</v>
      </c>
      <c r="G2372" t="s">
        <v>36</v>
      </c>
      <c r="H2372" t="s">
        <v>43</v>
      </c>
      <c r="I2372" s="187">
        <v>0</v>
      </c>
      <c r="J2372" s="187">
        <v>0</v>
      </c>
      <c r="K2372" s="187">
        <v>1.2641663162073078E-2</v>
      </c>
      <c r="L2372" s="187">
        <v>0</v>
      </c>
      <c r="M2372" s="187">
        <v>1.2641662731766701E-2</v>
      </c>
      <c r="N2372" s="187">
        <v>0</v>
      </c>
      <c r="O2372" t="s">
        <v>2827</v>
      </c>
    </row>
    <row r="2373" spans="1:15" hidden="1" x14ac:dyDescent="0.45">
      <c r="A2373" s="187">
        <v>2018</v>
      </c>
      <c r="B2373" t="s">
        <v>311</v>
      </c>
      <c r="C2373" t="s">
        <v>323</v>
      </c>
      <c r="D2373" t="s">
        <v>35</v>
      </c>
      <c r="E2373" t="s">
        <v>349</v>
      </c>
      <c r="F2373" t="s">
        <v>402</v>
      </c>
      <c r="G2373" t="s">
        <v>36</v>
      </c>
      <c r="H2373" t="s">
        <v>43</v>
      </c>
      <c r="I2373" s="187"/>
      <c r="J2373" s="187">
        <v>0</v>
      </c>
      <c r="K2373" s="187">
        <v>17.442504677276279</v>
      </c>
      <c r="L2373" s="187">
        <v>0</v>
      </c>
      <c r="M2373" s="187">
        <v>17.4425048828125</v>
      </c>
      <c r="N2373" s="187">
        <v>0</v>
      </c>
      <c r="O2373" t="s">
        <v>2833</v>
      </c>
    </row>
    <row r="2374" spans="1:15" hidden="1" x14ac:dyDescent="0.45">
      <c r="A2374" s="187">
        <v>2018</v>
      </c>
      <c r="B2374" t="s">
        <v>313</v>
      </c>
      <c r="C2374" t="s">
        <v>323</v>
      </c>
      <c r="D2374" t="s">
        <v>35</v>
      </c>
      <c r="E2374" t="s">
        <v>349</v>
      </c>
      <c r="F2374" t="s">
        <v>402</v>
      </c>
      <c r="G2374" t="s">
        <v>36</v>
      </c>
      <c r="H2374" t="s">
        <v>43</v>
      </c>
      <c r="I2374" s="187">
        <v>0</v>
      </c>
      <c r="J2374" s="187">
        <v>0</v>
      </c>
      <c r="K2374" s="187">
        <v>56.309437325169618</v>
      </c>
      <c r="L2374" s="187">
        <v>0</v>
      </c>
      <c r="M2374" s="187">
        <v>56.309436798095703</v>
      </c>
      <c r="N2374" s="187">
        <v>0</v>
      </c>
      <c r="O2374" t="s">
        <v>2837</v>
      </c>
    </row>
    <row r="2375" spans="1:15" hidden="1" x14ac:dyDescent="0.45">
      <c r="A2375" s="187">
        <v>2018</v>
      </c>
      <c r="B2375" t="s">
        <v>312</v>
      </c>
      <c r="C2375" t="s">
        <v>323</v>
      </c>
      <c r="D2375" t="s">
        <v>35</v>
      </c>
      <c r="E2375" t="s">
        <v>349</v>
      </c>
      <c r="F2375" t="s">
        <v>402</v>
      </c>
      <c r="G2375" t="s">
        <v>36</v>
      </c>
      <c r="H2375" t="s">
        <v>43</v>
      </c>
      <c r="I2375" s="187">
        <v>0</v>
      </c>
      <c r="J2375" s="187">
        <v>0</v>
      </c>
      <c r="K2375" s="187">
        <v>6.8046921905704414</v>
      </c>
      <c r="L2375" s="187">
        <v>0</v>
      </c>
      <c r="M2375" s="187">
        <v>6.804692268371582</v>
      </c>
      <c r="N2375" s="187">
        <v>0</v>
      </c>
      <c r="O2375" t="s">
        <v>2832</v>
      </c>
    </row>
    <row r="2376" spans="1:15" hidden="1" x14ac:dyDescent="0.45">
      <c r="A2376" s="187">
        <v>2018</v>
      </c>
      <c r="B2376" t="s">
        <v>314</v>
      </c>
      <c r="C2376" t="s">
        <v>323</v>
      </c>
      <c r="D2376" t="s">
        <v>35</v>
      </c>
      <c r="E2376" t="s">
        <v>349</v>
      </c>
      <c r="F2376" t="s">
        <v>402</v>
      </c>
      <c r="G2376" t="s">
        <v>36</v>
      </c>
      <c r="H2376" t="s">
        <v>43</v>
      </c>
      <c r="I2376" s="187"/>
      <c r="J2376" s="187">
        <v>0</v>
      </c>
      <c r="K2376" s="187">
        <v>6.4384110329827449</v>
      </c>
      <c r="L2376" s="187">
        <v>0</v>
      </c>
      <c r="M2376" s="187">
        <v>6.4384112358093262</v>
      </c>
      <c r="N2376" s="187">
        <v>0</v>
      </c>
      <c r="O2376" t="s">
        <v>2836</v>
      </c>
    </row>
    <row r="2377" spans="1:15" hidden="1" x14ac:dyDescent="0.45">
      <c r="A2377" s="187">
        <v>2018</v>
      </c>
      <c r="B2377" t="s">
        <v>309</v>
      </c>
      <c r="C2377" t="s">
        <v>323</v>
      </c>
      <c r="D2377" t="s">
        <v>35</v>
      </c>
      <c r="E2377" t="s">
        <v>349</v>
      </c>
      <c r="F2377" t="s">
        <v>402</v>
      </c>
      <c r="G2377" t="s">
        <v>36</v>
      </c>
      <c r="H2377" t="s">
        <v>43</v>
      </c>
      <c r="I2377" s="187"/>
      <c r="J2377" s="187">
        <v>0</v>
      </c>
      <c r="K2377" s="187">
        <v>39.720486440831458</v>
      </c>
      <c r="L2377" s="187">
        <v>127.16976753367138</v>
      </c>
      <c r="M2377" s="187">
        <v>166.8902587890625</v>
      </c>
      <c r="N2377" s="187">
        <v>127.16976928710938</v>
      </c>
      <c r="O2377" t="s">
        <v>2835</v>
      </c>
    </row>
    <row r="2378" spans="1:15" hidden="1" x14ac:dyDescent="0.45">
      <c r="A2378" s="187">
        <v>2018</v>
      </c>
      <c r="B2378" t="s">
        <v>310</v>
      </c>
      <c r="C2378" t="s">
        <v>323</v>
      </c>
      <c r="D2378" t="s">
        <v>35</v>
      </c>
      <c r="E2378" t="s">
        <v>349</v>
      </c>
      <c r="F2378" t="s">
        <v>402</v>
      </c>
      <c r="G2378" t="s">
        <v>36</v>
      </c>
      <c r="H2378" t="s">
        <v>43</v>
      </c>
      <c r="I2378" s="187"/>
      <c r="J2378" s="187">
        <v>0</v>
      </c>
      <c r="K2378" s="187">
        <v>22.90603282826104</v>
      </c>
      <c r="L2378" s="187">
        <v>0</v>
      </c>
      <c r="M2378" s="187">
        <v>22.906032562255859</v>
      </c>
      <c r="N2378" s="187">
        <v>0</v>
      </c>
      <c r="O2378" t="s">
        <v>2834</v>
      </c>
    </row>
    <row r="2379" spans="1:15" hidden="1" x14ac:dyDescent="0.45">
      <c r="A2379" s="187">
        <v>2018</v>
      </c>
      <c r="B2379" t="s">
        <v>311</v>
      </c>
      <c r="C2379" t="s">
        <v>323</v>
      </c>
      <c r="D2379" t="s">
        <v>35</v>
      </c>
      <c r="E2379" t="s">
        <v>349</v>
      </c>
      <c r="F2379" t="s">
        <v>403</v>
      </c>
      <c r="G2379" t="s">
        <v>36</v>
      </c>
      <c r="H2379" t="s">
        <v>43</v>
      </c>
      <c r="I2379" s="187"/>
      <c r="J2379" s="187">
        <v>0</v>
      </c>
      <c r="K2379" s="187">
        <v>2748.0036142368563</v>
      </c>
      <c r="L2379" s="187">
        <v>1599.2188298093749</v>
      </c>
      <c r="M2379" s="187">
        <v>4347.22265625</v>
      </c>
      <c r="N2379" s="187">
        <v>1599.2188720703125</v>
      </c>
      <c r="O2379" t="s">
        <v>2840</v>
      </c>
    </row>
    <row r="2380" spans="1:15" hidden="1" x14ac:dyDescent="0.45">
      <c r="A2380" s="187">
        <v>2018</v>
      </c>
      <c r="B2380" t="s">
        <v>309</v>
      </c>
      <c r="C2380" t="s">
        <v>323</v>
      </c>
      <c r="D2380" t="s">
        <v>35</v>
      </c>
      <c r="E2380" t="s">
        <v>349</v>
      </c>
      <c r="F2380" t="s">
        <v>403</v>
      </c>
      <c r="G2380" t="s">
        <v>36</v>
      </c>
      <c r="H2380" t="s">
        <v>43</v>
      </c>
      <c r="I2380" s="187"/>
      <c r="J2380" s="187">
        <v>0</v>
      </c>
      <c r="K2380" s="187">
        <v>2527.8412857056783</v>
      </c>
      <c r="L2380" s="187">
        <v>484.8347387221221</v>
      </c>
      <c r="M2380" s="187">
        <v>3012.676025390625</v>
      </c>
      <c r="N2380" s="187">
        <v>484.83474731445313</v>
      </c>
      <c r="O2380" t="s">
        <v>2843</v>
      </c>
    </row>
    <row r="2381" spans="1:15" hidden="1" x14ac:dyDescent="0.45">
      <c r="A2381" s="187">
        <v>2018</v>
      </c>
      <c r="B2381" t="s">
        <v>314</v>
      </c>
      <c r="C2381" t="s">
        <v>323</v>
      </c>
      <c r="D2381" t="s">
        <v>35</v>
      </c>
      <c r="E2381" t="s">
        <v>349</v>
      </c>
      <c r="F2381" t="s">
        <v>403</v>
      </c>
      <c r="G2381" t="s">
        <v>36</v>
      </c>
      <c r="H2381" t="s">
        <v>43</v>
      </c>
      <c r="I2381" s="187">
        <v>670.55347479546481</v>
      </c>
      <c r="J2381" s="187">
        <v>86.196728921318581</v>
      </c>
      <c r="K2381" s="187">
        <v>1621.425256127975</v>
      </c>
      <c r="L2381" s="187">
        <v>754.80378839208709</v>
      </c>
      <c r="M2381" s="187">
        <v>3132.979248046875</v>
      </c>
      <c r="N2381" s="187">
        <v>1425.3572998046875</v>
      </c>
      <c r="O2381" t="s">
        <v>2841</v>
      </c>
    </row>
    <row r="2382" spans="1:15" hidden="1" x14ac:dyDescent="0.45">
      <c r="A2382" s="187">
        <v>2018</v>
      </c>
      <c r="B2382" t="s">
        <v>313</v>
      </c>
      <c r="C2382" t="s">
        <v>323</v>
      </c>
      <c r="D2382" t="s">
        <v>35</v>
      </c>
      <c r="E2382" t="s">
        <v>349</v>
      </c>
      <c r="F2382" t="s">
        <v>403</v>
      </c>
      <c r="G2382" t="s">
        <v>36</v>
      </c>
      <c r="H2382" t="s">
        <v>43</v>
      </c>
      <c r="I2382" s="187">
        <v>2311.931317846881</v>
      </c>
      <c r="J2382" s="187">
        <v>70.675620597391699</v>
      </c>
      <c r="K2382" s="187">
        <v>1009.9108785384601</v>
      </c>
      <c r="L2382" s="187">
        <v>706.75620597391708</v>
      </c>
      <c r="M2382" s="187">
        <v>4099.27392578125</v>
      </c>
      <c r="N2382" s="187">
        <v>3018.6875</v>
      </c>
      <c r="O2382" t="s">
        <v>2842</v>
      </c>
    </row>
    <row r="2383" spans="1:15" hidden="1" x14ac:dyDescent="0.45">
      <c r="A2383" s="187">
        <v>2018</v>
      </c>
      <c r="B2383" t="s">
        <v>312</v>
      </c>
      <c r="C2383" t="s">
        <v>323</v>
      </c>
      <c r="D2383" t="s">
        <v>35</v>
      </c>
      <c r="E2383" t="s">
        <v>349</v>
      </c>
      <c r="F2383" t="s">
        <v>403</v>
      </c>
      <c r="G2383" t="s">
        <v>36</v>
      </c>
      <c r="H2383" t="s">
        <v>43</v>
      </c>
      <c r="I2383" s="187">
        <v>2411.3197601090133</v>
      </c>
      <c r="J2383" s="187">
        <v>0</v>
      </c>
      <c r="K2383" s="187">
        <v>1594.1342113017279</v>
      </c>
      <c r="L2383" s="187">
        <v>725.86907650461069</v>
      </c>
      <c r="M2383" s="187">
        <v>4731.3232421875</v>
      </c>
      <c r="N2383" s="187">
        <v>3137.18896484375</v>
      </c>
      <c r="O2383" t="s">
        <v>2838</v>
      </c>
    </row>
    <row r="2384" spans="1:15" hidden="1" x14ac:dyDescent="0.45">
      <c r="A2384" s="187">
        <v>2018</v>
      </c>
      <c r="B2384" t="s">
        <v>310</v>
      </c>
      <c r="C2384" t="s">
        <v>323</v>
      </c>
      <c r="D2384" t="s">
        <v>35</v>
      </c>
      <c r="E2384" t="s">
        <v>349</v>
      </c>
      <c r="F2384" t="s">
        <v>403</v>
      </c>
      <c r="G2384" t="s">
        <v>36</v>
      </c>
      <c r="H2384" t="s">
        <v>43</v>
      </c>
      <c r="I2384" s="187"/>
      <c r="J2384" s="187">
        <v>0</v>
      </c>
      <c r="K2384" s="187">
        <v>2505.1247143401388</v>
      </c>
      <c r="L2384" s="187">
        <v>1751.0381833663357</v>
      </c>
      <c r="M2384" s="187">
        <v>4256.1630859375</v>
      </c>
      <c r="N2384" s="187">
        <v>1751.0382080078125</v>
      </c>
      <c r="O2384" t="s">
        <v>2839</v>
      </c>
    </row>
    <row r="2385" spans="1:15" hidden="1" x14ac:dyDescent="0.45">
      <c r="A2385" s="187">
        <v>2018</v>
      </c>
      <c r="B2385" t="s">
        <v>309</v>
      </c>
      <c r="C2385" t="s">
        <v>323</v>
      </c>
      <c r="D2385" t="s">
        <v>35</v>
      </c>
      <c r="E2385" t="s">
        <v>349</v>
      </c>
      <c r="F2385" t="s">
        <v>404</v>
      </c>
      <c r="G2385" t="s">
        <v>36</v>
      </c>
      <c r="H2385" t="s">
        <v>43</v>
      </c>
      <c r="I2385" s="187"/>
      <c r="J2385" s="187">
        <v>0</v>
      </c>
      <c r="K2385" s="187">
        <v>3629.1133353142445</v>
      </c>
      <c r="L2385" s="187">
        <v>675.58939002262923</v>
      </c>
      <c r="M2385" s="187">
        <v>4304.70263671875</v>
      </c>
      <c r="N2385" s="187">
        <v>675.58941650390625</v>
      </c>
      <c r="O2385" t="s">
        <v>2849</v>
      </c>
    </row>
    <row r="2386" spans="1:15" hidden="1" x14ac:dyDescent="0.45">
      <c r="A2386" s="187">
        <v>2018</v>
      </c>
      <c r="B2386" t="s">
        <v>310</v>
      </c>
      <c r="C2386" t="s">
        <v>323</v>
      </c>
      <c r="D2386" t="s">
        <v>35</v>
      </c>
      <c r="E2386" t="s">
        <v>349</v>
      </c>
      <c r="F2386" t="s">
        <v>404</v>
      </c>
      <c r="G2386" t="s">
        <v>36</v>
      </c>
      <c r="H2386" t="s">
        <v>43</v>
      </c>
      <c r="I2386" s="187"/>
      <c r="J2386" s="187">
        <v>0</v>
      </c>
      <c r="K2386" s="187">
        <v>3579.2092547335828</v>
      </c>
      <c r="L2386" s="187">
        <v>1815.1165037434459</v>
      </c>
      <c r="M2386" s="187">
        <v>5394.32568359375</v>
      </c>
      <c r="N2386" s="187">
        <v>1815.116455078125</v>
      </c>
      <c r="O2386" t="s">
        <v>2845</v>
      </c>
    </row>
    <row r="2387" spans="1:15" hidden="1" x14ac:dyDescent="0.45">
      <c r="A2387" s="187">
        <v>2018</v>
      </c>
      <c r="B2387" t="s">
        <v>314</v>
      </c>
      <c r="C2387" t="s">
        <v>323</v>
      </c>
      <c r="D2387" t="s">
        <v>35</v>
      </c>
      <c r="E2387" t="s">
        <v>349</v>
      </c>
      <c r="F2387" t="s">
        <v>404</v>
      </c>
      <c r="G2387" t="s">
        <v>36</v>
      </c>
      <c r="H2387" t="s">
        <v>43</v>
      </c>
      <c r="I2387" s="187">
        <v>854.31441746976611</v>
      </c>
      <c r="J2387" s="187">
        <v>100.17457685450537</v>
      </c>
      <c r="K2387" s="187">
        <v>2467.7875658660332</v>
      </c>
      <c r="L2387" s="187">
        <v>806.0558974804386</v>
      </c>
      <c r="M2387" s="187">
        <v>4228.33251953125</v>
      </c>
      <c r="N2387" s="187">
        <v>1660.3702392578125</v>
      </c>
      <c r="O2387" t="s">
        <v>2846</v>
      </c>
    </row>
    <row r="2388" spans="1:15" hidden="1" x14ac:dyDescent="0.45">
      <c r="A2388" s="187">
        <v>2018</v>
      </c>
      <c r="B2388" t="s">
        <v>311</v>
      </c>
      <c r="C2388" t="s">
        <v>323</v>
      </c>
      <c r="D2388" t="s">
        <v>35</v>
      </c>
      <c r="E2388" t="s">
        <v>349</v>
      </c>
      <c r="F2388" t="s">
        <v>404</v>
      </c>
      <c r="G2388" t="s">
        <v>36</v>
      </c>
      <c r="H2388" t="s">
        <v>43</v>
      </c>
      <c r="I2388" s="187"/>
      <c r="J2388" s="187">
        <v>0</v>
      </c>
      <c r="K2388" s="187">
        <v>3957.941916180846</v>
      </c>
      <c r="L2388" s="187">
        <v>1660.4329476968151</v>
      </c>
      <c r="M2388" s="187">
        <v>5618.375</v>
      </c>
      <c r="N2388" s="187">
        <v>1660.4329833984375</v>
      </c>
      <c r="O2388" t="s">
        <v>2847</v>
      </c>
    </row>
    <row r="2389" spans="1:15" hidden="1" x14ac:dyDescent="0.45">
      <c r="A2389" s="187">
        <v>2018</v>
      </c>
      <c r="B2389" t="s">
        <v>313</v>
      </c>
      <c r="C2389" t="s">
        <v>323</v>
      </c>
      <c r="D2389" t="s">
        <v>35</v>
      </c>
      <c r="E2389" t="s">
        <v>349</v>
      </c>
      <c r="F2389" t="s">
        <v>404</v>
      </c>
      <c r="G2389" t="s">
        <v>36</v>
      </c>
      <c r="H2389" t="s">
        <v>43</v>
      </c>
      <c r="I2389" s="187">
        <v>2311.931317846881</v>
      </c>
      <c r="J2389" s="187">
        <v>70.675620597391699</v>
      </c>
      <c r="K2389" s="187">
        <v>1774.6381145288951</v>
      </c>
      <c r="L2389" s="187">
        <v>824.14960967805916</v>
      </c>
      <c r="M2389" s="187">
        <v>4981.39453125</v>
      </c>
      <c r="N2389" s="187">
        <v>3136.0810546875</v>
      </c>
      <c r="O2389" t="s">
        <v>2848</v>
      </c>
    </row>
    <row r="2390" spans="1:15" hidden="1" x14ac:dyDescent="0.45">
      <c r="A2390" s="187">
        <v>2018</v>
      </c>
      <c r="B2390" t="s">
        <v>312</v>
      </c>
      <c r="C2390" t="s">
        <v>323</v>
      </c>
      <c r="D2390" t="s">
        <v>35</v>
      </c>
      <c r="E2390" t="s">
        <v>349</v>
      </c>
      <c r="F2390" t="s">
        <v>404</v>
      </c>
      <c r="G2390" t="s">
        <v>36</v>
      </c>
      <c r="H2390" t="s">
        <v>43</v>
      </c>
      <c r="I2390" s="187">
        <v>2411.3197601090133</v>
      </c>
      <c r="J2390" s="187">
        <v>0</v>
      </c>
      <c r="K2390" s="187">
        <v>2289.9744118034373</v>
      </c>
      <c r="L2390" s="187">
        <v>847.05335162803806</v>
      </c>
      <c r="M2390" s="187">
        <v>5548.34765625</v>
      </c>
      <c r="N2390" s="187">
        <v>3258.373291015625</v>
      </c>
      <c r="O2390" t="s">
        <v>2844</v>
      </c>
    </row>
    <row r="2391" spans="1:15" hidden="1" x14ac:dyDescent="0.45">
      <c r="A2391" s="187">
        <v>2018</v>
      </c>
      <c r="B2391" t="s">
        <v>311</v>
      </c>
      <c r="C2391" t="s">
        <v>323</v>
      </c>
      <c r="D2391" t="s">
        <v>35</v>
      </c>
      <c r="E2391" t="s">
        <v>349</v>
      </c>
      <c r="F2391" t="s">
        <v>405</v>
      </c>
      <c r="G2391" t="s">
        <v>36</v>
      </c>
      <c r="H2391" t="s">
        <v>43</v>
      </c>
      <c r="I2391" s="187"/>
      <c r="J2391" s="187">
        <v>0</v>
      </c>
      <c r="K2391" s="187">
        <v>1189.7592194298313</v>
      </c>
      <c r="L2391" s="187">
        <v>0</v>
      </c>
      <c r="M2391" s="187">
        <v>1189.75927734375</v>
      </c>
      <c r="N2391" s="187">
        <v>0</v>
      </c>
      <c r="O2391" t="s">
        <v>2852</v>
      </c>
    </row>
    <row r="2392" spans="1:15" hidden="1" x14ac:dyDescent="0.45">
      <c r="A2392" s="187">
        <v>2018</v>
      </c>
      <c r="B2392" t="s">
        <v>312</v>
      </c>
      <c r="C2392" t="s">
        <v>323</v>
      </c>
      <c r="D2392" t="s">
        <v>35</v>
      </c>
      <c r="E2392" t="s">
        <v>349</v>
      </c>
      <c r="F2392" t="s">
        <v>405</v>
      </c>
      <c r="G2392" t="s">
        <v>36</v>
      </c>
      <c r="H2392" t="s">
        <v>43</v>
      </c>
      <c r="I2392" s="187">
        <v>0</v>
      </c>
      <c r="J2392" s="187">
        <v>0</v>
      </c>
      <c r="K2392" s="187">
        <v>687.98202630603623</v>
      </c>
      <c r="L2392" s="187">
        <v>0</v>
      </c>
      <c r="M2392" s="187">
        <v>687.9820556640625</v>
      </c>
      <c r="N2392" s="187">
        <v>0</v>
      </c>
      <c r="O2392" t="s">
        <v>2853</v>
      </c>
    </row>
    <row r="2393" spans="1:15" hidden="1" x14ac:dyDescent="0.45">
      <c r="A2393" s="187">
        <v>2018</v>
      </c>
      <c r="B2393" t="s">
        <v>314</v>
      </c>
      <c r="C2393" t="s">
        <v>323</v>
      </c>
      <c r="D2393" t="s">
        <v>35</v>
      </c>
      <c r="E2393" t="s">
        <v>349</v>
      </c>
      <c r="F2393" t="s">
        <v>405</v>
      </c>
      <c r="G2393" t="s">
        <v>36</v>
      </c>
      <c r="H2393" t="s">
        <v>43</v>
      </c>
      <c r="I2393" s="187"/>
      <c r="J2393" s="187">
        <v>0</v>
      </c>
      <c r="K2393" s="187">
        <v>838.89695268738944</v>
      </c>
      <c r="L2393" s="187">
        <v>51.252109088351588</v>
      </c>
      <c r="M2393" s="187">
        <v>890.14910888671875</v>
      </c>
      <c r="N2393" s="187">
        <v>51.252109527587891</v>
      </c>
      <c r="O2393" t="s">
        <v>2854</v>
      </c>
    </row>
    <row r="2394" spans="1:15" hidden="1" x14ac:dyDescent="0.45">
      <c r="A2394" s="187">
        <v>2018</v>
      </c>
      <c r="B2394" t="s">
        <v>313</v>
      </c>
      <c r="C2394" t="s">
        <v>323</v>
      </c>
      <c r="D2394" t="s">
        <v>35</v>
      </c>
      <c r="E2394" t="s">
        <v>349</v>
      </c>
      <c r="F2394" t="s">
        <v>405</v>
      </c>
      <c r="G2394" t="s">
        <v>36</v>
      </c>
      <c r="H2394" t="s">
        <v>43</v>
      </c>
      <c r="I2394" s="187">
        <v>0</v>
      </c>
      <c r="J2394" s="187">
        <v>0</v>
      </c>
      <c r="K2394" s="187">
        <v>707.85890908816316</v>
      </c>
      <c r="L2394" s="187">
        <v>0</v>
      </c>
      <c r="M2394" s="187">
        <v>707.85888671875</v>
      </c>
      <c r="N2394" s="187">
        <v>0</v>
      </c>
      <c r="O2394" t="s">
        <v>2851</v>
      </c>
    </row>
    <row r="2395" spans="1:15" hidden="1" x14ac:dyDescent="0.45">
      <c r="A2395" s="187">
        <v>2018</v>
      </c>
      <c r="B2395" t="s">
        <v>309</v>
      </c>
      <c r="C2395" t="s">
        <v>323</v>
      </c>
      <c r="D2395" t="s">
        <v>35</v>
      </c>
      <c r="E2395" t="s">
        <v>349</v>
      </c>
      <c r="F2395" t="s">
        <v>405</v>
      </c>
      <c r="G2395" t="s">
        <v>36</v>
      </c>
      <c r="H2395" t="s">
        <v>43</v>
      </c>
      <c r="I2395" s="187"/>
      <c r="J2395" s="187">
        <v>0</v>
      </c>
      <c r="K2395" s="187">
        <v>1059.5402100828894</v>
      </c>
      <c r="L2395" s="187">
        <v>0</v>
      </c>
      <c r="M2395" s="187">
        <v>1059.5401611328125</v>
      </c>
      <c r="N2395" s="187">
        <v>0</v>
      </c>
      <c r="O2395" t="s">
        <v>2855</v>
      </c>
    </row>
    <row r="2396" spans="1:15" hidden="1" x14ac:dyDescent="0.45">
      <c r="A2396" s="187">
        <v>2018</v>
      </c>
      <c r="B2396" t="s">
        <v>310</v>
      </c>
      <c r="C2396" t="s">
        <v>323</v>
      </c>
      <c r="D2396" t="s">
        <v>35</v>
      </c>
      <c r="E2396" t="s">
        <v>349</v>
      </c>
      <c r="F2396" t="s">
        <v>405</v>
      </c>
      <c r="G2396" t="s">
        <v>36</v>
      </c>
      <c r="H2396" t="s">
        <v>43</v>
      </c>
      <c r="I2396" s="187"/>
      <c r="J2396" s="187">
        <v>0</v>
      </c>
      <c r="K2396" s="187">
        <v>1050.0185993183566</v>
      </c>
      <c r="L2396" s="187">
        <v>0</v>
      </c>
      <c r="M2396" s="187">
        <v>1050.0185546875</v>
      </c>
      <c r="N2396" s="187">
        <v>0</v>
      </c>
      <c r="O2396" t="s">
        <v>2850</v>
      </c>
    </row>
    <row r="2397" spans="1:15" hidden="1" x14ac:dyDescent="0.45">
      <c r="A2397" s="187">
        <v>2018</v>
      </c>
      <c r="B2397" t="s">
        <v>312</v>
      </c>
      <c r="C2397" t="s">
        <v>323</v>
      </c>
      <c r="D2397" t="s">
        <v>35</v>
      </c>
      <c r="E2397" t="s">
        <v>349</v>
      </c>
      <c r="F2397" t="s">
        <v>406</v>
      </c>
      <c r="G2397" t="s">
        <v>36</v>
      </c>
      <c r="H2397" t="s">
        <v>43</v>
      </c>
      <c r="I2397" s="187">
        <v>0</v>
      </c>
      <c r="J2397" s="187">
        <v>0</v>
      </c>
      <c r="K2397" s="187">
        <v>1.053482005103038</v>
      </c>
      <c r="L2397" s="187">
        <v>0</v>
      </c>
      <c r="M2397" s="187">
        <v>1.0534820556640625</v>
      </c>
      <c r="N2397" s="187">
        <v>0</v>
      </c>
      <c r="O2397" t="s">
        <v>2857</v>
      </c>
    </row>
    <row r="2398" spans="1:15" hidden="1" x14ac:dyDescent="0.45">
      <c r="A2398" s="187">
        <v>2018</v>
      </c>
      <c r="B2398" t="s">
        <v>313</v>
      </c>
      <c r="C2398" t="s">
        <v>323</v>
      </c>
      <c r="D2398" t="s">
        <v>35</v>
      </c>
      <c r="E2398" t="s">
        <v>349</v>
      </c>
      <c r="F2398" t="s">
        <v>406</v>
      </c>
      <c r="G2398" t="s">
        <v>36</v>
      </c>
      <c r="H2398" t="s">
        <v>43</v>
      </c>
      <c r="I2398" s="187">
        <v>0</v>
      </c>
      <c r="J2398" s="187">
        <v>0</v>
      </c>
      <c r="K2398" s="187">
        <v>0.55888957710173559</v>
      </c>
      <c r="L2398" s="187">
        <v>0</v>
      </c>
      <c r="M2398" s="187">
        <v>0.55888956785202026</v>
      </c>
      <c r="N2398" s="187">
        <v>0</v>
      </c>
      <c r="O2398" t="s">
        <v>2861</v>
      </c>
    </row>
    <row r="2399" spans="1:15" hidden="1" x14ac:dyDescent="0.45">
      <c r="A2399" s="187">
        <v>2018</v>
      </c>
      <c r="B2399" t="s">
        <v>311</v>
      </c>
      <c r="C2399" t="s">
        <v>323</v>
      </c>
      <c r="D2399" t="s">
        <v>35</v>
      </c>
      <c r="E2399" t="s">
        <v>349</v>
      </c>
      <c r="F2399" t="s">
        <v>406</v>
      </c>
      <c r="G2399" t="s">
        <v>36</v>
      </c>
      <c r="H2399" t="s">
        <v>43</v>
      </c>
      <c r="I2399" s="187"/>
      <c r="J2399" s="187">
        <v>0</v>
      </c>
      <c r="K2399" s="187">
        <v>2.7365778368831899</v>
      </c>
      <c r="L2399" s="187">
        <v>0</v>
      </c>
      <c r="M2399" s="187">
        <v>2.7365777492523193</v>
      </c>
      <c r="N2399" s="187">
        <v>0</v>
      </c>
      <c r="O2399" t="s">
        <v>2859</v>
      </c>
    </row>
    <row r="2400" spans="1:15" hidden="1" x14ac:dyDescent="0.45">
      <c r="A2400" s="187">
        <v>2018</v>
      </c>
      <c r="B2400" t="s">
        <v>309</v>
      </c>
      <c r="C2400" t="s">
        <v>323</v>
      </c>
      <c r="D2400" t="s">
        <v>35</v>
      </c>
      <c r="E2400" t="s">
        <v>349</v>
      </c>
      <c r="F2400" t="s">
        <v>406</v>
      </c>
      <c r="G2400" t="s">
        <v>36</v>
      </c>
      <c r="H2400" t="s">
        <v>43</v>
      </c>
      <c r="I2400" s="187"/>
      <c r="J2400" s="187">
        <v>0</v>
      </c>
      <c r="K2400" s="187">
        <v>2.0113530848445529</v>
      </c>
      <c r="L2400" s="187">
        <v>0</v>
      </c>
      <c r="M2400" s="187">
        <v>2.0113530158996582</v>
      </c>
      <c r="N2400" s="187">
        <v>0</v>
      </c>
      <c r="O2400" t="s">
        <v>2856</v>
      </c>
    </row>
    <row r="2401" spans="1:15" hidden="1" x14ac:dyDescent="0.45">
      <c r="A2401" s="187">
        <v>2018</v>
      </c>
      <c r="B2401" t="s">
        <v>310</v>
      </c>
      <c r="C2401" t="s">
        <v>323</v>
      </c>
      <c r="D2401" t="s">
        <v>35</v>
      </c>
      <c r="E2401" t="s">
        <v>349</v>
      </c>
      <c r="F2401" t="s">
        <v>406</v>
      </c>
      <c r="G2401" t="s">
        <v>36</v>
      </c>
      <c r="H2401" t="s">
        <v>43</v>
      </c>
      <c r="I2401" s="187"/>
      <c r="J2401" s="187">
        <v>0</v>
      </c>
      <c r="K2401" s="187">
        <v>1.1599082468263198</v>
      </c>
      <c r="L2401" s="187">
        <v>0</v>
      </c>
      <c r="M2401" s="187">
        <v>1.1599082946777344</v>
      </c>
      <c r="N2401" s="187">
        <v>0</v>
      </c>
      <c r="O2401" t="s">
        <v>2860</v>
      </c>
    </row>
    <row r="2402" spans="1:15" hidden="1" x14ac:dyDescent="0.45">
      <c r="A2402" s="187">
        <v>2018</v>
      </c>
      <c r="B2402" t="s">
        <v>314</v>
      </c>
      <c r="C2402" t="s">
        <v>323</v>
      </c>
      <c r="D2402" t="s">
        <v>35</v>
      </c>
      <c r="E2402" t="s">
        <v>349</v>
      </c>
      <c r="F2402" t="s">
        <v>406</v>
      </c>
      <c r="G2402" t="s">
        <v>36</v>
      </c>
      <c r="H2402" t="s">
        <v>43</v>
      </c>
      <c r="I2402" s="187">
        <v>183.7609426743013</v>
      </c>
      <c r="J2402" s="187">
        <v>13.977847933186798</v>
      </c>
      <c r="K2402" s="187">
        <v>1.0269460176852934</v>
      </c>
      <c r="L2402" s="187">
        <v>0</v>
      </c>
      <c r="M2402" s="187">
        <v>198.76573181152344</v>
      </c>
      <c r="N2402" s="187">
        <v>183.76094055175781</v>
      </c>
      <c r="O2402" t="s">
        <v>2858</v>
      </c>
    </row>
    <row r="2403" spans="1:15" hidden="1" x14ac:dyDescent="0.45">
      <c r="A2403" s="187">
        <v>2018</v>
      </c>
      <c r="B2403" t="s">
        <v>312</v>
      </c>
      <c r="C2403" t="s">
        <v>323</v>
      </c>
      <c r="D2403" t="s">
        <v>35</v>
      </c>
      <c r="E2403" t="s">
        <v>349</v>
      </c>
      <c r="F2403" t="s">
        <v>407</v>
      </c>
      <c r="G2403" t="s">
        <v>36</v>
      </c>
      <c r="H2403" t="s">
        <v>43</v>
      </c>
      <c r="I2403" s="187">
        <v>0</v>
      </c>
      <c r="J2403" s="187">
        <v>0</v>
      </c>
      <c r="K2403" s="187">
        <v>0</v>
      </c>
      <c r="L2403" s="187">
        <v>121.18427512342734</v>
      </c>
      <c r="M2403" s="187">
        <v>121.18427276611328</v>
      </c>
      <c r="N2403" s="187">
        <v>121.18427276611328</v>
      </c>
      <c r="O2403" t="s">
        <v>2864</v>
      </c>
    </row>
    <row r="2404" spans="1:15" hidden="1" x14ac:dyDescent="0.45">
      <c r="A2404" s="187">
        <v>2018</v>
      </c>
      <c r="B2404" t="s">
        <v>309</v>
      </c>
      <c r="C2404" t="s">
        <v>323</v>
      </c>
      <c r="D2404" t="s">
        <v>35</v>
      </c>
      <c r="E2404" t="s">
        <v>349</v>
      </c>
      <c r="F2404" t="s">
        <v>407</v>
      </c>
      <c r="G2404" t="s">
        <v>36</v>
      </c>
      <c r="H2404" t="s">
        <v>43</v>
      </c>
      <c r="I2404" s="187"/>
      <c r="J2404" s="187">
        <v>0</v>
      </c>
      <c r="K2404" s="187">
        <v>0</v>
      </c>
      <c r="L2404" s="187">
        <v>63.584883766835688</v>
      </c>
      <c r="M2404" s="187">
        <v>63.584884643554688</v>
      </c>
      <c r="N2404" s="187">
        <v>63.584884643554688</v>
      </c>
      <c r="O2404" t="s">
        <v>2863</v>
      </c>
    </row>
    <row r="2405" spans="1:15" hidden="1" x14ac:dyDescent="0.45">
      <c r="A2405" s="187">
        <v>2018</v>
      </c>
      <c r="B2405" t="s">
        <v>310</v>
      </c>
      <c r="C2405" t="s">
        <v>323</v>
      </c>
      <c r="D2405" t="s">
        <v>35</v>
      </c>
      <c r="E2405" t="s">
        <v>349</v>
      </c>
      <c r="F2405" t="s">
        <v>407</v>
      </c>
      <c r="G2405" t="s">
        <v>36</v>
      </c>
      <c r="H2405" t="s">
        <v>43</v>
      </c>
      <c r="I2405" s="187"/>
      <c r="J2405" s="187">
        <v>0</v>
      </c>
      <c r="K2405" s="187">
        <v>0</v>
      </c>
      <c r="L2405" s="187">
        <v>64.078320377110117</v>
      </c>
      <c r="M2405" s="187">
        <v>64.078323364257813</v>
      </c>
      <c r="N2405" s="187">
        <v>64.078323364257813</v>
      </c>
      <c r="O2405" t="s">
        <v>2866</v>
      </c>
    </row>
    <row r="2406" spans="1:15" hidden="1" x14ac:dyDescent="0.45">
      <c r="A2406" s="187">
        <v>2018</v>
      </c>
      <c r="B2406" t="s">
        <v>314</v>
      </c>
      <c r="C2406" t="s">
        <v>323</v>
      </c>
      <c r="D2406" t="s">
        <v>35</v>
      </c>
      <c r="E2406" t="s">
        <v>349</v>
      </c>
      <c r="F2406" t="s">
        <v>407</v>
      </c>
      <c r="G2406" t="s">
        <v>36</v>
      </c>
      <c r="H2406" t="s">
        <v>43</v>
      </c>
      <c r="I2406" s="187"/>
      <c r="J2406" s="187"/>
      <c r="K2406" s="187">
        <v>0</v>
      </c>
      <c r="L2406" s="187">
        <v>0</v>
      </c>
      <c r="M2406" s="187">
        <v>0</v>
      </c>
      <c r="N2406" s="187">
        <v>0</v>
      </c>
      <c r="O2406" t="s">
        <v>2862</v>
      </c>
    </row>
    <row r="2407" spans="1:15" hidden="1" x14ac:dyDescent="0.45">
      <c r="A2407" s="187">
        <v>2018</v>
      </c>
      <c r="B2407" t="s">
        <v>311</v>
      </c>
      <c r="C2407" t="s">
        <v>323</v>
      </c>
      <c r="D2407" t="s">
        <v>35</v>
      </c>
      <c r="E2407" t="s">
        <v>349</v>
      </c>
      <c r="F2407" t="s">
        <v>407</v>
      </c>
      <c r="G2407" t="s">
        <v>36</v>
      </c>
      <c r="H2407" t="s">
        <v>43</v>
      </c>
      <c r="I2407" s="187"/>
      <c r="J2407" s="187">
        <v>0</v>
      </c>
      <c r="K2407" s="187">
        <v>0</v>
      </c>
      <c r="L2407" s="187">
        <v>61.214117887440189</v>
      </c>
      <c r="M2407" s="187">
        <v>61.214118957519531</v>
      </c>
      <c r="N2407" s="187">
        <v>61.214118957519531</v>
      </c>
      <c r="O2407" t="s">
        <v>2867</v>
      </c>
    </row>
    <row r="2408" spans="1:15" hidden="1" x14ac:dyDescent="0.45">
      <c r="A2408" s="187">
        <v>2018</v>
      </c>
      <c r="B2408" t="s">
        <v>313</v>
      </c>
      <c r="C2408" t="s">
        <v>323</v>
      </c>
      <c r="D2408" t="s">
        <v>35</v>
      </c>
      <c r="E2408" t="s">
        <v>349</v>
      </c>
      <c r="F2408" t="s">
        <v>407</v>
      </c>
      <c r="G2408" t="s">
        <v>36</v>
      </c>
      <c r="H2408" t="s">
        <v>43</v>
      </c>
      <c r="I2408" s="187">
        <v>0</v>
      </c>
      <c r="J2408" s="187">
        <v>0</v>
      </c>
      <c r="K2408" s="187">
        <v>0</v>
      </c>
      <c r="L2408" s="187">
        <v>117.39340370414216</v>
      </c>
      <c r="M2408" s="187">
        <v>117.39340209960938</v>
      </c>
      <c r="N2408" s="187">
        <v>117.39340209960938</v>
      </c>
      <c r="O2408" t="s">
        <v>2865</v>
      </c>
    </row>
    <row r="2409" spans="1:15" hidden="1" x14ac:dyDescent="0.45">
      <c r="A2409" s="187">
        <v>2018</v>
      </c>
      <c r="B2409" t="s">
        <v>310</v>
      </c>
      <c r="C2409" t="s">
        <v>323</v>
      </c>
      <c r="D2409" t="s">
        <v>35</v>
      </c>
      <c r="E2409" t="s">
        <v>349</v>
      </c>
      <c r="F2409" t="s">
        <v>408</v>
      </c>
      <c r="G2409" t="s">
        <v>36</v>
      </c>
      <c r="H2409" t="s">
        <v>43</v>
      </c>
      <c r="I2409" s="187"/>
      <c r="J2409" s="187">
        <v>0</v>
      </c>
      <c r="K2409" s="187">
        <v>221.71822498978577</v>
      </c>
      <c r="L2409" s="187">
        <v>151.69561558662804</v>
      </c>
      <c r="M2409" s="187">
        <v>373.41384887695313</v>
      </c>
      <c r="N2409" s="187">
        <v>151.69561767578125</v>
      </c>
      <c r="O2409" t="s">
        <v>2870</v>
      </c>
    </row>
    <row r="2410" spans="1:15" hidden="1" x14ac:dyDescent="0.45">
      <c r="A2410" s="187">
        <v>2018</v>
      </c>
      <c r="B2410" t="s">
        <v>309</v>
      </c>
      <c r="C2410" t="s">
        <v>323</v>
      </c>
      <c r="D2410" t="s">
        <v>35</v>
      </c>
      <c r="E2410" t="s">
        <v>349</v>
      </c>
      <c r="F2410" t="s">
        <v>408</v>
      </c>
      <c r="G2410" t="s">
        <v>36</v>
      </c>
      <c r="H2410" t="s">
        <v>43</v>
      </c>
      <c r="I2410" s="187"/>
      <c r="J2410" s="187"/>
      <c r="K2410" s="187">
        <v>452.12826413455599</v>
      </c>
      <c r="L2410" s="187">
        <v>127.16976753367138</v>
      </c>
      <c r="M2410" s="187">
        <v>579.29803466796875</v>
      </c>
      <c r="N2410" s="187">
        <v>127.16976928710938</v>
      </c>
      <c r="O2410" t="s">
        <v>2868</v>
      </c>
    </row>
    <row r="2411" spans="1:15" hidden="1" x14ac:dyDescent="0.45">
      <c r="A2411" s="187">
        <v>2018</v>
      </c>
      <c r="B2411" t="s">
        <v>313</v>
      </c>
      <c r="C2411" t="s">
        <v>323</v>
      </c>
      <c r="D2411" t="s">
        <v>35</v>
      </c>
      <c r="E2411" t="s">
        <v>349</v>
      </c>
      <c r="F2411" t="s">
        <v>408</v>
      </c>
      <c r="G2411" t="s">
        <v>36</v>
      </c>
      <c r="H2411" t="s">
        <v>43</v>
      </c>
      <c r="I2411" s="187"/>
      <c r="J2411" s="187"/>
      <c r="K2411" s="187"/>
      <c r="L2411" s="187">
        <v>171.29853805808497</v>
      </c>
      <c r="M2411" s="187">
        <v>171.29853820800781</v>
      </c>
      <c r="N2411" s="187">
        <v>171.29853820800781</v>
      </c>
      <c r="O2411" t="s">
        <v>2869</v>
      </c>
    </row>
    <row r="2412" spans="1:15" hidden="1" x14ac:dyDescent="0.45">
      <c r="A2412" s="187">
        <v>2018</v>
      </c>
      <c r="B2412" t="s">
        <v>309</v>
      </c>
      <c r="C2412" t="s">
        <v>323</v>
      </c>
      <c r="D2412" t="s">
        <v>35</v>
      </c>
      <c r="E2412" t="s">
        <v>349</v>
      </c>
      <c r="F2412" t="s">
        <v>409</v>
      </c>
      <c r="G2412" t="s">
        <v>36</v>
      </c>
      <c r="H2412" t="s">
        <v>43</v>
      </c>
      <c r="I2412" s="187"/>
      <c r="J2412" s="187"/>
      <c r="K2412" s="187">
        <v>0</v>
      </c>
      <c r="L2412" s="187">
        <v>31.792441883417844</v>
      </c>
      <c r="M2412" s="187">
        <v>31.792442321777344</v>
      </c>
      <c r="N2412" s="187">
        <v>31.792442321777344</v>
      </c>
      <c r="O2412" t="s">
        <v>2871</v>
      </c>
    </row>
    <row r="2413" spans="1:15" hidden="1" x14ac:dyDescent="0.45">
      <c r="A2413" s="187">
        <v>2018</v>
      </c>
      <c r="B2413" t="s">
        <v>313</v>
      </c>
      <c r="C2413" t="s">
        <v>323</v>
      </c>
      <c r="D2413" t="s">
        <v>35</v>
      </c>
      <c r="E2413" t="s">
        <v>349</v>
      </c>
      <c r="F2413" t="s">
        <v>409</v>
      </c>
      <c r="G2413" t="s">
        <v>36</v>
      </c>
      <c r="H2413" t="s">
        <v>43</v>
      </c>
      <c r="I2413" s="187"/>
      <c r="J2413" s="187"/>
      <c r="K2413" s="187"/>
      <c r="L2413" s="187">
        <v>0</v>
      </c>
      <c r="M2413" s="187">
        <v>0</v>
      </c>
      <c r="N2413" s="187">
        <v>0</v>
      </c>
      <c r="O2413" t="s">
        <v>2872</v>
      </c>
    </row>
    <row r="2414" spans="1:15" hidden="1" x14ac:dyDescent="0.45">
      <c r="A2414" s="187">
        <v>2018</v>
      </c>
      <c r="B2414" t="s">
        <v>310</v>
      </c>
      <c r="C2414" t="s">
        <v>323</v>
      </c>
      <c r="D2414" t="s">
        <v>35</v>
      </c>
      <c r="E2414" t="s">
        <v>349</v>
      </c>
      <c r="F2414" t="s">
        <v>409</v>
      </c>
      <c r="G2414" t="s">
        <v>36</v>
      </c>
      <c r="H2414" t="s">
        <v>43</v>
      </c>
      <c r="I2414" s="187"/>
      <c r="J2414" s="187">
        <v>0</v>
      </c>
      <c r="K2414" s="187">
        <v>0</v>
      </c>
      <c r="L2414" s="187">
        <v>31.385299776543732</v>
      </c>
      <c r="M2414" s="187">
        <v>31.385299682617188</v>
      </c>
      <c r="N2414" s="187">
        <v>31.385299682617188</v>
      </c>
      <c r="O2414" t="s">
        <v>2873</v>
      </c>
    </row>
    <row r="2415" spans="1:15" hidden="1" x14ac:dyDescent="0.45">
      <c r="A2415" s="187">
        <v>2018</v>
      </c>
      <c r="B2415" t="s">
        <v>310</v>
      </c>
      <c r="C2415" t="s">
        <v>323</v>
      </c>
      <c r="D2415" t="s">
        <v>35</v>
      </c>
      <c r="E2415" t="s">
        <v>349</v>
      </c>
      <c r="F2415" t="s">
        <v>410</v>
      </c>
      <c r="G2415" t="s">
        <v>36</v>
      </c>
      <c r="H2415" t="s">
        <v>43</v>
      </c>
      <c r="I2415" s="187"/>
      <c r="J2415" s="187">
        <v>0</v>
      </c>
      <c r="K2415" s="187">
        <v>0</v>
      </c>
      <c r="L2415" s="187">
        <v>278.54453551682565</v>
      </c>
      <c r="M2415" s="187">
        <v>278.54452514648438</v>
      </c>
      <c r="N2415" s="187">
        <v>278.54452514648438</v>
      </c>
      <c r="O2415" t="s">
        <v>2876</v>
      </c>
    </row>
    <row r="2416" spans="1:15" hidden="1" x14ac:dyDescent="0.45">
      <c r="A2416" s="187">
        <v>2018</v>
      </c>
      <c r="B2416" t="s">
        <v>313</v>
      </c>
      <c r="C2416" t="s">
        <v>323</v>
      </c>
      <c r="D2416" t="s">
        <v>35</v>
      </c>
      <c r="E2416" t="s">
        <v>349</v>
      </c>
      <c r="F2416" t="s">
        <v>410</v>
      </c>
      <c r="G2416" t="s">
        <v>36</v>
      </c>
      <c r="H2416" t="s">
        <v>43</v>
      </c>
      <c r="I2416" s="187"/>
      <c r="J2416" s="187"/>
      <c r="K2416" s="187"/>
      <c r="L2416" s="187">
        <v>111.40394433148184</v>
      </c>
      <c r="M2416" s="187">
        <v>111.40394592285156</v>
      </c>
      <c r="N2416" s="187">
        <v>111.40394592285156</v>
      </c>
      <c r="O2416" t="s">
        <v>2875</v>
      </c>
    </row>
    <row r="2417" spans="1:15" hidden="1" x14ac:dyDescent="0.45">
      <c r="A2417" s="187">
        <v>2018</v>
      </c>
      <c r="B2417" t="s">
        <v>309</v>
      </c>
      <c r="C2417" t="s">
        <v>323</v>
      </c>
      <c r="D2417" t="s">
        <v>35</v>
      </c>
      <c r="E2417" t="s">
        <v>349</v>
      </c>
      <c r="F2417" t="s">
        <v>410</v>
      </c>
      <c r="G2417" t="s">
        <v>36</v>
      </c>
      <c r="H2417" t="s">
        <v>43</v>
      </c>
      <c r="I2417" s="187"/>
      <c r="J2417" s="187"/>
      <c r="K2417" s="187">
        <v>0</v>
      </c>
      <c r="L2417" s="187">
        <v>25.169016491039127</v>
      </c>
      <c r="M2417" s="187">
        <v>25.169015884399414</v>
      </c>
      <c r="N2417" s="187">
        <v>25.169015884399414</v>
      </c>
      <c r="O2417" t="s">
        <v>2874</v>
      </c>
    </row>
    <row r="2418" spans="1:15" hidden="1" x14ac:dyDescent="0.45">
      <c r="A2418" s="187">
        <v>2018</v>
      </c>
      <c r="B2418" t="s">
        <v>313</v>
      </c>
      <c r="C2418" t="s">
        <v>323</v>
      </c>
      <c r="D2418" t="s">
        <v>35</v>
      </c>
      <c r="E2418" t="s">
        <v>349</v>
      </c>
      <c r="F2418" t="s">
        <v>411</v>
      </c>
      <c r="G2418" t="s">
        <v>36</v>
      </c>
      <c r="H2418" t="s">
        <v>43</v>
      </c>
      <c r="I2418" s="187"/>
      <c r="J2418" s="187"/>
      <c r="K2418" s="187"/>
      <c r="L2418" s="187">
        <v>282.7024823895668</v>
      </c>
      <c r="M2418" s="187">
        <v>282.70248413085938</v>
      </c>
      <c r="N2418" s="187">
        <v>282.70248413085938</v>
      </c>
      <c r="O2418" t="s">
        <v>2877</v>
      </c>
    </row>
    <row r="2419" spans="1:15" hidden="1" x14ac:dyDescent="0.45">
      <c r="A2419" s="187">
        <v>2018</v>
      </c>
      <c r="B2419" t="s">
        <v>309</v>
      </c>
      <c r="C2419" t="s">
        <v>323</v>
      </c>
      <c r="D2419" t="s">
        <v>35</v>
      </c>
      <c r="E2419" t="s">
        <v>349</v>
      </c>
      <c r="F2419" t="s">
        <v>411</v>
      </c>
      <c r="G2419" t="s">
        <v>36</v>
      </c>
      <c r="H2419" t="s">
        <v>43</v>
      </c>
      <c r="I2419" s="187"/>
      <c r="J2419" s="187">
        <v>0</v>
      </c>
      <c r="K2419" s="187">
        <v>452.12826413455599</v>
      </c>
      <c r="L2419" s="187">
        <v>184.13122590812836</v>
      </c>
      <c r="M2419" s="187">
        <v>636.259521484375</v>
      </c>
      <c r="N2419" s="187">
        <v>184.1312255859375</v>
      </c>
      <c r="O2419" t="s">
        <v>2878</v>
      </c>
    </row>
    <row r="2420" spans="1:15" hidden="1" x14ac:dyDescent="0.45">
      <c r="A2420" s="187">
        <v>2018</v>
      </c>
      <c r="B2420" t="s">
        <v>310</v>
      </c>
      <c r="C2420" t="s">
        <v>323</v>
      </c>
      <c r="D2420" t="s">
        <v>35</v>
      </c>
      <c r="E2420" t="s">
        <v>349</v>
      </c>
      <c r="F2420" t="s">
        <v>411</v>
      </c>
      <c r="G2420" t="s">
        <v>36</v>
      </c>
      <c r="H2420" t="s">
        <v>43</v>
      </c>
      <c r="I2420" s="187"/>
      <c r="J2420" s="187">
        <v>0</v>
      </c>
      <c r="K2420" s="187">
        <v>221.71822498978577</v>
      </c>
      <c r="L2420" s="187">
        <v>461.6254508799974</v>
      </c>
      <c r="M2420" s="187">
        <v>683.34368896484375</v>
      </c>
      <c r="N2420" s="187">
        <v>461.62545776367188</v>
      </c>
      <c r="O2420" t="s">
        <v>2879</v>
      </c>
    </row>
    <row r="2421" spans="1:15" hidden="1" x14ac:dyDescent="0.45">
      <c r="A2421" s="187">
        <v>2018</v>
      </c>
      <c r="B2421" t="s">
        <v>314</v>
      </c>
      <c r="C2421" t="s">
        <v>323</v>
      </c>
      <c r="D2421" t="s">
        <v>35</v>
      </c>
      <c r="E2421" t="s">
        <v>349</v>
      </c>
      <c r="F2421" t="s">
        <v>423</v>
      </c>
      <c r="G2421" t="s">
        <v>36</v>
      </c>
      <c r="H2421" t="s">
        <v>43</v>
      </c>
      <c r="I2421" s="187">
        <v>160.31659722836378</v>
      </c>
      <c r="J2421" s="187">
        <v>0</v>
      </c>
      <c r="K2421" s="187">
        <v>28.918316969416232</v>
      </c>
      <c r="L2421" s="187">
        <v>58.241033054944985</v>
      </c>
      <c r="M2421" s="187">
        <v>247.4759521484375</v>
      </c>
      <c r="N2421" s="187">
        <v>218.55763244628906</v>
      </c>
      <c r="O2421" t="s">
        <v>2883</v>
      </c>
    </row>
    <row r="2422" spans="1:15" hidden="1" x14ac:dyDescent="0.45">
      <c r="A2422" s="187">
        <v>2018</v>
      </c>
      <c r="B2422" t="s">
        <v>312</v>
      </c>
      <c r="C2422" t="s">
        <v>323</v>
      </c>
      <c r="D2422" t="s">
        <v>35</v>
      </c>
      <c r="E2422" t="s">
        <v>349</v>
      </c>
      <c r="F2422" t="s">
        <v>423</v>
      </c>
      <c r="G2422" t="s">
        <v>36</v>
      </c>
      <c r="H2422" t="s">
        <v>43</v>
      </c>
      <c r="I2422" s="187">
        <v>0</v>
      </c>
      <c r="J2422" s="187">
        <v>0</v>
      </c>
      <c r="K2422" s="187">
        <v>317.9355005680822</v>
      </c>
      <c r="L2422" s="187">
        <v>175.5935415053743</v>
      </c>
      <c r="M2422" s="187">
        <v>493.52902221679688</v>
      </c>
      <c r="N2422" s="187">
        <v>175.59353637695313</v>
      </c>
      <c r="O2422" t="s">
        <v>2881</v>
      </c>
    </row>
    <row r="2423" spans="1:15" hidden="1" x14ac:dyDescent="0.45">
      <c r="A2423" s="187">
        <v>2018</v>
      </c>
      <c r="B2423" t="s">
        <v>311</v>
      </c>
      <c r="C2423" t="s">
        <v>323</v>
      </c>
      <c r="D2423" t="s">
        <v>35</v>
      </c>
      <c r="E2423" t="s">
        <v>349</v>
      </c>
      <c r="F2423" t="s">
        <v>423</v>
      </c>
      <c r="G2423" t="s">
        <v>36</v>
      </c>
      <c r="H2423" t="s">
        <v>43</v>
      </c>
      <c r="I2423" s="187"/>
      <c r="J2423" s="187">
        <v>0</v>
      </c>
      <c r="K2423" s="187">
        <v>213.2071534831764</v>
      </c>
      <c r="L2423" s="187">
        <v>147.93411822798046</v>
      </c>
      <c r="M2423" s="187">
        <v>361.14126586914063</v>
      </c>
      <c r="N2423" s="187">
        <v>147.93411254882813</v>
      </c>
      <c r="O2423" t="s">
        <v>2880</v>
      </c>
    </row>
    <row r="2424" spans="1:15" hidden="1" x14ac:dyDescent="0.45">
      <c r="A2424" s="187">
        <v>2018</v>
      </c>
      <c r="B2424" t="s">
        <v>313</v>
      </c>
      <c r="C2424" t="s">
        <v>323</v>
      </c>
      <c r="D2424" t="s">
        <v>35</v>
      </c>
      <c r="E2424" t="s">
        <v>349</v>
      </c>
      <c r="F2424" t="s">
        <v>423</v>
      </c>
      <c r="G2424" t="s">
        <v>36</v>
      </c>
      <c r="H2424" t="s">
        <v>43</v>
      </c>
      <c r="I2424" s="187">
        <v>676.80890911061545</v>
      </c>
      <c r="J2424" s="187">
        <v>0</v>
      </c>
      <c r="K2424" s="187">
        <v>0</v>
      </c>
      <c r="L2424" s="187"/>
      <c r="M2424" s="187">
        <v>676.80889892578125</v>
      </c>
      <c r="N2424" s="187">
        <v>676.80889892578125</v>
      </c>
      <c r="O2424" t="s">
        <v>2882</v>
      </c>
    </row>
    <row r="2425" spans="1:15" hidden="1" x14ac:dyDescent="0.45">
      <c r="A2425" s="187">
        <v>2018</v>
      </c>
      <c r="B2425" t="s">
        <v>313</v>
      </c>
      <c r="C2425" t="s">
        <v>323</v>
      </c>
      <c r="D2425" t="s">
        <v>35</v>
      </c>
      <c r="E2425" t="s">
        <v>349</v>
      </c>
      <c r="F2425" t="s">
        <v>424</v>
      </c>
      <c r="G2425" t="s">
        <v>36</v>
      </c>
      <c r="H2425" t="s">
        <v>43</v>
      </c>
      <c r="I2425" s="187">
        <v>119.78918745320628</v>
      </c>
      <c r="J2425" s="187">
        <v>0</v>
      </c>
      <c r="K2425" s="187">
        <v>0</v>
      </c>
      <c r="L2425" s="187"/>
      <c r="M2425" s="187">
        <v>119.7891845703125</v>
      </c>
      <c r="N2425" s="187">
        <v>119.7891845703125</v>
      </c>
      <c r="O2425" t="s">
        <v>2886</v>
      </c>
    </row>
    <row r="2426" spans="1:15" hidden="1" x14ac:dyDescent="0.45">
      <c r="A2426" s="187">
        <v>2018</v>
      </c>
      <c r="B2426" t="s">
        <v>311</v>
      </c>
      <c r="C2426" t="s">
        <v>323</v>
      </c>
      <c r="D2426" t="s">
        <v>35</v>
      </c>
      <c r="E2426" t="s">
        <v>349</v>
      </c>
      <c r="F2426" t="s">
        <v>424</v>
      </c>
      <c r="G2426" t="s">
        <v>36</v>
      </c>
      <c r="H2426" t="s">
        <v>43</v>
      </c>
      <c r="I2426" s="187"/>
      <c r="J2426" s="187">
        <v>0</v>
      </c>
      <c r="K2426" s="187">
        <v>0</v>
      </c>
      <c r="L2426" s="187">
        <v>0</v>
      </c>
      <c r="M2426" s="187">
        <v>0</v>
      </c>
      <c r="N2426" s="187">
        <v>0</v>
      </c>
      <c r="O2426" t="s">
        <v>2887</v>
      </c>
    </row>
    <row r="2427" spans="1:15" hidden="1" x14ac:dyDescent="0.45">
      <c r="A2427" s="187">
        <v>2018</v>
      </c>
      <c r="B2427" t="s">
        <v>314</v>
      </c>
      <c r="C2427" t="s">
        <v>323</v>
      </c>
      <c r="D2427" t="s">
        <v>35</v>
      </c>
      <c r="E2427" t="s">
        <v>349</v>
      </c>
      <c r="F2427" t="s">
        <v>424</v>
      </c>
      <c r="G2427" t="s">
        <v>36</v>
      </c>
      <c r="H2427" t="s">
        <v>43</v>
      </c>
      <c r="I2427" s="187">
        <v>36.797849504775343</v>
      </c>
      <c r="J2427" s="187">
        <v>0</v>
      </c>
      <c r="K2427" s="187">
        <v>0</v>
      </c>
      <c r="L2427" s="187">
        <v>0</v>
      </c>
      <c r="M2427" s="187">
        <v>36.797847747802734</v>
      </c>
      <c r="N2427" s="187">
        <v>36.797847747802734</v>
      </c>
      <c r="O2427" t="s">
        <v>2885</v>
      </c>
    </row>
    <row r="2428" spans="1:15" hidden="1" x14ac:dyDescent="0.45">
      <c r="A2428" s="187">
        <v>2018</v>
      </c>
      <c r="B2428" t="s">
        <v>312</v>
      </c>
      <c r="C2428" t="s">
        <v>323</v>
      </c>
      <c r="D2428" t="s">
        <v>35</v>
      </c>
      <c r="E2428" t="s">
        <v>349</v>
      </c>
      <c r="F2428" t="s">
        <v>424</v>
      </c>
      <c r="G2428" t="s">
        <v>36</v>
      </c>
      <c r="H2428" t="s">
        <v>43</v>
      </c>
      <c r="I2428" s="187">
        <v>0</v>
      </c>
      <c r="J2428" s="187">
        <v>0</v>
      </c>
      <c r="K2428" s="187">
        <v>0</v>
      </c>
      <c r="L2428" s="187">
        <v>0</v>
      </c>
      <c r="M2428" s="187">
        <v>0</v>
      </c>
      <c r="N2428" s="187">
        <v>0</v>
      </c>
      <c r="O2428" t="s">
        <v>2884</v>
      </c>
    </row>
    <row r="2429" spans="1:15" hidden="1" x14ac:dyDescent="0.45">
      <c r="A2429" s="187">
        <v>2018</v>
      </c>
      <c r="B2429" t="s">
        <v>311</v>
      </c>
      <c r="C2429" t="s">
        <v>323</v>
      </c>
      <c r="D2429" t="s">
        <v>35</v>
      </c>
      <c r="E2429" t="s">
        <v>349</v>
      </c>
      <c r="F2429" t="s">
        <v>446</v>
      </c>
      <c r="G2429" t="s">
        <v>36</v>
      </c>
      <c r="H2429" t="s">
        <v>43</v>
      </c>
      <c r="I2429" s="187"/>
      <c r="J2429" s="187">
        <v>0</v>
      </c>
      <c r="K2429" s="187">
        <v>0</v>
      </c>
      <c r="L2429" s="187">
        <v>270.36235400286085</v>
      </c>
      <c r="M2429" s="187">
        <v>270.36236572265625</v>
      </c>
      <c r="N2429" s="187">
        <v>270.36236572265625</v>
      </c>
      <c r="O2429" t="s">
        <v>2890</v>
      </c>
    </row>
    <row r="2430" spans="1:15" hidden="1" x14ac:dyDescent="0.45">
      <c r="A2430" s="187">
        <v>2018</v>
      </c>
      <c r="B2430" t="s">
        <v>314</v>
      </c>
      <c r="C2430" t="s">
        <v>323</v>
      </c>
      <c r="D2430" t="s">
        <v>35</v>
      </c>
      <c r="E2430" t="s">
        <v>349</v>
      </c>
      <c r="F2430" t="s">
        <v>446</v>
      </c>
      <c r="G2430" t="s">
        <v>36</v>
      </c>
      <c r="H2430" t="s">
        <v>43</v>
      </c>
      <c r="I2430" s="187">
        <v>30.440258336497546</v>
      </c>
      <c r="J2430" s="187">
        <v>0</v>
      </c>
      <c r="K2430" s="187">
        <v>0</v>
      </c>
      <c r="L2430" s="187">
        <v>4.6592826443955992</v>
      </c>
      <c r="M2430" s="187">
        <v>35.099540710449219</v>
      </c>
      <c r="N2430" s="187">
        <v>35.099540710449219</v>
      </c>
      <c r="O2430" t="s">
        <v>2889</v>
      </c>
    </row>
    <row r="2431" spans="1:15" hidden="1" x14ac:dyDescent="0.45">
      <c r="A2431" s="187">
        <v>2018</v>
      </c>
      <c r="B2431" t="s">
        <v>313</v>
      </c>
      <c r="C2431" t="s">
        <v>323</v>
      </c>
      <c r="D2431" t="s">
        <v>35</v>
      </c>
      <c r="E2431" t="s">
        <v>349</v>
      </c>
      <c r="F2431" t="s">
        <v>446</v>
      </c>
      <c r="G2431" t="s">
        <v>36</v>
      </c>
      <c r="H2431" t="s">
        <v>43</v>
      </c>
      <c r="I2431" s="187">
        <v>119.78918745320628</v>
      </c>
      <c r="J2431" s="187">
        <v>0</v>
      </c>
      <c r="K2431" s="187">
        <v>0</v>
      </c>
      <c r="L2431" s="187"/>
      <c r="M2431" s="187">
        <v>119.7891845703125</v>
      </c>
      <c r="N2431" s="187">
        <v>119.7891845703125</v>
      </c>
      <c r="O2431" t="s">
        <v>2888</v>
      </c>
    </row>
    <row r="2432" spans="1:15" hidden="1" x14ac:dyDescent="0.45">
      <c r="A2432" s="187">
        <v>2018</v>
      </c>
      <c r="B2432" t="s">
        <v>312</v>
      </c>
      <c r="C2432" t="s">
        <v>323</v>
      </c>
      <c r="D2432" t="s">
        <v>35</v>
      </c>
      <c r="E2432" t="s">
        <v>349</v>
      </c>
      <c r="F2432" t="s">
        <v>446</v>
      </c>
      <c r="G2432" t="s">
        <v>36</v>
      </c>
      <c r="H2432" t="s">
        <v>43</v>
      </c>
      <c r="I2432" s="187">
        <v>822.32186690897129</v>
      </c>
      <c r="J2432" s="187">
        <v>0</v>
      </c>
      <c r="K2432" s="187">
        <v>0</v>
      </c>
      <c r="L2432" s="187">
        <v>115.00140394366065</v>
      </c>
      <c r="M2432" s="187">
        <v>937.3232421875</v>
      </c>
      <c r="N2432" s="187">
        <v>937.3232421875</v>
      </c>
      <c r="O2432" t="s">
        <v>2891</v>
      </c>
    </row>
    <row r="2433" spans="1:15" hidden="1" x14ac:dyDescent="0.45">
      <c r="A2433" s="187">
        <v>2018</v>
      </c>
      <c r="B2433" t="s">
        <v>314</v>
      </c>
      <c r="C2433" t="s">
        <v>323</v>
      </c>
      <c r="D2433" t="s">
        <v>35</v>
      </c>
      <c r="E2433" t="s">
        <v>349</v>
      </c>
      <c r="F2433" t="s">
        <v>447</v>
      </c>
      <c r="G2433" t="s">
        <v>36</v>
      </c>
      <c r="H2433" t="s">
        <v>43</v>
      </c>
      <c r="I2433" s="187">
        <v>227.55470506963667</v>
      </c>
      <c r="J2433" s="187">
        <v>0</v>
      </c>
      <c r="K2433" s="187">
        <v>28.918316969416232</v>
      </c>
      <c r="L2433" s="187">
        <v>62.900315699340588</v>
      </c>
      <c r="M2433" s="187">
        <v>319.37335205078125</v>
      </c>
      <c r="N2433" s="187">
        <v>290.45501708984375</v>
      </c>
      <c r="O2433" t="s">
        <v>2893</v>
      </c>
    </row>
    <row r="2434" spans="1:15" hidden="1" x14ac:dyDescent="0.45">
      <c r="A2434" s="187">
        <v>2018</v>
      </c>
      <c r="B2434" t="s">
        <v>313</v>
      </c>
      <c r="C2434" t="s">
        <v>323</v>
      </c>
      <c r="D2434" t="s">
        <v>35</v>
      </c>
      <c r="E2434" t="s">
        <v>349</v>
      </c>
      <c r="F2434" t="s">
        <v>447</v>
      </c>
      <c r="G2434" t="s">
        <v>36</v>
      </c>
      <c r="H2434" t="s">
        <v>43</v>
      </c>
      <c r="I2434" s="187">
        <v>916.38728401702804</v>
      </c>
      <c r="J2434" s="187">
        <v>0</v>
      </c>
      <c r="K2434" s="187">
        <v>0</v>
      </c>
      <c r="L2434" s="187"/>
      <c r="M2434" s="187">
        <v>916.38726806640625</v>
      </c>
      <c r="N2434" s="187">
        <v>916.38726806640625</v>
      </c>
      <c r="O2434" t="s">
        <v>2895</v>
      </c>
    </row>
    <row r="2435" spans="1:15" hidden="1" x14ac:dyDescent="0.45">
      <c r="A2435" s="187">
        <v>2018</v>
      </c>
      <c r="B2435" t="s">
        <v>311</v>
      </c>
      <c r="C2435" t="s">
        <v>323</v>
      </c>
      <c r="D2435" t="s">
        <v>35</v>
      </c>
      <c r="E2435" t="s">
        <v>349</v>
      </c>
      <c r="F2435" t="s">
        <v>447</v>
      </c>
      <c r="G2435" t="s">
        <v>36</v>
      </c>
      <c r="H2435" t="s">
        <v>43</v>
      </c>
      <c r="I2435" s="187"/>
      <c r="J2435" s="187">
        <v>0</v>
      </c>
      <c r="K2435" s="187">
        <v>213.2071534831764</v>
      </c>
      <c r="L2435" s="187">
        <v>418.29647223084129</v>
      </c>
      <c r="M2435" s="187">
        <v>631.50360107421875</v>
      </c>
      <c r="N2435" s="187">
        <v>418.29647827148438</v>
      </c>
      <c r="O2435" t="s">
        <v>2894</v>
      </c>
    </row>
    <row r="2436" spans="1:15" hidden="1" x14ac:dyDescent="0.45">
      <c r="A2436" s="187">
        <v>2018</v>
      </c>
      <c r="B2436" t="s">
        <v>312</v>
      </c>
      <c r="C2436" t="s">
        <v>323</v>
      </c>
      <c r="D2436" t="s">
        <v>35</v>
      </c>
      <c r="E2436" t="s">
        <v>349</v>
      </c>
      <c r="F2436" t="s">
        <v>447</v>
      </c>
      <c r="G2436" t="s">
        <v>36</v>
      </c>
      <c r="H2436" t="s">
        <v>43</v>
      </c>
      <c r="I2436" s="187">
        <v>822.32186690897129</v>
      </c>
      <c r="J2436" s="187">
        <v>0</v>
      </c>
      <c r="K2436" s="187">
        <v>317.9355005680822</v>
      </c>
      <c r="L2436" s="187">
        <v>290.59494544903498</v>
      </c>
      <c r="M2436" s="187">
        <v>1430.852294921875</v>
      </c>
      <c r="N2436" s="187">
        <v>1112.916748046875</v>
      </c>
      <c r="O2436" t="s">
        <v>2892</v>
      </c>
    </row>
    <row r="2437" spans="1:15" hidden="1" x14ac:dyDescent="0.45">
      <c r="A2437" s="187">
        <v>2018</v>
      </c>
      <c r="B2437" t="s">
        <v>34</v>
      </c>
      <c r="C2437" t="s">
        <v>324</v>
      </c>
      <c r="D2437" t="s">
        <v>35</v>
      </c>
      <c r="E2437" t="s">
        <v>348</v>
      </c>
      <c r="F2437" t="s">
        <v>382</v>
      </c>
      <c r="G2437" t="s">
        <v>36</v>
      </c>
      <c r="H2437" t="s">
        <v>43</v>
      </c>
      <c r="I2437" s="187">
        <v>15833.09765625</v>
      </c>
      <c r="J2437" s="187">
        <v>921.3731689453125</v>
      </c>
      <c r="K2437" s="187">
        <v>23056.564453125</v>
      </c>
      <c r="L2437" s="187">
        <v>33057.609375</v>
      </c>
      <c r="M2437" s="187">
        <v>72868.640625</v>
      </c>
      <c r="N2437" s="187">
        <v>48890.70703125</v>
      </c>
      <c r="O2437" t="s">
        <v>2896</v>
      </c>
    </row>
    <row r="2438" spans="1:15" hidden="1" x14ac:dyDescent="0.45">
      <c r="A2438" s="187">
        <v>2018</v>
      </c>
      <c r="B2438" t="s">
        <v>34</v>
      </c>
      <c r="C2438" t="s">
        <v>324</v>
      </c>
      <c r="D2438" t="s">
        <v>35</v>
      </c>
      <c r="E2438" t="s">
        <v>348</v>
      </c>
      <c r="F2438" t="s">
        <v>382</v>
      </c>
      <c r="G2438" t="s">
        <v>37</v>
      </c>
      <c r="H2438" t="s">
        <v>43</v>
      </c>
      <c r="I2438" s="187">
        <v>13592.7338151</v>
      </c>
      <c r="J2438" s="187">
        <v>791</v>
      </c>
      <c r="K2438" s="187">
        <v>19794.08874178839</v>
      </c>
      <c r="L2438" s="187">
        <v>28380</v>
      </c>
      <c r="M2438" s="187">
        <v>62557.8203125</v>
      </c>
      <c r="N2438" s="187">
        <v>41972.734375</v>
      </c>
      <c r="O2438" t="s">
        <v>2897</v>
      </c>
    </row>
    <row r="2439" spans="1:15" hidden="1" x14ac:dyDescent="0.45">
      <c r="A2439" s="187">
        <v>2018</v>
      </c>
      <c r="B2439" t="s">
        <v>34</v>
      </c>
      <c r="C2439" t="s">
        <v>324</v>
      </c>
      <c r="D2439" t="s">
        <v>35</v>
      </c>
      <c r="E2439" t="s">
        <v>19</v>
      </c>
      <c r="F2439" t="s">
        <v>19</v>
      </c>
      <c r="G2439" t="s">
        <v>36</v>
      </c>
      <c r="H2439" t="s">
        <v>43</v>
      </c>
      <c r="I2439" s="187">
        <v>2499.529296875</v>
      </c>
      <c r="J2439" s="187">
        <v>3.4944620132446289</v>
      </c>
      <c r="K2439" s="187">
        <v>712.2293701171875</v>
      </c>
      <c r="L2439" s="187">
        <v>3460.68212890625</v>
      </c>
      <c r="M2439" s="187">
        <v>6675.93505859375</v>
      </c>
      <c r="N2439" s="187">
        <v>5960.21142578125</v>
      </c>
      <c r="O2439" t="s">
        <v>2898</v>
      </c>
    </row>
    <row r="2440" spans="1:15" hidden="1" x14ac:dyDescent="0.45">
      <c r="A2440" s="187">
        <v>2018</v>
      </c>
      <c r="B2440" t="s">
        <v>34</v>
      </c>
      <c r="C2440" t="s">
        <v>324</v>
      </c>
      <c r="D2440" t="s">
        <v>35</v>
      </c>
      <c r="E2440" t="s">
        <v>19</v>
      </c>
      <c r="F2440" t="s">
        <v>19</v>
      </c>
      <c r="G2440" t="s">
        <v>37</v>
      </c>
      <c r="H2440" t="s">
        <v>43</v>
      </c>
      <c r="I2440" s="187">
        <v>2145.8491399999989</v>
      </c>
      <c r="J2440" s="187">
        <v>3</v>
      </c>
      <c r="K2440" s="187">
        <v>611.44982999999991</v>
      </c>
      <c r="L2440" s="187">
        <v>2971</v>
      </c>
      <c r="M2440" s="187">
        <v>5731.298828125</v>
      </c>
      <c r="N2440" s="187">
        <v>5116.84912109375</v>
      </c>
      <c r="O2440" t="s">
        <v>2899</v>
      </c>
    </row>
    <row r="2441" spans="1:15" hidden="1" x14ac:dyDescent="0.45">
      <c r="A2441" s="187">
        <v>2018</v>
      </c>
      <c r="B2441" t="s">
        <v>34</v>
      </c>
      <c r="C2441" t="s">
        <v>324</v>
      </c>
      <c r="D2441" t="s">
        <v>35</v>
      </c>
      <c r="E2441" t="s">
        <v>349</v>
      </c>
      <c r="F2441" t="s">
        <v>349</v>
      </c>
      <c r="G2441" t="s">
        <v>36</v>
      </c>
      <c r="H2441" t="s">
        <v>43</v>
      </c>
      <c r="I2441" s="187">
        <v>2406.436767578125</v>
      </c>
      <c r="J2441" s="187">
        <v>385.55563354492188</v>
      </c>
      <c r="K2441" s="187">
        <v>2488.64599609375</v>
      </c>
      <c r="L2441" s="187">
        <v>896.91192626953125</v>
      </c>
      <c r="M2441" s="187">
        <v>6177.55078125</v>
      </c>
      <c r="N2441" s="187">
        <v>3303.3486328125</v>
      </c>
      <c r="O2441" t="s">
        <v>2900</v>
      </c>
    </row>
    <row r="2442" spans="1:15" hidden="1" x14ac:dyDescent="0.45">
      <c r="A2442" s="187">
        <v>2018</v>
      </c>
      <c r="B2442" t="s">
        <v>34</v>
      </c>
      <c r="C2442" t="s">
        <v>324</v>
      </c>
      <c r="D2442" t="s">
        <v>35</v>
      </c>
      <c r="E2442" t="s">
        <v>349</v>
      </c>
      <c r="F2442" t="s">
        <v>349</v>
      </c>
      <c r="G2442" t="s">
        <v>37</v>
      </c>
      <c r="H2442" t="s">
        <v>43</v>
      </c>
      <c r="I2442" s="187">
        <v>2065.92895</v>
      </c>
      <c r="J2442" s="187">
        <v>331</v>
      </c>
      <c r="K2442" s="187">
        <v>2136.5058100000001</v>
      </c>
      <c r="L2442" s="187">
        <v>770</v>
      </c>
      <c r="M2442" s="187">
        <v>5303.4345703125</v>
      </c>
      <c r="N2442" s="187">
        <v>2835.928955078125</v>
      </c>
      <c r="O2442" t="s">
        <v>2901</v>
      </c>
    </row>
    <row r="2443" spans="1:15" hidden="1" x14ac:dyDescent="0.45">
      <c r="A2443" s="187">
        <v>2018</v>
      </c>
      <c r="B2443" t="s">
        <v>34</v>
      </c>
      <c r="C2443" t="s">
        <v>324</v>
      </c>
      <c r="D2443" t="s">
        <v>35</v>
      </c>
      <c r="E2443" t="s">
        <v>14</v>
      </c>
      <c r="F2443" t="s">
        <v>14</v>
      </c>
      <c r="G2443" t="s">
        <v>36</v>
      </c>
      <c r="H2443" t="s">
        <v>43</v>
      </c>
      <c r="I2443" s="187">
        <v>13352.7021484375</v>
      </c>
      <c r="J2443" s="187">
        <v>921.3731689453125</v>
      </c>
      <c r="K2443" s="187">
        <v>22084.775390625</v>
      </c>
      <c r="L2443" s="187">
        <v>26069.8515625</v>
      </c>
      <c r="M2443" s="187">
        <v>62428.703125</v>
      </c>
      <c r="N2443" s="187">
        <v>39422.5546875</v>
      </c>
      <c r="O2443" t="s">
        <v>2902</v>
      </c>
    </row>
    <row r="2444" spans="1:15" hidden="1" x14ac:dyDescent="0.45">
      <c r="A2444" s="187">
        <v>2018</v>
      </c>
      <c r="B2444" t="s">
        <v>34</v>
      </c>
      <c r="C2444" t="s">
        <v>324</v>
      </c>
      <c r="D2444" t="s">
        <v>35</v>
      </c>
      <c r="E2444" t="s">
        <v>14</v>
      </c>
      <c r="F2444" t="s">
        <v>14</v>
      </c>
      <c r="G2444" t="s">
        <v>37</v>
      </c>
      <c r="H2444" t="s">
        <v>43</v>
      </c>
      <c r="I2444" s="187">
        <v>11463.31136235198</v>
      </c>
      <c r="J2444" s="187">
        <v>791</v>
      </c>
      <c r="K2444" s="187">
        <v>18959.807281788391</v>
      </c>
      <c r="L2444" s="187">
        <v>22381</v>
      </c>
      <c r="M2444" s="187">
        <v>53595.1171875</v>
      </c>
      <c r="N2444" s="187">
        <v>33844.3125</v>
      </c>
      <c r="O2444" t="s">
        <v>2903</v>
      </c>
    </row>
    <row r="2445" spans="1:15" hidden="1" x14ac:dyDescent="0.45">
      <c r="A2445" s="187">
        <v>2018</v>
      </c>
      <c r="B2445" t="s">
        <v>34</v>
      </c>
      <c r="C2445" t="s">
        <v>324</v>
      </c>
      <c r="D2445" t="s">
        <v>35</v>
      </c>
      <c r="E2445" t="s">
        <v>16</v>
      </c>
      <c r="F2445" t="s">
        <v>16</v>
      </c>
      <c r="G2445" t="s">
        <v>36</v>
      </c>
      <c r="H2445" t="s">
        <v>43</v>
      </c>
      <c r="I2445" s="187">
        <v>8300.90234375</v>
      </c>
      <c r="J2445" s="187">
        <v>214.32699584960938</v>
      </c>
      <c r="K2445" s="187">
        <v>9339.1630859375</v>
      </c>
      <c r="L2445" s="187">
        <v>24483.365234375</v>
      </c>
      <c r="M2445" s="187">
        <v>42337.7578125</v>
      </c>
      <c r="N2445" s="187">
        <v>32784.265625</v>
      </c>
      <c r="O2445" t="s">
        <v>2904</v>
      </c>
    </row>
    <row r="2446" spans="1:15" hidden="1" x14ac:dyDescent="0.45">
      <c r="A2446" s="187">
        <v>2018</v>
      </c>
      <c r="B2446" t="s">
        <v>34</v>
      </c>
      <c r="C2446" t="s">
        <v>324</v>
      </c>
      <c r="D2446" t="s">
        <v>35</v>
      </c>
      <c r="E2446" t="s">
        <v>16</v>
      </c>
      <c r="F2446" t="s">
        <v>16</v>
      </c>
      <c r="G2446" t="s">
        <v>37</v>
      </c>
      <c r="H2446" t="s">
        <v>43</v>
      </c>
      <c r="I2446" s="187">
        <v>7126.3347399999993</v>
      </c>
      <c r="J2446" s="187">
        <v>184</v>
      </c>
      <c r="K2446" s="187">
        <v>8017.6830100000252</v>
      </c>
      <c r="L2446" s="187">
        <v>21019</v>
      </c>
      <c r="M2446" s="187">
        <v>36347.015625</v>
      </c>
      <c r="N2446" s="187">
        <v>28145.3359375</v>
      </c>
      <c r="O2446" t="s">
        <v>2905</v>
      </c>
    </row>
    <row r="2447" spans="1:15" hidden="1" x14ac:dyDescent="0.45">
      <c r="A2447" s="187">
        <v>2018</v>
      </c>
      <c r="B2447" t="s">
        <v>34</v>
      </c>
      <c r="C2447" t="s">
        <v>324</v>
      </c>
      <c r="D2447" t="s">
        <v>35</v>
      </c>
      <c r="E2447" t="s">
        <v>351</v>
      </c>
      <c r="F2447" t="s">
        <v>351</v>
      </c>
      <c r="G2447" t="s">
        <v>36</v>
      </c>
      <c r="H2447" t="s">
        <v>43</v>
      </c>
      <c r="I2447" s="187">
        <v>15.183492660522461</v>
      </c>
      <c r="J2447" s="187">
        <v>0</v>
      </c>
      <c r="K2447" s="187">
        <v>67.09381103515625</v>
      </c>
      <c r="L2447" s="187">
        <v>150.26187133789063</v>
      </c>
      <c r="M2447" s="187">
        <v>232.5391845703125</v>
      </c>
      <c r="N2447" s="187">
        <v>165.44535827636719</v>
      </c>
      <c r="O2447" t="s">
        <v>2906</v>
      </c>
    </row>
    <row r="2448" spans="1:15" hidden="1" x14ac:dyDescent="0.45">
      <c r="A2448" s="187">
        <v>2018</v>
      </c>
      <c r="B2448" t="s">
        <v>34</v>
      </c>
      <c r="C2448" t="s">
        <v>324</v>
      </c>
      <c r="D2448" t="s">
        <v>35</v>
      </c>
      <c r="E2448" t="s">
        <v>351</v>
      </c>
      <c r="F2448" t="s">
        <v>351</v>
      </c>
      <c r="G2448" t="s">
        <v>37</v>
      </c>
      <c r="H2448" t="s">
        <v>43</v>
      </c>
      <c r="I2448" s="187">
        <v>13.035047251986301</v>
      </c>
      <c r="J2448" s="187">
        <v>0</v>
      </c>
      <c r="K2448" s="187">
        <v>57.600119999999997</v>
      </c>
      <c r="L2448" s="187">
        <v>129</v>
      </c>
      <c r="M2448" s="187">
        <v>199.63516235351563</v>
      </c>
      <c r="N2448" s="187">
        <v>142.03504943847656</v>
      </c>
      <c r="O2448" t="s">
        <v>2907</v>
      </c>
    </row>
    <row r="2449" spans="1:15" hidden="1" x14ac:dyDescent="0.45">
      <c r="A2449" s="187">
        <v>2018</v>
      </c>
      <c r="B2449" t="s">
        <v>34</v>
      </c>
      <c r="C2449" t="s">
        <v>324</v>
      </c>
      <c r="D2449" t="s">
        <v>35</v>
      </c>
      <c r="E2449" t="s">
        <v>353</v>
      </c>
      <c r="F2449" t="s">
        <v>383</v>
      </c>
      <c r="G2449" t="s">
        <v>36</v>
      </c>
      <c r="H2449" t="s">
        <v>43</v>
      </c>
      <c r="I2449" s="187">
        <v>15607.5224609375</v>
      </c>
      <c r="J2449" s="187">
        <v>901.5711669921875</v>
      </c>
      <c r="K2449" s="187">
        <v>18257.77734375</v>
      </c>
      <c r="L2449" s="187">
        <v>31027.328125</v>
      </c>
      <c r="M2449" s="187">
        <v>65794.203125</v>
      </c>
      <c r="N2449" s="187">
        <v>46634.8515625</v>
      </c>
      <c r="O2449" t="s">
        <v>2908</v>
      </c>
    </row>
    <row r="2450" spans="1:15" hidden="1" x14ac:dyDescent="0.45">
      <c r="A2450" s="187">
        <v>2018</v>
      </c>
      <c r="B2450" t="s">
        <v>34</v>
      </c>
      <c r="C2450" t="s">
        <v>324</v>
      </c>
      <c r="D2450" t="s">
        <v>35</v>
      </c>
      <c r="E2450" t="s">
        <v>353</v>
      </c>
      <c r="F2450" t="s">
        <v>383</v>
      </c>
      <c r="G2450" t="s">
        <v>37</v>
      </c>
      <c r="H2450" t="s">
        <v>43</v>
      </c>
      <c r="I2450" s="187">
        <v>13399.077429999999</v>
      </c>
      <c r="J2450" s="187">
        <v>774</v>
      </c>
      <c r="K2450" s="187">
        <v>15674.324840000019</v>
      </c>
      <c r="L2450" s="187">
        <v>26637</v>
      </c>
      <c r="M2450" s="187">
        <v>56484.40234375</v>
      </c>
      <c r="N2450" s="187">
        <v>40036.078125</v>
      </c>
      <c r="O2450" t="s">
        <v>2909</v>
      </c>
    </row>
    <row r="2451" spans="1:15" hidden="1" x14ac:dyDescent="0.45">
      <c r="A2451" s="187">
        <v>2018</v>
      </c>
      <c r="B2451" t="s">
        <v>34</v>
      </c>
      <c r="C2451" t="s">
        <v>324</v>
      </c>
      <c r="D2451" t="s">
        <v>35</v>
      </c>
      <c r="E2451" t="s">
        <v>38</v>
      </c>
      <c r="F2451" t="s">
        <v>38</v>
      </c>
      <c r="G2451" t="s">
        <v>36</v>
      </c>
      <c r="H2451" t="s">
        <v>43</v>
      </c>
      <c r="I2451" s="187">
        <v>225.574951171875</v>
      </c>
      <c r="J2451" s="187">
        <v>19.801950454711914</v>
      </c>
      <c r="K2451" s="187">
        <v>4798.7861328125</v>
      </c>
      <c r="L2451" s="187">
        <v>2030.282470703125</v>
      </c>
      <c r="M2451" s="187">
        <v>7074.4453125</v>
      </c>
      <c r="N2451" s="187">
        <v>2255.857421875</v>
      </c>
      <c r="O2451" t="s">
        <v>2910</v>
      </c>
    </row>
    <row r="2452" spans="1:15" hidden="1" x14ac:dyDescent="0.45">
      <c r="A2452" s="187">
        <v>2018</v>
      </c>
      <c r="B2452" t="s">
        <v>34</v>
      </c>
      <c r="C2452" t="s">
        <v>324</v>
      </c>
      <c r="D2452" t="s">
        <v>35</v>
      </c>
      <c r="E2452" t="s">
        <v>38</v>
      </c>
      <c r="F2452" t="s">
        <v>38</v>
      </c>
      <c r="G2452" t="s">
        <v>37</v>
      </c>
      <c r="H2452" t="s">
        <v>43</v>
      </c>
      <c r="I2452" s="187">
        <v>193.65638509999999</v>
      </c>
      <c r="J2452" s="187">
        <v>17</v>
      </c>
      <c r="K2452" s="187">
        <v>4119.7639017883666</v>
      </c>
      <c r="L2452" s="187">
        <v>1743</v>
      </c>
      <c r="M2452" s="187">
        <v>6073.42041015625</v>
      </c>
      <c r="N2452" s="187">
        <v>1936.6563720703125</v>
      </c>
      <c r="O2452" t="s">
        <v>2911</v>
      </c>
    </row>
    <row r="2453" spans="1:15" hidden="1" x14ac:dyDescent="0.45">
      <c r="A2453" s="187">
        <v>2018</v>
      </c>
      <c r="B2453" t="s">
        <v>34</v>
      </c>
      <c r="C2453" t="s">
        <v>324</v>
      </c>
      <c r="D2453" t="s">
        <v>35</v>
      </c>
      <c r="E2453" t="s">
        <v>354</v>
      </c>
      <c r="F2453" t="s">
        <v>384</v>
      </c>
      <c r="G2453" t="s">
        <v>36</v>
      </c>
      <c r="H2453" t="s">
        <v>43</v>
      </c>
      <c r="I2453" s="187">
        <v>0</v>
      </c>
      <c r="J2453" s="187">
        <v>0</v>
      </c>
      <c r="K2453" s="187">
        <v>0</v>
      </c>
      <c r="L2453" s="187">
        <v>738.49627685546875</v>
      </c>
      <c r="M2453" s="187">
        <v>738.49627685546875</v>
      </c>
      <c r="N2453" s="187">
        <v>738.49627685546875</v>
      </c>
      <c r="O2453" t="s">
        <v>2912</v>
      </c>
    </row>
    <row r="2454" spans="1:15" hidden="1" x14ac:dyDescent="0.45">
      <c r="A2454" s="187">
        <v>2018</v>
      </c>
      <c r="B2454" t="s">
        <v>34</v>
      </c>
      <c r="C2454" t="s">
        <v>324</v>
      </c>
      <c r="D2454" t="s">
        <v>35</v>
      </c>
      <c r="E2454" t="s">
        <v>354</v>
      </c>
      <c r="F2454" t="s">
        <v>384</v>
      </c>
      <c r="G2454" t="s">
        <v>37</v>
      </c>
      <c r="H2454" t="s">
        <v>43</v>
      </c>
      <c r="I2454" s="187">
        <v>0</v>
      </c>
      <c r="J2454" s="187">
        <v>0</v>
      </c>
      <c r="K2454" s="187">
        <v>0</v>
      </c>
      <c r="L2454" s="187">
        <v>634</v>
      </c>
      <c r="M2454" s="187">
        <v>634</v>
      </c>
      <c r="N2454" s="187">
        <v>634</v>
      </c>
      <c r="O2454" t="s">
        <v>2913</v>
      </c>
    </row>
    <row r="2455" spans="1:15" hidden="1" x14ac:dyDescent="0.45">
      <c r="A2455" s="187">
        <v>2018</v>
      </c>
      <c r="B2455" t="s">
        <v>34</v>
      </c>
      <c r="C2455" t="s">
        <v>324</v>
      </c>
      <c r="D2455" t="s">
        <v>35</v>
      </c>
      <c r="E2455" t="s">
        <v>354</v>
      </c>
      <c r="F2455" t="s">
        <v>385</v>
      </c>
      <c r="G2455" t="s">
        <v>36</v>
      </c>
      <c r="H2455" t="s">
        <v>43</v>
      </c>
      <c r="I2455" s="187">
        <v>50.105716705322266</v>
      </c>
      <c r="J2455" s="187">
        <v>0</v>
      </c>
      <c r="K2455" s="187">
        <v>1390.5755615234375</v>
      </c>
      <c r="L2455" s="187">
        <v>45.428005218505859</v>
      </c>
      <c r="M2455" s="187">
        <v>1486.1092529296875</v>
      </c>
      <c r="N2455" s="187">
        <v>95.533721923828125</v>
      </c>
      <c r="O2455" t="s">
        <v>2914</v>
      </c>
    </row>
    <row r="2456" spans="1:15" hidden="1" x14ac:dyDescent="0.45">
      <c r="A2456" s="187">
        <v>2018</v>
      </c>
      <c r="B2456" t="s">
        <v>34</v>
      </c>
      <c r="C2456" t="s">
        <v>324</v>
      </c>
      <c r="D2456" t="s">
        <v>35</v>
      </c>
      <c r="E2456" t="s">
        <v>354</v>
      </c>
      <c r="F2456" t="s">
        <v>385</v>
      </c>
      <c r="G2456" t="s">
        <v>37</v>
      </c>
      <c r="H2456" t="s">
        <v>43</v>
      </c>
      <c r="I2456" s="187">
        <v>43.015819999999998</v>
      </c>
      <c r="J2456" s="187">
        <v>0</v>
      </c>
      <c r="K2456" s="187">
        <v>1193.8108500000001</v>
      </c>
      <c r="L2456" s="187">
        <v>39</v>
      </c>
      <c r="M2456" s="187">
        <v>1275.82666015625</v>
      </c>
      <c r="N2456" s="187">
        <v>82.015823364257813</v>
      </c>
      <c r="O2456" t="s">
        <v>2915</v>
      </c>
    </row>
    <row r="2457" spans="1:15" hidden="1" x14ac:dyDescent="0.45">
      <c r="A2457" s="187">
        <v>2018</v>
      </c>
      <c r="B2457" t="s">
        <v>34</v>
      </c>
      <c r="C2457" t="s">
        <v>324</v>
      </c>
      <c r="D2457" t="s">
        <v>35</v>
      </c>
      <c r="E2457" t="s">
        <v>354</v>
      </c>
      <c r="F2457" t="s">
        <v>386</v>
      </c>
      <c r="G2457" t="s">
        <v>36</v>
      </c>
      <c r="H2457" t="s">
        <v>43</v>
      </c>
      <c r="I2457" s="187">
        <v>0</v>
      </c>
      <c r="J2457" s="187">
        <v>3.4944620132446289</v>
      </c>
      <c r="K2457" s="187">
        <v>2726.226318359375</v>
      </c>
      <c r="L2457" s="187">
        <v>0</v>
      </c>
      <c r="M2457" s="187">
        <v>2729.720703125</v>
      </c>
      <c r="N2457" s="187">
        <v>0</v>
      </c>
      <c r="O2457" t="s">
        <v>2916</v>
      </c>
    </row>
    <row r="2458" spans="1:15" hidden="1" x14ac:dyDescent="0.45">
      <c r="A2458" s="187">
        <v>2018</v>
      </c>
      <c r="B2458" t="s">
        <v>34</v>
      </c>
      <c r="C2458" t="s">
        <v>324</v>
      </c>
      <c r="D2458" t="s">
        <v>35</v>
      </c>
      <c r="E2458" t="s">
        <v>354</v>
      </c>
      <c r="F2458" t="s">
        <v>386</v>
      </c>
      <c r="G2458" t="s">
        <v>37</v>
      </c>
      <c r="H2458" t="s">
        <v>43</v>
      </c>
      <c r="I2458" s="187">
        <v>0</v>
      </c>
      <c r="J2458" s="187">
        <v>3</v>
      </c>
      <c r="K2458" s="187">
        <v>2340.4687600000002</v>
      </c>
      <c r="L2458" s="187">
        <v>0</v>
      </c>
      <c r="M2458" s="187">
        <v>2343.46875</v>
      </c>
      <c r="N2458" s="187">
        <v>0</v>
      </c>
      <c r="O2458" t="s">
        <v>2917</v>
      </c>
    </row>
    <row r="2459" spans="1:15" hidden="1" x14ac:dyDescent="0.45">
      <c r="A2459" s="187">
        <v>2018</v>
      </c>
      <c r="B2459" t="s">
        <v>34</v>
      </c>
      <c r="C2459" t="s">
        <v>324</v>
      </c>
      <c r="D2459" t="s">
        <v>35</v>
      </c>
      <c r="E2459" t="s">
        <v>354</v>
      </c>
      <c r="F2459" t="s">
        <v>387</v>
      </c>
      <c r="G2459" t="s">
        <v>36</v>
      </c>
      <c r="H2459" t="s">
        <v>43</v>
      </c>
      <c r="I2459" s="187">
        <v>50.105716705322266</v>
      </c>
      <c r="J2459" s="187">
        <v>3.4944620132446289</v>
      </c>
      <c r="K2459" s="187">
        <v>4116.8017578125</v>
      </c>
      <c r="L2459" s="187">
        <v>783.92431640625</v>
      </c>
      <c r="M2459" s="187">
        <v>4954.326171875</v>
      </c>
      <c r="N2459" s="187">
        <v>834.030029296875</v>
      </c>
      <c r="O2459" t="s">
        <v>2918</v>
      </c>
    </row>
    <row r="2460" spans="1:15" hidden="1" x14ac:dyDescent="0.45">
      <c r="A2460" s="187">
        <v>2018</v>
      </c>
      <c r="B2460" t="s">
        <v>34</v>
      </c>
      <c r="C2460" t="s">
        <v>324</v>
      </c>
      <c r="D2460" t="s">
        <v>35</v>
      </c>
      <c r="E2460" t="s">
        <v>354</v>
      </c>
      <c r="F2460" t="s">
        <v>387</v>
      </c>
      <c r="G2460" t="s">
        <v>37</v>
      </c>
      <c r="H2460" t="s">
        <v>43</v>
      </c>
      <c r="I2460" s="187">
        <v>43.015819999999998</v>
      </c>
      <c r="J2460" s="187">
        <v>3</v>
      </c>
      <c r="K2460" s="187">
        <v>3534.27961</v>
      </c>
      <c r="L2460" s="187">
        <v>673</v>
      </c>
      <c r="M2460" s="187">
        <v>4253.29541015625</v>
      </c>
      <c r="N2460" s="187">
        <v>716.01580810546875</v>
      </c>
      <c r="O2460" t="s">
        <v>2919</v>
      </c>
    </row>
    <row r="2461" spans="1:15" hidden="1" x14ac:dyDescent="0.45">
      <c r="A2461" s="187">
        <v>2018</v>
      </c>
      <c r="B2461" t="s">
        <v>34</v>
      </c>
      <c r="C2461" t="s">
        <v>324</v>
      </c>
      <c r="D2461" t="s">
        <v>35</v>
      </c>
      <c r="E2461" t="s">
        <v>17</v>
      </c>
      <c r="F2461" t="s">
        <v>17</v>
      </c>
      <c r="G2461" t="s">
        <v>36</v>
      </c>
      <c r="H2461" t="s">
        <v>43</v>
      </c>
      <c r="I2461" s="187">
        <v>2350.54833984375</v>
      </c>
      <c r="J2461" s="187">
        <v>294.69961547851563</v>
      </c>
      <c r="K2461" s="187">
        <v>1600.9371337890625</v>
      </c>
      <c r="L2461" s="187">
        <v>1402.444091796875</v>
      </c>
      <c r="M2461" s="187">
        <v>5648.62890625</v>
      </c>
      <c r="N2461" s="187">
        <v>3752.992431640625</v>
      </c>
      <c r="O2461" t="s">
        <v>2920</v>
      </c>
    </row>
    <row r="2462" spans="1:15" hidden="1" x14ac:dyDescent="0.45">
      <c r="A2462" s="187">
        <v>2018</v>
      </c>
      <c r="B2462" t="s">
        <v>34</v>
      </c>
      <c r="C2462" t="s">
        <v>324</v>
      </c>
      <c r="D2462" t="s">
        <v>35</v>
      </c>
      <c r="E2462" t="s">
        <v>17</v>
      </c>
      <c r="F2462" t="s">
        <v>17</v>
      </c>
      <c r="G2462" t="s">
        <v>37</v>
      </c>
      <c r="H2462" t="s">
        <v>43</v>
      </c>
      <c r="I2462" s="187">
        <v>2017.9487799999999</v>
      </c>
      <c r="J2462" s="187">
        <v>253</v>
      </c>
      <c r="K2462" s="187">
        <v>1374.4065800000001</v>
      </c>
      <c r="L2462" s="187">
        <v>1204</v>
      </c>
      <c r="M2462" s="187">
        <v>4849.35546875</v>
      </c>
      <c r="N2462" s="187">
        <v>3221.94873046875</v>
      </c>
      <c r="O2462" t="s">
        <v>2921</v>
      </c>
    </row>
    <row r="2463" spans="1:15" hidden="1" x14ac:dyDescent="0.45">
      <c r="A2463" s="187">
        <v>2018</v>
      </c>
      <c r="B2463" t="s">
        <v>34</v>
      </c>
      <c r="C2463" t="s">
        <v>324</v>
      </c>
      <c r="D2463" t="s">
        <v>35</v>
      </c>
      <c r="E2463" t="s">
        <v>45</v>
      </c>
      <c r="F2463" t="s">
        <v>45</v>
      </c>
      <c r="G2463" t="s">
        <v>36</v>
      </c>
      <c r="H2463" t="s">
        <v>43</v>
      </c>
      <c r="I2463" s="187">
        <v>2495.578857421875</v>
      </c>
      <c r="J2463" s="187">
        <v>0</v>
      </c>
      <c r="K2463" s="187">
        <v>1038.882080078125</v>
      </c>
      <c r="L2463" s="187">
        <v>7138.02099609375</v>
      </c>
      <c r="M2463" s="187">
        <v>10672.482421875</v>
      </c>
      <c r="N2463" s="187">
        <v>9633.599609375</v>
      </c>
      <c r="O2463" t="s">
        <v>2922</v>
      </c>
    </row>
    <row r="2464" spans="1:15" hidden="1" x14ac:dyDescent="0.45">
      <c r="A2464" s="187">
        <v>2018</v>
      </c>
      <c r="B2464" t="s">
        <v>34</v>
      </c>
      <c r="C2464" t="s">
        <v>324</v>
      </c>
      <c r="D2464" t="s">
        <v>35</v>
      </c>
      <c r="E2464" t="s">
        <v>45</v>
      </c>
      <c r="F2464" t="s">
        <v>45</v>
      </c>
      <c r="G2464" t="s">
        <v>37</v>
      </c>
      <c r="H2464" t="s">
        <v>43</v>
      </c>
      <c r="I2464" s="187">
        <v>2142.4575</v>
      </c>
      <c r="J2464" s="187">
        <v>0</v>
      </c>
      <c r="K2464" s="187">
        <v>891.88157999999987</v>
      </c>
      <c r="L2464" s="187">
        <v>6128</v>
      </c>
      <c r="M2464" s="187">
        <v>9162.3388671875</v>
      </c>
      <c r="N2464" s="187">
        <v>8270.45703125</v>
      </c>
      <c r="O2464" t="s">
        <v>2923</v>
      </c>
    </row>
    <row r="2465" spans="1:15" hidden="1" x14ac:dyDescent="0.45">
      <c r="A2465" s="187">
        <v>2018</v>
      </c>
      <c r="B2465" t="s">
        <v>34</v>
      </c>
      <c r="C2465" t="s">
        <v>324</v>
      </c>
      <c r="D2465" t="s">
        <v>35</v>
      </c>
      <c r="E2465" t="s">
        <v>356</v>
      </c>
      <c r="F2465" t="s">
        <v>356</v>
      </c>
      <c r="G2465" t="s">
        <v>36</v>
      </c>
      <c r="H2465" t="s">
        <v>43</v>
      </c>
      <c r="I2465" s="187">
        <v>0</v>
      </c>
      <c r="J2465" s="187">
        <v>0</v>
      </c>
      <c r="K2465" s="187">
        <v>0</v>
      </c>
      <c r="L2465" s="187">
        <v>0</v>
      </c>
      <c r="M2465" s="187">
        <v>0</v>
      </c>
      <c r="N2465" s="187">
        <v>0</v>
      </c>
      <c r="O2465" t="s">
        <v>2924</v>
      </c>
    </row>
    <row r="2466" spans="1:15" hidden="1" x14ac:dyDescent="0.45">
      <c r="A2466" s="187">
        <v>2018</v>
      </c>
      <c r="B2466" t="s">
        <v>34</v>
      </c>
      <c r="C2466" t="s">
        <v>324</v>
      </c>
      <c r="D2466" t="s">
        <v>35</v>
      </c>
      <c r="E2466" t="s">
        <v>356</v>
      </c>
      <c r="F2466" t="s">
        <v>356</v>
      </c>
      <c r="G2466" t="s">
        <v>37</v>
      </c>
      <c r="H2466" t="s">
        <v>43</v>
      </c>
      <c r="I2466" s="187">
        <v>0</v>
      </c>
      <c r="J2466" s="187">
        <v>0</v>
      </c>
      <c r="K2466" s="187">
        <v>0</v>
      </c>
      <c r="L2466" s="187">
        <v>0</v>
      </c>
      <c r="M2466" s="187">
        <v>0</v>
      </c>
      <c r="N2466" s="187">
        <v>0</v>
      </c>
      <c r="O2466" t="s">
        <v>2925</v>
      </c>
    </row>
    <row r="2467" spans="1:15" hidden="1" x14ac:dyDescent="0.45">
      <c r="A2467" s="187">
        <v>2018</v>
      </c>
      <c r="B2467" t="s">
        <v>34</v>
      </c>
      <c r="C2467" t="s">
        <v>325</v>
      </c>
      <c r="D2467" t="s">
        <v>35</v>
      </c>
      <c r="E2467" t="s">
        <v>357</v>
      </c>
      <c r="F2467" t="s">
        <v>412</v>
      </c>
      <c r="G2467" t="s">
        <v>36</v>
      </c>
      <c r="H2467" t="s">
        <v>43</v>
      </c>
      <c r="I2467" s="187">
        <v>2406.436767578125</v>
      </c>
      <c r="J2467" s="187">
        <v>385.55563354492188</v>
      </c>
      <c r="K2467" s="187">
        <v>2488.64599609375</v>
      </c>
      <c r="L2467" s="187">
        <v>896.91192626953125</v>
      </c>
      <c r="M2467" s="187">
        <v>6177.55078125</v>
      </c>
      <c r="N2467" s="187">
        <v>3303.3486328125</v>
      </c>
      <c r="O2467" t="s">
        <v>2926</v>
      </c>
    </row>
    <row r="2468" spans="1:15" hidden="1" x14ac:dyDescent="0.45">
      <c r="A2468" s="187">
        <v>2018</v>
      </c>
      <c r="B2468" t="s">
        <v>34</v>
      </c>
      <c r="C2468" t="s">
        <v>325</v>
      </c>
      <c r="D2468" t="s">
        <v>35</v>
      </c>
      <c r="E2468" t="s">
        <v>357</v>
      </c>
      <c r="F2468" t="s">
        <v>412</v>
      </c>
      <c r="G2468" t="s">
        <v>37</v>
      </c>
      <c r="H2468" t="s">
        <v>43</v>
      </c>
      <c r="I2468" s="187">
        <v>2065.92895</v>
      </c>
      <c r="J2468" s="187">
        <v>331</v>
      </c>
      <c r="K2468" s="187">
        <v>2136.5058100000001</v>
      </c>
      <c r="L2468" s="187">
        <v>770</v>
      </c>
      <c r="M2468" s="187">
        <v>5303.4345703125</v>
      </c>
      <c r="N2468" s="187">
        <v>2835.928955078125</v>
      </c>
      <c r="O2468" t="s">
        <v>2927</v>
      </c>
    </row>
    <row r="2469" spans="1:15" hidden="1" x14ac:dyDescent="0.45">
      <c r="A2469" s="187">
        <v>2018</v>
      </c>
      <c r="B2469" t="s">
        <v>34</v>
      </c>
      <c r="C2469" t="s">
        <v>325</v>
      </c>
      <c r="D2469" t="s">
        <v>35</v>
      </c>
      <c r="E2469" t="s">
        <v>357</v>
      </c>
      <c r="F2469" t="s">
        <v>413</v>
      </c>
      <c r="G2469" t="s">
        <v>36</v>
      </c>
      <c r="H2469" t="s">
        <v>43</v>
      </c>
      <c r="I2469" s="187">
        <v>2406.436767578125</v>
      </c>
      <c r="J2469" s="187">
        <v>385.55563354492188</v>
      </c>
      <c r="K2469" s="187">
        <v>2488.64599609375</v>
      </c>
      <c r="L2469" s="187">
        <v>797.90216064453125</v>
      </c>
      <c r="M2469" s="187">
        <v>6078.541015625</v>
      </c>
      <c r="N2469" s="187">
        <v>3204.3388671875</v>
      </c>
      <c r="O2469" t="s">
        <v>2928</v>
      </c>
    </row>
    <row r="2470" spans="1:15" hidden="1" x14ac:dyDescent="0.45">
      <c r="A2470" s="187">
        <v>2018</v>
      </c>
      <c r="B2470" t="s">
        <v>34</v>
      </c>
      <c r="C2470" t="s">
        <v>325</v>
      </c>
      <c r="D2470" t="s">
        <v>35</v>
      </c>
      <c r="E2470" t="s">
        <v>357</v>
      </c>
      <c r="F2470" t="s">
        <v>413</v>
      </c>
      <c r="G2470" t="s">
        <v>37</v>
      </c>
      <c r="H2470" t="s">
        <v>43</v>
      </c>
      <c r="I2470" s="187">
        <v>2065.92895</v>
      </c>
      <c r="J2470" s="187">
        <v>331</v>
      </c>
      <c r="K2470" s="187">
        <v>2136.5058100000001</v>
      </c>
      <c r="L2470" s="187">
        <v>685</v>
      </c>
      <c r="M2470" s="187">
        <v>5218.4345703125</v>
      </c>
      <c r="N2470" s="187">
        <v>2750.928955078125</v>
      </c>
      <c r="O2470" t="s">
        <v>2929</v>
      </c>
    </row>
    <row r="2471" spans="1:15" hidden="1" x14ac:dyDescent="0.45">
      <c r="A2471" s="187">
        <v>2018</v>
      </c>
      <c r="B2471" t="s">
        <v>34</v>
      </c>
      <c r="C2471" t="s">
        <v>325</v>
      </c>
      <c r="D2471" t="s">
        <v>35</v>
      </c>
      <c r="E2471" t="s">
        <v>357</v>
      </c>
      <c r="F2471" t="s">
        <v>414</v>
      </c>
      <c r="G2471" t="s">
        <v>36</v>
      </c>
      <c r="H2471" t="s">
        <v>43</v>
      </c>
      <c r="I2471" s="187">
        <v>0</v>
      </c>
      <c r="J2471" s="187"/>
      <c r="K2471" s="187">
        <v>0</v>
      </c>
      <c r="L2471" s="187">
        <v>99.009757995605469</v>
      </c>
      <c r="M2471" s="187">
        <v>99.009757995605469</v>
      </c>
      <c r="N2471" s="187">
        <v>99.009757995605469</v>
      </c>
      <c r="O2471" t="s">
        <v>2930</v>
      </c>
    </row>
    <row r="2472" spans="1:15" hidden="1" x14ac:dyDescent="0.45">
      <c r="A2472" s="187">
        <v>2018</v>
      </c>
      <c r="B2472" t="s">
        <v>34</v>
      </c>
      <c r="C2472" t="s">
        <v>325</v>
      </c>
      <c r="D2472" t="s">
        <v>35</v>
      </c>
      <c r="E2472" t="s">
        <v>357</v>
      </c>
      <c r="F2472" t="s">
        <v>414</v>
      </c>
      <c r="G2472" t="s">
        <v>37</v>
      </c>
      <c r="H2472" t="s">
        <v>43</v>
      </c>
      <c r="I2472" s="187">
        <v>0</v>
      </c>
      <c r="J2472" s="187"/>
      <c r="K2472" s="187">
        <v>0</v>
      </c>
      <c r="L2472" s="187">
        <v>85</v>
      </c>
      <c r="M2472" s="187">
        <v>85</v>
      </c>
      <c r="N2472" s="187">
        <v>85</v>
      </c>
      <c r="O2472" t="s">
        <v>2931</v>
      </c>
    </row>
    <row r="2473" spans="1:15" hidden="1" x14ac:dyDescent="0.45">
      <c r="A2473" s="187">
        <v>2018</v>
      </c>
      <c r="B2473" t="s">
        <v>34</v>
      </c>
      <c r="C2473" t="s">
        <v>325</v>
      </c>
      <c r="D2473" t="s">
        <v>35</v>
      </c>
      <c r="E2473" t="s">
        <v>357</v>
      </c>
      <c r="F2473" t="s">
        <v>392</v>
      </c>
      <c r="G2473" t="s">
        <v>36</v>
      </c>
      <c r="H2473" t="s">
        <v>43</v>
      </c>
      <c r="I2473" s="187">
        <v>0</v>
      </c>
      <c r="J2473" s="187">
        <v>2.3296413421630859</v>
      </c>
      <c r="K2473" s="187">
        <v>0</v>
      </c>
      <c r="L2473" s="187">
        <v>0</v>
      </c>
      <c r="M2473" s="187">
        <v>2.3296413421630859</v>
      </c>
      <c r="N2473" s="187">
        <v>0</v>
      </c>
      <c r="O2473" t="s">
        <v>2932</v>
      </c>
    </row>
    <row r="2474" spans="1:15" hidden="1" x14ac:dyDescent="0.45">
      <c r="A2474" s="187">
        <v>2018</v>
      </c>
      <c r="B2474" t="s">
        <v>34</v>
      </c>
      <c r="C2474" t="s">
        <v>325</v>
      </c>
      <c r="D2474" t="s">
        <v>35</v>
      </c>
      <c r="E2474" t="s">
        <v>357</v>
      </c>
      <c r="F2474" t="s">
        <v>392</v>
      </c>
      <c r="G2474" t="s">
        <v>37</v>
      </c>
      <c r="H2474" t="s">
        <v>43</v>
      </c>
      <c r="I2474" s="187">
        <v>0</v>
      </c>
      <c r="J2474" s="187">
        <v>2</v>
      </c>
      <c r="K2474" s="187">
        <v>0</v>
      </c>
      <c r="L2474" s="187">
        <v>0</v>
      </c>
      <c r="M2474" s="187">
        <v>2</v>
      </c>
      <c r="N2474" s="187">
        <v>0</v>
      </c>
      <c r="O2474" t="s">
        <v>2933</v>
      </c>
    </row>
    <row r="2475" spans="1:15" hidden="1" x14ac:dyDescent="0.45">
      <c r="A2475" s="187">
        <v>2018</v>
      </c>
      <c r="B2475" t="s">
        <v>34</v>
      </c>
      <c r="C2475" t="s">
        <v>325</v>
      </c>
      <c r="D2475" t="s">
        <v>35</v>
      </c>
      <c r="E2475" t="s">
        <v>357</v>
      </c>
      <c r="F2475" t="s">
        <v>393</v>
      </c>
      <c r="G2475" t="s">
        <v>36</v>
      </c>
      <c r="H2475" t="s">
        <v>43</v>
      </c>
      <c r="I2475" s="187">
        <v>272.09103393554688</v>
      </c>
      <c r="J2475" s="187">
        <v>11.64820671081543</v>
      </c>
      <c r="K2475" s="187">
        <v>-9.6588563919067383</v>
      </c>
      <c r="L2475" s="187">
        <v>198.01951599121094</v>
      </c>
      <c r="M2475" s="187">
        <v>472.09991455078125</v>
      </c>
      <c r="N2475" s="187">
        <v>470.11053466796875</v>
      </c>
      <c r="O2475" t="s">
        <v>2934</v>
      </c>
    </row>
    <row r="2476" spans="1:15" hidden="1" x14ac:dyDescent="0.45">
      <c r="A2476" s="187">
        <v>2018</v>
      </c>
      <c r="B2476" t="s">
        <v>34</v>
      </c>
      <c r="C2476" t="s">
        <v>325</v>
      </c>
      <c r="D2476" t="s">
        <v>35</v>
      </c>
      <c r="E2476" t="s">
        <v>357</v>
      </c>
      <c r="F2476" t="s">
        <v>393</v>
      </c>
      <c r="G2476" t="s">
        <v>37</v>
      </c>
      <c r="H2476" t="s">
        <v>43</v>
      </c>
      <c r="I2476" s="187">
        <v>233.59048999999999</v>
      </c>
      <c r="J2476" s="187">
        <v>10</v>
      </c>
      <c r="K2476" s="187">
        <v>-8.2921399999999998</v>
      </c>
      <c r="L2476" s="187">
        <v>170</v>
      </c>
      <c r="M2476" s="187">
        <v>405.29833984375</v>
      </c>
      <c r="N2476" s="187">
        <v>403.59048461914063</v>
      </c>
      <c r="O2476" t="s">
        <v>2935</v>
      </c>
    </row>
    <row r="2477" spans="1:15" hidden="1" x14ac:dyDescent="0.45">
      <c r="A2477" s="187">
        <v>2018</v>
      </c>
      <c r="B2477" t="s">
        <v>34</v>
      </c>
      <c r="C2477" t="s">
        <v>325</v>
      </c>
      <c r="D2477" t="s">
        <v>35</v>
      </c>
      <c r="E2477" t="s">
        <v>357</v>
      </c>
      <c r="F2477" t="s">
        <v>394</v>
      </c>
      <c r="G2477" t="s">
        <v>36</v>
      </c>
      <c r="H2477" t="s">
        <v>43</v>
      </c>
      <c r="I2477" s="187">
        <v>142.9669189453125</v>
      </c>
      <c r="J2477" s="187"/>
      <c r="K2477" s="187">
        <v>0</v>
      </c>
      <c r="L2477" s="187">
        <v>0</v>
      </c>
      <c r="M2477" s="187">
        <v>142.9669189453125</v>
      </c>
      <c r="N2477" s="187">
        <v>142.9669189453125</v>
      </c>
      <c r="O2477" t="s">
        <v>2936</v>
      </c>
    </row>
    <row r="2478" spans="1:15" hidden="1" x14ac:dyDescent="0.45">
      <c r="A2478" s="187">
        <v>2018</v>
      </c>
      <c r="B2478" t="s">
        <v>34</v>
      </c>
      <c r="C2478" t="s">
        <v>325</v>
      </c>
      <c r="D2478" t="s">
        <v>35</v>
      </c>
      <c r="E2478" t="s">
        <v>357</v>
      </c>
      <c r="F2478" t="s">
        <v>394</v>
      </c>
      <c r="G2478" t="s">
        <v>37</v>
      </c>
      <c r="H2478" t="s">
        <v>43</v>
      </c>
      <c r="I2478" s="187">
        <v>122.73728</v>
      </c>
      <c r="J2478" s="187"/>
      <c r="K2478" s="187">
        <v>0</v>
      </c>
      <c r="L2478" s="187">
        <v>0</v>
      </c>
      <c r="M2478" s="187">
        <v>122.73728179931641</v>
      </c>
      <c r="N2478" s="187">
        <v>122.73728179931641</v>
      </c>
      <c r="O2478" t="s">
        <v>2937</v>
      </c>
    </row>
    <row r="2479" spans="1:15" hidden="1" x14ac:dyDescent="0.45">
      <c r="A2479" s="187">
        <v>2018</v>
      </c>
      <c r="B2479" t="s">
        <v>34</v>
      </c>
      <c r="C2479" t="s">
        <v>325</v>
      </c>
      <c r="D2479" t="s">
        <v>35</v>
      </c>
      <c r="E2479" t="s">
        <v>357</v>
      </c>
      <c r="F2479" t="s">
        <v>395</v>
      </c>
      <c r="G2479" t="s">
        <v>36</v>
      </c>
      <c r="H2479" t="s">
        <v>43</v>
      </c>
      <c r="I2479" s="187">
        <v>183.76097106933594</v>
      </c>
      <c r="J2479" s="187"/>
      <c r="K2479" s="187">
        <v>0</v>
      </c>
      <c r="L2479" s="187">
        <v>0</v>
      </c>
      <c r="M2479" s="187">
        <v>183.76097106933594</v>
      </c>
      <c r="N2479" s="187">
        <v>183.76097106933594</v>
      </c>
      <c r="O2479" t="s">
        <v>2938</v>
      </c>
    </row>
    <row r="2480" spans="1:15" hidden="1" x14ac:dyDescent="0.45">
      <c r="A2480" s="187">
        <v>2018</v>
      </c>
      <c r="B2480" t="s">
        <v>34</v>
      </c>
      <c r="C2480" t="s">
        <v>325</v>
      </c>
      <c r="D2480" t="s">
        <v>35</v>
      </c>
      <c r="E2480" t="s">
        <v>357</v>
      </c>
      <c r="F2480" t="s">
        <v>395</v>
      </c>
      <c r="G2480" t="s">
        <v>37</v>
      </c>
      <c r="H2480" t="s">
        <v>43</v>
      </c>
      <c r="I2480" s="187">
        <v>157.75903</v>
      </c>
      <c r="J2480" s="187"/>
      <c r="K2480" s="187">
        <v>0</v>
      </c>
      <c r="L2480" s="187">
        <v>0</v>
      </c>
      <c r="M2480" s="187">
        <v>157.759033203125</v>
      </c>
      <c r="N2480" s="187">
        <v>157.759033203125</v>
      </c>
      <c r="O2480" t="s">
        <v>2939</v>
      </c>
    </row>
    <row r="2481" spans="1:15" hidden="1" x14ac:dyDescent="0.45">
      <c r="A2481" s="187">
        <v>2018</v>
      </c>
      <c r="B2481" t="s">
        <v>34</v>
      </c>
      <c r="C2481" t="s">
        <v>325</v>
      </c>
      <c r="D2481" t="s">
        <v>35</v>
      </c>
      <c r="E2481" t="s">
        <v>357</v>
      </c>
      <c r="F2481" t="s">
        <v>396</v>
      </c>
      <c r="G2481" t="s">
        <v>36</v>
      </c>
      <c r="H2481" t="s">
        <v>43</v>
      </c>
      <c r="I2481" s="187">
        <v>0</v>
      </c>
      <c r="J2481" s="187"/>
      <c r="K2481" s="187">
        <v>558.89361572265625</v>
      </c>
      <c r="L2481" s="187">
        <v>0</v>
      </c>
      <c r="M2481" s="187">
        <v>558.89361572265625</v>
      </c>
      <c r="N2481" s="187">
        <v>0</v>
      </c>
      <c r="O2481" t="s">
        <v>2940</v>
      </c>
    </row>
    <row r="2482" spans="1:15" hidden="1" x14ac:dyDescent="0.45">
      <c r="A2482" s="187">
        <v>2018</v>
      </c>
      <c r="B2482" t="s">
        <v>34</v>
      </c>
      <c r="C2482" t="s">
        <v>325</v>
      </c>
      <c r="D2482" t="s">
        <v>35</v>
      </c>
      <c r="E2482" t="s">
        <v>357</v>
      </c>
      <c r="F2482" t="s">
        <v>396</v>
      </c>
      <c r="G2482" t="s">
        <v>37</v>
      </c>
      <c r="H2482" t="s">
        <v>43</v>
      </c>
      <c r="I2482" s="187">
        <v>0</v>
      </c>
      <c r="J2482" s="187"/>
      <c r="K2482" s="187">
        <v>479.81089000000009</v>
      </c>
      <c r="L2482" s="187">
        <v>0</v>
      </c>
      <c r="M2482" s="187">
        <v>479.81088256835938</v>
      </c>
      <c r="N2482" s="187">
        <v>0</v>
      </c>
      <c r="O2482" t="s">
        <v>2941</v>
      </c>
    </row>
    <row r="2483" spans="1:15" hidden="1" x14ac:dyDescent="0.45">
      <c r="A2483" s="187">
        <v>2018</v>
      </c>
      <c r="B2483" t="s">
        <v>34</v>
      </c>
      <c r="C2483" t="s">
        <v>325</v>
      </c>
      <c r="D2483" t="s">
        <v>35</v>
      </c>
      <c r="E2483" t="s">
        <v>357</v>
      </c>
      <c r="F2483" t="s">
        <v>415</v>
      </c>
      <c r="G2483" t="s">
        <v>36</v>
      </c>
      <c r="H2483" t="s">
        <v>43</v>
      </c>
      <c r="I2483" s="187">
        <v>598.81890869140625</v>
      </c>
      <c r="J2483" s="187">
        <v>13.977848052978516</v>
      </c>
      <c r="K2483" s="187">
        <v>549.23480224609375</v>
      </c>
      <c r="L2483" s="187">
        <v>198.01951599121094</v>
      </c>
      <c r="M2483" s="187">
        <v>1360.051025390625</v>
      </c>
      <c r="N2483" s="187">
        <v>796.83843994140625</v>
      </c>
      <c r="O2483" t="s">
        <v>2942</v>
      </c>
    </row>
    <row r="2484" spans="1:15" hidden="1" x14ac:dyDescent="0.45">
      <c r="A2484" s="187">
        <v>2018</v>
      </c>
      <c r="B2484" t="s">
        <v>34</v>
      </c>
      <c r="C2484" t="s">
        <v>325</v>
      </c>
      <c r="D2484" t="s">
        <v>35</v>
      </c>
      <c r="E2484" t="s">
        <v>357</v>
      </c>
      <c r="F2484" t="s">
        <v>415</v>
      </c>
      <c r="G2484" t="s">
        <v>37</v>
      </c>
      <c r="H2484" t="s">
        <v>43</v>
      </c>
      <c r="I2484" s="187">
        <v>514.08680000000004</v>
      </c>
      <c r="J2484" s="187">
        <v>12</v>
      </c>
      <c r="K2484" s="187">
        <v>471.51875000000013</v>
      </c>
      <c r="L2484" s="187">
        <v>170</v>
      </c>
      <c r="M2484" s="187">
        <v>1167.60546875</v>
      </c>
      <c r="N2484" s="187">
        <v>684.0867919921875</v>
      </c>
      <c r="O2484" t="s">
        <v>2943</v>
      </c>
    </row>
    <row r="2485" spans="1:15" hidden="1" x14ac:dyDescent="0.45">
      <c r="A2485" s="187">
        <v>2018</v>
      </c>
      <c r="B2485" t="s">
        <v>34</v>
      </c>
      <c r="C2485" t="s">
        <v>325</v>
      </c>
      <c r="D2485" t="s">
        <v>35</v>
      </c>
      <c r="E2485" t="s">
        <v>357</v>
      </c>
      <c r="F2485" t="s">
        <v>416</v>
      </c>
      <c r="G2485" t="s">
        <v>36</v>
      </c>
      <c r="H2485" t="s">
        <v>43</v>
      </c>
      <c r="I2485" s="187">
        <v>0</v>
      </c>
      <c r="J2485" s="187"/>
      <c r="K2485" s="187"/>
      <c r="L2485" s="187">
        <v>0</v>
      </c>
      <c r="M2485" s="187">
        <v>0</v>
      </c>
      <c r="N2485" s="187">
        <v>0</v>
      </c>
      <c r="O2485" t="s">
        <v>2944</v>
      </c>
    </row>
    <row r="2486" spans="1:15" hidden="1" x14ac:dyDescent="0.45">
      <c r="A2486" s="187">
        <v>2018</v>
      </c>
      <c r="B2486" t="s">
        <v>34</v>
      </c>
      <c r="C2486" t="s">
        <v>325</v>
      </c>
      <c r="D2486" t="s">
        <v>35</v>
      </c>
      <c r="E2486" t="s">
        <v>357</v>
      </c>
      <c r="F2486" t="s">
        <v>416</v>
      </c>
      <c r="G2486" t="s">
        <v>37</v>
      </c>
      <c r="H2486" t="s">
        <v>43</v>
      </c>
      <c r="I2486" s="187">
        <v>0</v>
      </c>
      <c r="J2486" s="187"/>
      <c r="K2486" s="187"/>
      <c r="L2486" s="187">
        <v>0</v>
      </c>
      <c r="M2486" s="187">
        <v>0</v>
      </c>
      <c r="N2486" s="187">
        <v>0</v>
      </c>
      <c r="O2486" t="s">
        <v>2945</v>
      </c>
    </row>
    <row r="2487" spans="1:15" hidden="1" x14ac:dyDescent="0.45">
      <c r="A2487" s="187">
        <v>2018</v>
      </c>
      <c r="B2487" t="s">
        <v>34</v>
      </c>
      <c r="C2487" t="s">
        <v>325</v>
      </c>
      <c r="D2487" t="s">
        <v>35</v>
      </c>
      <c r="E2487" t="s">
        <v>357</v>
      </c>
      <c r="F2487" t="s">
        <v>417</v>
      </c>
      <c r="G2487" t="s">
        <v>36</v>
      </c>
      <c r="H2487" t="s">
        <v>43</v>
      </c>
      <c r="I2487" s="187">
        <v>0</v>
      </c>
      <c r="J2487" s="187">
        <v>128.13027954101563</v>
      </c>
      <c r="K2487" s="187"/>
      <c r="L2487" s="187">
        <v>0</v>
      </c>
      <c r="M2487" s="187">
        <v>128.13027954101563</v>
      </c>
      <c r="N2487" s="187">
        <v>0</v>
      </c>
      <c r="O2487" t="s">
        <v>2946</v>
      </c>
    </row>
    <row r="2488" spans="1:15" hidden="1" x14ac:dyDescent="0.45">
      <c r="A2488" s="187">
        <v>2018</v>
      </c>
      <c r="B2488" t="s">
        <v>34</v>
      </c>
      <c r="C2488" t="s">
        <v>325</v>
      </c>
      <c r="D2488" t="s">
        <v>35</v>
      </c>
      <c r="E2488" t="s">
        <v>357</v>
      </c>
      <c r="F2488" t="s">
        <v>417</v>
      </c>
      <c r="G2488" t="s">
        <v>37</v>
      </c>
      <c r="H2488" t="s">
        <v>43</v>
      </c>
      <c r="I2488" s="187">
        <v>0</v>
      </c>
      <c r="J2488" s="187">
        <v>110</v>
      </c>
      <c r="K2488" s="187"/>
      <c r="L2488" s="187">
        <v>0</v>
      </c>
      <c r="M2488" s="187">
        <v>110</v>
      </c>
      <c r="N2488" s="187">
        <v>0</v>
      </c>
      <c r="O2488" t="s">
        <v>2947</v>
      </c>
    </row>
    <row r="2489" spans="1:15" hidden="1" x14ac:dyDescent="0.45">
      <c r="A2489" s="187">
        <v>2018</v>
      </c>
      <c r="B2489" t="s">
        <v>34</v>
      </c>
      <c r="C2489" t="s">
        <v>325</v>
      </c>
      <c r="D2489" t="s">
        <v>35</v>
      </c>
      <c r="E2489" t="s">
        <v>357</v>
      </c>
      <c r="F2489" t="s">
        <v>418</v>
      </c>
      <c r="G2489" t="s">
        <v>36</v>
      </c>
      <c r="H2489" t="s">
        <v>43</v>
      </c>
      <c r="I2489" s="187">
        <v>0</v>
      </c>
      <c r="J2489" s="187">
        <v>107.16349792480469</v>
      </c>
      <c r="K2489" s="187"/>
      <c r="L2489" s="187">
        <v>0</v>
      </c>
      <c r="M2489" s="187">
        <v>107.16349792480469</v>
      </c>
      <c r="N2489" s="187">
        <v>0</v>
      </c>
      <c r="O2489" t="s">
        <v>2948</v>
      </c>
    </row>
    <row r="2490" spans="1:15" hidden="1" x14ac:dyDescent="0.45">
      <c r="A2490" s="187">
        <v>2018</v>
      </c>
      <c r="B2490" t="s">
        <v>34</v>
      </c>
      <c r="C2490" t="s">
        <v>325</v>
      </c>
      <c r="D2490" t="s">
        <v>35</v>
      </c>
      <c r="E2490" t="s">
        <v>357</v>
      </c>
      <c r="F2490" t="s">
        <v>418</v>
      </c>
      <c r="G2490" t="s">
        <v>37</v>
      </c>
      <c r="H2490" t="s">
        <v>43</v>
      </c>
      <c r="I2490" s="187">
        <v>0</v>
      </c>
      <c r="J2490" s="187">
        <v>92</v>
      </c>
      <c r="K2490" s="187"/>
      <c r="L2490" s="187">
        <v>0</v>
      </c>
      <c r="M2490" s="187">
        <v>92</v>
      </c>
      <c r="N2490" s="187">
        <v>0</v>
      </c>
      <c r="O2490" t="s">
        <v>2949</v>
      </c>
    </row>
    <row r="2491" spans="1:15" hidden="1" x14ac:dyDescent="0.45">
      <c r="A2491" s="187">
        <v>2018</v>
      </c>
      <c r="B2491" t="s">
        <v>34</v>
      </c>
      <c r="C2491" t="s">
        <v>325</v>
      </c>
      <c r="D2491" t="s">
        <v>35</v>
      </c>
      <c r="E2491" t="s">
        <v>357</v>
      </c>
      <c r="F2491" t="s">
        <v>419</v>
      </c>
      <c r="G2491" t="s">
        <v>36</v>
      </c>
      <c r="H2491" t="s">
        <v>43</v>
      </c>
      <c r="I2491" s="187">
        <v>0</v>
      </c>
      <c r="J2491" s="187"/>
      <c r="K2491" s="187"/>
      <c r="L2491" s="187">
        <v>0</v>
      </c>
      <c r="M2491" s="187">
        <v>0</v>
      </c>
      <c r="N2491" s="187">
        <v>0</v>
      </c>
      <c r="O2491" t="s">
        <v>2950</v>
      </c>
    </row>
    <row r="2492" spans="1:15" hidden="1" x14ac:dyDescent="0.45">
      <c r="A2492" s="187">
        <v>2018</v>
      </c>
      <c r="B2492" t="s">
        <v>34</v>
      </c>
      <c r="C2492" t="s">
        <v>325</v>
      </c>
      <c r="D2492" t="s">
        <v>35</v>
      </c>
      <c r="E2492" t="s">
        <v>357</v>
      </c>
      <c r="F2492" t="s">
        <v>419</v>
      </c>
      <c r="G2492" t="s">
        <v>37</v>
      </c>
      <c r="H2492" t="s">
        <v>43</v>
      </c>
      <c r="I2492" s="187">
        <v>0</v>
      </c>
      <c r="J2492" s="187"/>
      <c r="K2492" s="187"/>
      <c r="L2492" s="187">
        <v>0</v>
      </c>
      <c r="M2492" s="187">
        <v>0</v>
      </c>
      <c r="N2492" s="187">
        <v>0</v>
      </c>
      <c r="O2492" t="s">
        <v>2951</v>
      </c>
    </row>
    <row r="2493" spans="1:15" hidden="1" x14ac:dyDescent="0.45">
      <c r="A2493" s="187">
        <v>2018</v>
      </c>
      <c r="B2493" t="s">
        <v>34</v>
      </c>
      <c r="C2493" t="s">
        <v>325</v>
      </c>
      <c r="D2493" t="s">
        <v>35</v>
      </c>
      <c r="E2493" t="s">
        <v>357</v>
      </c>
      <c r="F2493" t="s">
        <v>420</v>
      </c>
      <c r="G2493" t="s">
        <v>36</v>
      </c>
      <c r="H2493" t="s">
        <v>43</v>
      </c>
      <c r="I2493" s="187">
        <v>0</v>
      </c>
      <c r="J2493" s="187">
        <v>235.29377746582031</v>
      </c>
      <c r="K2493" s="187">
        <v>0</v>
      </c>
      <c r="L2493" s="187">
        <v>0</v>
      </c>
      <c r="M2493" s="187">
        <v>235.29377746582031</v>
      </c>
      <c r="N2493" s="187">
        <v>0</v>
      </c>
      <c r="O2493" t="s">
        <v>2952</v>
      </c>
    </row>
    <row r="2494" spans="1:15" hidden="1" x14ac:dyDescent="0.45">
      <c r="A2494" s="187">
        <v>2018</v>
      </c>
      <c r="B2494" t="s">
        <v>34</v>
      </c>
      <c r="C2494" t="s">
        <v>325</v>
      </c>
      <c r="D2494" t="s">
        <v>35</v>
      </c>
      <c r="E2494" t="s">
        <v>357</v>
      </c>
      <c r="F2494" t="s">
        <v>420</v>
      </c>
      <c r="G2494" t="s">
        <v>37</v>
      </c>
      <c r="H2494" t="s">
        <v>43</v>
      </c>
      <c r="I2494" s="187">
        <v>0</v>
      </c>
      <c r="J2494" s="187">
        <v>202</v>
      </c>
      <c r="K2494" s="187">
        <v>0</v>
      </c>
      <c r="L2494" s="187">
        <v>0</v>
      </c>
      <c r="M2494" s="187">
        <v>202</v>
      </c>
      <c r="N2494" s="187">
        <v>0</v>
      </c>
      <c r="O2494" t="s">
        <v>2953</v>
      </c>
    </row>
    <row r="2495" spans="1:15" hidden="1" x14ac:dyDescent="0.45">
      <c r="A2495" s="187">
        <v>2018</v>
      </c>
      <c r="B2495" t="s">
        <v>34</v>
      </c>
      <c r="C2495" t="s">
        <v>325</v>
      </c>
      <c r="D2495" t="s">
        <v>35</v>
      </c>
      <c r="E2495" t="s">
        <v>357</v>
      </c>
      <c r="F2495" t="s">
        <v>402</v>
      </c>
      <c r="G2495" t="s">
        <v>36</v>
      </c>
      <c r="H2495" t="s">
        <v>43</v>
      </c>
      <c r="I2495" s="187">
        <v>0</v>
      </c>
      <c r="J2495" s="187"/>
      <c r="K2495" s="187">
        <v>0</v>
      </c>
      <c r="L2495" s="187">
        <v>0</v>
      </c>
      <c r="M2495" s="187">
        <v>0</v>
      </c>
      <c r="N2495" s="187">
        <v>0</v>
      </c>
      <c r="O2495" t="s">
        <v>2954</v>
      </c>
    </row>
    <row r="2496" spans="1:15" hidden="1" x14ac:dyDescent="0.45">
      <c r="A2496" s="187">
        <v>2018</v>
      </c>
      <c r="B2496" t="s">
        <v>34</v>
      </c>
      <c r="C2496" t="s">
        <v>325</v>
      </c>
      <c r="D2496" t="s">
        <v>35</v>
      </c>
      <c r="E2496" t="s">
        <v>357</v>
      </c>
      <c r="F2496" t="s">
        <v>402</v>
      </c>
      <c r="G2496" t="s">
        <v>37</v>
      </c>
      <c r="H2496" t="s">
        <v>43</v>
      </c>
      <c r="I2496" s="187">
        <v>0</v>
      </c>
      <c r="J2496" s="187"/>
      <c r="K2496" s="187">
        <v>0</v>
      </c>
      <c r="L2496" s="187">
        <v>0</v>
      </c>
      <c r="M2496" s="187">
        <v>0</v>
      </c>
      <c r="N2496" s="187">
        <v>0</v>
      </c>
      <c r="O2496" t="s">
        <v>2955</v>
      </c>
    </row>
    <row r="2497" spans="1:15" hidden="1" x14ac:dyDescent="0.45">
      <c r="A2497" s="187">
        <v>2018</v>
      </c>
      <c r="B2497" t="s">
        <v>34</v>
      </c>
      <c r="C2497" t="s">
        <v>325</v>
      </c>
      <c r="D2497" t="s">
        <v>35</v>
      </c>
      <c r="E2497" t="s">
        <v>357</v>
      </c>
      <c r="F2497" t="s">
        <v>403</v>
      </c>
      <c r="G2497" t="s">
        <v>36</v>
      </c>
      <c r="H2497" t="s">
        <v>43</v>
      </c>
      <c r="I2497" s="187">
        <v>794.39208984375</v>
      </c>
      <c r="J2497" s="187">
        <v>68.724418640136719</v>
      </c>
      <c r="K2497" s="187">
        <v>1752.5531005859375</v>
      </c>
      <c r="L2497" s="187">
        <v>549.79534912109375</v>
      </c>
      <c r="M2497" s="187">
        <v>3165.465087890625</v>
      </c>
      <c r="N2497" s="187">
        <v>1344.1875</v>
      </c>
      <c r="O2497" t="s">
        <v>2956</v>
      </c>
    </row>
    <row r="2498" spans="1:15" hidden="1" x14ac:dyDescent="0.45">
      <c r="A2498" s="187">
        <v>2018</v>
      </c>
      <c r="B2498" t="s">
        <v>34</v>
      </c>
      <c r="C2498" t="s">
        <v>325</v>
      </c>
      <c r="D2498" t="s">
        <v>35</v>
      </c>
      <c r="E2498" t="s">
        <v>357</v>
      </c>
      <c r="F2498" t="s">
        <v>403</v>
      </c>
      <c r="G2498" t="s">
        <v>37</v>
      </c>
      <c r="H2498" t="s">
        <v>43</v>
      </c>
      <c r="I2498" s="187">
        <v>681.98662000000002</v>
      </c>
      <c r="J2498" s="187">
        <v>59</v>
      </c>
      <c r="K2498" s="187">
        <v>1504.56908</v>
      </c>
      <c r="L2498" s="187">
        <v>472</v>
      </c>
      <c r="M2498" s="187">
        <v>2717.5556640625</v>
      </c>
      <c r="N2498" s="187">
        <v>1153.986572265625</v>
      </c>
      <c r="O2498" t="s">
        <v>2957</v>
      </c>
    </row>
    <row r="2499" spans="1:15" hidden="1" x14ac:dyDescent="0.45">
      <c r="A2499" s="187">
        <v>2018</v>
      </c>
      <c r="B2499" t="s">
        <v>34</v>
      </c>
      <c r="C2499" t="s">
        <v>325</v>
      </c>
      <c r="D2499" t="s">
        <v>35</v>
      </c>
      <c r="E2499" t="s">
        <v>357</v>
      </c>
      <c r="F2499" t="s">
        <v>405</v>
      </c>
      <c r="G2499" t="s">
        <v>36</v>
      </c>
      <c r="H2499" t="s">
        <v>43</v>
      </c>
      <c r="I2499" s="187">
        <v>2.0677430629730225</v>
      </c>
      <c r="J2499" s="187">
        <v>34.944618225097656</v>
      </c>
      <c r="K2499" s="187">
        <v>151.11764526367188</v>
      </c>
      <c r="L2499" s="187">
        <v>67.559600830078125</v>
      </c>
      <c r="M2499" s="187">
        <v>255.68960571289063</v>
      </c>
      <c r="N2499" s="187">
        <v>69.627342224121094</v>
      </c>
      <c r="O2499" t="s">
        <v>2958</v>
      </c>
    </row>
    <row r="2500" spans="1:15" hidden="1" x14ac:dyDescent="0.45">
      <c r="A2500" s="187">
        <v>2018</v>
      </c>
      <c r="B2500" t="s">
        <v>34</v>
      </c>
      <c r="C2500" t="s">
        <v>325</v>
      </c>
      <c r="D2500" t="s">
        <v>35</v>
      </c>
      <c r="E2500" t="s">
        <v>357</v>
      </c>
      <c r="F2500" t="s">
        <v>405</v>
      </c>
      <c r="G2500" t="s">
        <v>37</v>
      </c>
      <c r="H2500" t="s">
        <v>43</v>
      </c>
      <c r="I2500" s="187">
        <v>1.7751600000000001</v>
      </c>
      <c r="J2500" s="187">
        <v>30</v>
      </c>
      <c r="K2500" s="187">
        <v>129.73469</v>
      </c>
      <c r="L2500" s="187">
        <v>58</v>
      </c>
      <c r="M2500" s="187">
        <v>219.50985717773438</v>
      </c>
      <c r="N2500" s="187">
        <v>59.775161743164063</v>
      </c>
      <c r="O2500" t="s">
        <v>2959</v>
      </c>
    </row>
    <row r="2501" spans="1:15" hidden="1" x14ac:dyDescent="0.45">
      <c r="A2501" s="187">
        <v>2018</v>
      </c>
      <c r="B2501" t="s">
        <v>34</v>
      </c>
      <c r="C2501" t="s">
        <v>325</v>
      </c>
      <c r="D2501" t="s">
        <v>35</v>
      </c>
      <c r="E2501" t="s">
        <v>357</v>
      </c>
      <c r="F2501" t="s">
        <v>406</v>
      </c>
      <c r="G2501" t="s">
        <v>36</v>
      </c>
      <c r="H2501" t="s">
        <v>43</v>
      </c>
      <c r="I2501" s="187">
        <v>0</v>
      </c>
      <c r="J2501" s="187">
        <v>23.296413421630859</v>
      </c>
      <c r="K2501" s="187">
        <v>0</v>
      </c>
      <c r="L2501" s="187">
        <v>0</v>
      </c>
      <c r="M2501" s="187">
        <v>23.296413421630859</v>
      </c>
      <c r="N2501" s="187">
        <v>0</v>
      </c>
      <c r="O2501" t="s">
        <v>2960</v>
      </c>
    </row>
    <row r="2502" spans="1:15" hidden="1" x14ac:dyDescent="0.45">
      <c r="A2502" s="187">
        <v>2018</v>
      </c>
      <c r="B2502" t="s">
        <v>34</v>
      </c>
      <c r="C2502" t="s">
        <v>325</v>
      </c>
      <c r="D2502" t="s">
        <v>35</v>
      </c>
      <c r="E2502" t="s">
        <v>357</v>
      </c>
      <c r="F2502" t="s">
        <v>406</v>
      </c>
      <c r="G2502" t="s">
        <v>37</v>
      </c>
      <c r="H2502" t="s">
        <v>43</v>
      </c>
      <c r="I2502" s="187">
        <v>0</v>
      </c>
      <c r="J2502" s="187">
        <v>20</v>
      </c>
      <c r="K2502" s="187">
        <v>0</v>
      </c>
      <c r="L2502" s="187">
        <v>0</v>
      </c>
      <c r="M2502" s="187">
        <v>20</v>
      </c>
      <c r="N2502" s="187">
        <v>0</v>
      </c>
      <c r="O2502" t="s">
        <v>2961</v>
      </c>
    </row>
    <row r="2503" spans="1:15" hidden="1" x14ac:dyDescent="0.45">
      <c r="A2503" s="187">
        <v>2018</v>
      </c>
      <c r="B2503" t="s">
        <v>34</v>
      </c>
      <c r="C2503" t="s">
        <v>325</v>
      </c>
      <c r="D2503" t="s">
        <v>35</v>
      </c>
      <c r="E2503" t="s">
        <v>357</v>
      </c>
      <c r="F2503" t="s">
        <v>421</v>
      </c>
      <c r="G2503" t="s">
        <v>36</v>
      </c>
      <c r="H2503" t="s">
        <v>43</v>
      </c>
      <c r="I2503" s="187">
        <v>0</v>
      </c>
      <c r="J2503" s="187">
        <v>5.8241033554077148</v>
      </c>
      <c r="K2503" s="187">
        <v>0</v>
      </c>
      <c r="L2503" s="187">
        <v>0</v>
      </c>
      <c r="M2503" s="187">
        <v>5.8241033554077148</v>
      </c>
      <c r="N2503" s="187">
        <v>0</v>
      </c>
      <c r="O2503" t="s">
        <v>2962</v>
      </c>
    </row>
    <row r="2504" spans="1:15" hidden="1" x14ac:dyDescent="0.45">
      <c r="A2504" s="187">
        <v>2018</v>
      </c>
      <c r="B2504" t="s">
        <v>34</v>
      </c>
      <c r="C2504" t="s">
        <v>325</v>
      </c>
      <c r="D2504" t="s">
        <v>35</v>
      </c>
      <c r="E2504" t="s">
        <v>357</v>
      </c>
      <c r="F2504" t="s">
        <v>421</v>
      </c>
      <c r="G2504" t="s">
        <v>37</v>
      </c>
      <c r="H2504" t="s">
        <v>43</v>
      </c>
      <c r="I2504" s="187">
        <v>0</v>
      </c>
      <c r="J2504" s="187">
        <v>5</v>
      </c>
      <c r="K2504" s="187">
        <v>0</v>
      </c>
      <c r="L2504" s="187">
        <v>0</v>
      </c>
      <c r="M2504" s="187">
        <v>5</v>
      </c>
      <c r="N2504" s="187">
        <v>0</v>
      </c>
      <c r="O2504" t="s">
        <v>2963</v>
      </c>
    </row>
    <row r="2505" spans="1:15" hidden="1" x14ac:dyDescent="0.45">
      <c r="A2505" s="187">
        <v>2018</v>
      </c>
      <c r="B2505" t="s">
        <v>34</v>
      </c>
      <c r="C2505" t="s">
        <v>325</v>
      </c>
      <c r="D2505" t="s">
        <v>35</v>
      </c>
      <c r="E2505" t="s">
        <v>357</v>
      </c>
      <c r="F2505" t="s">
        <v>422</v>
      </c>
      <c r="G2505" t="s">
        <v>36</v>
      </c>
      <c r="H2505" t="s">
        <v>43</v>
      </c>
      <c r="I2505" s="187">
        <v>796.4598388671875</v>
      </c>
      <c r="J2505" s="187">
        <v>132.78955078125</v>
      </c>
      <c r="K2505" s="187">
        <v>1903.6707763671875</v>
      </c>
      <c r="L2505" s="187">
        <v>617.35498046875</v>
      </c>
      <c r="M2505" s="187">
        <v>3450.275146484375</v>
      </c>
      <c r="N2505" s="187">
        <v>1413.8148193359375</v>
      </c>
      <c r="O2505" t="s">
        <v>2964</v>
      </c>
    </row>
    <row r="2506" spans="1:15" hidden="1" x14ac:dyDescent="0.45">
      <c r="A2506" s="187">
        <v>2018</v>
      </c>
      <c r="B2506" t="s">
        <v>34</v>
      </c>
      <c r="C2506" t="s">
        <v>325</v>
      </c>
      <c r="D2506" t="s">
        <v>35</v>
      </c>
      <c r="E2506" t="s">
        <v>357</v>
      </c>
      <c r="F2506" t="s">
        <v>422</v>
      </c>
      <c r="G2506" t="s">
        <v>37</v>
      </c>
      <c r="H2506" t="s">
        <v>43</v>
      </c>
      <c r="I2506" s="187">
        <v>683.76178000000004</v>
      </c>
      <c r="J2506" s="187">
        <v>114</v>
      </c>
      <c r="K2506" s="187">
        <v>1634.30377</v>
      </c>
      <c r="L2506" s="187">
        <v>530</v>
      </c>
      <c r="M2506" s="187">
        <v>2962.0654296875</v>
      </c>
      <c r="N2506" s="187">
        <v>1213.76171875</v>
      </c>
      <c r="O2506" t="s">
        <v>2965</v>
      </c>
    </row>
    <row r="2507" spans="1:15" hidden="1" x14ac:dyDescent="0.45">
      <c r="A2507" s="187">
        <v>2018</v>
      </c>
      <c r="B2507" t="s">
        <v>34</v>
      </c>
      <c r="C2507" t="s">
        <v>325</v>
      </c>
      <c r="D2507" t="s">
        <v>35</v>
      </c>
      <c r="E2507" t="s">
        <v>357</v>
      </c>
      <c r="F2507" t="s">
        <v>423</v>
      </c>
      <c r="G2507" t="s">
        <v>36</v>
      </c>
      <c r="H2507" t="s">
        <v>43</v>
      </c>
      <c r="I2507" s="187">
        <v>140.98452758789063</v>
      </c>
      <c r="J2507" s="187">
        <v>0</v>
      </c>
      <c r="K2507" s="187">
        <v>20.045282363891602</v>
      </c>
      <c r="L2507" s="187">
        <v>76.878166198730469</v>
      </c>
      <c r="M2507" s="187">
        <v>237.90798950195313</v>
      </c>
      <c r="N2507" s="187">
        <v>217.86270141601563</v>
      </c>
      <c r="O2507" t="s">
        <v>2966</v>
      </c>
    </row>
    <row r="2508" spans="1:15" hidden="1" x14ac:dyDescent="0.45">
      <c r="A2508" s="187">
        <v>2018</v>
      </c>
      <c r="B2508" t="s">
        <v>34</v>
      </c>
      <c r="C2508" t="s">
        <v>325</v>
      </c>
      <c r="D2508" t="s">
        <v>35</v>
      </c>
      <c r="E2508" t="s">
        <v>357</v>
      </c>
      <c r="F2508" t="s">
        <v>423</v>
      </c>
      <c r="G2508" t="s">
        <v>37</v>
      </c>
      <c r="H2508" t="s">
        <v>43</v>
      </c>
      <c r="I2508" s="187">
        <v>121.0354</v>
      </c>
      <c r="J2508" s="187">
        <v>0</v>
      </c>
      <c r="K2508" s="187">
        <v>17.2089</v>
      </c>
      <c r="L2508" s="187">
        <v>66</v>
      </c>
      <c r="M2508" s="187">
        <v>204.24429321289063</v>
      </c>
      <c r="N2508" s="187">
        <v>187.035400390625</v>
      </c>
      <c r="O2508" t="s">
        <v>2967</v>
      </c>
    </row>
    <row r="2509" spans="1:15" hidden="1" x14ac:dyDescent="0.45">
      <c r="A2509" s="187">
        <v>2018</v>
      </c>
      <c r="B2509" t="s">
        <v>34</v>
      </c>
      <c r="C2509" t="s">
        <v>325</v>
      </c>
      <c r="D2509" t="s">
        <v>35</v>
      </c>
      <c r="E2509" t="s">
        <v>357</v>
      </c>
      <c r="F2509" t="s">
        <v>424</v>
      </c>
      <c r="G2509" t="s">
        <v>36</v>
      </c>
      <c r="H2509" t="s">
        <v>43</v>
      </c>
      <c r="I2509" s="187">
        <v>0</v>
      </c>
      <c r="J2509" s="187">
        <v>3.4944620132446289</v>
      </c>
      <c r="K2509" s="187">
        <v>0</v>
      </c>
      <c r="L2509" s="187">
        <v>0</v>
      </c>
      <c r="M2509" s="187">
        <v>3.4944620132446289</v>
      </c>
      <c r="N2509" s="187">
        <v>0</v>
      </c>
      <c r="O2509" t="s">
        <v>2968</v>
      </c>
    </row>
    <row r="2510" spans="1:15" hidden="1" x14ac:dyDescent="0.45">
      <c r="A2510" s="187">
        <v>2018</v>
      </c>
      <c r="B2510" t="s">
        <v>34</v>
      </c>
      <c r="C2510" t="s">
        <v>325</v>
      </c>
      <c r="D2510" t="s">
        <v>35</v>
      </c>
      <c r="E2510" t="s">
        <v>357</v>
      </c>
      <c r="F2510" t="s">
        <v>424</v>
      </c>
      <c r="G2510" t="s">
        <v>37</v>
      </c>
      <c r="H2510" t="s">
        <v>43</v>
      </c>
      <c r="I2510" s="187">
        <v>0</v>
      </c>
      <c r="J2510" s="187">
        <v>3</v>
      </c>
      <c r="K2510" s="187">
        <v>0</v>
      </c>
      <c r="L2510" s="187">
        <v>0</v>
      </c>
      <c r="M2510" s="187">
        <v>3</v>
      </c>
      <c r="N2510" s="187">
        <v>0</v>
      </c>
      <c r="O2510" t="s">
        <v>2969</v>
      </c>
    </row>
    <row r="2511" spans="1:15" hidden="1" x14ac:dyDescent="0.45">
      <c r="A2511" s="187">
        <v>2018</v>
      </c>
      <c r="B2511" t="s">
        <v>34</v>
      </c>
      <c r="C2511" t="s">
        <v>325</v>
      </c>
      <c r="D2511" t="s">
        <v>35</v>
      </c>
      <c r="E2511" t="s">
        <v>357</v>
      </c>
      <c r="F2511" t="s">
        <v>446</v>
      </c>
      <c r="G2511" t="s">
        <v>36</v>
      </c>
      <c r="H2511" t="s">
        <v>43</v>
      </c>
      <c r="I2511" s="187">
        <v>870.17340087890625</v>
      </c>
      <c r="J2511" s="187">
        <v>0</v>
      </c>
      <c r="K2511" s="187">
        <v>15.695247650146484</v>
      </c>
      <c r="L2511" s="187">
        <v>4.6592826843261719</v>
      </c>
      <c r="M2511" s="187">
        <v>890.5279541015625</v>
      </c>
      <c r="N2511" s="187">
        <v>874.83270263671875</v>
      </c>
      <c r="O2511" t="s">
        <v>2970</v>
      </c>
    </row>
    <row r="2512" spans="1:15" hidden="1" x14ac:dyDescent="0.45">
      <c r="A2512" s="187">
        <v>2018</v>
      </c>
      <c r="B2512" t="s">
        <v>34</v>
      </c>
      <c r="C2512" t="s">
        <v>325</v>
      </c>
      <c r="D2512" t="s">
        <v>35</v>
      </c>
      <c r="E2512" t="s">
        <v>357</v>
      </c>
      <c r="F2512" t="s">
        <v>446</v>
      </c>
      <c r="G2512" t="s">
        <v>37</v>
      </c>
      <c r="H2512" t="s">
        <v>43</v>
      </c>
      <c r="I2512" s="187">
        <v>747.04497000000015</v>
      </c>
      <c r="J2512" s="187">
        <v>0</v>
      </c>
      <c r="K2512" s="187">
        <v>13.47439</v>
      </c>
      <c r="L2512" s="187">
        <v>4</v>
      </c>
      <c r="M2512" s="187">
        <v>764.51934814453125</v>
      </c>
      <c r="N2512" s="187">
        <v>751.04498291015625</v>
      </c>
      <c r="O2512" t="s">
        <v>2971</v>
      </c>
    </row>
    <row r="2513" spans="1:15" hidden="1" x14ac:dyDescent="0.45">
      <c r="A2513" s="187">
        <v>2018</v>
      </c>
      <c r="B2513" t="s">
        <v>34</v>
      </c>
      <c r="C2513" t="s">
        <v>325</v>
      </c>
      <c r="D2513" t="s">
        <v>35</v>
      </c>
      <c r="E2513" t="s">
        <v>357</v>
      </c>
      <c r="F2513" t="s">
        <v>426</v>
      </c>
      <c r="G2513" t="s">
        <v>36</v>
      </c>
      <c r="H2513" t="s">
        <v>43</v>
      </c>
      <c r="I2513" s="187">
        <v>1011.157958984375</v>
      </c>
      <c r="J2513" s="187">
        <v>3.4944620132446289</v>
      </c>
      <c r="K2513" s="187">
        <v>35.740531921386719</v>
      </c>
      <c r="L2513" s="187">
        <v>81.537445068359375</v>
      </c>
      <c r="M2513" s="187">
        <v>1131.930419921875</v>
      </c>
      <c r="N2513" s="187">
        <v>1092.6954345703125</v>
      </c>
      <c r="O2513" t="s">
        <v>2972</v>
      </c>
    </row>
    <row r="2514" spans="1:15" hidden="1" x14ac:dyDescent="0.45">
      <c r="A2514" s="187">
        <v>2018</v>
      </c>
      <c r="B2514" t="s">
        <v>34</v>
      </c>
      <c r="C2514" t="s">
        <v>325</v>
      </c>
      <c r="D2514" t="s">
        <v>35</v>
      </c>
      <c r="E2514" t="s">
        <v>357</v>
      </c>
      <c r="F2514" t="s">
        <v>426</v>
      </c>
      <c r="G2514" t="s">
        <v>37</v>
      </c>
      <c r="H2514" t="s">
        <v>43</v>
      </c>
      <c r="I2514" s="187">
        <v>868.08037000000013</v>
      </c>
      <c r="J2514" s="187">
        <v>3</v>
      </c>
      <c r="K2514" s="187">
        <v>30.68329</v>
      </c>
      <c r="L2514" s="187">
        <v>70</v>
      </c>
      <c r="M2514" s="187">
        <v>971.763671875</v>
      </c>
      <c r="N2514" s="187">
        <v>938.08038330078125</v>
      </c>
      <c r="O2514" t="s">
        <v>2973</v>
      </c>
    </row>
    <row r="2515" spans="1:15" hidden="1" x14ac:dyDescent="0.45">
      <c r="A2515" s="187">
        <v>2018</v>
      </c>
      <c r="B2515" t="s">
        <v>34</v>
      </c>
      <c r="C2515" t="s">
        <v>325</v>
      </c>
      <c r="D2515" t="s">
        <v>35</v>
      </c>
      <c r="E2515" t="s">
        <v>358</v>
      </c>
      <c r="F2515" t="s">
        <v>427</v>
      </c>
      <c r="G2515" t="s">
        <v>36</v>
      </c>
      <c r="H2515" t="s">
        <v>43</v>
      </c>
      <c r="I2515" s="187">
        <v>0</v>
      </c>
      <c r="J2515" s="187"/>
      <c r="K2515" s="187">
        <v>157.20329284667969</v>
      </c>
      <c r="L2515" s="187">
        <v>0</v>
      </c>
      <c r="M2515" s="187">
        <v>157.20329284667969</v>
      </c>
      <c r="N2515" s="187">
        <v>0</v>
      </c>
      <c r="O2515" t="s">
        <v>2974</v>
      </c>
    </row>
    <row r="2516" spans="1:15" hidden="1" x14ac:dyDescent="0.45">
      <c r="A2516" s="187">
        <v>2018</v>
      </c>
      <c r="B2516" t="s">
        <v>34</v>
      </c>
      <c r="C2516" t="s">
        <v>325</v>
      </c>
      <c r="D2516" t="s">
        <v>35</v>
      </c>
      <c r="E2516" t="s">
        <v>358</v>
      </c>
      <c r="F2516" t="s">
        <v>427</v>
      </c>
      <c r="G2516" t="s">
        <v>37</v>
      </c>
      <c r="H2516" t="s">
        <v>43</v>
      </c>
      <c r="I2516" s="187">
        <v>0</v>
      </c>
      <c r="J2516" s="187"/>
      <c r="K2516" s="187">
        <v>134.95921999999999</v>
      </c>
      <c r="L2516" s="187">
        <v>0</v>
      </c>
      <c r="M2516" s="187">
        <v>134.95921325683594</v>
      </c>
      <c r="N2516" s="187">
        <v>0</v>
      </c>
      <c r="O2516" t="s">
        <v>2975</v>
      </c>
    </row>
    <row r="2517" spans="1:15" hidden="1" x14ac:dyDescent="0.45">
      <c r="A2517" s="187">
        <v>2018</v>
      </c>
      <c r="B2517" t="s">
        <v>34</v>
      </c>
      <c r="C2517" t="s">
        <v>325</v>
      </c>
      <c r="D2517" t="s">
        <v>35</v>
      </c>
      <c r="E2517" t="s">
        <v>358</v>
      </c>
      <c r="F2517" t="s">
        <v>392</v>
      </c>
      <c r="G2517" t="s">
        <v>36</v>
      </c>
      <c r="H2517" t="s">
        <v>43</v>
      </c>
      <c r="I2517" s="187">
        <v>0</v>
      </c>
      <c r="J2517" s="187">
        <v>0</v>
      </c>
      <c r="K2517" s="187">
        <v>0</v>
      </c>
      <c r="L2517" s="187">
        <v>0</v>
      </c>
      <c r="M2517" s="187">
        <v>0</v>
      </c>
      <c r="N2517" s="187">
        <v>0</v>
      </c>
      <c r="O2517" t="s">
        <v>2976</v>
      </c>
    </row>
    <row r="2518" spans="1:15" hidden="1" x14ac:dyDescent="0.45">
      <c r="A2518" s="187">
        <v>2018</v>
      </c>
      <c r="B2518" t="s">
        <v>34</v>
      </c>
      <c r="C2518" t="s">
        <v>325</v>
      </c>
      <c r="D2518" t="s">
        <v>35</v>
      </c>
      <c r="E2518" t="s">
        <v>358</v>
      </c>
      <c r="F2518" t="s">
        <v>392</v>
      </c>
      <c r="G2518" t="s">
        <v>37</v>
      </c>
      <c r="H2518" t="s">
        <v>43</v>
      </c>
      <c r="I2518" s="187">
        <v>0</v>
      </c>
      <c r="J2518" s="187">
        <v>0</v>
      </c>
      <c r="K2518" s="187">
        <v>0</v>
      </c>
      <c r="L2518" s="187">
        <v>0</v>
      </c>
      <c r="M2518" s="187">
        <v>0</v>
      </c>
      <c r="N2518" s="187">
        <v>0</v>
      </c>
      <c r="O2518" t="s">
        <v>2977</v>
      </c>
    </row>
    <row r="2519" spans="1:15" hidden="1" x14ac:dyDescent="0.45">
      <c r="A2519" s="187">
        <v>2018</v>
      </c>
      <c r="B2519" t="s">
        <v>34</v>
      </c>
      <c r="C2519" t="s">
        <v>325</v>
      </c>
      <c r="D2519" t="s">
        <v>35</v>
      </c>
      <c r="E2519" t="s">
        <v>358</v>
      </c>
      <c r="F2519" t="s">
        <v>393</v>
      </c>
      <c r="G2519" t="s">
        <v>36</v>
      </c>
      <c r="H2519" t="s">
        <v>43</v>
      </c>
      <c r="I2519" s="187">
        <v>340.10028076171875</v>
      </c>
      <c r="J2519" s="187">
        <v>0</v>
      </c>
      <c r="K2519" s="187">
        <v>0</v>
      </c>
      <c r="L2519" s="187">
        <v>0</v>
      </c>
      <c r="M2519" s="187">
        <v>340.10028076171875</v>
      </c>
      <c r="N2519" s="187">
        <v>340.10028076171875</v>
      </c>
      <c r="O2519" t="s">
        <v>2978</v>
      </c>
    </row>
    <row r="2520" spans="1:15" hidden="1" x14ac:dyDescent="0.45">
      <c r="A2520" s="187">
        <v>2018</v>
      </c>
      <c r="B2520" t="s">
        <v>34</v>
      </c>
      <c r="C2520" t="s">
        <v>325</v>
      </c>
      <c r="D2520" t="s">
        <v>35</v>
      </c>
      <c r="E2520" t="s">
        <v>358</v>
      </c>
      <c r="F2520" t="s">
        <v>393</v>
      </c>
      <c r="G2520" t="s">
        <v>37</v>
      </c>
      <c r="H2520" t="s">
        <v>43</v>
      </c>
      <c r="I2520" s="187">
        <v>291.97650999999991</v>
      </c>
      <c r="J2520" s="187">
        <v>0</v>
      </c>
      <c r="K2520" s="187">
        <v>0</v>
      </c>
      <c r="L2520" s="187">
        <v>0</v>
      </c>
      <c r="M2520" s="187">
        <v>291.97650146484375</v>
      </c>
      <c r="N2520" s="187">
        <v>291.97650146484375</v>
      </c>
      <c r="O2520" t="s">
        <v>2979</v>
      </c>
    </row>
    <row r="2521" spans="1:15" hidden="1" x14ac:dyDescent="0.45">
      <c r="A2521" s="187">
        <v>2018</v>
      </c>
      <c r="B2521" t="s">
        <v>34</v>
      </c>
      <c r="C2521" t="s">
        <v>325</v>
      </c>
      <c r="D2521" t="s">
        <v>35</v>
      </c>
      <c r="E2521" t="s">
        <v>358</v>
      </c>
      <c r="F2521" t="s">
        <v>394</v>
      </c>
      <c r="G2521" t="s">
        <v>36</v>
      </c>
      <c r="H2521" t="s">
        <v>43</v>
      </c>
      <c r="I2521" s="187">
        <v>0</v>
      </c>
      <c r="J2521" s="187">
        <v>0</v>
      </c>
      <c r="K2521" s="187">
        <v>0</v>
      </c>
      <c r="L2521" s="187">
        <v>0</v>
      </c>
      <c r="M2521" s="187">
        <v>0</v>
      </c>
      <c r="N2521" s="187">
        <v>0</v>
      </c>
      <c r="O2521" t="s">
        <v>2980</v>
      </c>
    </row>
    <row r="2522" spans="1:15" hidden="1" x14ac:dyDescent="0.45">
      <c r="A2522" s="187">
        <v>2018</v>
      </c>
      <c r="B2522" t="s">
        <v>34</v>
      </c>
      <c r="C2522" t="s">
        <v>325</v>
      </c>
      <c r="D2522" t="s">
        <v>35</v>
      </c>
      <c r="E2522" t="s">
        <v>358</v>
      </c>
      <c r="F2522" t="s">
        <v>394</v>
      </c>
      <c r="G2522" t="s">
        <v>37</v>
      </c>
      <c r="H2522" t="s">
        <v>43</v>
      </c>
      <c r="I2522" s="187">
        <v>0</v>
      </c>
      <c r="J2522" s="187">
        <v>0</v>
      </c>
      <c r="K2522" s="187">
        <v>0</v>
      </c>
      <c r="L2522" s="187">
        <v>0</v>
      </c>
      <c r="M2522" s="187">
        <v>0</v>
      </c>
      <c r="N2522" s="187">
        <v>0</v>
      </c>
      <c r="O2522" t="s">
        <v>2981</v>
      </c>
    </row>
    <row r="2523" spans="1:15" hidden="1" x14ac:dyDescent="0.45">
      <c r="A2523" s="187">
        <v>2018</v>
      </c>
      <c r="B2523" t="s">
        <v>34</v>
      </c>
      <c r="C2523" t="s">
        <v>325</v>
      </c>
      <c r="D2523" t="s">
        <v>35</v>
      </c>
      <c r="E2523" t="s">
        <v>358</v>
      </c>
      <c r="F2523" t="s">
        <v>395</v>
      </c>
      <c r="G2523" t="s">
        <v>36</v>
      </c>
      <c r="H2523" t="s">
        <v>43</v>
      </c>
      <c r="I2523" s="187">
        <v>0</v>
      </c>
      <c r="J2523" s="187">
        <v>0</v>
      </c>
      <c r="K2523" s="187">
        <v>0</v>
      </c>
      <c r="L2523" s="187">
        <v>0</v>
      </c>
      <c r="M2523" s="187">
        <v>0</v>
      </c>
      <c r="N2523" s="187">
        <v>0</v>
      </c>
      <c r="O2523" t="s">
        <v>2982</v>
      </c>
    </row>
    <row r="2524" spans="1:15" hidden="1" x14ac:dyDescent="0.45">
      <c r="A2524" s="187">
        <v>2018</v>
      </c>
      <c r="B2524" t="s">
        <v>34</v>
      </c>
      <c r="C2524" t="s">
        <v>325</v>
      </c>
      <c r="D2524" t="s">
        <v>35</v>
      </c>
      <c r="E2524" t="s">
        <v>358</v>
      </c>
      <c r="F2524" t="s">
        <v>395</v>
      </c>
      <c r="G2524" t="s">
        <v>37</v>
      </c>
      <c r="H2524" t="s">
        <v>43</v>
      </c>
      <c r="I2524" s="187">
        <v>0</v>
      </c>
      <c r="J2524" s="187">
        <v>0</v>
      </c>
      <c r="K2524" s="187">
        <v>0</v>
      </c>
      <c r="L2524" s="187">
        <v>0</v>
      </c>
      <c r="M2524" s="187">
        <v>0</v>
      </c>
      <c r="N2524" s="187">
        <v>0</v>
      </c>
      <c r="O2524" t="s">
        <v>2983</v>
      </c>
    </row>
    <row r="2525" spans="1:15" hidden="1" x14ac:dyDescent="0.45">
      <c r="A2525" s="187">
        <v>2018</v>
      </c>
      <c r="B2525" t="s">
        <v>34</v>
      </c>
      <c r="C2525" t="s">
        <v>325</v>
      </c>
      <c r="D2525" t="s">
        <v>35</v>
      </c>
      <c r="E2525" t="s">
        <v>358</v>
      </c>
      <c r="F2525" t="s">
        <v>396</v>
      </c>
      <c r="G2525" t="s">
        <v>36</v>
      </c>
      <c r="H2525" t="s">
        <v>43</v>
      </c>
      <c r="I2525" s="187">
        <v>0</v>
      </c>
      <c r="J2525" s="187">
        <v>0</v>
      </c>
      <c r="K2525" s="187">
        <v>151.12158203125</v>
      </c>
      <c r="L2525" s="187">
        <v>22.131591796875</v>
      </c>
      <c r="M2525" s="187">
        <v>173.253173828125</v>
      </c>
      <c r="N2525" s="187">
        <v>22.131591796875</v>
      </c>
      <c r="O2525" t="s">
        <v>2984</v>
      </c>
    </row>
    <row r="2526" spans="1:15" hidden="1" x14ac:dyDescent="0.45">
      <c r="A2526" s="187">
        <v>2018</v>
      </c>
      <c r="B2526" t="s">
        <v>34</v>
      </c>
      <c r="C2526" t="s">
        <v>325</v>
      </c>
      <c r="D2526" t="s">
        <v>35</v>
      </c>
      <c r="E2526" t="s">
        <v>358</v>
      </c>
      <c r="F2526" t="s">
        <v>396</v>
      </c>
      <c r="G2526" t="s">
        <v>37</v>
      </c>
      <c r="H2526" t="s">
        <v>43</v>
      </c>
      <c r="I2526" s="187">
        <v>0</v>
      </c>
      <c r="J2526" s="187">
        <v>0</v>
      </c>
      <c r="K2526" s="187">
        <v>129.73806999999999</v>
      </c>
      <c r="L2526" s="187">
        <v>19</v>
      </c>
      <c r="M2526" s="187">
        <v>148.73806762695313</v>
      </c>
      <c r="N2526" s="187">
        <v>19</v>
      </c>
      <c r="O2526" t="s">
        <v>2985</v>
      </c>
    </row>
    <row r="2527" spans="1:15" hidden="1" x14ac:dyDescent="0.45">
      <c r="A2527" s="187">
        <v>2018</v>
      </c>
      <c r="B2527" t="s">
        <v>34</v>
      </c>
      <c r="C2527" t="s">
        <v>325</v>
      </c>
      <c r="D2527" t="s">
        <v>35</v>
      </c>
      <c r="E2527" t="s">
        <v>358</v>
      </c>
      <c r="F2527" t="s">
        <v>415</v>
      </c>
      <c r="G2527" t="s">
        <v>36</v>
      </c>
      <c r="H2527" t="s">
        <v>43</v>
      </c>
      <c r="I2527" s="187">
        <v>340.10028076171875</v>
      </c>
      <c r="J2527" s="187">
        <v>0</v>
      </c>
      <c r="K2527" s="187">
        <v>151.12158203125</v>
      </c>
      <c r="L2527" s="187">
        <v>22.131591796875</v>
      </c>
      <c r="M2527" s="187">
        <v>513.35345458984375</v>
      </c>
      <c r="N2527" s="187">
        <v>362.23187255859375</v>
      </c>
      <c r="O2527" t="s">
        <v>2986</v>
      </c>
    </row>
    <row r="2528" spans="1:15" hidden="1" x14ac:dyDescent="0.45">
      <c r="A2528" s="187">
        <v>2018</v>
      </c>
      <c r="B2528" t="s">
        <v>34</v>
      </c>
      <c r="C2528" t="s">
        <v>325</v>
      </c>
      <c r="D2528" t="s">
        <v>35</v>
      </c>
      <c r="E2528" t="s">
        <v>358</v>
      </c>
      <c r="F2528" t="s">
        <v>415</v>
      </c>
      <c r="G2528" t="s">
        <v>37</v>
      </c>
      <c r="H2528" t="s">
        <v>43</v>
      </c>
      <c r="I2528" s="187">
        <v>291.97650999999991</v>
      </c>
      <c r="J2528" s="187">
        <v>0</v>
      </c>
      <c r="K2528" s="187">
        <v>129.73806999999999</v>
      </c>
      <c r="L2528" s="187">
        <v>19</v>
      </c>
      <c r="M2528" s="187">
        <v>440.71456909179688</v>
      </c>
      <c r="N2528" s="187">
        <v>310.97650146484375</v>
      </c>
      <c r="O2528" t="s">
        <v>2987</v>
      </c>
    </row>
    <row r="2529" spans="1:15" hidden="1" x14ac:dyDescent="0.45">
      <c r="A2529" s="187">
        <v>2018</v>
      </c>
      <c r="B2529" t="s">
        <v>34</v>
      </c>
      <c r="C2529" t="s">
        <v>325</v>
      </c>
      <c r="D2529" t="s">
        <v>35</v>
      </c>
      <c r="E2529" t="s">
        <v>358</v>
      </c>
      <c r="F2529" t="s">
        <v>416</v>
      </c>
      <c r="G2529" t="s">
        <v>36</v>
      </c>
      <c r="H2529" t="s">
        <v>43</v>
      </c>
      <c r="I2529" s="187">
        <v>0</v>
      </c>
      <c r="J2529" s="187"/>
      <c r="K2529" s="187"/>
      <c r="L2529" s="187">
        <v>0</v>
      </c>
      <c r="M2529" s="187">
        <v>0</v>
      </c>
      <c r="N2529" s="187">
        <v>0</v>
      </c>
      <c r="O2529" t="s">
        <v>2988</v>
      </c>
    </row>
    <row r="2530" spans="1:15" hidden="1" x14ac:dyDescent="0.45">
      <c r="A2530" s="187">
        <v>2018</v>
      </c>
      <c r="B2530" t="s">
        <v>34</v>
      </c>
      <c r="C2530" t="s">
        <v>325</v>
      </c>
      <c r="D2530" t="s">
        <v>35</v>
      </c>
      <c r="E2530" t="s">
        <v>358</v>
      </c>
      <c r="F2530" t="s">
        <v>416</v>
      </c>
      <c r="G2530" t="s">
        <v>37</v>
      </c>
      <c r="H2530" t="s">
        <v>43</v>
      </c>
      <c r="I2530" s="187">
        <v>0</v>
      </c>
      <c r="J2530" s="187"/>
      <c r="K2530" s="187"/>
      <c r="L2530" s="187">
        <v>0</v>
      </c>
      <c r="M2530" s="187">
        <v>0</v>
      </c>
      <c r="N2530" s="187">
        <v>0</v>
      </c>
      <c r="O2530" t="s">
        <v>2989</v>
      </c>
    </row>
    <row r="2531" spans="1:15" hidden="1" x14ac:dyDescent="0.45">
      <c r="A2531" s="187">
        <v>2018</v>
      </c>
      <c r="B2531" t="s">
        <v>34</v>
      </c>
      <c r="C2531" t="s">
        <v>325</v>
      </c>
      <c r="D2531" t="s">
        <v>35</v>
      </c>
      <c r="E2531" t="s">
        <v>358</v>
      </c>
      <c r="F2531" t="s">
        <v>417</v>
      </c>
      <c r="G2531" t="s">
        <v>36</v>
      </c>
      <c r="H2531" t="s">
        <v>43</v>
      </c>
      <c r="I2531" s="187">
        <v>-3.9205183982849121</v>
      </c>
      <c r="J2531" s="187">
        <v>27.955696105957031</v>
      </c>
      <c r="K2531" s="187"/>
      <c r="L2531" s="187">
        <v>0</v>
      </c>
      <c r="M2531" s="187">
        <v>24.035177230834961</v>
      </c>
      <c r="N2531" s="187">
        <v>-3.9205183982849121</v>
      </c>
      <c r="O2531" t="s">
        <v>2990</v>
      </c>
    </row>
    <row r="2532" spans="1:15" hidden="1" x14ac:dyDescent="0.45">
      <c r="A2532" s="187">
        <v>2018</v>
      </c>
      <c r="B2532" t="s">
        <v>34</v>
      </c>
      <c r="C2532" t="s">
        <v>325</v>
      </c>
      <c r="D2532" t="s">
        <v>35</v>
      </c>
      <c r="E2532" t="s">
        <v>358</v>
      </c>
      <c r="F2532" t="s">
        <v>417</v>
      </c>
      <c r="G2532" t="s">
        <v>37</v>
      </c>
      <c r="H2532" t="s">
        <v>43</v>
      </c>
      <c r="I2532" s="187">
        <v>-3.3657700000000008</v>
      </c>
      <c r="J2532" s="187">
        <v>24</v>
      </c>
      <c r="K2532" s="187"/>
      <c r="L2532" s="187">
        <v>0</v>
      </c>
      <c r="M2532" s="187">
        <v>20.63422966003418</v>
      </c>
      <c r="N2532" s="187">
        <v>-3.3657701015472412</v>
      </c>
      <c r="O2532" t="s">
        <v>2991</v>
      </c>
    </row>
    <row r="2533" spans="1:15" hidden="1" x14ac:dyDescent="0.45">
      <c r="A2533" s="187">
        <v>2018</v>
      </c>
      <c r="B2533" t="s">
        <v>34</v>
      </c>
      <c r="C2533" t="s">
        <v>325</v>
      </c>
      <c r="D2533" t="s">
        <v>35</v>
      </c>
      <c r="E2533" t="s">
        <v>358</v>
      </c>
      <c r="F2533" t="s">
        <v>418</v>
      </c>
      <c r="G2533" t="s">
        <v>36</v>
      </c>
      <c r="H2533" t="s">
        <v>43</v>
      </c>
      <c r="I2533" s="187">
        <v>0</v>
      </c>
      <c r="J2533" s="187">
        <v>1.164820671081543</v>
      </c>
      <c r="K2533" s="187"/>
      <c r="L2533" s="187">
        <v>0</v>
      </c>
      <c r="M2533" s="187">
        <v>1.164820671081543</v>
      </c>
      <c r="N2533" s="187">
        <v>0</v>
      </c>
      <c r="O2533" t="s">
        <v>2992</v>
      </c>
    </row>
    <row r="2534" spans="1:15" hidden="1" x14ac:dyDescent="0.45">
      <c r="A2534" s="187">
        <v>2018</v>
      </c>
      <c r="B2534" t="s">
        <v>34</v>
      </c>
      <c r="C2534" t="s">
        <v>325</v>
      </c>
      <c r="D2534" t="s">
        <v>35</v>
      </c>
      <c r="E2534" t="s">
        <v>358</v>
      </c>
      <c r="F2534" t="s">
        <v>418</v>
      </c>
      <c r="G2534" t="s">
        <v>37</v>
      </c>
      <c r="H2534" t="s">
        <v>43</v>
      </c>
      <c r="I2534" s="187">
        <v>0</v>
      </c>
      <c r="J2534" s="187">
        <v>1</v>
      </c>
      <c r="K2534" s="187"/>
      <c r="L2534" s="187">
        <v>0</v>
      </c>
      <c r="M2534" s="187">
        <v>1</v>
      </c>
      <c r="N2534" s="187">
        <v>0</v>
      </c>
      <c r="O2534" t="s">
        <v>2993</v>
      </c>
    </row>
    <row r="2535" spans="1:15" hidden="1" x14ac:dyDescent="0.45">
      <c r="A2535" s="187">
        <v>2018</v>
      </c>
      <c r="B2535" t="s">
        <v>34</v>
      </c>
      <c r="C2535" t="s">
        <v>325</v>
      </c>
      <c r="D2535" t="s">
        <v>35</v>
      </c>
      <c r="E2535" t="s">
        <v>358</v>
      </c>
      <c r="F2535" t="s">
        <v>419</v>
      </c>
      <c r="G2535" t="s">
        <v>36</v>
      </c>
      <c r="H2535" t="s">
        <v>43</v>
      </c>
      <c r="I2535" s="187">
        <v>0</v>
      </c>
      <c r="J2535" s="187"/>
      <c r="K2535" s="187"/>
      <c r="L2535" s="187">
        <v>0</v>
      </c>
      <c r="M2535" s="187">
        <v>0</v>
      </c>
      <c r="N2535" s="187">
        <v>0</v>
      </c>
      <c r="O2535" t="s">
        <v>2994</v>
      </c>
    </row>
    <row r="2536" spans="1:15" hidden="1" x14ac:dyDescent="0.45">
      <c r="A2536" s="187">
        <v>2018</v>
      </c>
      <c r="B2536" t="s">
        <v>34</v>
      </c>
      <c r="C2536" t="s">
        <v>325</v>
      </c>
      <c r="D2536" t="s">
        <v>35</v>
      </c>
      <c r="E2536" t="s">
        <v>358</v>
      </c>
      <c r="F2536" t="s">
        <v>419</v>
      </c>
      <c r="G2536" t="s">
        <v>37</v>
      </c>
      <c r="H2536" t="s">
        <v>43</v>
      </c>
      <c r="I2536" s="187">
        <v>0</v>
      </c>
      <c r="J2536" s="187"/>
      <c r="K2536" s="187"/>
      <c r="L2536" s="187">
        <v>0</v>
      </c>
      <c r="M2536" s="187">
        <v>0</v>
      </c>
      <c r="N2536" s="187">
        <v>0</v>
      </c>
      <c r="O2536" t="s">
        <v>2995</v>
      </c>
    </row>
    <row r="2537" spans="1:15" hidden="1" x14ac:dyDescent="0.45">
      <c r="A2537" s="187">
        <v>2018</v>
      </c>
      <c r="B2537" t="s">
        <v>34</v>
      </c>
      <c r="C2537" t="s">
        <v>325</v>
      </c>
      <c r="D2537" t="s">
        <v>35</v>
      </c>
      <c r="E2537" t="s">
        <v>358</v>
      </c>
      <c r="F2537" t="s">
        <v>420</v>
      </c>
      <c r="G2537" t="s">
        <v>36</v>
      </c>
      <c r="H2537" t="s">
        <v>43</v>
      </c>
      <c r="I2537" s="187">
        <v>-3.9205183982849121</v>
      </c>
      <c r="J2537" s="187">
        <v>29.120515823364258</v>
      </c>
      <c r="K2537" s="187">
        <v>0</v>
      </c>
      <c r="L2537" s="187">
        <v>0</v>
      </c>
      <c r="M2537" s="187">
        <v>25.199996948242188</v>
      </c>
      <c r="N2537" s="187">
        <v>-3.9205183982849121</v>
      </c>
      <c r="O2537" t="s">
        <v>2996</v>
      </c>
    </row>
    <row r="2538" spans="1:15" hidden="1" x14ac:dyDescent="0.45">
      <c r="A2538" s="187">
        <v>2018</v>
      </c>
      <c r="B2538" t="s">
        <v>34</v>
      </c>
      <c r="C2538" t="s">
        <v>325</v>
      </c>
      <c r="D2538" t="s">
        <v>35</v>
      </c>
      <c r="E2538" t="s">
        <v>358</v>
      </c>
      <c r="F2538" t="s">
        <v>420</v>
      </c>
      <c r="G2538" t="s">
        <v>37</v>
      </c>
      <c r="H2538" t="s">
        <v>43</v>
      </c>
      <c r="I2538" s="187">
        <v>-3.3657700000000008</v>
      </c>
      <c r="J2538" s="187">
        <v>25</v>
      </c>
      <c r="K2538" s="187">
        <v>0</v>
      </c>
      <c r="L2538" s="187">
        <v>0</v>
      </c>
      <c r="M2538" s="187">
        <v>21.63422966003418</v>
      </c>
      <c r="N2538" s="187">
        <v>-3.3657701015472412</v>
      </c>
      <c r="O2538" t="s">
        <v>2997</v>
      </c>
    </row>
    <row r="2539" spans="1:15" hidden="1" x14ac:dyDescent="0.45">
      <c r="A2539" s="187">
        <v>2018</v>
      </c>
      <c r="B2539" t="s">
        <v>34</v>
      </c>
      <c r="C2539" t="s">
        <v>325</v>
      </c>
      <c r="D2539" t="s">
        <v>35</v>
      </c>
      <c r="E2539" t="s">
        <v>358</v>
      </c>
      <c r="F2539" t="s">
        <v>402</v>
      </c>
      <c r="G2539" t="s">
        <v>36</v>
      </c>
      <c r="H2539" t="s">
        <v>43</v>
      </c>
      <c r="I2539" s="187">
        <v>0</v>
      </c>
      <c r="J2539" s="187"/>
      <c r="K2539" s="187">
        <v>0</v>
      </c>
      <c r="L2539" s="187">
        <v>0</v>
      </c>
      <c r="M2539" s="187">
        <v>0</v>
      </c>
      <c r="N2539" s="187">
        <v>0</v>
      </c>
      <c r="O2539" t="s">
        <v>2998</v>
      </c>
    </row>
    <row r="2540" spans="1:15" hidden="1" x14ac:dyDescent="0.45">
      <c r="A2540" s="187">
        <v>2018</v>
      </c>
      <c r="B2540" t="s">
        <v>34</v>
      </c>
      <c r="C2540" t="s">
        <v>325</v>
      </c>
      <c r="D2540" t="s">
        <v>35</v>
      </c>
      <c r="E2540" t="s">
        <v>358</v>
      </c>
      <c r="F2540" t="s">
        <v>402</v>
      </c>
      <c r="G2540" t="s">
        <v>37</v>
      </c>
      <c r="H2540" t="s">
        <v>43</v>
      </c>
      <c r="I2540" s="187">
        <v>0</v>
      </c>
      <c r="J2540" s="187"/>
      <c r="K2540" s="187">
        <v>0</v>
      </c>
      <c r="L2540" s="187">
        <v>0</v>
      </c>
      <c r="M2540" s="187">
        <v>0</v>
      </c>
      <c r="N2540" s="187">
        <v>0</v>
      </c>
      <c r="O2540" t="s">
        <v>2999</v>
      </c>
    </row>
    <row r="2541" spans="1:15" hidden="1" x14ac:dyDescent="0.45">
      <c r="A2541" s="187">
        <v>2018</v>
      </c>
      <c r="B2541" t="s">
        <v>34</v>
      </c>
      <c r="C2541" t="s">
        <v>325</v>
      </c>
      <c r="D2541" t="s">
        <v>35</v>
      </c>
      <c r="E2541" t="s">
        <v>358</v>
      </c>
      <c r="F2541" t="s">
        <v>403</v>
      </c>
      <c r="G2541" t="s">
        <v>36</v>
      </c>
      <c r="H2541" t="s">
        <v>43</v>
      </c>
      <c r="I2541" s="187">
        <v>2026.314697265625</v>
      </c>
      <c r="J2541" s="187">
        <v>265.5791015625</v>
      </c>
      <c r="K2541" s="187">
        <v>1449.8155517578125</v>
      </c>
      <c r="L2541" s="187">
        <v>1380.3125</v>
      </c>
      <c r="M2541" s="187">
        <v>5122.02197265625</v>
      </c>
      <c r="N2541" s="187">
        <v>3406.627197265625</v>
      </c>
      <c r="O2541" t="s">
        <v>3000</v>
      </c>
    </row>
    <row r="2542" spans="1:15" hidden="1" x14ac:dyDescent="0.45">
      <c r="A2542" s="187">
        <v>2018</v>
      </c>
      <c r="B2542" t="s">
        <v>34</v>
      </c>
      <c r="C2542" t="s">
        <v>325</v>
      </c>
      <c r="D2542" t="s">
        <v>35</v>
      </c>
      <c r="E2542" t="s">
        <v>358</v>
      </c>
      <c r="F2542" t="s">
        <v>403</v>
      </c>
      <c r="G2542" t="s">
        <v>37</v>
      </c>
      <c r="H2542" t="s">
        <v>43</v>
      </c>
      <c r="I2542" s="187">
        <v>1739.59366</v>
      </c>
      <c r="J2542" s="187">
        <v>228</v>
      </c>
      <c r="K2542" s="187">
        <v>1244.66851</v>
      </c>
      <c r="L2542" s="187">
        <v>1185</v>
      </c>
      <c r="M2542" s="187">
        <v>4397.26220703125</v>
      </c>
      <c r="N2542" s="187">
        <v>2924.59375</v>
      </c>
      <c r="O2542" t="s">
        <v>3001</v>
      </c>
    </row>
    <row r="2543" spans="1:15" hidden="1" x14ac:dyDescent="0.45">
      <c r="A2543" s="187">
        <v>2018</v>
      </c>
      <c r="B2543" t="s">
        <v>34</v>
      </c>
      <c r="C2543" t="s">
        <v>325</v>
      </c>
      <c r="D2543" t="s">
        <v>35</v>
      </c>
      <c r="E2543" t="s">
        <v>358</v>
      </c>
      <c r="F2543" t="s">
        <v>405</v>
      </c>
      <c r="G2543" t="s">
        <v>36</v>
      </c>
      <c r="H2543" t="s">
        <v>43</v>
      </c>
      <c r="I2543" s="187">
        <v>0</v>
      </c>
      <c r="J2543" s="187"/>
      <c r="K2543" s="187">
        <v>0</v>
      </c>
      <c r="L2543" s="187">
        <v>0</v>
      </c>
      <c r="M2543" s="187">
        <v>0</v>
      </c>
      <c r="N2543" s="187">
        <v>0</v>
      </c>
      <c r="O2543" t="s">
        <v>3002</v>
      </c>
    </row>
    <row r="2544" spans="1:15" hidden="1" x14ac:dyDescent="0.45">
      <c r="A2544" s="187">
        <v>2018</v>
      </c>
      <c r="B2544" t="s">
        <v>34</v>
      </c>
      <c r="C2544" t="s">
        <v>325</v>
      </c>
      <c r="D2544" t="s">
        <v>35</v>
      </c>
      <c r="E2544" t="s">
        <v>358</v>
      </c>
      <c r="F2544" t="s">
        <v>405</v>
      </c>
      <c r="G2544" t="s">
        <v>37</v>
      </c>
      <c r="H2544" t="s">
        <v>43</v>
      </c>
      <c r="I2544" s="187">
        <v>0</v>
      </c>
      <c r="J2544" s="187"/>
      <c r="K2544" s="187">
        <v>0</v>
      </c>
      <c r="L2544" s="187">
        <v>0</v>
      </c>
      <c r="M2544" s="187">
        <v>0</v>
      </c>
      <c r="N2544" s="187">
        <v>0</v>
      </c>
      <c r="O2544" t="s">
        <v>3003</v>
      </c>
    </row>
    <row r="2545" spans="1:15" hidden="1" x14ac:dyDescent="0.45">
      <c r="A2545" s="187">
        <v>2018</v>
      </c>
      <c r="B2545" t="s">
        <v>34</v>
      </c>
      <c r="C2545" t="s">
        <v>325</v>
      </c>
      <c r="D2545" t="s">
        <v>35</v>
      </c>
      <c r="E2545" t="s">
        <v>358</v>
      </c>
      <c r="F2545" t="s">
        <v>406</v>
      </c>
      <c r="G2545" t="s">
        <v>36</v>
      </c>
      <c r="H2545" t="s">
        <v>43</v>
      </c>
      <c r="I2545" s="187">
        <v>0</v>
      </c>
      <c r="J2545" s="187"/>
      <c r="K2545" s="187">
        <v>0</v>
      </c>
      <c r="L2545" s="187">
        <v>0</v>
      </c>
      <c r="M2545" s="187">
        <v>0</v>
      </c>
      <c r="N2545" s="187">
        <v>0</v>
      </c>
      <c r="O2545" t="s">
        <v>3004</v>
      </c>
    </row>
    <row r="2546" spans="1:15" hidden="1" x14ac:dyDescent="0.45">
      <c r="A2546" s="187">
        <v>2018</v>
      </c>
      <c r="B2546" t="s">
        <v>34</v>
      </c>
      <c r="C2546" t="s">
        <v>325</v>
      </c>
      <c r="D2546" t="s">
        <v>35</v>
      </c>
      <c r="E2546" t="s">
        <v>358</v>
      </c>
      <c r="F2546" t="s">
        <v>406</v>
      </c>
      <c r="G2546" t="s">
        <v>37</v>
      </c>
      <c r="H2546" t="s">
        <v>43</v>
      </c>
      <c r="I2546" s="187">
        <v>0</v>
      </c>
      <c r="J2546" s="187"/>
      <c r="K2546" s="187">
        <v>0</v>
      </c>
      <c r="L2546" s="187">
        <v>0</v>
      </c>
      <c r="M2546" s="187">
        <v>0</v>
      </c>
      <c r="N2546" s="187">
        <v>0</v>
      </c>
      <c r="O2546" t="s">
        <v>3005</v>
      </c>
    </row>
    <row r="2547" spans="1:15" hidden="1" x14ac:dyDescent="0.45">
      <c r="A2547" s="187">
        <v>2018</v>
      </c>
      <c r="B2547" t="s">
        <v>34</v>
      </c>
      <c r="C2547" t="s">
        <v>325</v>
      </c>
      <c r="D2547" t="s">
        <v>35</v>
      </c>
      <c r="E2547" t="s">
        <v>358</v>
      </c>
      <c r="F2547" t="s">
        <v>421</v>
      </c>
      <c r="G2547" t="s">
        <v>36</v>
      </c>
      <c r="H2547" t="s">
        <v>43</v>
      </c>
      <c r="I2547" s="187">
        <v>0</v>
      </c>
      <c r="J2547" s="187"/>
      <c r="K2547" s="187">
        <v>0</v>
      </c>
      <c r="L2547" s="187">
        <v>0</v>
      </c>
      <c r="M2547" s="187">
        <v>0</v>
      </c>
      <c r="N2547" s="187">
        <v>0</v>
      </c>
      <c r="O2547" t="s">
        <v>3006</v>
      </c>
    </row>
    <row r="2548" spans="1:15" hidden="1" x14ac:dyDescent="0.45">
      <c r="A2548" s="187">
        <v>2018</v>
      </c>
      <c r="B2548" t="s">
        <v>34</v>
      </c>
      <c r="C2548" t="s">
        <v>325</v>
      </c>
      <c r="D2548" t="s">
        <v>35</v>
      </c>
      <c r="E2548" t="s">
        <v>358</v>
      </c>
      <c r="F2548" t="s">
        <v>421</v>
      </c>
      <c r="G2548" t="s">
        <v>37</v>
      </c>
      <c r="H2548" t="s">
        <v>43</v>
      </c>
      <c r="I2548" s="187">
        <v>0</v>
      </c>
      <c r="J2548" s="187"/>
      <c r="K2548" s="187">
        <v>0</v>
      </c>
      <c r="L2548" s="187">
        <v>0</v>
      </c>
      <c r="M2548" s="187">
        <v>0</v>
      </c>
      <c r="N2548" s="187">
        <v>0</v>
      </c>
      <c r="O2548" t="s">
        <v>3007</v>
      </c>
    </row>
    <row r="2549" spans="1:15" hidden="1" x14ac:dyDescent="0.45">
      <c r="A2549" s="187">
        <v>2018</v>
      </c>
      <c r="B2549" t="s">
        <v>34</v>
      </c>
      <c r="C2549" t="s">
        <v>325</v>
      </c>
      <c r="D2549" t="s">
        <v>35</v>
      </c>
      <c r="E2549" t="s">
        <v>358</v>
      </c>
      <c r="F2549" t="s">
        <v>422</v>
      </c>
      <c r="G2549" t="s">
        <v>36</v>
      </c>
      <c r="H2549" t="s">
        <v>43</v>
      </c>
      <c r="I2549" s="187">
        <v>2026.314697265625</v>
      </c>
      <c r="J2549" s="187">
        <v>265.5791015625</v>
      </c>
      <c r="K2549" s="187">
        <v>1449.8155517578125</v>
      </c>
      <c r="L2549" s="187">
        <v>1380.3125</v>
      </c>
      <c r="M2549" s="187">
        <v>5122.02197265625</v>
      </c>
      <c r="N2549" s="187">
        <v>3406.627197265625</v>
      </c>
      <c r="O2549" t="s">
        <v>3008</v>
      </c>
    </row>
    <row r="2550" spans="1:15" hidden="1" x14ac:dyDescent="0.45">
      <c r="A2550" s="187">
        <v>2018</v>
      </c>
      <c r="B2550" t="s">
        <v>34</v>
      </c>
      <c r="C2550" t="s">
        <v>325</v>
      </c>
      <c r="D2550" t="s">
        <v>35</v>
      </c>
      <c r="E2550" t="s">
        <v>358</v>
      </c>
      <c r="F2550" t="s">
        <v>422</v>
      </c>
      <c r="G2550" t="s">
        <v>37</v>
      </c>
      <c r="H2550" t="s">
        <v>43</v>
      </c>
      <c r="I2550" s="187">
        <v>1739.59366</v>
      </c>
      <c r="J2550" s="187">
        <v>228</v>
      </c>
      <c r="K2550" s="187">
        <v>1244.66851</v>
      </c>
      <c r="L2550" s="187">
        <v>1185</v>
      </c>
      <c r="M2550" s="187">
        <v>4397.26220703125</v>
      </c>
      <c r="N2550" s="187">
        <v>2924.59375</v>
      </c>
      <c r="O2550" t="s">
        <v>3009</v>
      </c>
    </row>
    <row r="2551" spans="1:15" hidden="1" x14ac:dyDescent="0.45">
      <c r="A2551" s="187">
        <v>2018</v>
      </c>
      <c r="B2551" t="s">
        <v>34</v>
      </c>
      <c r="C2551" t="s">
        <v>325</v>
      </c>
      <c r="D2551" t="s">
        <v>35</v>
      </c>
      <c r="E2551" t="s">
        <v>358</v>
      </c>
      <c r="F2551" t="s">
        <v>423</v>
      </c>
      <c r="G2551" t="s">
        <v>36</v>
      </c>
      <c r="H2551" t="s">
        <v>43</v>
      </c>
      <c r="I2551" s="187">
        <v>0</v>
      </c>
      <c r="J2551" s="187">
        <v>0</v>
      </c>
      <c r="K2551" s="187">
        <v>0</v>
      </c>
      <c r="L2551" s="187">
        <v>0</v>
      </c>
      <c r="M2551" s="187">
        <v>0</v>
      </c>
      <c r="N2551" s="187">
        <v>0</v>
      </c>
      <c r="O2551" t="s">
        <v>3010</v>
      </c>
    </row>
    <row r="2552" spans="1:15" hidden="1" x14ac:dyDescent="0.45">
      <c r="A2552" s="187">
        <v>2018</v>
      </c>
      <c r="B2552" t="s">
        <v>34</v>
      </c>
      <c r="C2552" t="s">
        <v>325</v>
      </c>
      <c r="D2552" t="s">
        <v>35</v>
      </c>
      <c r="E2552" t="s">
        <v>358</v>
      </c>
      <c r="F2552" t="s">
        <v>423</v>
      </c>
      <c r="G2552" t="s">
        <v>37</v>
      </c>
      <c r="H2552" t="s">
        <v>43</v>
      </c>
      <c r="I2552" s="187">
        <v>0</v>
      </c>
      <c r="J2552" s="187">
        <v>0</v>
      </c>
      <c r="K2552" s="187">
        <v>0</v>
      </c>
      <c r="L2552" s="187">
        <v>0</v>
      </c>
      <c r="M2552" s="187">
        <v>0</v>
      </c>
      <c r="N2552" s="187">
        <v>0</v>
      </c>
      <c r="O2552" t="s">
        <v>3011</v>
      </c>
    </row>
    <row r="2553" spans="1:15" hidden="1" x14ac:dyDescent="0.45">
      <c r="A2553" s="187">
        <v>2018</v>
      </c>
      <c r="B2553" t="s">
        <v>34</v>
      </c>
      <c r="C2553" t="s">
        <v>325</v>
      </c>
      <c r="D2553" t="s">
        <v>35</v>
      </c>
      <c r="E2553" t="s">
        <v>358</v>
      </c>
      <c r="F2553" t="s">
        <v>424</v>
      </c>
      <c r="G2553" t="s">
        <v>36</v>
      </c>
      <c r="H2553" t="s">
        <v>43</v>
      </c>
      <c r="I2553" s="187">
        <v>6.4909749031066895</v>
      </c>
      <c r="J2553" s="187">
        <v>0</v>
      </c>
      <c r="K2553" s="187">
        <v>0</v>
      </c>
      <c r="L2553" s="187">
        <v>0</v>
      </c>
      <c r="M2553" s="187">
        <v>6.4909749031066895</v>
      </c>
      <c r="N2553" s="187">
        <v>6.4909749031066895</v>
      </c>
      <c r="O2553" t="s">
        <v>3012</v>
      </c>
    </row>
    <row r="2554" spans="1:15" hidden="1" x14ac:dyDescent="0.45">
      <c r="A2554" s="187">
        <v>2018</v>
      </c>
      <c r="B2554" t="s">
        <v>34</v>
      </c>
      <c r="C2554" t="s">
        <v>325</v>
      </c>
      <c r="D2554" t="s">
        <v>35</v>
      </c>
      <c r="E2554" t="s">
        <v>358</v>
      </c>
      <c r="F2554" t="s">
        <v>424</v>
      </c>
      <c r="G2554" t="s">
        <v>37</v>
      </c>
      <c r="H2554" t="s">
        <v>43</v>
      </c>
      <c r="I2554" s="187">
        <v>5.5725100000000003</v>
      </c>
      <c r="J2554" s="187">
        <v>0</v>
      </c>
      <c r="K2554" s="187">
        <v>0</v>
      </c>
      <c r="L2554" s="187">
        <v>0</v>
      </c>
      <c r="M2554" s="187">
        <v>5.572509765625</v>
      </c>
      <c r="N2554" s="187">
        <v>5.572509765625</v>
      </c>
      <c r="O2554" t="s">
        <v>3013</v>
      </c>
    </row>
    <row r="2555" spans="1:15" hidden="1" x14ac:dyDescent="0.45">
      <c r="A2555" s="187">
        <v>2018</v>
      </c>
      <c r="B2555" t="s">
        <v>34</v>
      </c>
      <c r="C2555" t="s">
        <v>325</v>
      </c>
      <c r="D2555" t="s">
        <v>35</v>
      </c>
      <c r="E2555" t="s">
        <v>358</v>
      </c>
      <c r="F2555" t="s">
        <v>446</v>
      </c>
      <c r="G2555" t="s">
        <v>36</v>
      </c>
      <c r="H2555" t="s">
        <v>43</v>
      </c>
      <c r="I2555" s="187">
        <v>-18.436933517456055</v>
      </c>
      <c r="J2555" s="187">
        <v>0</v>
      </c>
      <c r="K2555" s="187">
        <v>0</v>
      </c>
      <c r="L2555" s="187">
        <v>0</v>
      </c>
      <c r="M2555" s="187">
        <v>-18.436933517456055</v>
      </c>
      <c r="N2555" s="187">
        <v>-18.436933517456055</v>
      </c>
      <c r="O2555" t="s">
        <v>3014</v>
      </c>
    </row>
    <row r="2556" spans="1:15" hidden="1" x14ac:dyDescent="0.45">
      <c r="A2556" s="187">
        <v>2018</v>
      </c>
      <c r="B2556" t="s">
        <v>34</v>
      </c>
      <c r="C2556" t="s">
        <v>325</v>
      </c>
      <c r="D2556" t="s">
        <v>35</v>
      </c>
      <c r="E2556" t="s">
        <v>358</v>
      </c>
      <c r="F2556" t="s">
        <v>446</v>
      </c>
      <c r="G2556" t="s">
        <v>37</v>
      </c>
      <c r="H2556" t="s">
        <v>43</v>
      </c>
      <c r="I2556" s="187">
        <v>-15.82813</v>
      </c>
      <c r="J2556" s="187">
        <v>0</v>
      </c>
      <c r="K2556" s="187">
        <v>0</v>
      </c>
      <c r="L2556" s="187">
        <v>0</v>
      </c>
      <c r="M2556" s="187">
        <v>-15.828129768371582</v>
      </c>
      <c r="N2556" s="187">
        <v>-15.828129768371582</v>
      </c>
      <c r="O2556" t="s">
        <v>3015</v>
      </c>
    </row>
    <row r="2557" spans="1:15" hidden="1" x14ac:dyDescent="0.45">
      <c r="A2557" s="187">
        <v>2018</v>
      </c>
      <c r="B2557" t="s">
        <v>34</v>
      </c>
      <c r="C2557" t="s">
        <v>325</v>
      </c>
      <c r="D2557" t="s">
        <v>35</v>
      </c>
      <c r="E2557" t="s">
        <v>358</v>
      </c>
      <c r="F2557" t="s">
        <v>426</v>
      </c>
      <c r="G2557" t="s">
        <v>36</v>
      </c>
      <c r="H2557" t="s">
        <v>43</v>
      </c>
      <c r="I2557" s="187">
        <v>-11.945958137512207</v>
      </c>
      <c r="J2557" s="187">
        <v>0</v>
      </c>
      <c r="K2557" s="187">
        <v>0</v>
      </c>
      <c r="L2557" s="187">
        <v>0</v>
      </c>
      <c r="M2557" s="187">
        <v>-11.945958137512207</v>
      </c>
      <c r="N2557" s="187">
        <v>-11.945958137512207</v>
      </c>
      <c r="O2557" t="s">
        <v>3016</v>
      </c>
    </row>
    <row r="2558" spans="1:15" hidden="1" x14ac:dyDescent="0.45">
      <c r="A2558" s="187">
        <v>2018</v>
      </c>
      <c r="B2558" t="s">
        <v>34</v>
      </c>
      <c r="C2558" t="s">
        <v>325</v>
      </c>
      <c r="D2558" t="s">
        <v>35</v>
      </c>
      <c r="E2558" t="s">
        <v>358</v>
      </c>
      <c r="F2558" t="s">
        <v>426</v>
      </c>
      <c r="G2558" t="s">
        <v>37</v>
      </c>
      <c r="H2558" t="s">
        <v>43</v>
      </c>
      <c r="I2558" s="187">
        <v>-10.25562</v>
      </c>
      <c r="J2558" s="187">
        <v>0</v>
      </c>
      <c r="K2558" s="187">
        <v>0</v>
      </c>
      <c r="L2558" s="187">
        <v>0</v>
      </c>
      <c r="M2558" s="187">
        <v>-10.255620002746582</v>
      </c>
      <c r="N2558" s="187">
        <v>-10.255620002746582</v>
      </c>
      <c r="O2558" t="s">
        <v>3017</v>
      </c>
    </row>
    <row r="2559" spans="1:15" hidden="1" x14ac:dyDescent="0.45">
      <c r="A2559" s="187">
        <v>2018</v>
      </c>
      <c r="B2559" t="s">
        <v>34</v>
      </c>
      <c r="C2559" t="s">
        <v>325</v>
      </c>
      <c r="D2559" t="s">
        <v>35</v>
      </c>
      <c r="E2559" t="s">
        <v>358</v>
      </c>
      <c r="F2559" t="s">
        <v>428</v>
      </c>
      <c r="G2559" t="s">
        <v>36</v>
      </c>
      <c r="H2559" t="s">
        <v>43</v>
      </c>
      <c r="I2559" s="187">
        <v>2350.54833984375</v>
      </c>
      <c r="J2559" s="187">
        <v>294.69961547851563</v>
      </c>
      <c r="K2559" s="187">
        <v>1600.9371337890625</v>
      </c>
      <c r="L2559" s="187">
        <v>1402.444091796875</v>
      </c>
      <c r="M2559" s="187">
        <v>5648.62890625</v>
      </c>
      <c r="N2559" s="187">
        <v>3752.992431640625</v>
      </c>
      <c r="O2559" t="s">
        <v>3018</v>
      </c>
    </row>
    <row r="2560" spans="1:15" hidden="1" x14ac:dyDescent="0.45">
      <c r="A2560" s="187">
        <v>2018</v>
      </c>
      <c r="B2560" t="s">
        <v>34</v>
      </c>
      <c r="C2560" t="s">
        <v>325</v>
      </c>
      <c r="D2560" t="s">
        <v>35</v>
      </c>
      <c r="E2560" t="s">
        <v>358</v>
      </c>
      <c r="F2560" t="s">
        <v>428</v>
      </c>
      <c r="G2560" t="s">
        <v>37</v>
      </c>
      <c r="H2560" t="s">
        <v>43</v>
      </c>
      <c r="I2560" s="187">
        <v>2017.9487799999999</v>
      </c>
      <c r="J2560" s="187">
        <v>253</v>
      </c>
      <c r="K2560" s="187">
        <v>1374.4065800000001</v>
      </c>
      <c r="L2560" s="187">
        <v>1204</v>
      </c>
      <c r="M2560" s="187">
        <v>4849.35546875</v>
      </c>
      <c r="N2560" s="187">
        <v>3221.94873046875</v>
      </c>
      <c r="O2560" t="s">
        <v>3019</v>
      </c>
    </row>
    <row r="2561" spans="1:15" hidden="1" x14ac:dyDescent="0.45">
      <c r="A2561" s="187">
        <v>2018</v>
      </c>
      <c r="B2561" t="s">
        <v>34</v>
      </c>
      <c r="C2561" t="s">
        <v>325</v>
      </c>
      <c r="D2561" t="s">
        <v>35</v>
      </c>
      <c r="E2561" t="s">
        <v>358</v>
      </c>
      <c r="F2561" t="s">
        <v>429</v>
      </c>
      <c r="G2561" t="s">
        <v>36</v>
      </c>
      <c r="H2561" t="s">
        <v>43</v>
      </c>
      <c r="I2561" s="187">
        <v>2350.54833984375</v>
      </c>
      <c r="J2561" s="187">
        <v>294.69961547851563</v>
      </c>
      <c r="K2561" s="187">
        <v>1443.73388671875</v>
      </c>
      <c r="L2561" s="187">
        <v>1402.444091796875</v>
      </c>
      <c r="M2561" s="187">
        <v>5491.42578125</v>
      </c>
      <c r="N2561" s="187">
        <v>3752.992431640625</v>
      </c>
      <c r="O2561" t="s">
        <v>3020</v>
      </c>
    </row>
    <row r="2562" spans="1:15" hidden="1" x14ac:dyDescent="0.45">
      <c r="A2562" s="187">
        <v>2018</v>
      </c>
      <c r="B2562" t="s">
        <v>34</v>
      </c>
      <c r="C2562" t="s">
        <v>325</v>
      </c>
      <c r="D2562" t="s">
        <v>35</v>
      </c>
      <c r="E2562" t="s">
        <v>358</v>
      </c>
      <c r="F2562" t="s">
        <v>429</v>
      </c>
      <c r="G2562" t="s">
        <v>37</v>
      </c>
      <c r="H2562" t="s">
        <v>43</v>
      </c>
      <c r="I2562" s="187">
        <v>2017.9487799999999</v>
      </c>
      <c r="J2562" s="187">
        <v>253</v>
      </c>
      <c r="K2562" s="187">
        <v>1239.4473599999999</v>
      </c>
      <c r="L2562" s="187">
        <v>1204</v>
      </c>
      <c r="M2562" s="187">
        <v>4714.39599609375</v>
      </c>
      <c r="N2562" s="187">
        <v>3221.94873046875</v>
      </c>
      <c r="O2562" t="s">
        <v>3021</v>
      </c>
    </row>
    <row r="2563" spans="1:15" hidden="1" x14ac:dyDescent="0.45">
      <c r="A2563" s="187">
        <v>2018</v>
      </c>
      <c r="B2563" t="s">
        <v>34</v>
      </c>
      <c r="C2563" t="s">
        <v>326</v>
      </c>
      <c r="D2563" t="s">
        <v>337</v>
      </c>
      <c r="E2563" t="s">
        <v>155</v>
      </c>
      <c r="F2563" t="s">
        <v>155</v>
      </c>
      <c r="G2563" t="s">
        <v>453</v>
      </c>
      <c r="H2563" t="s">
        <v>455</v>
      </c>
      <c r="I2563" s="187">
        <v>4717</v>
      </c>
      <c r="J2563" s="187">
        <v>670</v>
      </c>
      <c r="K2563" s="187">
        <v>5997.1569890000001</v>
      </c>
      <c r="L2563" s="187">
        <v>6660.19</v>
      </c>
      <c r="M2563" s="187">
        <v>18044.34765625</v>
      </c>
      <c r="N2563" s="187">
        <v>11377.1904296875</v>
      </c>
      <c r="O2563" t="s">
        <v>3022</v>
      </c>
    </row>
    <row r="2564" spans="1:15" hidden="1" x14ac:dyDescent="0.45">
      <c r="A2564" s="187">
        <v>2018</v>
      </c>
      <c r="B2564" t="s">
        <v>34</v>
      </c>
      <c r="C2564" t="s">
        <v>327</v>
      </c>
      <c r="D2564" t="s">
        <v>337</v>
      </c>
      <c r="E2564" t="s">
        <v>359</v>
      </c>
      <c r="F2564" t="s">
        <v>430</v>
      </c>
      <c r="G2564" t="s">
        <v>453</v>
      </c>
      <c r="H2564" t="s">
        <v>456</v>
      </c>
      <c r="I2564" s="187">
        <v>63552</v>
      </c>
      <c r="J2564" s="187">
        <v>9957</v>
      </c>
      <c r="K2564" s="187">
        <v>108416</v>
      </c>
      <c r="L2564" s="187">
        <v>109228</v>
      </c>
      <c r="M2564" s="187">
        <v>291153</v>
      </c>
      <c r="N2564" s="187">
        <v>172780</v>
      </c>
      <c r="O2564" t="s">
        <v>3023</v>
      </c>
    </row>
    <row r="2565" spans="1:15" hidden="1" x14ac:dyDescent="0.45">
      <c r="A2565" s="187">
        <v>2018</v>
      </c>
      <c r="B2565" t="s">
        <v>34</v>
      </c>
      <c r="C2565" t="s">
        <v>327</v>
      </c>
      <c r="D2565" t="s">
        <v>337</v>
      </c>
      <c r="E2565" t="s">
        <v>360</v>
      </c>
      <c r="F2565" t="s">
        <v>151</v>
      </c>
      <c r="G2565" t="s">
        <v>453</v>
      </c>
      <c r="H2565" t="s">
        <v>457</v>
      </c>
      <c r="I2565" s="187">
        <v>27785.571364383559</v>
      </c>
      <c r="J2565" s="187">
        <v>3352.6668164383568</v>
      </c>
      <c r="K2565" s="187">
        <v>23801.398904109588</v>
      </c>
      <c r="L2565" s="187">
        <v>39610.554071232873</v>
      </c>
      <c r="M2565" s="187">
        <v>94550.1875</v>
      </c>
      <c r="N2565" s="187">
        <v>67396.125</v>
      </c>
      <c r="O2565" t="s">
        <v>3024</v>
      </c>
    </row>
    <row r="2566" spans="1:15" hidden="1" x14ac:dyDescent="0.45">
      <c r="A2566" s="187">
        <v>2018</v>
      </c>
      <c r="B2566" t="s">
        <v>34</v>
      </c>
      <c r="C2566" t="s">
        <v>327</v>
      </c>
      <c r="D2566" t="s">
        <v>337</v>
      </c>
      <c r="E2566" t="s">
        <v>360</v>
      </c>
      <c r="F2566" t="s">
        <v>6</v>
      </c>
      <c r="G2566" t="s">
        <v>453</v>
      </c>
      <c r="H2566" t="s">
        <v>454</v>
      </c>
      <c r="I2566" s="187">
        <v>0.78631779641371702</v>
      </c>
      <c r="J2566" s="187">
        <v>0.83399911456707687</v>
      </c>
      <c r="K2566" s="187">
        <v>0.71155456427188424</v>
      </c>
      <c r="L2566" s="187">
        <v>0.78412101455639327</v>
      </c>
      <c r="M2566" s="187">
        <v>0.77899813652038574</v>
      </c>
      <c r="N2566" s="187">
        <v>1.5704388618469238</v>
      </c>
      <c r="O2566" t="s">
        <v>3025</v>
      </c>
    </row>
    <row r="2567" spans="1:15" hidden="1" x14ac:dyDescent="0.45">
      <c r="A2567" s="187">
        <v>2018</v>
      </c>
      <c r="B2567" t="s">
        <v>34</v>
      </c>
      <c r="C2567" t="s">
        <v>327</v>
      </c>
      <c r="D2567" t="s">
        <v>337</v>
      </c>
      <c r="E2567" t="s">
        <v>360</v>
      </c>
      <c r="F2567" t="s">
        <v>152</v>
      </c>
      <c r="G2567" t="s">
        <v>453</v>
      </c>
      <c r="H2567" t="s">
        <v>457</v>
      </c>
      <c r="I2567" s="187">
        <v>39839.739000000001</v>
      </c>
      <c r="J2567" s="187">
        <v>5045.5873928771271</v>
      </c>
      <c r="K2567" s="187">
        <v>43230.709000000003</v>
      </c>
      <c r="L2567" s="187">
        <v>63938.976999999999</v>
      </c>
      <c r="M2567" s="187">
        <v>152055.015625</v>
      </c>
      <c r="N2567" s="187">
        <v>103778.71875</v>
      </c>
      <c r="O2567" t="s">
        <v>3026</v>
      </c>
    </row>
    <row r="2568" spans="1:15" hidden="1" x14ac:dyDescent="0.45">
      <c r="A2568" s="187">
        <v>2018</v>
      </c>
      <c r="B2568" t="s">
        <v>34</v>
      </c>
      <c r="C2568" t="s">
        <v>327</v>
      </c>
      <c r="D2568" t="s">
        <v>337</v>
      </c>
      <c r="E2568" t="s">
        <v>360</v>
      </c>
      <c r="F2568" t="s">
        <v>153</v>
      </c>
      <c r="G2568" t="s">
        <v>453</v>
      </c>
      <c r="H2568" t="s">
        <v>458</v>
      </c>
      <c r="I2568" s="187">
        <v>1074812.838</v>
      </c>
      <c r="J2568" s="187">
        <v>122274.6489999999</v>
      </c>
      <c r="K2568" s="187">
        <v>1017433.171</v>
      </c>
      <c r="L2568" s="187">
        <v>1536524.334</v>
      </c>
      <c r="M2568" s="187">
        <v>3751045</v>
      </c>
      <c r="N2568" s="187">
        <v>2611337.25</v>
      </c>
      <c r="O2568" t="s">
        <v>3027</v>
      </c>
    </row>
    <row r="2569" spans="1:15" hidden="1" x14ac:dyDescent="0.45">
      <c r="A2569" s="187">
        <v>2018</v>
      </c>
      <c r="B2569" t="s">
        <v>34</v>
      </c>
      <c r="C2569" t="s">
        <v>327</v>
      </c>
      <c r="D2569" t="s">
        <v>337</v>
      </c>
      <c r="E2569" t="s">
        <v>360</v>
      </c>
      <c r="F2569" t="s">
        <v>432</v>
      </c>
      <c r="G2569" t="s">
        <v>453</v>
      </c>
      <c r="H2569" t="s">
        <v>456</v>
      </c>
      <c r="I2569" s="187">
        <v>0</v>
      </c>
      <c r="J2569" s="187">
        <v>0</v>
      </c>
      <c r="K2569" s="187">
        <v>0</v>
      </c>
      <c r="L2569" s="187">
        <v>0</v>
      </c>
      <c r="M2569" s="187">
        <v>0</v>
      </c>
      <c r="N2569" s="187">
        <v>0</v>
      </c>
      <c r="O2569" t="s">
        <v>3028</v>
      </c>
    </row>
    <row r="2570" spans="1:15" hidden="1" x14ac:dyDescent="0.45">
      <c r="A2570" s="187">
        <v>2018</v>
      </c>
      <c r="B2570" t="s">
        <v>34</v>
      </c>
      <c r="C2570" t="s">
        <v>327</v>
      </c>
      <c r="D2570" t="s">
        <v>337</v>
      </c>
      <c r="E2570" t="s">
        <v>360</v>
      </c>
      <c r="F2570" t="s">
        <v>154</v>
      </c>
      <c r="G2570" t="s">
        <v>453</v>
      </c>
      <c r="H2570" t="s">
        <v>459</v>
      </c>
      <c r="I2570" s="187">
        <v>10141733.548</v>
      </c>
      <c r="J2570" s="187">
        <v>1223723.388</v>
      </c>
      <c r="K2570" s="187">
        <v>8687510.5999999996</v>
      </c>
      <c r="L2570" s="187">
        <v>14457852.236</v>
      </c>
      <c r="M2570" s="187">
        <v>34510820</v>
      </c>
      <c r="N2570" s="187">
        <v>24599586</v>
      </c>
      <c r="O2570" t="s">
        <v>3029</v>
      </c>
    </row>
    <row r="2571" spans="1:15" hidden="1" x14ac:dyDescent="0.45">
      <c r="A2571" s="187">
        <v>2018</v>
      </c>
      <c r="B2571" t="s">
        <v>311</v>
      </c>
      <c r="C2571" t="s">
        <v>328</v>
      </c>
      <c r="D2571" t="s">
        <v>39</v>
      </c>
      <c r="E2571" t="s">
        <v>349</v>
      </c>
      <c r="F2571" t="s">
        <v>349</v>
      </c>
      <c r="G2571" t="s">
        <v>36</v>
      </c>
      <c r="H2571" t="s">
        <v>43</v>
      </c>
      <c r="I2571" s="187"/>
      <c r="J2571" s="187">
        <v>0</v>
      </c>
      <c r="K2571" s="187">
        <v>2769.0950863212397</v>
      </c>
      <c r="L2571" s="187">
        <v>0</v>
      </c>
      <c r="M2571" s="187">
        <v>2769.094970703125</v>
      </c>
      <c r="N2571" s="187">
        <v>0</v>
      </c>
      <c r="O2571" t="s">
        <v>3032</v>
      </c>
    </row>
    <row r="2572" spans="1:15" hidden="1" x14ac:dyDescent="0.45">
      <c r="A2572" s="187">
        <v>2018</v>
      </c>
      <c r="B2572" t="s">
        <v>313</v>
      </c>
      <c r="C2572" t="s">
        <v>328</v>
      </c>
      <c r="D2572" t="s">
        <v>39</v>
      </c>
      <c r="E2572" t="s">
        <v>349</v>
      </c>
      <c r="F2572" t="s">
        <v>349</v>
      </c>
      <c r="G2572" t="s">
        <v>36</v>
      </c>
      <c r="H2572" t="s">
        <v>43</v>
      </c>
      <c r="I2572" s="187">
        <v>0</v>
      </c>
      <c r="J2572" s="187">
        <v>0</v>
      </c>
      <c r="K2572" s="187">
        <v>2958.0750725774396</v>
      </c>
      <c r="L2572" s="187">
        <v>0</v>
      </c>
      <c r="M2572" s="187">
        <v>2958.074951171875</v>
      </c>
      <c r="N2572" s="187">
        <v>0</v>
      </c>
      <c r="O2572" t="s">
        <v>3031</v>
      </c>
    </row>
    <row r="2573" spans="1:15" hidden="1" x14ac:dyDescent="0.45">
      <c r="A2573" s="187">
        <v>2018</v>
      </c>
      <c r="B2573" t="s">
        <v>314</v>
      </c>
      <c r="C2573" t="s">
        <v>328</v>
      </c>
      <c r="D2573" t="s">
        <v>39</v>
      </c>
      <c r="E2573" t="s">
        <v>349</v>
      </c>
      <c r="F2573" t="s">
        <v>349</v>
      </c>
      <c r="G2573" t="s">
        <v>36</v>
      </c>
      <c r="H2573" t="s">
        <v>43</v>
      </c>
      <c r="I2573" s="187">
        <v>0</v>
      </c>
      <c r="J2573" s="187">
        <v>0</v>
      </c>
      <c r="K2573" s="187">
        <v>2944.1237336872032</v>
      </c>
      <c r="L2573" s="187">
        <v>0</v>
      </c>
      <c r="M2573" s="187">
        <v>2944.123779296875</v>
      </c>
      <c r="N2573" s="187">
        <v>0</v>
      </c>
      <c r="O2573" t="s">
        <v>3030</v>
      </c>
    </row>
    <row r="2574" spans="1:15" hidden="1" x14ac:dyDescent="0.45">
      <c r="A2574" s="187">
        <v>2018</v>
      </c>
      <c r="B2574" t="s">
        <v>310</v>
      </c>
      <c r="C2574" t="s">
        <v>328</v>
      </c>
      <c r="D2574" t="s">
        <v>39</v>
      </c>
      <c r="E2574" t="s">
        <v>349</v>
      </c>
      <c r="F2574" t="s">
        <v>349</v>
      </c>
      <c r="G2574" t="s">
        <v>36</v>
      </c>
      <c r="H2574" t="s">
        <v>43</v>
      </c>
      <c r="I2574" s="187"/>
      <c r="J2574" s="187">
        <v>0</v>
      </c>
      <c r="K2574" s="187">
        <v>3525.9850343666626</v>
      </c>
      <c r="L2574" s="187">
        <v>0</v>
      </c>
      <c r="M2574" s="187">
        <v>3525.985107421875</v>
      </c>
      <c r="N2574" s="187">
        <v>0</v>
      </c>
      <c r="O2574" t="s">
        <v>3035</v>
      </c>
    </row>
    <row r="2575" spans="1:15" hidden="1" x14ac:dyDescent="0.45">
      <c r="A2575" s="187">
        <v>2018</v>
      </c>
      <c r="B2575" t="s">
        <v>312</v>
      </c>
      <c r="C2575" t="s">
        <v>328</v>
      </c>
      <c r="D2575" t="s">
        <v>39</v>
      </c>
      <c r="E2575" t="s">
        <v>349</v>
      </c>
      <c r="F2575" t="s">
        <v>349</v>
      </c>
      <c r="G2575" t="s">
        <v>36</v>
      </c>
      <c r="H2575" t="s">
        <v>43</v>
      </c>
      <c r="I2575" s="187">
        <v>0</v>
      </c>
      <c r="J2575" s="187">
        <v>0</v>
      </c>
      <c r="K2575" s="187">
        <v>3454.8777656346883</v>
      </c>
      <c r="L2575" s="187">
        <v>0</v>
      </c>
      <c r="M2575" s="187">
        <v>3454.877685546875</v>
      </c>
      <c r="N2575" s="187">
        <v>0</v>
      </c>
      <c r="O2575" t="s">
        <v>3034</v>
      </c>
    </row>
    <row r="2576" spans="1:15" hidden="1" x14ac:dyDescent="0.45">
      <c r="A2576" s="187">
        <v>2018</v>
      </c>
      <c r="B2576" t="s">
        <v>309</v>
      </c>
      <c r="C2576" t="s">
        <v>328</v>
      </c>
      <c r="D2576" t="s">
        <v>39</v>
      </c>
      <c r="E2576" t="s">
        <v>349</v>
      </c>
      <c r="F2576" t="s">
        <v>349</v>
      </c>
      <c r="G2576" t="s">
        <v>36</v>
      </c>
      <c r="H2576" t="s">
        <v>43</v>
      </c>
      <c r="I2576" s="187"/>
      <c r="J2576" s="187">
        <v>0</v>
      </c>
      <c r="K2576" s="187">
        <v>3358.2436564147406</v>
      </c>
      <c r="L2576" s="187">
        <v>0</v>
      </c>
      <c r="M2576" s="187">
        <v>3358.24365234375</v>
      </c>
      <c r="N2576" s="187">
        <v>0</v>
      </c>
      <c r="O2576" t="s">
        <v>3033</v>
      </c>
    </row>
    <row r="2577" spans="1:15" hidden="1" x14ac:dyDescent="0.45">
      <c r="A2577" s="187">
        <v>2018</v>
      </c>
      <c r="B2577" t="s">
        <v>311</v>
      </c>
      <c r="C2577" t="s">
        <v>328</v>
      </c>
      <c r="D2577" t="s">
        <v>39</v>
      </c>
      <c r="E2577" t="s">
        <v>349</v>
      </c>
      <c r="F2577" t="s">
        <v>349</v>
      </c>
      <c r="G2577" t="s">
        <v>37</v>
      </c>
      <c r="H2577" t="s">
        <v>43</v>
      </c>
      <c r="I2577" s="187"/>
      <c r="J2577" s="187">
        <v>0</v>
      </c>
      <c r="K2577" s="187">
        <v>2504.7496505370409</v>
      </c>
      <c r="L2577" s="187">
        <v>0</v>
      </c>
      <c r="M2577" s="187">
        <v>2504.749755859375</v>
      </c>
      <c r="N2577" s="187">
        <v>0</v>
      </c>
      <c r="O2577" t="s">
        <v>3037</v>
      </c>
    </row>
    <row r="2578" spans="1:15" hidden="1" x14ac:dyDescent="0.45">
      <c r="A2578" s="187">
        <v>2018</v>
      </c>
      <c r="B2578" t="s">
        <v>314</v>
      </c>
      <c r="C2578" t="s">
        <v>328</v>
      </c>
      <c r="D2578" t="s">
        <v>39</v>
      </c>
      <c r="E2578" t="s">
        <v>349</v>
      </c>
      <c r="F2578" t="s">
        <v>349</v>
      </c>
      <c r="G2578" t="s">
        <v>37</v>
      </c>
      <c r="H2578" t="s">
        <v>43</v>
      </c>
      <c r="I2578" s="187">
        <v>0</v>
      </c>
      <c r="J2578" s="187">
        <v>0</v>
      </c>
      <c r="K2578" s="187">
        <v>2653.2539499999998</v>
      </c>
      <c r="L2578" s="187">
        <v>0</v>
      </c>
      <c r="M2578" s="187">
        <v>2653.25390625</v>
      </c>
      <c r="N2578" s="187">
        <v>0</v>
      </c>
      <c r="O2578" t="s">
        <v>3038</v>
      </c>
    </row>
    <row r="2579" spans="1:15" hidden="1" x14ac:dyDescent="0.45">
      <c r="A2579" s="187">
        <v>2018</v>
      </c>
      <c r="B2579" t="s">
        <v>310</v>
      </c>
      <c r="C2579" t="s">
        <v>328</v>
      </c>
      <c r="D2579" t="s">
        <v>39</v>
      </c>
      <c r="E2579" t="s">
        <v>349</v>
      </c>
      <c r="F2579" t="s">
        <v>349</v>
      </c>
      <c r="G2579" t="s">
        <v>37</v>
      </c>
      <c r="H2579" t="s">
        <v>43</v>
      </c>
      <c r="I2579" s="187"/>
      <c r="J2579" s="187">
        <v>0</v>
      </c>
      <c r="K2579" s="187">
        <v>3278.0953457097471</v>
      </c>
      <c r="L2579" s="187">
        <v>0</v>
      </c>
      <c r="M2579" s="187">
        <v>3278.095458984375</v>
      </c>
      <c r="N2579" s="187">
        <v>0</v>
      </c>
      <c r="O2579" t="s">
        <v>3039</v>
      </c>
    </row>
    <row r="2580" spans="1:15" hidden="1" x14ac:dyDescent="0.45">
      <c r="A2580" s="187">
        <v>2018</v>
      </c>
      <c r="B2580" t="s">
        <v>312</v>
      </c>
      <c r="C2580" t="s">
        <v>328</v>
      </c>
      <c r="D2580" t="s">
        <v>39</v>
      </c>
      <c r="E2580" t="s">
        <v>349</v>
      </c>
      <c r="F2580" t="s">
        <v>349</v>
      </c>
      <c r="G2580" t="s">
        <v>37</v>
      </c>
      <c r="H2580" t="s">
        <v>43</v>
      </c>
      <c r="I2580" s="187">
        <v>0</v>
      </c>
      <c r="J2580" s="187">
        <v>0</v>
      </c>
      <c r="K2580" s="187">
        <v>3089.7661069106539</v>
      </c>
      <c r="L2580" s="187">
        <v>0</v>
      </c>
      <c r="M2580" s="187">
        <v>3089.76611328125</v>
      </c>
      <c r="N2580" s="187">
        <v>0</v>
      </c>
      <c r="O2580" t="s">
        <v>3041</v>
      </c>
    </row>
    <row r="2581" spans="1:15" hidden="1" x14ac:dyDescent="0.45">
      <c r="A2581" s="187">
        <v>2018</v>
      </c>
      <c r="B2581" t="s">
        <v>313</v>
      </c>
      <c r="C2581" t="s">
        <v>328</v>
      </c>
      <c r="D2581" t="s">
        <v>39</v>
      </c>
      <c r="E2581" t="s">
        <v>349</v>
      </c>
      <c r="F2581" t="s">
        <v>349</v>
      </c>
      <c r="G2581" t="s">
        <v>37</v>
      </c>
      <c r="H2581" t="s">
        <v>43</v>
      </c>
      <c r="I2581" s="187">
        <v>0</v>
      </c>
      <c r="J2581" s="187">
        <v>0</v>
      </c>
      <c r="K2581" s="187">
        <v>2637.808662193233</v>
      </c>
      <c r="L2581" s="187">
        <v>0</v>
      </c>
      <c r="M2581" s="187">
        <v>2637.80859375</v>
      </c>
      <c r="N2581" s="187">
        <v>0</v>
      </c>
      <c r="O2581" t="s">
        <v>3040</v>
      </c>
    </row>
    <row r="2582" spans="1:15" hidden="1" x14ac:dyDescent="0.45">
      <c r="A2582" s="187">
        <v>2018</v>
      </c>
      <c r="B2582" t="s">
        <v>309</v>
      </c>
      <c r="C2582" t="s">
        <v>328</v>
      </c>
      <c r="D2582" t="s">
        <v>39</v>
      </c>
      <c r="E2582" t="s">
        <v>349</v>
      </c>
      <c r="F2582" t="s">
        <v>349</v>
      </c>
      <c r="G2582" t="s">
        <v>37</v>
      </c>
      <c r="H2582" t="s">
        <v>43</v>
      </c>
      <c r="I2582" s="187"/>
      <c r="J2582" s="187">
        <v>0</v>
      </c>
      <c r="K2582" s="187">
        <v>3155.1071608685211</v>
      </c>
      <c r="L2582" s="187">
        <v>0</v>
      </c>
      <c r="M2582" s="187">
        <v>3155.107177734375</v>
      </c>
      <c r="N2582" s="187">
        <v>0</v>
      </c>
      <c r="O2582" t="s">
        <v>3036</v>
      </c>
    </row>
    <row r="2583" spans="1:15" hidden="1" x14ac:dyDescent="0.45">
      <c r="A2583" s="187">
        <v>2018</v>
      </c>
      <c r="B2583" t="s">
        <v>310</v>
      </c>
      <c r="C2583" t="s">
        <v>328</v>
      </c>
      <c r="D2583" t="s">
        <v>39</v>
      </c>
      <c r="E2583" t="s">
        <v>21</v>
      </c>
      <c r="F2583" t="s">
        <v>21</v>
      </c>
      <c r="G2583" t="s">
        <v>36</v>
      </c>
      <c r="H2583" t="s">
        <v>43</v>
      </c>
      <c r="I2583" s="187"/>
      <c r="J2583" s="187">
        <v>1032.110146121566</v>
      </c>
      <c r="K2583" s="187">
        <v>7524.2932660537572</v>
      </c>
      <c r="L2583" s="187">
        <v>9421.6878950891751</v>
      </c>
      <c r="M2583" s="187">
        <v>17978.091796875</v>
      </c>
      <c r="N2583" s="187">
        <v>9421.6875</v>
      </c>
      <c r="O2583" t="s">
        <v>3046</v>
      </c>
    </row>
    <row r="2584" spans="1:15" hidden="1" x14ac:dyDescent="0.45">
      <c r="A2584" s="187">
        <v>2018</v>
      </c>
      <c r="B2584" t="s">
        <v>309</v>
      </c>
      <c r="C2584" t="s">
        <v>328</v>
      </c>
      <c r="D2584" t="s">
        <v>39</v>
      </c>
      <c r="E2584" t="s">
        <v>21</v>
      </c>
      <c r="F2584" t="s">
        <v>21</v>
      </c>
      <c r="G2584" t="s">
        <v>36</v>
      </c>
      <c r="H2584" t="s">
        <v>43</v>
      </c>
      <c r="I2584" s="187"/>
      <c r="J2584" s="187">
        <v>1033.8771229798922</v>
      </c>
      <c r="K2584" s="187">
        <v>7664.041295745993</v>
      </c>
      <c r="L2584" s="187">
        <v>10187.50118991592</v>
      </c>
      <c r="M2584" s="187">
        <v>18885.419921875</v>
      </c>
      <c r="N2584" s="187">
        <v>10187.5009765625</v>
      </c>
      <c r="O2584" t="s">
        <v>3042</v>
      </c>
    </row>
    <row r="2585" spans="1:15" hidden="1" x14ac:dyDescent="0.45">
      <c r="A2585" s="187">
        <v>2018</v>
      </c>
      <c r="B2585" t="s">
        <v>313</v>
      </c>
      <c r="C2585" t="s">
        <v>328</v>
      </c>
      <c r="D2585" t="s">
        <v>39</v>
      </c>
      <c r="E2585" t="s">
        <v>21</v>
      </c>
      <c r="F2585" t="s">
        <v>21</v>
      </c>
      <c r="G2585" t="s">
        <v>36</v>
      </c>
      <c r="H2585" t="s">
        <v>43</v>
      </c>
      <c r="I2585" s="187">
        <v>1940.0044612941792</v>
      </c>
      <c r="J2585" s="187">
        <v>912.85735991632748</v>
      </c>
      <c r="K2585" s="187">
        <v>7379.6114928748229</v>
      </c>
      <c r="L2585" s="187">
        <v>5323.0994800120843</v>
      </c>
      <c r="M2585" s="187">
        <v>15555.5732421875</v>
      </c>
      <c r="N2585" s="187">
        <v>7263.10400390625</v>
      </c>
      <c r="O2585" t="s">
        <v>3045</v>
      </c>
    </row>
    <row r="2586" spans="1:15" hidden="1" x14ac:dyDescent="0.45">
      <c r="A2586" s="187">
        <v>2018</v>
      </c>
      <c r="B2586" t="s">
        <v>311</v>
      </c>
      <c r="C2586" t="s">
        <v>328</v>
      </c>
      <c r="D2586" t="s">
        <v>39</v>
      </c>
      <c r="E2586" t="s">
        <v>21</v>
      </c>
      <c r="F2586" t="s">
        <v>21</v>
      </c>
      <c r="G2586" t="s">
        <v>36</v>
      </c>
      <c r="H2586" t="s">
        <v>43</v>
      </c>
      <c r="I2586" s="187"/>
      <c r="J2586" s="187">
        <v>891.27375513324205</v>
      </c>
      <c r="K2586" s="187">
        <v>7609.4698887706381</v>
      </c>
      <c r="L2586" s="187">
        <v>647.77543510337591</v>
      </c>
      <c r="M2586" s="187">
        <v>9148.5185546875</v>
      </c>
      <c r="N2586" s="187">
        <v>647.77545166015625</v>
      </c>
      <c r="O2586" t="s">
        <v>3047</v>
      </c>
    </row>
    <row r="2587" spans="1:15" hidden="1" x14ac:dyDescent="0.45">
      <c r="A2587" s="187">
        <v>2018</v>
      </c>
      <c r="B2587" t="s">
        <v>314</v>
      </c>
      <c r="C2587" t="s">
        <v>328</v>
      </c>
      <c r="D2587" t="s">
        <v>39</v>
      </c>
      <c r="E2587" t="s">
        <v>21</v>
      </c>
      <c r="F2587" t="s">
        <v>21</v>
      </c>
      <c r="G2587" t="s">
        <v>36</v>
      </c>
      <c r="H2587" t="s">
        <v>43</v>
      </c>
      <c r="I2587" s="187">
        <v>1886.3668693561149</v>
      </c>
      <c r="J2587" s="187">
        <v>1009.7610888906262</v>
      </c>
      <c r="K2587" s="187">
        <v>6359.4293914765967</v>
      </c>
      <c r="L2587" s="187">
        <v>5104.2868229636042</v>
      </c>
      <c r="M2587" s="187">
        <v>14359.8447265625</v>
      </c>
      <c r="N2587" s="187">
        <v>6990.65380859375</v>
      </c>
      <c r="O2587" t="s">
        <v>3043</v>
      </c>
    </row>
    <row r="2588" spans="1:15" hidden="1" x14ac:dyDescent="0.45">
      <c r="A2588" s="187">
        <v>2018</v>
      </c>
      <c r="B2588" t="s">
        <v>312</v>
      </c>
      <c r="C2588" t="s">
        <v>328</v>
      </c>
      <c r="D2588" t="s">
        <v>39</v>
      </c>
      <c r="E2588" t="s">
        <v>21</v>
      </c>
      <c r="F2588" t="s">
        <v>21</v>
      </c>
      <c r="G2588" t="s">
        <v>36</v>
      </c>
      <c r="H2588" t="s">
        <v>43</v>
      </c>
      <c r="I2588" s="187">
        <v>1901.6232069035862</v>
      </c>
      <c r="J2588" s="187">
        <v>887.21672074134676</v>
      </c>
      <c r="K2588" s="187">
        <v>7738.2438091122604</v>
      </c>
      <c r="L2588" s="187">
        <v>5028.7211779535683</v>
      </c>
      <c r="M2588" s="187">
        <v>15555.8046875</v>
      </c>
      <c r="N2588" s="187">
        <v>6930.34423828125</v>
      </c>
      <c r="O2588" t="s">
        <v>3044</v>
      </c>
    </row>
    <row r="2589" spans="1:15" hidden="1" x14ac:dyDescent="0.45">
      <c r="A2589" s="187">
        <v>2018</v>
      </c>
      <c r="B2589" t="s">
        <v>311</v>
      </c>
      <c r="C2589" t="s">
        <v>328</v>
      </c>
      <c r="D2589" t="s">
        <v>39</v>
      </c>
      <c r="E2589" t="s">
        <v>21</v>
      </c>
      <c r="F2589" t="s">
        <v>21</v>
      </c>
      <c r="G2589" t="s">
        <v>37</v>
      </c>
      <c r="H2589" t="s">
        <v>43</v>
      </c>
      <c r="I2589" s="187"/>
      <c r="J2589" s="187">
        <v>813</v>
      </c>
      <c r="K2589" s="187">
        <v>6883.0489566147317</v>
      </c>
      <c r="L2589" s="187">
        <v>606</v>
      </c>
      <c r="M2589" s="187">
        <v>8302.048828125</v>
      </c>
      <c r="N2589" s="187">
        <v>606</v>
      </c>
      <c r="O2589" t="s">
        <v>3052</v>
      </c>
    </row>
    <row r="2590" spans="1:15" hidden="1" x14ac:dyDescent="0.45">
      <c r="A2590" s="187">
        <v>2018</v>
      </c>
      <c r="B2590" t="s">
        <v>313</v>
      </c>
      <c r="C2590" t="s">
        <v>328</v>
      </c>
      <c r="D2590" t="s">
        <v>39</v>
      </c>
      <c r="E2590" t="s">
        <v>21</v>
      </c>
      <c r="F2590" t="s">
        <v>21</v>
      </c>
      <c r="G2590" t="s">
        <v>37</v>
      </c>
      <c r="H2590" t="s">
        <v>43</v>
      </c>
      <c r="I2590" s="187">
        <v>1729.742784</v>
      </c>
      <c r="J2590" s="187">
        <v>816</v>
      </c>
      <c r="K2590" s="187">
        <v>6580.6318777990864</v>
      </c>
      <c r="L2590" s="187">
        <v>4754</v>
      </c>
      <c r="M2590" s="187">
        <v>13880.375</v>
      </c>
      <c r="N2590" s="187">
        <v>6483.74267578125</v>
      </c>
      <c r="O2590" t="s">
        <v>3053</v>
      </c>
    </row>
    <row r="2591" spans="1:15" hidden="1" x14ac:dyDescent="0.45">
      <c r="A2591" s="187">
        <v>2018</v>
      </c>
      <c r="B2591" t="s">
        <v>312</v>
      </c>
      <c r="C2591" t="s">
        <v>328</v>
      </c>
      <c r="D2591" t="s">
        <v>39</v>
      </c>
      <c r="E2591" t="s">
        <v>21</v>
      </c>
      <c r="F2591" t="s">
        <v>21</v>
      </c>
      <c r="G2591" t="s">
        <v>37</v>
      </c>
      <c r="H2591" t="s">
        <v>43</v>
      </c>
      <c r="I2591" s="187">
        <v>1676.540236803</v>
      </c>
      <c r="J2591" s="187">
        <v>796</v>
      </c>
      <c r="K2591" s="187">
        <v>6920.4658081481839</v>
      </c>
      <c r="L2591" s="187">
        <v>4492</v>
      </c>
      <c r="M2591" s="187">
        <v>13885.005859375</v>
      </c>
      <c r="N2591" s="187">
        <v>6168.5400390625</v>
      </c>
      <c r="O2591" t="s">
        <v>3051</v>
      </c>
    </row>
    <row r="2592" spans="1:15" hidden="1" x14ac:dyDescent="0.45">
      <c r="A2592" s="187">
        <v>2018</v>
      </c>
      <c r="B2592" t="s">
        <v>314</v>
      </c>
      <c r="C2592" t="s">
        <v>328</v>
      </c>
      <c r="D2592" t="s">
        <v>39</v>
      </c>
      <c r="E2592" t="s">
        <v>21</v>
      </c>
      <c r="F2592" t="s">
        <v>21</v>
      </c>
      <c r="G2592" t="s">
        <v>37</v>
      </c>
      <c r="H2592" t="s">
        <v>43</v>
      </c>
      <c r="I2592" s="187">
        <v>1700</v>
      </c>
      <c r="J2592" s="187">
        <v>910</v>
      </c>
      <c r="K2592" s="187">
        <v>5731.1385929930002</v>
      </c>
      <c r="L2592" s="187">
        <v>4600</v>
      </c>
      <c r="M2592" s="187">
        <v>12941.138671875</v>
      </c>
      <c r="N2592" s="187">
        <v>6300</v>
      </c>
      <c r="O2592" t="s">
        <v>3050</v>
      </c>
    </row>
    <row r="2593" spans="1:15" hidden="1" x14ac:dyDescent="0.45">
      <c r="A2593" s="187">
        <v>2018</v>
      </c>
      <c r="B2593" t="s">
        <v>310</v>
      </c>
      <c r="C2593" t="s">
        <v>328</v>
      </c>
      <c r="D2593" t="s">
        <v>39</v>
      </c>
      <c r="E2593" t="s">
        <v>21</v>
      </c>
      <c r="F2593" t="s">
        <v>21</v>
      </c>
      <c r="G2593" t="s">
        <v>37</v>
      </c>
      <c r="H2593" t="s">
        <v>43</v>
      </c>
      <c r="I2593" s="187"/>
      <c r="J2593" s="187">
        <v>959</v>
      </c>
      <c r="K2593" s="187">
        <v>6995.307834491814</v>
      </c>
      <c r="L2593" s="187">
        <v>8989</v>
      </c>
      <c r="M2593" s="187">
        <v>16943.30859375</v>
      </c>
      <c r="N2593" s="187">
        <v>8989</v>
      </c>
      <c r="O2593" t="s">
        <v>3049</v>
      </c>
    </row>
    <row r="2594" spans="1:15" hidden="1" x14ac:dyDescent="0.45">
      <c r="A2594" s="187">
        <v>2018</v>
      </c>
      <c r="B2594" t="s">
        <v>309</v>
      </c>
      <c r="C2594" t="s">
        <v>328</v>
      </c>
      <c r="D2594" t="s">
        <v>39</v>
      </c>
      <c r="E2594" t="s">
        <v>21</v>
      </c>
      <c r="F2594" t="s">
        <v>21</v>
      </c>
      <c r="G2594" t="s">
        <v>37</v>
      </c>
      <c r="H2594" t="s">
        <v>43</v>
      </c>
      <c r="I2594" s="187"/>
      <c r="J2594" s="187">
        <v>957.6644</v>
      </c>
      <c r="K2594" s="187">
        <v>7200.4517978352187</v>
      </c>
      <c r="L2594" s="187">
        <v>9922</v>
      </c>
      <c r="M2594" s="187">
        <v>18080.1171875</v>
      </c>
      <c r="N2594" s="187">
        <v>9922</v>
      </c>
      <c r="O2594" t="s">
        <v>3048</v>
      </c>
    </row>
    <row r="2595" spans="1:15" hidden="1" x14ac:dyDescent="0.45">
      <c r="A2595" s="187">
        <v>2018</v>
      </c>
      <c r="B2595" t="s">
        <v>311</v>
      </c>
      <c r="C2595" t="s">
        <v>328</v>
      </c>
      <c r="D2595" t="s">
        <v>39</v>
      </c>
      <c r="E2595" t="s">
        <v>352</v>
      </c>
      <c r="F2595" t="s">
        <v>433</v>
      </c>
      <c r="G2595" t="s">
        <v>36</v>
      </c>
      <c r="H2595" t="s">
        <v>43</v>
      </c>
      <c r="I2595" s="187"/>
      <c r="J2595" s="187">
        <v>233.0127464400633</v>
      </c>
      <c r="K2595" s="187">
        <v>153.5472444578763</v>
      </c>
      <c r="L2595" s="187">
        <v>259.80921228067058</v>
      </c>
      <c r="M2595" s="187">
        <v>646.36920166015625</v>
      </c>
      <c r="N2595" s="187">
        <v>259.8092041015625</v>
      </c>
      <c r="O2595" t="s">
        <v>3056</v>
      </c>
    </row>
    <row r="2596" spans="1:15" hidden="1" x14ac:dyDescent="0.45">
      <c r="A2596" s="187">
        <v>2018</v>
      </c>
      <c r="B2596" t="s">
        <v>310</v>
      </c>
      <c r="C2596" t="s">
        <v>328</v>
      </c>
      <c r="D2596" t="s">
        <v>39</v>
      </c>
      <c r="E2596" t="s">
        <v>352</v>
      </c>
      <c r="F2596" t="s">
        <v>433</v>
      </c>
      <c r="G2596" t="s">
        <v>36</v>
      </c>
      <c r="H2596" t="s">
        <v>43</v>
      </c>
      <c r="I2596" s="187"/>
      <c r="J2596" s="187">
        <v>251.32294012954995</v>
      </c>
      <c r="K2596" s="187">
        <v>390.56753840039642</v>
      </c>
      <c r="L2596" s="187">
        <v>310.93907941609439</v>
      </c>
      <c r="M2596" s="187">
        <v>952.82958984375</v>
      </c>
      <c r="N2596" s="187">
        <v>310.9390869140625</v>
      </c>
      <c r="O2596" t="s">
        <v>3055</v>
      </c>
    </row>
    <row r="2597" spans="1:15" hidden="1" x14ac:dyDescent="0.45">
      <c r="A2597" s="187">
        <v>2018</v>
      </c>
      <c r="B2597" t="s">
        <v>314</v>
      </c>
      <c r="C2597" t="s">
        <v>328</v>
      </c>
      <c r="D2597" t="s">
        <v>39</v>
      </c>
      <c r="E2597" t="s">
        <v>352</v>
      </c>
      <c r="F2597" t="s">
        <v>433</v>
      </c>
      <c r="G2597" t="s">
        <v>36</v>
      </c>
      <c r="H2597" t="s">
        <v>43</v>
      </c>
      <c r="I2597" s="187">
        <v>0</v>
      </c>
      <c r="J2597" s="187">
        <v>210.82923833980107</v>
      </c>
      <c r="K2597" s="187">
        <v>101.15808781057697</v>
      </c>
      <c r="L2597" s="187">
        <v>71.016164493406677</v>
      </c>
      <c r="M2597" s="187">
        <v>383.00350952148438</v>
      </c>
      <c r="N2597" s="187">
        <v>71.016166687011719</v>
      </c>
      <c r="O2597" t="s">
        <v>3058</v>
      </c>
    </row>
    <row r="2598" spans="1:15" hidden="1" x14ac:dyDescent="0.45">
      <c r="A2598" s="187">
        <v>2018</v>
      </c>
      <c r="B2598" t="s">
        <v>312</v>
      </c>
      <c r="C2598" t="s">
        <v>328</v>
      </c>
      <c r="D2598" t="s">
        <v>39</v>
      </c>
      <c r="E2598" t="s">
        <v>352</v>
      </c>
      <c r="F2598" t="s">
        <v>433</v>
      </c>
      <c r="G2598" t="s">
        <v>36</v>
      </c>
      <c r="H2598" t="s">
        <v>43</v>
      </c>
      <c r="I2598" s="187"/>
      <c r="J2598" s="187">
        <v>197.15927127585482</v>
      </c>
      <c r="K2598" s="187">
        <v>142.09732585018565</v>
      </c>
      <c r="L2598" s="187">
        <v>213.3959171456311</v>
      </c>
      <c r="M2598" s="187">
        <v>552.65252685546875</v>
      </c>
      <c r="N2598" s="187">
        <v>213.39591979980469</v>
      </c>
      <c r="O2598" t="s">
        <v>3054</v>
      </c>
    </row>
    <row r="2599" spans="1:15" hidden="1" x14ac:dyDescent="0.45">
      <c r="A2599" s="187">
        <v>2018</v>
      </c>
      <c r="B2599" t="s">
        <v>313</v>
      </c>
      <c r="C2599" t="s">
        <v>328</v>
      </c>
      <c r="D2599" t="s">
        <v>39</v>
      </c>
      <c r="E2599" t="s">
        <v>352</v>
      </c>
      <c r="F2599" t="s">
        <v>433</v>
      </c>
      <c r="G2599" t="s">
        <v>36</v>
      </c>
      <c r="H2599" t="s">
        <v>43</v>
      </c>
      <c r="I2599" s="187"/>
      <c r="J2599" s="187">
        <v>182.5714719832655</v>
      </c>
      <c r="K2599" s="187">
        <v>138.94031339436472</v>
      </c>
      <c r="L2599" s="187">
        <v>255.60006077657169</v>
      </c>
      <c r="M2599" s="187">
        <v>577.11181640625</v>
      </c>
      <c r="N2599" s="187">
        <v>255.60006713867188</v>
      </c>
      <c r="O2599" t="s">
        <v>3057</v>
      </c>
    </row>
    <row r="2600" spans="1:15" hidden="1" x14ac:dyDescent="0.45">
      <c r="A2600" s="187">
        <v>2018</v>
      </c>
      <c r="B2600" t="s">
        <v>309</v>
      </c>
      <c r="C2600" t="s">
        <v>328</v>
      </c>
      <c r="D2600" t="s">
        <v>39</v>
      </c>
      <c r="E2600" t="s">
        <v>352</v>
      </c>
      <c r="F2600" t="s">
        <v>433</v>
      </c>
      <c r="G2600" t="s">
        <v>36</v>
      </c>
      <c r="H2600" t="s">
        <v>43</v>
      </c>
      <c r="I2600" s="187"/>
      <c r="J2600" s="187">
        <v>185.812017494082</v>
      </c>
      <c r="K2600" s="187">
        <v>402.99864215500691</v>
      </c>
      <c r="L2600" s="187">
        <v>315.64220920469057</v>
      </c>
      <c r="M2600" s="187">
        <v>904.452880859375</v>
      </c>
      <c r="N2600" s="187">
        <v>315.6422119140625</v>
      </c>
      <c r="O2600" t="s">
        <v>3059</v>
      </c>
    </row>
    <row r="2601" spans="1:15" hidden="1" x14ac:dyDescent="0.45">
      <c r="A2601" s="187">
        <v>2018</v>
      </c>
      <c r="B2601" t="s">
        <v>312</v>
      </c>
      <c r="C2601" t="s">
        <v>328</v>
      </c>
      <c r="D2601" t="s">
        <v>39</v>
      </c>
      <c r="E2601" t="s">
        <v>352</v>
      </c>
      <c r="F2601" t="s">
        <v>361</v>
      </c>
      <c r="G2601" t="s">
        <v>36</v>
      </c>
      <c r="H2601" t="s">
        <v>43</v>
      </c>
      <c r="I2601" s="187"/>
      <c r="J2601" s="187"/>
      <c r="K2601" s="187">
        <v>0</v>
      </c>
      <c r="L2601" s="187"/>
      <c r="M2601" s="187">
        <v>0</v>
      </c>
      <c r="N2601" s="187">
        <v>0</v>
      </c>
      <c r="O2601" t="s">
        <v>3065</v>
      </c>
    </row>
    <row r="2602" spans="1:15" hidden="1" x14ac:dyDescent="0.45">
      <c r="A2602" s="187">
        <v>2018</v>
      </c>
      <c r="B2602" t="s">
        <v>310</v>
      </c>
      <c r="C2602" t="s">
        <v>328</v>
      </c>
      <c r="D2602" t="s">
        <v>39</v>
      </c>
      <c r="E2602" t="s">
        <v>352</v>
      </c>
      <c r="F2602" t="s">
        <v>361</v>
      </c>
      <c r="G2602" t="s">
        <v>36</v>
      </c>
      <c r="H2602" t="s">
        <v>43</v>
      </c>
      <c r="I2602" s="187"/>
      <c r="J2602" s="187">
        <v>0</v>
      </c>
      <c r="K2602" s="187">
        <v>0</v>
      </c>
      <c r="L2602" s="187"/>
      <c r="M2602" s="187">
        <v>0</v>
      </c>
      <c r="N2602" s="187">
        <v>0</v>
      </c>
      <c r="O2602" t="s">
        <v>3061</v>
      </c>
    </row>
    <row r="2603" spans="1:15" hidden="1" x14ac:dyDescent="0.45">
      <c r="A2603" s="187">
        <v>2018</v>
      </c>
      <c r="B2603" t="s">
        <v>313</v>
      </c>
      <c r="C2603" t="s">
        <v>328</v>
      </c>
      <c r="D2603" t="s">
        <v>39</v>
      </c>
      <c r="E2603" t="s">
        <v>352</v>
      </c>
      <c r="F2603" t="s">
        <v>361</v>
      </c>
      <c r="G2603" t="s">
        <v>36</v>
      </c>
      <c r="H2603" t="s">
        <v>43</v>
      </c>
      <c r="I2603" s="187"/>
      <c r="J2603" s="187">
        <v>0</v>
      </c>
      <c r="K2603" s="187">
        <v>0</v>
      </c>
      <c r="L2603" s="187">
        <v>0</v>
      </c>
      <c r="M2603" s="187">
        <v>0</v>
      </c>
      <c r="N2603" s="187">
        <v>0</v>
      </c>
      <c r="O2603" t="s">
        <v>3062</v>
      </c>
    </row>
    <row r="2604" spans="1:15" hidden="1" x14ac:dyDescent="0.45">
      <c r="A2604" s="187">
        <v>2018</v>
      </c>
      <c r="B2604" t="s">
        <v>311</v>
      </c>
      <c r="C2604" t="s">
        <v>328</v>
      </c>
      <c r="D2604" t="s">
        <v>39</v>
      </c>
      <c r="E2604" t="s">
        <v>352</v>
      </c>
      <c r="F2604" t="s">
        <v>361</v>
      </c>
      <c r="G2604" t="s">
        <v>36</v>
      </c>
      <c r="H2604" t="s">
        <v>43</v>
      </c>
      <c r="I2604" s="187"/>
      <c r="J2604" s="187"/>
      <c r="K2604" s="187">
        <v>0</v>
      </c>
      <c r="L2604" s="187">
        <v>0</v>
      </c>
      <c r="M2604" s="187">
        <v>0</v>
      </c>
      <c r="N2604" s="187">
        <v>0</v>
      </c>
      <c r="O2604" t="s">
        <v>3060</v>
      </c>
    </row>
    <row r="2605" spans="1:15" hidden="1" x14ac:dyDescent="0.45">
      <c r="A2605" s="187">
        <v>2018</v>
      </c>
      <c r="B2605" t="s">
        <v>309</v>
      </c>
      <c r="C2605" t="s">
        <v>328</v>
      </c>
      <c r="D2605" t="s">
        <v>39</v>
      </c>
      <c r="E2605" t="s">
        <v>352</v>
      </c>
      <c r="F2605" t="s">
        <v>361</v>
      </c>
      <c r="G2605" t="s">
        <v>36</v>
      </c>
      <c r="H2605" t="s">
        <v>43</v>
      </c>
      <c r="I2605" s="187"/>
      <c r="J2605" s="187"/>
      <c r="K2605" s="187">
        <v>0</v>
      </c>
      <c r="L2605" s="187"/>
      <c r="M2605" s="187">
        <v>0</v>
      </c>
      <c r="N2605" s="187">
        <v>0</v>
      </c>
      <c r="O2605" t="s">
        <v>3063</v>
      </c>
    </row>
    <row r="2606" spans="1:15" hidden="1" x14ac:dyDescent="0.45">
      <c r="A2606" s="187">
        <v>2018</v>
      </c>
      <c r="B2606" t="s">
        <v>314</v>
      </c>
      <c r="C2606" t="s">
        <v>328</v>
      </c>
      <c r="D2606" t="s">
        <v>39</v>
      </c>
      <c r="E2606" t="s">
        <v>352</v>
      </c>
      <c r="F2606" t="s">
        <v>361</v>
      </c>
      <c r="G2606" t="s">
        <v>36</v>
      </c>
      <c r="H2606" t="s">
        <v>43</v>
      </c>
      <c r="I2606" s="187"/>
      <c r="J2606" s="187">
        <v>0</v>
      </c>
      <c r="K2606" s="187"/>
      <c r="L2606" s="187">
        <v>0</v>
      </c>
      <c r="M2606" s="187">
        <v>0</v>
      </c>
      <c r="N2606" s="187">
        <v>0</v>
      </c>
      <c r="O2606" t="s">
        <v>3064</v>
      </c>
    </row>
    <row r="2607" spans="1:15" hidden="1" x14ac:dyDescent="0.45">
      <c r="A2607" s="187">
        <v>2018</v>
      </c>
      <c r="B2607" t="s">
        <v>311</v>
      </c>
      <c r="C2607" t="s">
        <v>328</v>
      </c>
      <c r="D2607" t="s">
        <v>39</v>
      </c>
      <c r="E2607" t="s">
        <v>40</v>
      </c>
      <c r="F2607" t="s">
        <v>40</v>
      </c>
      <c r="G2607" t="s">
        <v>36</v>
      </c>
      <c r="H2607" t="s">
        <v>43</v>
      </c>
      <c r="I2607" s="187"/>
      <c r="J2607" s="187">
        <v>168.93424116904589</v>
      </c>
      <c r="K2607" s="187">
        <v>6098.4228273131002</v>
      </c>
      <c r="L2607" s="187">
        <v>9597.7950258662077</v>
      </c>
      <c r="M2607" s="187">
        <v>15865.15234375</v>
      </c>
      <c r="N2607" s="187">
        <v>9597.794921875</v>
      </c>
      <c r="O2607" t="s">
        <v>3067</v>
      </c>
    </row>
    <row r="2608" spans="1:15" hidden="1" x14ac:dyDescent="0.45">
      <c r="A2608" s="187">
        <v>2018</v>
      </c>
      <c r="B2608" t="s">
        <v>312</v>
      </c>
      <c r="C2608" t="s">
        <v>328</v>
      </c>
      <c r="D2608" t="s">
        <v>39</v>
      </c>
      <c r="E2608" t="s">
        <v>40</v>
      </c>
      <c r="F2608" t="s">
        <v>40</v>
      </c>
      <c r="G2608" t="s">
        <v>36</v>
      </c>
      <c r="H2608" t="s">
        <v>43</v>
      </c>
      <c r="I2608" s="187">
        <v>4770.2590280408367</v>
      </c>
      <c r="J2608" s="187">
        <v>168.16526079411148</v>
      </c>
      <c r="K2608" s="187">
        <v>6304.3326674469536</v>
      </c>
      <c r="L2608" s="187">
        <v>5118.0227302373378</v>
      </c>
      <c r="M2608" s="187">
        <v>16360.779296875</v>
      </c>
      <c r="N2608" s="187">
        <v>9888.28125</v>
      </c>
      <c r="O2608" t="s">
        <v>3066</v>
      </c>
    </row>
    <row r="2609" spans="1:15" hidden="1" x14ac:dyDescent="0.45">
      <c r="A2609" s="187">
        <v>2018</v>
      </c>
      <c r="B2609" t="s">
        <v>310</v>
      </c>
      <c r="C2609" t="s">
        <v>328</v>
      </c>
      <c r="D2609" t="s">
        <v>39</v>
      </c>
      <c r="E2609" t="s">
        <v>40</v>
      </c>
      <c r="F2609" t="s">
        <v>40</v>
      </c>
      <c r="G2609" t="s">
        <v>36</v>
      </c>
      <c r="H2609" t="s">
        <v>43</v>
      </c>
      <c r="I2609" s="187"/>
      <c r="J2609" s="187">
        <v>140.27326890951625</v>
      </c>
      <c r="K2609" s="187">
        <v>6099.0671885368902</v>
      </c>
      <c r="L2609" s="187">
        <v>9738.4716940431663</v>
      </c>
      <c r="M2609" s="187">
        <v>15977.8125</v>
      </c>
      <c r="N2609" s="187">
        <v>9738.4716796875</v>
      </c>
      <c r="O2609" t="s">
        <v>3068</v>
      </c>
    </row>
    <row r="2610" spans="1:15" hidden="1" x14ac:dyDescent="0.45">
      <c r="A2610" s="187">
        <v>2018</v>
      </c>
      <c r="B2610" t="s">
        <v>313</v>
      </c>
      <c r="C2610" t="s">
        <v>328</v>
      </c>
      <c r="D2610" t="s">
        <v>39</v>
      </c>
      <c r="E2610" t="s">
        <v>40</v>
      </c>
      <c r="F2610" t="s">
        <v>40</v>
      </c>
      <c r="G2610" t="s">
        <v>36</v>
      </c>
      <c r="H2610" t="s">
        <v>43</v>
      </c>
      <c r="I2610" s="187">
        <v>5438.3522859883205</v>
      </c>
      <c r="J2610" s="187">
        <v>136.92860398744912</v>
      </c>
      <c r="K2610" s="187">
        <v>6110.4029613989933</v>
      </c>
      <c r="L2610" s="187">
        <v>5148.5155099280873</v>
      </c>
      <c r="M2610" s="187">
        <v>16834.19921875</v>
      </c>
      <c r="N2610" s="187">
        <v>10586.8671875</v>
      </c>
      <c r="O2610" t="s">
        <v>3070</v>
      </c>
    </row>
    <row r="2611" spans="1:15" hidden="1" x14ac:dyDescent="0.45">
      <c r="A2611" s="187">
        <v>2018</v>
      </c>
      <c r="B2611" t="s">
        <v>314</v>
      </c>
      <c r="C2611" t="s">
        <v>328</v>
      </c>
      <c r="D2611" t="s">
        <v>39</v>
      </c>
      <c r="E2611" t="s">
        <v>40</v>
      </c>
      <c r="F2611" t="s">
        <v>40</v>
      </c>
      <c r="G2611" t="s">
        <v>36</v>
      </c>
      <c r="H2611" t="s">
        <v>43</v>
      </c>
      <c r="I2611" s="187">
        <v>4680.9461508875656</v>
      </c>
      <c r="J2611" s="187">
        <v>138.70344627618491</v>
      </c>
      <c r="K2611" s="187">
        <v>6184.1222910436982</v>
      </c>
      <c r="L2611" s="187">
        <v>5146.4526706315646</v>
      </c>
      <c r="M2611" s="187">
        <v>16150.2255859375</v>
      </c>
      <c r="N2611" s="187">
        <v>9827.3994140625</v>
      </c>
      <c r="O2611" t="s">
        <v>3071</v>
      </c>
    </row>
    <row r="2612" spans="1:15" hidden="1" x14ac:dyDescent="0.45">
      <c r="A2612" s="187">
        <v>2018</v>
      </c>
      <c r="B2612" t="s">
        <v>309</v>
      </c>
      <c r="C2612" t="s">
        <v>328</v>
      </c>
      <c r="D2612" t="s">
        <v>39</v>
      </c>
      <c r="E2612" t="s">
        <v>40</v>
      </c>
      <c r="F2612" t="s">
        <v>40</v>
      </c>
      <c r="G2612" t="s">
        <v>36</v>
      </c>
      <c r="H2612" t="s">
        <v>43</v>
      </c>
      <c r="I2612" s="187"/>
      <c r="J2612" s="187">
        <v>624.13780235191655</v>
      </c>
      <c r="K2612" s="187">
        <v>6551.6280787873029</v>
      </c>
      <c r="L2612" s="187">
        <v>10282.78940401545</v>
      </c>
      <c r="M2612" s="187">
        <v>17458.5546875</v>
      </c>
      <c r="N2612" s="187">
        <v>10282.7890625</v>
      </c>
      <c r="O2612" t="s">
        <v>3069</v>
      </c>
    </row>
    <row r="2613" spans="1:15" hidden="1" x14ac:dyDescent="0.45">
      <c r="A2613" s="187">
        <v>2018</v>
      </c>
      <c r="B2613" t="s">
        <v>313</v>
      </c>
      <c r="C2613" t="s">
        <v>328</v>
      </c>
      <c r="D2613" t="s">
        <v>39</v>
      </c>
      <c r="E2613" t="s">
        <v>40</v>
      </c>
      <c r="F2613" t="s">
        <v>40</v>
      </c>
      <c r="G2613" t="s">
        <v>37</v>
      </c>
      <c r="H2613" t="s">
        <v>43</v>
      </c>
      <c r="I2613" s="187">
        <v>4848.9324696000003</v>
      </c>
      <c r="J2613" s="187">
        <v>122</v>
      </c>
      <c r="K2613" s="187">
        <v>5448.8386756950676</v>
      </c>
      <c r="L2613" s="187">
        <v>4598</v>
      </c>
      <c r="M2613" s="187">
        <v>15017.771484375</v>
      </c>
      <c r="N2613" s="187">
        <v>9446.9326171875</v>
      </c>
      <c r="O2613" t="s">
        <v>3075</v>
      </c>
    </row>
    <row r="2614" spans="1:15" hidden="1" x14ac:dyDescent="0.45">
      <c r="A2614" s="187">
        <v>2018</v>
      </c>
      <c r="B2614" t="s">
        <v>312</v>
      </c>
      <c r="C2614" t="s">
        <v>328</v>
      </c>
      <c r="D2614" t="s">
        <v>39</v>
      </c>
      <c r="E2614" t="s">
        <v>40</v>
      </c>
      <c r="F2614" t="s">
        <v>40</v>
      </c>
      <c r="G2614" t="s">
        <v>37</v>
      </c>
      <c r="H2614" t="s">
        <v>43</v>
      </c>
      <c r="I2614" s="187">
        <v>4205.6339928169127</v>
      </c>
      <c r="J2614" s="187">
        <v>150</v>
      </c>
      <c r="K2614" s="187">
        <v>5638.0904691685373</v>
      </c>
      <c r="L2614" s="187">
        <v>4571</v>
      </c>
      <c r="M2614" s="187">
        <v>14564.724609375</v>
      </c>
      <c r="N2614" s="187">
        <v>8776.6337890625</v>
      </c>
      <c r="O2614" t="s">
        <v>3076</v>
      </c>
    </row>
    <row r="2615" spans="1:15" hidden="1" x14ac:dyDescent="0.45">
      <c r="A2615" s="187">
        <v>2018</v>
      </c>
      <c r="B2615" t="s">
        <v>314</v>
      </c>
      <c r="C2615" t="s">
        <v>328</v>
      </c>
      <c r="D2615" t="s">
        <v>39</v>
      </c>
      <c r="E2615" t="s">
        <v>40</v>
      </c>
      <c r="F2615" t="s">
        <v>40</v>
      </c>
      <c r="G2615" t="s">
        <v>37</v>
      </c>
      <c r="H2615" t="s">
        <v>43</v>
      </c>
      <c r="I2615" s="187">
        <v>4218.4840000000004</v>
      </c>
      <c r="J2615" s="187">
        <v>125</v>
      </c>
      <c r="K2615" s="187">
        <v>5573.1512600000005</v>
      </c>
      <c r="L2615" s="187">
        <v>4638</v>
      </c>
      <c r="M2615" s="187">
        <v>14554.634765625</v>
      </c>
      <c r="N2615" s="187">
        <v>8856.484375</v>
      </c>
      <c r="O2615" t="s">
        <v>3073</v>
      </c>
    </row>
    <row r="2616" spans="1:15" hidden="1" x14ac:dyDescent="0.45">
      <c r="A2616" s="187">
        <v>2018</v>
      </c>
      <c r="B2616" t="s">
        <v>310</v>
      </c>
      <c r="C2616" t="s">
        <v>328</v>
      </c>
      <c r="D2616" t="s">
        <v>39</v>
      </c>
      <c r="E2616" t="s">
        <v>40</v>
      </c>
      <c r="F2616" t="s">
        <v>40</v>
      </c>
      <c r="G2616" t="s">
        <v>37</v>
      </c>
      <c r="H2616" t="s">
        <v>43</v>
      </c>
      <c r="I2616" s="187"/>
      <c r="J2616" s="187">
        <v>130</v>
      </c>
      <c r="K2616" s="187">
        <v>5670.2803809560164</v>
      </c>
      <c r="L2616" s="187">
        <v>9290</v>
      </c>
      <c r="M2616" s="187">
        <v>15090.2802734375</v>
      </c>
      <c r="N2616" s="187">
        <v>9290</v>
      </c>
      <c r="O2616" t="s">
        <v>3074</v>
      </c>
    </row>
    <row r="2617" spans="1:15" hidden="1" x14ac:dyDescent="0.45">
      <c r="A2617" s="187">
        <v>2018</v>
      </c>
      <c r="B2617" t="s">
        <v>309</v>
      </c>
      <c r="C2617" t="s">
        <v>328</v>
      </c>
      <c r="D2617" t="s">
        <v>39</v>
      </c>
      <c r="E2617" t="s">
        <v>40</v>
      </c>
      <c r="F2617" t="s">
        <v>40</v>
      </c>
      <c r="G2617" t="s">
        <v>37</v>
      </c>
      <c r="H2617" t="s">
        <v>43</v>
      </c>
      <c r="I2617" s="187"/>
      <c r="J2617" s="187">
        <v>578.12919999999997</v>
      </c>
      <c r="K2617" s="187">
        <v>6155.327242930769</v>
      </c>
      <c r="L2617" s="187">
        <v>10016</v>
      </c>
      <c r="M2617" s="187">
        <v>16749.45703125</v>
      </c>
      <c r="N2617" s="187">
        <v>10016</v>
      </c>
      <c r="O2617" t="s">
        <v>3072</v>
      </c>
    </row>
    <row r="2618" spans="1:15" hidden="1" x14ac:dyDescent="0.45">
      <c r="A2618" s="187">
        <v>2018</v>
      </c>
      <c r="B2618" t="s">
        <v>311</v>
      </c>
      <c r="C2618" t="s">
        <v>328</v>
      </c>
      <c r="D2618" t="s">
        <v>39</v>
      </c>
      <c r="E2618" t="s">
        <v>40</v>
      </c>
      <c r="F2618" t="s">
        <v>40</v>
      </c>
      <c r="G2618" t="s">
        <v>37</v>
      </c>
      <c r="H2618" t="s">
        <v>43</v>
      </c>
      <c r="I2618" s="187"/>
      <c r="J2618" s="187">
        <v>154</v>
      </c>
      <c r="K2618" s="187">
        <v>5516.2506051146702</v>
      </c>
      <c r="L2618" s="187">
        <v>8972</v>
      </c>
      <c r="M2618" s="187">
        <v>14642.25</v>
      </c>
      <c r="N2618" s="187">
        <v>8972</v>
      </c>
      <c r="O2618" t="s">
        <v>3077</v>
      </c>
    </row>
    <row r="2619" spans="1:15" hidden="1" x14ac:dyDescent="0.45">
      <c r="A2619" s="187">
        <v>2018</v>
      </c>
      <c r="B2619" t="s">
        <v>312</v>
      </c>
      <c r="C2619" t="s">
        <v>328</v>
      </c>
      <c r="D2619" t="s">
        <v>39</v>
      </c>
      <c r="E2619" t="s">
        <v>41</v>
      </c>
      <c r="F2619" t="s">
        <v>41</v>
      </c>
      <c r="G2619" t="s">
        <v>36</v>
      </c>
      <c r="H2619" t="s">
        <v>43</v>
      </c>
      <c r="I2619" s="187">
        <v>3454.5372982724912</v>
      </c>
      <c r="J2619" s="187">
        <v>1675.8538058447662</v>
      </c>
      <c r="K2619" s="187">
        <v>12535.00086442588</v>
      </c>
      <c r="L2619" s="187">
        <v>8532.3574045674359</v>
      </c>
      <c r="M2619" s="187">
        <v>26197.75</v>
      </c>
      <c r="N2619" s="187">
        <v>11986.89453125</v>
      </c>
      <c r="O2619" t="s">
        <v>3083</v>
      </c>
    </row>
    <row r="2620" spans="1:15" hidden="1" x14ac:dyDescent="0.45">
      <c r="A2620" s="187">
        <v>2018</v>
      </c>
      <c r="B2620" t="s">
        <v>311</v>
      </c>
      <c r="C2620" t="s">
        <v>328</v>
      </c>
      <c r="D2620" t="s">
        <v>39</v>
      </c>
      <c r="E2620" t="s">
        <v>41</v>
      </c>
      <c r="F2620" t="s">
        <v>41</v>
      </c>
      <c r="G2620" t="s">
        <v>36</v>
      </c>
      <c r="H2620" t="s">
        <v>43</v>
      </c>
      <c r="I2620" s="187"/>
      <c r="J2620" s="187">
        <v>1683.5170930294573</v>
      </c>
      <c r="K2620" s="187">
        <v>12095.452522198933</v>
      </c>
      <c r="L2620" s="187">
        <v>12276.276546194735</v>
      </c>
      <c r="M2620" s="187">
        <v>26055.24609375</v>
      </c>
      <c r="N2620" s="187">
        <v>12276.2763671875</v>
      </c>
      <c r="O2620" t="s">
        <v>3080</v>
      </c>
    </row>
    <row r="2621" spans="1:15" hidden="1" x14ac:dyDescent="0.45">
      <c r="A2621" s="187">
        <v>2018</v>
      </c>
      <c r="B2621" t="s">
        <v>309</v>
      </c>
      <c r="C2621" t="s">
        <v>328</v>
      </c>
      <c r="D2621" t="s">
        <v>39</v>
      </c>
      <c r="E2621" t="s">
        <v>41</v>
      </c>
      <c r="F2621" t="s">
        <v>41</v>
      </c>
      <c r="G2621" t="s">
        <v>36</v>
      </c>
      <c r="H2621" t="s">
        <v>43</v>
      </c>
      <c r="I2621" s="187"/>
      <c r="J2621" s="187">
        <v>1057.6991765047746</v>
      </c>
      <c r="K2621" s="187">
        <v>12766.921744906642</v>
      </c>
      <c r="L2621" s="187">
        <v>15305.669389736884</v>
      </c>
      <c r="M2621" s="187">
        <v>29130.291015625</v>
      </c>
      <c r="N2621" s="187">
        <v>15305.6689453125</v>
      </c>
      <c r="O2621" t="s">
        <v>3082</v>
      </c>
    </row>
    <row r="2622" spans="1:15" hidden="1" x14ac:dyDescent="0.45">
      <c r="A2622" s="187">
        <v>2018</v>
      </c>
      <c r="B2622" t="s">
        <v>313</v>
      </c>
      <c r="C2622" t="s">
        <v>328</v>
      </c>
      <c r="D2622" t="s">
        <v>39</v>
      </c>
      <c r="E2622" t="s">
        <v>41</v>
      </c>
      <c r="F2622" t="s">
        <v>41</v>
      </c>
      <c r="G2622" t="s">
        <v>36</v>
      </c>
      <c r="H2622" t="s">
        <v>43</v>
      </c>
      <c r="I2622" s="187">
        <v>3717.2418910284773</v>
      </c>
      <c r="J2622" s="187">
        <v>1688.7861158452058</v>
      </c>
      <c r="K2622" s="187">
        <v>12496.691945887442</v>
      </c>
      <c r="L2622" s="187">
        <v>8283.0394695407758</v>
      </c>
      <c r="M2622" s="187">
        <v>26185.759765625</v>
      </c>
      <c r="N2622" s="187">
        <v>12000.28125</v>
      </c>
      <c r="O2622" t="s">
        <v>3081</v>
      </c>
    </row>
    <row r="2623" spans="1:15" hidden="1" x14ac:dyDescent="0.45">
      <c r="A2623" s="187">
        <v>2018</v>
      </c>
      <c r="B2623" t="s">
        <v>310</v>
      </c>
      <c r="C2623" t="s">
        <v>328</v>
      </c>
      <c r="D2623" t="s">
        <v>39</v>
      </c>
      <c r="E2623" t="s">
        <v>41</v>
      </c>
      <c r="F2623" t="s">
        <v>41</v>
      </c>
      <c r="G2623" t="s">
        <v>36</v>
      </c>
      <c r="H2623" t="s">
        <v>43</v>
      </c>
      <c r="I2623" s="187"/>
      <c r="J2623" s="187">
        <v>1803.6131251239058</v>
      </c>
      <c r="K2623" s="187">
        <v>11774.939415554512</v>
      </c>
      <c r="L2623" s="187">
        <v>14030.833722674362</v>
      </c>
      <c r="M2623" s="187">
        <v>27609.38671875</v>
      </c>
      <c r="N2623" s="187">
        <v>14030.833984375</v>
      </c>
      <c r="O2623" t="s">
        <v>3079</v>
      </c>
    </row>
    <row r="2624" spans="1:15" hidden="1" x14ac:dyDescent="0.45">
      <c r="A2624" s="187">
        <v>2018</v>
      </c>
      <c r="B2624" t="s">
        <v>314</v>
      </c>
      <c r="C2624" t="s">
        <v>328</v>
      </c>
      <c r="D2624" t="s">
        <v>39</v>
      </c>
      <c r="E2624" t="s">
        <v>41</v>
      </c>
      <c r="F2624" t="s">
        <v>41</v>
      </c>
      <c r="G2624" t="s">
        <v>36</v>
      </c>
      <c r="H2624" t="s">
        <v>43</v>
      </c>
      <c r="I2624" s="187">
        <v>3614.6295639985024</v>
      </c>
      <c r="J2624" s="187">
        <v>1775.4041123351669</v>
      </c>
      <c r="K2624" s="187">
        <v>10622.931023448276</v>
      </c>
      <c r="L2624" s="187">
        <v>7755.1870881940504</v>
      </c>
      <c r="M2624" s="187">
        <v>23768.15234375</v>
      </c>
      <c r="N2624" s="187">
        <v>11369.81640625</v>
      </c>
      <c r="O2624" t="s">
        <v>3078</v>
      </c>
    </row>
    <row r="2625" spans="1:15" hidden="1" x14ac:dyDescent="0.45">
      <c r="A2625" s="187">
        <v>2018</v>
      </c>
      <c r="B2625" t="s">
        <v>313</v>
      </c>
      <c r="C2625" t="s">
        <v>328</v>
      </c>
      <c r="D2625" t="s">
        <v>39</v>
      </c>
      <c r="E2625" t="s">
        <v>41</v>
      </c>
      <c r="F2625" t="s">
        <v>41</v>
      </c>
      <c r="G2625" t="s">
        <v>37</v>
      </c>
      <c r="H2625" t="s">
        <v>43</v>
      </c>
      <c r="I2625" s="187">
        <v>3314.3595624</v>
      </c>
      <c r="J2625" s="187">
        <v>1510</v>
      </c>
      <c r="K2625" s="187">
        <v>11143.6936030498</v>
      </c>
      <c r="L2625" s="187">
        <v>7398</v>
      </c>
      <c r="M2625" s="187">
        <v>23366.052734375</v>
      </c>
      <c r="N2625" s="187">
        <v>10712.359375</v>
      </c>
      <c r="O2625" t="s">
        <v>3086</v>
      </c>
    </row>
    <row r="2626" spans="1:15" hidden="1" x14ac:dyDescent="0.45">
      <c r="A2626" s="187">
        <v>2018</v>
      </c>
      <c r="B2626" t="s">
        <v>312</v>
      </c>
      <c r="C2626" t="s">
        <v>328</v>
      </c>
      <c r="D2626" t="s">
        <v>39</v>
      </c>
      <c r="E2626" t="s">
        <v>41</v>
      </c>
      <c r="F2626" t="s">
        <v>41</v>
      </c>
      <c r="G2626" t="s">
        <v>37</v>
      </c>
      <c r="H2626" t="s">
        <v>43</v>
      </c>
      <c r="I2626" s="187">
        <v>3045.6458246116681</v>
      </c>
      <c r="J2626" s="187">
        <v>1503</v>
      </c>
      <c r="K2626" s="187">
        <v>11210.301332870389</v>
      </c>
      <c r="L2626" s="187">
        <v>7622</v>
      </c>
      <c r="M2626" s="187">
        <v>23380.947265625</v>
      </c>
      <c r="N2626" s="187">
        <v>10667.6455078125</v>
      </c>
      <c r="O2626" t="s">
        <v>3089</v>
      </c>
    </row>
    <row r="2627" spans="1:15" hidden="1" x14ac:dyDescent="0.45">
      <c r="A2627" s="187">
        <v>2018</v>
      </c>
      <c r="B2627" t="s">
        <v>311</v>
      </c>
      <c r="C2627" t="s">
        <v>328</v>
      </c>
      <c r="D2627" t="s">
        <v>39</v>
      </c>
      <c r="E2627" t="s">
        <v>41</v>
      </c>
      <c r="F2627" t="s">
        <v>41</v>
      </c>
      <c r="G2627" t="s">
        <v>37</v>
      </c>
      <c r="H2627" t="s">
        <v>43</v>
      </c>
      <c r="I2627" s="187"/>
      <c r="J2627" s="187">
        <v>1535</v>
      </c>
      <c r="K2627" s="187">
        <v>10940.78734519502</v>
      </c>
      <c r="L2627" s="187">
        <v>11476</v>
      </c>
      <c r="M2627" s="187">
        <v>23951.787109375</v>
      </c>
      <c r="N2627" s="187">
        <v>11476</v>
      </c>
      <c r="O2627" t="s">
        <v>3087</v>
      </c>
    </row>
    <row r="2628" spans="1:15" hidden="1" x14ac:dyDescent="0.45">
      <c r="A2628" s="187">
        <v>2018</v>
      </c>
      <c r="B2628" t="s">
        <v>309</v>
      </c>
      <c r="C2628" t="s">
        <v>328</v>
      </c>
      <c r="D2628" t="s">
        <v>39</v>
      </c>
      <c r="E2628" t="s">
        <v>41</v>
      </c>
      <c r="F2628" t="s">
        <v>41</v>
      </c>
      <c r="G2628" t="s">
        <v>37</v>
      </c>
      <c r="H2628" t="s">
        <v>43</v>
      </c>
      <c r="I2628" s="187"/>
      <c r="J2628" s="187">
        <v>979.73040000000003</v>
      </c>
      <c r="K2628" s="187">
        <v>11994.66457493646</v>
      </c>
      <c r="L2628" s="187">
        <v>14907</v>
      </c>
      <c r="M2628" s="187">
        <v>27881.39453125</v>
      </c>
      <c r="N2628" s="187">
        <v>14907</v>
      </c>
      <c r="O2628" t="s">
        <v>3085</v>
      </c>
    </row>
    <row r="2629" spans="1:15" hidden="1" x14ac:dyDescent="0.45">
      <c r="A2629" s="187">
        <v>2018</v>
      </c>
      <c r="B2629" t="s">
        <v>314</v>
      </c>
      <c r="C2629" t="s">
        <v>328</v>
      </c>
      <c r="D2629" t="s">
        <v>39</v>
      </c>
      <c r="E2629" t="s">
        <v>41</v>
      </c>
      <c r="F2629" t="s">
        <v>41</v>
      </c>
      <c r="G2629" t="s">
        <v>37</v>
      </c>
      <c r="H2629" t="s">
        <v>43</v>
      </c>
      <c r="I2629" s="187">
        <v>3257.5160000000001</v>
      </c>
      <c r="J2629" s="187">
        <v>1600</v>
      </c>
      <c r="K2629" s="187">
        <v>9573.4202255292221</v>
      </c>
      <c r="L2629" s="187">
        <v>6989</v>
      </c>
      <c r="M2629" s="187">
        <v>21419.9375</v>
      </c>
      <c r="N2629" s="187">
        <v>10246.515625</v>
      </c>
      <c r="O2629" t="s">
        <v>3088</v>
      </c>
    </row>
    <row r="2630" spans="1:15" hidden="1" x14ac:dyDescent="0.45">
      <c r="A2630" s="187">
        <v>2018</v>
      </c>
      <c r="B2630" t="s">
        <v>310</v>
      </c>
      <c r="C2630" t="s">
        <v>328</v>
      </c>
      <c r="D2630" t="s">
        <v>39</v>
      </c>
      <c r="E2630" t="s">
        <v>41</v>
      </c>
      <c r="F2630" t="s">
        <v>41</v>
      </c>
      <c r="G2630" t="s">
        <v>37</v>
      </c>
      <c r="H2630" t="s">
        <v>43</v>
      </c>
      <c r="I2630" s="187"/>
      <c r="J2630" s="187">
        <v>1676</v>
      </c>
      <c r="K2630" s="187">
        <v>10947.117959358189</v>
      </c>
      <c r="L2630" s="187">
        <v>13386</v>
      </c>
      <c r="M2630" s="187">
        <v>26009.1171875</v>
      </c>
      <c r="N2630" s="187">
        <v>13386</v>
      </c>
      <c r="O2630" t="s">
        <v>3084</v>
      </c>
    </row>
    <row r="2631" spans="1:15" hidden="1" x14ac:dyDescent="0.45">
      <c r="A2631" s="187">
        <v>2018</v>
      </c>
      <c r="B2631" t="s">
        <v>309</v>
      </c>
      <c r="C2631" t="s">
        <v>328</v>
      </c>
      <c r="D2631" t="s">
        <v>39</v>
      </c>
      <c r="E2631" t="s">
        <v>361</v>
      </c>
      <c r="F2631" t="s">
        <v>361</v>
      </c>
      <c r="G2631" t="s">
        <v>36</v>
      </c>
      <c r="H2631" t="s">
        <v>43</v>
      </c>
      <c r="I2631" s="187"/>
      <c r="J2631" s="187">
        <v>0</v>
      </c>
      <c r="K2631" s="187"/>
      <c r="L2631" s="187">
        <v>0</v>
      </c>
      <c r="M2631" s="187">
        <v>0</v>
      </c>
      <c r="N2631" s="187">
        <v>0</v>
      </c>
      <c r="O2631" t="s">
        <v>3091</v>
      </c>
    </row>
    <row r="2632" spans="1:15" hidden="1" x14ac:dyDescent="0.45">
      <c r="A2632" s="187">
        <v>2018</v>
      </c>
      <c r="B2632" t="s">
        <v>312</v>
      </c>
      <c r="C2632" t="s">
        <v>328</v>
      </c>
      <c r="D2632" t="s">
        <v>39</v>
      </c>
      <c r="E2632" t="s">
        <v>361</v>
      </c>
      <c r="F2632" t="s">
        <v>361</v>
      </c>
      <c r="G2632" t="s">
        <v>36</v>
      </c>
      <c r="H2632" t="s">
        <v>43</v>
      </c>
      <c r="I2632" s="187"/>
      <c r="J2632" s="187">
        <v>0</v>
      </c>
      <c r="K2632" s="187"/>
      <c r="L2632" s="187"/>
      <c r="M2632" s="187">
        <v>0</v>
      </c>
      <c r="N2632" s="187">
        <v>0</v>
      </c>
      <c r="O2632" t="s">
        <v>3092</v>
      </c>
    </row>
    <row r="2633" spans="1:15" hidden="1" x14ac:dyDescent="0.45">
      <c r="A2633" s="187">
        <v>2018</v>
      </c>
      <c r="B2633" t="s">
        <v>310</v>
      </c>
      <c r="C2633" t="s">
        <v>328</v>
      </c>
      <c r="D2633" t="s">
        <v>39</v>
      </c>
      <c r="E2633" t="s">
        <v>361</v>
      </c>
      <c r="F2633" t="s">
        <v>361</v>
      </c>
      <c r="G2633" t="s">
        <v>36</v>
      </c>
      <c r="H2633" t="s">
        <v>43</v>
      </c>
      <c r="I2633" s="187"/>
      <c r="J2633" s="187"/>
      <c r="K2633" s="187"/>
      <c r="L2633" s="187"/>
      <c r="M2633" s="187">
        <v>0</v>
      </c>
      <c r="N2633" s="187">
        <v>0</v>
      </c>
      <c r="O2633" t="s">
        <v>3094</v>
      </c>
    </row>
    <row r="2634" spans="1:15" hidden="1" x14ac:dyDescent="0.45">
      <c r="A2634" s="187">
        <v>2018</v>
      </c>
      <c r="B2634" t="s">
        <v>311</v>
      </c>
      <c r="C2634" t="s">
        <v>328</v>
      </c>
      <c r="D2634" t="s">
        <v>39</v>
      </c>
      <c r="E2634" t="s">
        <v>361</v>
      </c>
      <c r="F2634" t="s">
        <v>361</v>
      </c>
      <c r="G2634" t="s">
        <v>36</v>
      </c>
      <c r="H2634" t="s">
        <v>43</v>
      </c>
      <c r="I2634" s="187"/>
      <c r="J2634" s="187">
        <v>0</v>
      </c>
      <c r="K2634" s="187"/>
      <c r="L2634" s="187"/>
      <c r="M2634" s="187">
        <v>0</v>
      </c>
      <c r="N2634" s="187">
        <v>0</v>
      </c>
      <c r="O2634" t="s">
        <v>3090</v>
      </c>
    </row>
    <row r="2635" spans="1:15" hidden="1" x14ac:dyDescent="0.45">
      <c r="A2635" s="187">
        <v>2018</v>
      </c>
      <c r="B2635" t="s">
        <v>313</v>
      </c>
      <c r="C2635" t="s">
        <v>328</v>
      </c>
      <c r="D2635" t="s">
        <v>39</v>
      </c>
      <c r="E2635" t="s">
        <v>361</v>
      </c>
      <c r="F2635" t="s">
        <v>361</v>
      </c>
      <c r="G2635" t="s">
        <v>36</v>
      </c>
      <c r="H2635" t="s">
        <v>43</v>
      </c>
      <c r="I2635" s="187"/>
      <c r="J2635" s="187"/>
      <c r="K2635" s="187"/>
      <c r="L2635" s="187"/>
      <c r="M2635" s="187">
        <v>0</v>
      </c>
      <c r="N2635" s="187">
        <v>0</v>
      </c>
      <c r="O2635" t="s">
        <v>3093</v>
      </c>
    </row>
    <row r="2636" spans="1:15" hidden="1" x14ac:dyDescent="0.45">
      <c r="A2636" s="187">
        <v>2018</v>
      </c>
      <c r="B2636" t="s">
        <v>314</v>
      </c>
      <c r="C2636" t="s">
        <v>328</v>
      </c>
      <c r="D2636" t="s">
        <v>39</v>
      </c>
      <c r="E2636" t="s">
        <v>361</v>
      </c>
      <c r="F2636" t="s">
        <v>361</v>
      </c>
      <c r="G2636" t="s">
        <v>36</v>
      </c>
      <c r="H2636" t="s">
        <v>43</v>
      </c>
      <c r="I2636" s="187">
        <v>0</v>
      </c>
      <c r="J2636" s="187"/>
      <c r="K2636" s="187">
        <v>0</v>
      </c>
      <c r="L2636" s="187"/>
      <c r="M2636" s="187">
        <v>0</v>
      </c>
      <c r="N2636" s="187">
        <v>0</v>
      </c>
      <c r="O2636" t="s">
        <v>3095</v>
      </c>
    </row>
    <row r="2637" spans="1:15" hidden="1" x14ac:dyDescent="0.45">
      <c r="A2637" s="187">
        <v>2018</v>
      </c>
      <c r="B2637" t="s">
        <v>313</v>
      </c>
      <c r="C2637" t="s">
        <v>328</v>
      </c>
      <c r="D2637" t="s">
        <v>39</v>
      </c>
      <c r="E2637" t="s">
        <v>362</v>
      </c>
      <c r="F2637" t="s">
        <v>362</v>
      </c>
      <c r="G2637" t="s">
        <v>36</v>
      </c>
      <c r="H2637" t="s">
        <v>43</v>
      </c>
      <c r="I2637" s="187">
        <v>2105.2772863070304</v>
      </c>
      <c r="J2637" s="187">
        <v>79.875018992678648</v>
      </c>
      <c r="K2637" s="187">
        <v>2731.4964025397421</v>
      </c>
      <c r="L2637" s="187">
        <v>2797.9078081435437</v>
      </c>
      <c r="M2637" s="187">
        <v>7714.556640625</v>
      </c>
      <c r="N2637" s="187">
        <v>4903.18505859375</v>
      </c>
      <c r="O2637" t="s">
        <v>3097</v>
      </c>
    </row>
    <row r="2638" spans="1:15" hidden="1" x14ac:dyDescent="0.45">
      <c r="A2638" s="187">
        <v>2018</v>
      </c>
      <c r="B2638" t="s">
        <v>311</v>
      </c>
      <c r="C2638" t="s">
        <v>328</v>
      </c>
      <c r="D2638" t="s">
        <v>39</v>
      </c>
      <c r="E2638" t="s">
        <v>362</v>
      </c>
      <c r="F2638" t="s">
        <v>362</v>
      </c>
      <c r="G2638" t="s">
        <v>36</v>
      </c>
      <c r="H2638" t="s">
        <v>43</v>
      </c>
      <c r="I2638" s="187"/>
      <c r="J2638" s="187">
        <v>99.030417237026896</v>
      </c>
      <c r="K2638" s="187">
        <v>2891.3200415190022</v>
      </c>
      <c r="L2638" s="187">
        <v>5040.0657054985686</v>
      </c>
      <c r="M2638" s="187">
        <v>8030.416015625</v>
      </c>
      <c r="N2638" s="187">
        <v>5040.06591796875</v>
      </c>
      <c r="O2638" t="s">
        <v>3096</v>
      </c>
    </row>
    <row r="2639" spans="1:15" hidden="1" x14ac:dyDescent="0.45">
      <c r="A2639" s="187">
        <v>2018</v>
      </c>
      <c r="B2639" t="s">
        <v>310</v>
      </c>
      <c r="C2639" t="s">
        <v>328</v>
      </c>
      <c r="D2639" t="s">
        <v>39</v>
      </c>
      <c r="E2639" t="s">
        <v>362</v>
      </c>
      <c r="F2639" t="s">
        <v>362</v>
      </c>
      <c r="G2639" t="s">
        <v>36</v>
      </c>
      <c r="H2639" t="s">
        <v>43</v>
      </c>
      <c r="I2639" s="187"/>
      <c r="J2639" s="187">
        <v>93.515512606344174</v>
      </c>
      <c r="K2639" s="187">
        <v>2157.1744616796868</v>
      </c>
      <c r="L2639" s="187">
        <v>5288.3022378887626</v>
      </c>
      <c r="M2639" s="187">
        <v>7538.9921875</v>
      </c>
      <c r="N2639" s="187">
        <v>5288.30224609375</v>
      </c>
      <c r="O2639" t="s">
        <v>3098</v>
      </c>
    </row>
    <row r="2640" spans="1:15" hidden="1" x14ac:dyDescent="0.45">
      <c r="A2640" s="187">
        <v>2018</v>
      </c>
      <c r="B2640" t="s">
        <v>312</v>
      </c>
      <c r="C2640" t="s">
        <v>328</v>
      </c>
      <c r="D2640" t="s">
        <v>39</v>
      </c>
      <c r="E2640" t="s">
        <v>362</v>
      </c>
      <c r="F2640" t="s">
        <v>362</v>
      </c>
      <c r="G2640" t="s">
        <v>36</v>
      </c>
      <c r="H2640" t="s">
        <v>43</v>
      </c>
      <c r="I2640" s="187">
        <v>2137.0077927576735</v>
      </c>
      <c r="J2640" s="187">
        <v>98.57963563792741</v>
      </c>
      <c r="K2640" s="187">
        <v>2373.5054607661705</v>
      </c>
      <c r="L2640" s="187">
        <v>2848.3715897264674</v>
      </c>
      <c r="M2640" s="187">
        <v>7457.46435546875</v>
      </c>
      <c r="N2640" s="187">
        <v>4985.37939453125</v>
      </c>
      <c r="O2640" t="s">
        <v>3101</v>
      </c>
    </row>
    <row r="2641" spans="1:15" hidden="1" x14ac:dyDescent="0.45">
      <c r="A2641" s="187">
        <v>2018</v>
      </c>
      <c r="B2641" t="s">
        <v>314</v>
      </c>
      <c r="C2641" t="s">
        <v>328</v>
      </c>
      <c r="D2641" t="s">
        <v>39</v>
      </c>
      <c r="E2641" t="s">
        <v>362</v>
      </c>
      <c r="F2641" t="s">
        <v>362</v>
      </c>
      <c r="G2641" t="s">
        <v>36</v>
      </c>
      <c r="H2641" t="s">
        <v>43</v>
      </c>
      <c r="I2641" s="187">
        <v>1439.7240183056758</v>
      </c>
      <c r="J2641" s="187">
        <v>83.222067765710946</v>
      </c>
      <c r="K2641" s="187">
        <v>2775.3439652757988</v>
      </c>
      <c r="L2641" s="187">
        <v>2771.8496703832793</v>
      </c>
      <c r="M2641" s="187">
        <v>7070.1396484375</v>
      </c>
      <c r="N2641" s="187">
        <v>4211.57373046875</v>
      </c>
      <c r="O2641" t="s">
        <v>3099</v>
      </c>
    </row>
    <row r="2642" spans="1:15" hidden="1" x14ac:dyDescent="0.45">
      <c r="A2642" s="187">
        <v>2018</v>
      </c>
      <c r="B2642" t="s">
        <v>309</v>
      </c>
      <c r="C2642" t="s">
        <v>328</v>
      </c>
      <c r="D2642" t="s">
        <v>39</v>
      </c>
      <c r="E2642" t="s">
        <v>362</v>
      </c>
      <c r="F2642" t="s">
        <v>362</v>
      </c>
      <c r="G2642" t="s">
        <v>36</v>
      </c>
      <c r="H2642" t="s">
        <v>43</v>
      </c>
      <c r="I2642" s="187"/>
      <c r="J2642" s="187">
        <v>612.22677558947532</v>
      </c>
      <c r="K2642" s="187">
        <v>2778.1833884885582</v>
      </c>
      <c r="L2642" s="187">
        <v>5501.7032615715698</v>
      </c>
      <c r="M2642" s="187">
        <v>8892.11328125</v>
      </c>
      <c r="N2642" s="187">
        <v>5501.703125</v>
      </c>
      <c r="O2642" t="s">
        <v>3100</v>
      </c>
    </row>
    <row r="2643" spans="1:15" hidden="1" x14ac:dyDescent="0.45">
      <c r="A2643" s="187">
        <v>2018</v>
      </c>
      <c r="B2643" t="s">
        <v>311</v>
      </c>
      <c r="C2643" t="s">
        <v>328</v>
      </c>
      <c r="D2643" t="s">
        <v>39</v>
      </c>
      <c r="E2643" t="s">
        <v>362</v>
      </c>
      <c r="F2643" t="s">
        <v>362</v>
      </c>
      <c r="G2643" t="s">
        <v>37</v>
      </c>
      <c r="H2643" t="s">
        <v>43</v>
      </c>
      <c r="I2643" s="187"/>
      <c r="J2643" s="187">
        <v>90</v>
      </c>
      <c r="K2643" s="187">
        <v>2615.306675223836</v>
      </c>
      <c r="L2643" s="187">
        <v>4712</v>
      </c>
      <c r="M2643" s="187">
        <v>7417.306640625</v>
      </c>
      <c r="N2643" s="187">
        <v>4712</v>
      </c>
      <c r="O2643" t="s">
        <v>3102</v>
      </c>
    </row>
    <row r="2644" spans="1:15" hidden="1" x14ac:dyDescent="0.45">
      <c r="A2644" s="187">
        <v>2018</v>
      </c>
      <c r="B2644" t="s">
        <v>313</v>
      </c>
      <c r="C2644" t="s">
        <v>328</v>
      </c>
      <c r="D2644" t="s">
        <v>39</v>
      </c>
      <c r="E2644" t="s">
        <v>362</v>
      </c>
      <c r="F2644" t="s">
        <v>362</v>
      </c>
      <c r="G2644" t="s">
        <v>37</v>
      </c>
      <c r="H2644" t="s">
        <v>43</v>
      </c>
      <c r="I2644" s="187">
        <v>1877.1030000000001</v>
      </c>
      <c r="J2644" s="187">
        <v>71</v>
      </c>
      <c r="K2644" s="187">
        <v>2435.7613294415</v>
      </c>
      <c r="L2644" s="187">
        <v>2499</v>
      </c>
      <c r="M2644" s="187">
        <v>6882.8642578125</v>
      </c>
      <c r="N2644" s="187">
        <v>4376.10302734375</v>
      </c>
      <c r="O2644" t="s">
        <v>3106</v>
      </c>
    </row>
    <row r="2645" spans="1:15" hidden="1" x14ac:dyDescent="0.45">
      <c r="A2645" s="187">
        <v>2018</v>
      </c>
      <c r="B2645" t="s">
        <v>312</v>
      </c>
      <c r="C2645" t="s">
        <v>328</v>
      </c>
      <c r="D2645" t="s">
        <v>39</v>
      </c>
      <c r="E2645" t="s">
        <v>362</v>
      </c>
      <c r="F2645" t="s">
        <v>362</v>
      </c>
      <c r="G2645" t="s">
        <v>37</v>
      </c>
      <c r="H2645" t="s">
        <v>43</v>
      </c>
      <c r="I2645" s="187">
        <v>1884.063855506711</v>
      </c>
      <c r="J2645" s="187">
        <v>88</v>
      </c>
      <c r="K2645" s="187">
        <v>2122.6732824498149</v>
      </c>
      <c r="L2645" s="187">
        <v>2544</v>
      </c>
      <c r="M2645" s="187">
        <v>6638.7373046875</v>
      </c>
      <c r="N2645" s="187">
        <v>4428.06396484375</v>
      </c>
      <c r="O2645" t="s">
        <v>3105</v>
      </c>
    </row>
    <row r="2646" spans="1:15" hidden="1" x14ac:dyDescent="0.45">
      <c r="A2646" s="187">
        <v>2018</v>
      </c>
      <c r="B2646" t="s">
        <v>314</v>
      </c>
      <c r="C2646" t="s">
        <v>328</v>
      </c>
      <c r="D2646" t="s">
        <v>39</v>
      </c>
      <c r="E2646" t="s">
        <v>362</v>
      </c>
      <c r="F2646" t="s">
        <v>362</v>
      </c>
      <c r="G2646" t="s">
        <v>37</v>
      </c>
      <c r="H2646" t="s">
        <v>43</v>
      </c>
      <c r="I2646" s="187">
        <v>1297.4839999999999</v>
      </c>
      <c r="J2646" s="187">
        <v>75</v>
      </c>
      <c r="K2646" s="187">
        <v>2501.1490699999999</v>
      </c>
      <c r="L2646" s="187">
        <v>2498</v>
      </c>
      <c r="M2646" s="187">
        <v>6371.6328125</v>
      </c>
      <c r="N2646" s="187">
        <v>3795.48388671875</v>
      </c>
      <c r="O2646" t="s">
        <v>3103</v>
      </c>
    </row>
    <row r="2647" spans="1:15" hidden="1" x14ac:dyDescent="0.45">
      <c r="A2647" s="187">
        <v>2018</v>
      </c>
      <c r="B2647" t="s">
        <v>309</v>
      </c>
      <c r="C2647" t="s">
        <v>328</v>
      </c>
      <c r="D2647" t="s">
        <v>39</v>
      </c>
      <c r="E2647" t="s">
        <v>362</v>
      </c>
      <c r="F2647" t="s">
        <v>362</v>
      </c>
      <c r="G2647" t="s">
        <v>37</v>
      </c>
      <c r="H2647" t="s">
        <v>43</v>
      </c>
      <c r="I2647" s="187"/>
      <c r="J2647" s="187">
        <v>567.09619999999995</v>
      </c>
      <c r="K2647" s="187">
        <v>2610.1341058094131</v>
      </c>
      <c r="L2647" s="187">
        <v>5359</v>
      </c>
      <c r="M2647" s="187">
        <v>8536.23046875</v>
      </c>
      <c r="N2647" s="187">
        <v>5359</v>
      </c>
      <c r="O2647" t="s">
        <v>3107</v>
      </c>
    </row>
    <row r="2648" spans="1:15" hidden="1" x14ac:dyDescent="0.45">
      <c r="A2648" s="187">
        <v>2018</v>
      </c>
      <c r="B2648" t="s">
        <v>310</v>
      </c>
      <c r="C2648" t="s">
        <v>328</v>
      </c>
      <c r="D2648" t="s">
        <v>39</v>
      </c>
      <c r="E2648" t="s">
        <v>362</v>
      </c>
      <c r="F2648" t="s">
        <v>362</v>
      </c>
      <c r="G2648" t="s">
        <v>37</v>
      </c>
      <c r="H2648" t="s">
        <v>43</v>
      </c>
      <c r="I2648" s="187"/>
      <c r="J2648" s="187">
        <v>87</v>
      </c>
      <c r="K2648" s="187">
        <v>2005.5171799633799</v>
      </c>
      <c r="L2648" s="187">
        <v>5045</v>
      </c>
      <c r="M2648" s="187">
        <v>7137.51708984375</v>
      </c>
      <c r="N2648" s="187">
        <v>5045</v>
      </c>
      <c r="O2648" t="s">
        <v>3104</v>
      </c>
    </row>
    <row r="2649" spans="1:15" hidden="1" x14ac:dyDescent="0.45">
      <c r="A2649" s="187">
        <v>2018</v>
      </c>
      <c r="B2649" t="s">
        <v>309</v>
      </c>
      <c r="C2649" t="s">
        <v>328</v>
      </c>
      <c r="D2649" t="s">
        <v>39</v>
      </c>
      <c r="E2649" t="s">
        <v>363</v>
      </c>
      <c r="F2649" t="s">
        <v>363</v>
      </c>
      <c r="G2649" t="s">
        <v>36</v>
      </c>
      <c r="H2649" t="s">
        <v>43</v>
      </c>
      <c r="I2649" s="187"/>
      <c r="J2649" s="187">
        <v>11.911026762441155</v>
      </c>
      <c r="K2649" s="187">
        <v>415.2010338840044</v>
      </c>
      <c r="L2649" s="187">
        <v>4781.0861424438799</v>
      </c>
      <c r="M2649" s="187">
        <v>5208.1982421875</v>
      </c>
      <c r="N2649" s="187">
        <v>4781.0859375</v>
      </c>
      <c r="O2649" t="s">
        <v>3108</v>
      </c>
    </row>
    <row r="2650" spans="1:15" hidden="1" x14ac:dyDescent="0.45">
      <c r="A2650" s="187">
        <v>2018</v>
      </c>
      <c r="B2650" t="s">
        <v>311</v>
      </c>
      <c r="C2650" t="s">
        <v>328</v>
      </c>
      <c r="D2650" t="s">
        <v>39</v>
      </c>
      <c r="E2650" t="s">
        <v>363</v>
      </c>
      <c r="F2650" t="s">
        <v>363</v>
      </c>
      <c r="G2650" t="s">
        <v>36</v>
      </c>
      <c r="H2650" t="s">
        <v>43</v>
      </c>
      <c r="I2650" s="187"/>
      <c r="J2650" s="187">
        <v>69.90382393201898</v>
      </c>
      <c r="K2650" s="187">
        <v>438.00769947285687</v>
      </c>
      <c r="L2650" s="187">
        <v>4557.7293203676381</v>
      </c>
      <c r="M2650" s="187">
        <v>5065.640625</v>
      </c>
      <c r="N2650" s="187">
        <v>4557.7294921875</v>
      </c>
      <c r="O2650" t="s">
        <v>3110</v>
      </c>
    </row>
    <row r="2651" spans="1:15" hidden="1" x14ac:dyDescent="0.45">
      <c r="A2651" s="187">
        <v>2018</v>
      </c>
      <c r="B2651" t="s">
        <v>312</v>
      </c>
      <c r="C2651" t="s">
        <v>328</v>
      </c>
      <c r="D2651" t="s">
        <v>39</v>
      </c>
      <c r="E2651" t="s">
        <v>363</v>
      </c>
      <c r="F2651" t="s">
        <v>363</v>
      </c>
      <c r="G2651" t="s">
        <v>36</v>
      </c>
      <c r="H2651" t="s">
        <v>43</v>
      </c>
      <c r="I2651" s="187">
        <v>2633.2512352831613</v>
      </c>
      <c r="J2651" s="187">
        <v>69.585625156184065</v>
      </c>
      <c r="K2651" s="187">
        <v>475.9494410460938</v>
      </c>
      <c r="L2651" s="187">
        <v>2269.6511405108699</v>
      </c>
      <c r="M2651" s="187">
        <v>5448.4375</v>
      </c>
      <c r="N2651" s="187">
        <v>4902.90234375</v>
      </c>
      <c r="O2651" t="s">
        <v>3113</v>
      </c>
    </row>
    <row r="2652" spans="1:15" hidden="1" x14ac:dyDescent="0.45">
      <c r="A2652" s="187">
        <v>2018</v>
      </c>
      <c r="B2652" t="s">
        <v>310</v>
      </c>
      <c r="C2652" t="s">
        <v>328</v>
      </c>
      <c r="D2652" t="s">
        <v>39</v>
      </c>
      <c r="E2652" t="s">
        <v>363</v>
      </c>
      <c r="F2652" t="s">
        <v>363</v>
      </c>
      <c r="G2652" t="s">
        <v>36</v>
      </c>
      <c r="H2652" t="s">
        <v>43</v>
      </c>
      <c r="I2652" s="187"/>
      <c r="J2652" s="187">
        <v>46.757756303172087</v>
      </c>
      <c r="K2652" s="187">
        <v>415.90769249054006</v>
      </c>
      <c r="L2652" s="187">
        <v>4450.1694561544027</v>
      </c>
      <c r="M2652" s="187">
        <v>4912.8349609375</v>
      </c>
      <c r="N2652" s="187">
        <v>4450.16943359375</v>
      </c>
      <c r="O2652" t="s">
        <v>3109</v>
      </c>
    </row>
    <row r="2653" spans="1:15" hidden="1" x14ac:dyDescent="0.45">
      <c r="A2653" s="187">
        <v>2018</v>
      </c>
      <c r="B2653" t="s">
        <v>314</v>
      </c>
      <c r="C2653" t="s">
        <v>328</v>
      </c>
      <c r="D2653" t="s">
        <v>39</v>
      </c>
      <c r="E2653" t="s">
        <v>363</v>
      </c>
      <c r="F2653" t="s">
        <v>363</v>
      </c>
      <c r="G2653" t="s">
        <v>36</v>
      </c>
      <c r="H2653" t="s">
        <v>43</v>
      </c>
      <c r="I2653" s="187">
        <v>3241.2221325818891</v>
      </c>
      <c r="J2653" s="187">
        <v>55.481378510473967</v>
      </c>
      <c r="K2653" s="187">
        <v>464.65459208069603</v>
      </c>
      <c r="L2653" s="187">
        <v>2374.6030002482858</v>
      </c>
      <c r="M2653" s="187">
        <v>6135.9609375</v>
      </c>
      <c r="N2653" s="187">
        <v>5615.8251953125</v>
      </c>
      <c r="O2653" t="s">
        <v>3111</v>
      </c>
    </row>
    <row r="2654" spans="1:15" hidden="1" x14ac:dyDescent="0.45">
      <c r="A2654" s="187">
        <v>2018</v>
      </c>
      <c r="B2654" t="s">
        <v>313</v>
      </c>
      <c r="C2654" t="s">
        <v>328</v>
      </c>
      <c r="D2654" t="s">
        <v>39</v>
      </c>
      <c r="E2654" t="s">
        <v>363</v>
      </c>
      <c r="F2654" t="s">
        <v>363</v>
      </c>
      <c r="G2654" t="s">
        <v>36</v>
      </c>
      <c r="H2654" t="s">
        <v>43</v>
      </c>
      <c r="I2654" s="187">
        <v>3333.0749996812901</v>
      </c>
      <c r="J2654" s="187">
        <v>57.053584994770468</v>
      </c>
      <c r="K2654" s="187">
        <v>420.8314862818109</v>
      </c>
      <c r="L2654" s="187">
        <v>2350.6077017845432</v>
      </c>
      <c r="M2654" s="187">
        <v>6161.56787109375</v>
      </c>
      <c r="N2654" s="187">
        <v>5683.6826171875</v>
      </c>
      <c r="O2654" t="s">
        <v>3112</v>
      </c>
    </row>
    <row r="2655" spans="1:15" hidden="1" x14ac:dyDescent="0.45">
      <c r="A2655" s="187">
        <v>2018</v>
      </c>
      <c r="B2655" t="s">
        <v>314</v>
      </c>
      <c r="C2655" t="s">
        <v>328</v>
      </c>
      <c r="D2655" t="s">
        <v>39</v>
      </c>
      <c r="E2655" t="s">
        <v>363</v>
      </c>
      <c r="F2655" t="s">
        <v>363</v>
      </c>
      <c r="G2655" t="s">
        <v>37</v>
      </c>
      <c r="H2655" t="s">
        <v>43</v>
      </c>
      <c r="I2655" s="187">
        <v>2921</v>
      </c>
      <c r="J2655" s="187">
        <v>50</v>
      </c>
      <c r="K2655" s="187">
        <v>418.74824000000012</v>
      </c>
      <c r="L2655" s="187">
        <v>2140</v>
      </c>
      <c r="M2655" s="187">
        <v>5529.748046875</v>
      </c>
      <c r="N2655" s="187">
        <v>5061</v>
      </c>
      <c r="O2655" t="s">
        <v>3114</v>
      </c>
    </row>
    <row r="2656" spans="1:15" hidden="1" x14ac:dyDescent="0.45">
      <c r="A2656" s="187">
        <v>2018</v>
      </c>
      <c r="B2656" t="s">
        <v>309</v>
      </c>
      <c r="C2656" t="s">
        <v>328</v>
      </c>
      <c r="D2656" t="s">
        <v>39</v>
      </c>
      <c r="E2656" t="s">
        <v>363</v>
      </c>
      <c r="F2656" t="s">
        <v>363</v>
      </c>
      <c r="G2656" t="s">
        <v>37</v>
      </c>
      <c r="H2656" t="s">
        <v>43</v>
      </c>
      <c r="I2656" s="187"/>
      <c r="J2656" s="187">
        <v>11.032999999999999</v>
      </c>
      <c r="K2656" s="187">
        <v>390.08597625283528</v>
      </c>
      <c r="L2656" s="187">
        <v>4657</v>
      </c>
      <c r="M2656" s="187">
        <v>5058.119140625</v>
      </c>
      <c r="N2656" s="187">
        <v>4657</v>
      </c>
      <c r="O2656" t="s">
        <v>3117</v>
      </c>
    </row>
    <row r="2657" spans="1:15" hidden="1" x14ac:dyDescent="0.45">
      <c r="A2657" s="187">
        <v>2018</v>
      </c>
      <c r="B2657" t="s">
        <v>313</v>
      </c>
      <c r="C2657" t="s">
        <v>328</v>
      </c>
      <c r="D2657" t="s">
        <v>39</v>
      </c>
      <c r="E2657" t="s">
        <v>363</v>
      </c>
      <c r="F2657" t="s">
        <v>363</v>
      </c>
      <c r="G2657" t="s">
        <v>37</v>
      </c>
      <c r="H2657" t="s">
        <v>43</v>
      </c>
      <c r="I2657" s="187">
        <v>2971.8294695999998</v>
      </c>
      <c r="J2657" s="187">
        <v>51</v>
      </c>
      <c r="K2657" s="187">
        <v>375.26868406033441</v>
      </c>
      <c r="L2657" s="187">
        <v>2099</v>
      </c>
      <c r="M2657" s="187">
        <v>5497.0986328125</v>
      </c>
      <c r="N2657" s="187">
        <v>5070.82958984375</v>
      </c>
      <c r="O2657" t="s">
        <v>3118</v>
      </c>
    </row>
    <row r="2658" spans="1:15" hidden="1" x14ac:dyDescent="0.45">
      <c r="A2658" s="187">
        <v>2018</v>
      </c>
      <c r="B2658" t="s">
        <v>311</v>
      </c>
      <c r="C2658" t="s">
        <v>328</v>
      </c>
      <c r="D2658" t="s">
        <v>39</v>
      </c>
      <c r="E2658" t="s">
        <v>363</v>
      </c>
      <c r="F2658" t="s">
        <v>363</v>
      </c>
      <c r="G2658" t="s">
        <v>37</v>
      </c>
      <c r="H2658" t="s">
        <v>43</v>
      </c>
      <c r="I2658" s="187"/>
      <c r="J2658" s="187">
        <v>64</v>
      </c>
      <c r="K2658" s="187">
        <v>396.19427935379252</v>
      </c>
      <c r="L2658" s="187">
        <v>4260</v>
      </c>
      <c r="M2658" s="187">
        <v>4720.1943359375</v>
      </c>
      <c r="N2658" s="187">
        <v>4260</v>
      </c>
      <c r="O2658" t="s">
        <v>3116</v>
      </c>
    </row>
    <row r="2659" spans="1:15" hidden="1" x14ac:dyDescent="0.45">
      <c r="A2659" s="187">
        <v>2018</v>
      </c>
      <c r="B2659" t="s">
        <v>312</v>
      </c>
      <c r="C2659" t="s">
        <v>328</v>
      </c>
      <c r="D2659" t="s">
        <v>39</v>
      </c>
      <c r="E2659" t="s">
        <v>363</v>
      </c>
      <c r="F2659" t="s">
        <v>363</v>
      </c>
      <c r="G2659" t="s">
        <v>37</v>
      </c>
      <c r="H2659" t="s">
        <v>43</v>
      </c>
      <c r="I2659" s="187">
        <v>2321.570137310202</v>
      </c>
      <c r="J2659" s="187">
        <v>62</v>
      </c>
      <c r="K2659" s="187">
        <v>425.65107980806812</v>
      </c>
      <c r="L2659" s="187">
        <v>2027</v>
      </c>
      <c r="M2659" s="187">
        <v>4836.22119140625</v>
      </c>
      <c r="N2659" s="187">
        <v>4348.5703125</v>
      </c>
      <c r="O2659" t="s">
        <v>3119</v>
      </c>
    </row>
    <row r="2660" spans="1:15" hidden="1" x14ac:dyDescent="0.45">
      <c r="A2660" s="187">
        <v>2018</v>
      </c>
      <c r="B2660" t="s">
        <v>310</v>
      </c>
      <c r="C2660" t="s">
        <v>328</v>
      </c>
      <c r="D2660" t="s">
        <v>39</v>
      </c>
      <c r="E2660" t="s">
        <v>363</v>
      </c>
      <c r="F2660" t="s">
        <v>363</v>
      </c>
      <c r="G2660" t="s">
        <v>37</v>
      </c>
      <c r="H2660" t="s">
        <v>43</v>
      </c>
      <c r="I2660" s="187"/>
      <c r="J2660" s="187">
        <v>43</v>
      </c>
      <c r="K2660" s="187">
        <v>386.66785528288852</v>
      </c>
      <c r="L2660" s="187">
        <v>4245</v>
      </c>
      <c r="M2660" s="187">
        <v>4674.66796875</v>
      </c>
      <c r="N2660" s="187">
        <v>4245</v>
      </c>
      <c r="O2660" t="s">
        <v>3115</v>
      </c>
    </row>
    <row r="2661" spans="1:15" hidden="1" x14ac:dyDescent="0.45">
      <c r="A2661" s="187">
        <v>2018</v>
      </c>
      <c r="B2661" t="s">
        <v>314</v>
      </c>
      <c r="C2661" t="s">
        <v>328</v>
      </c>
      <c r="D2661" t="s">
        <v>39</v>
      </c>
      <c r="E2661" t="s">
        <v>364</v>
      </c>
      <c r="F2661" t="s">
        <v>364</v>
      </c>
      <c r="G2661" t="s">
        <v>36</v>
      </c>
      <c r="H2661" t="s">
        <v>43</v>
      </c>
      <c r="I2661" s="187">
        <v>1728.2626946423875</v>
      </c>
      <c r="J2661" s="187">
        <v>765.64302344454075</v>
      </c>
      <c r="K2661" s="187">
        <v>4263.5016319716779</v>
      </c>
      <c r="L2661" s="187">
        <v>2650.9002652304462</v>
      </c>
      <c r="M2661" s="187">
        <v>9408.3076171875</v>
      </c>
      <c r="N2661" s="187">
        <v>4379.1630859375</v>
      </c>
      <c r="O2661" t="s">
        <v>3123</v>
      </c>
    </row>
    <row r="2662" spans="1:15" hidden="1" x14ac:dyDescent="0.45">
      <c r="A2662" s="187">
        <v>2018</v>
      </c>
      <c r="B2662" t="s">
        <v>312</v>
      </c>
      <c r="C2662" t="s">
        <v>328</v>
      </c>
      <c r="D2662" t="s">
        <v>39</v>
      </c>
      <c r="E2662" t="s">
        <v>364</v>
      </c>
      <c r="F2662" t="s">
        <v>364</v>
      </c>
      <c r="G2662" t="s">
        <v>36</v>
      </c>
      <c r="H2662" t="s">
        <v>43</v>
      </c>
      <c r="I2662" s="187">
        <v>1552.9140913689048</v>
      </c>
      <c r="J2662" s="187">
        <v>788.63708510341928</v>
      </c>
      <c r="K2662" s="187">
        <v>4796.7570553136175</v>
      </c>
      <c r="L2662" s="187">
        <v>3503.6362266138672</v>
      </c>
      <c r="M2662" s="187">
        <v>10641.9443359375</v>
      </c>
      <c r="N2662" s="187">
        <v>5056.55029296875</v>
      </c>
      <c r="O2662" t="s">
        <v>3122</v>
      </c>
    </row>
    <row r="2663" spans="1:15" hidden="1" x14ac:dyDescent="0.45">
      <c r="A2663" s="187">
        <v>2018</v>
      </c>
      <c r="B2663" t="s">
        <v>309</v>
      </c>
      <c r="C2663" t="s">
        <v>328</v>
      </c>
      <c r="D2663" t="s">
        <v>39</v>
      </c>
      <c r="E2663" t="s">
        <v>364</v>
      </c>
      <c r="F2663" t="s">
        <v>364</v>
      </c>
      <c r="G2663" t="s">
        <v>36</v>
      </c>
      <c r="H2663" t="s">
        <v>43</v>
      </c>
      <c r="I2663" s="187"/>
      <c r="J2663" s="187">
        <v>23.82205352488231</v>
      </c>
      <c r="K2663" s="187">
        <v>5102.8804491606461</v>
      </c>
      <c r="L2663" s="187">
        <v>5118.1681998209642</v>
      </c>
      <c r="M2663" s="187">
        <v>10244.87109375</v>
      </c>
      <c r="N2663" s="187">
        <v>5118.16796875</v>
      </c>
      <c r="O2663" t="s">
        <v>3125</v>
      </c>
    </row>
    <row r="2664" spans="1:15" hidden="1" x14ac:dyDescent="0.45">
      <c r="A2664" s="187">
        <v>2018</v>
      </c>
      <c r="B2664" t="s">
        <v>310</v>
      </c>
      <c r="C2664" t="s">
        <v>328</v>
      </c>
      <c r="D2664" t="s">
        <v>39</v>
      </c>
      <c r="E2664" t="s">
        <v>364</v>
      </c>
      <c r="F2664" t="s">
        <v>364</v>
      </c>
      <c r="G2664" t="s">
        <v>36</v>
      </c>
      <c r="H2664" t="s">
        <v>43</v>
      </c>
      <c r="I2664" s="187"/>
      <c r="J2664" s="187">
        <v>771.50297900233943</v>
      </c>
      <c r="K2664" s="187">
        <v>4250.646149500757</v>
      </c>
      <c r="L2664" s="187">
        <v>4609.1458275851883</v>
      </c>
      <c r="M2664" s="187">
        <v>9631.294921875</v>
      </c>
      <c r="N2664" s="187">
        <v>4609.14599609375</v>
      </c>
      <c r="O2664" t="s">
        <v>3124</v>
      </c>
    </row>
    <row r="2665" spans="1:15" hidden="1" x14ac:dyDescent="0.45">
      <c r="A2665" s="187">
        <v>2018</v>
      </c>
      <c r="B2665" t="s">
        <v>313</v>
      </c>
      <c r="C2665" t="s">
        <v>328</v>
      </c>
      <c r="D2665" t="s">
        <v>39</v>
      </c>
      <c r="E2665" t="s">
        <v>364</v>
      </c>
      <c r="F2665" t="s">
        <v>364</v>
      </c>
      <c r="G2665" t="s">
        <v>36</v>
      </c>
      <c r="H2665" t="s">
        <v>43</v>
      </c>
      <c r="I2665" s="187">
        <v>1777.2374297342985</v>
      </c>
      <c r="J2665" s="187">
        <v>775.92875592887833</v>
      </c>
      <c r="K2665" s="187">
        <v>5117.0804530126125</v>
      </c>
      <c r="L2665" s="187">
        <v>2959.939989528692</v>
      </c>
      <c r="M2665" s="187">
        <v>10630.1865234375</v>
      </c>
      <c r="N2665" s="187">
        <v>4737.17724609375</v>
      </c>
      <c r="O2665" t="s">
        <v>3121</v>
      </c>
    </row>
    <row r="2666" spans="1:15" hidden="1" x14ac:dyDescent="0.45">
      <c r="A2666" s="187">
        <v>2018</v>
      </c>
      <c r="B2666" t="s">
        <v>311</v>
      </c>
      <c r="C2666" t="s">
        <v>328</v>
      </c>
      <c r="D2666" t="s">
        <v>39</v>
      </c>
      <c r="E2666" t="s">
        <v>364</v>
      </c>
      <c r="F2666" t="s">
        <v>364</v>
      </c>
      <c r="G2666" t="s">
        <v>36</v>
      </c>
      <c r="H2666" t="s">
        <v>43</v>
      </c>
      <c r="I2666" s="187"/>
      <c r="J2666" s="187">
        <v>792.24333789621517</v>
      </c>
      <c r="K2666" s="187">
        <v>4485.9826334282889</v>
      </c>
      <c r="L2666" s="187">
        <v>11628.501111091358</v>
      </c>
      <c r="M2666" s="187">
        <v>16906.7265625</v>
      </c>
      <c r="N2666" s="187">
        <v>11628.5009765625</v>
      </c>
      <c r="O2666" t="s">
        <v>3120</v>
      </c>
    </row>
    <row r="2667" spans="1:15" hidden="1" x14ac:dyDescent="0.45">
      <c r="A2667" s="187">
        <v>2018</v>
      </c>
      <c r="B2667" t="s">
        <v>311</v>
      </c>
      <c r="C2667" t="s">
        <v>328</v>
      </c>
      <c r="D2667" t="s">
        <v>39</v>
      </c>
      <c r="E2667" t="s">
        <v>364</v>
      </c>
      <c r="F2667" t="s">
        <v>364</v>
      </c>
      <c r="G2667" t="s">
        <v>37</v>
      </c>
      <c r="H2667" t="s">
        <v>43</v>
      </c>
      <c r="I2667" s="187"/>
      <c r="J2667" s="187">
        <v>722</v>
      </c>
      <c r="K2667" s="187">
        <v>4057.7383885802878</v>
      </c>
      <c r="L2667" s="187">
        <v>10870</v>
      </c>
      <c r="M2667" s="187">
        <v>15649.73828125</v>
      </c>
      <c r="N2667" s="187">
        <v>10870</v>
      </c>
      <c r="O2667" t="s">
        <v>3128</v>
      </c>
    </row>
    <row r="2668" spans="1:15" hidden="1" x14ac:dyDescent="0.45">
      <c r="A2668" s="187">
        <v>2018</v>
      </c>
      <c r="B2668" t="s">
        <v>309</v>
      </c>
      <c r="C2668" t="s">
        <v>328</v>
      </c>
      <c r="D2668" t="s">
        <v>39</v>
      </c>
      <c r="E2668" t="s">
        <v>364</v>
      </c>
      <c r="F2668" t="s">
        <v>364</v>
      </c>
      <c r="G2668" t="s">
        <v>37</v>
      </c>
      <c r="H2668" t="s">
        <v>43</v>
      </c>
      <c r="I2668" s="187"/>
      <c r="J2668" s="187">
        <v>22.065999999999999</v>
      </c>
      <c r="K2668" s="187">
        <v>4794.2127771012374</v>
      </c>
      <c r="L2668" s="187">
        <v>4985</v>
      </c>
      <c r="M2668" s="187">
        <v>9801.279296875</v>
      </c>
      <c r="N2668" s="187">
        <v>4985</v>
      </c>
      <c r="O2668" t="s">
        <v>3126</v>
      </c>
    </row>
    <row r="2669" spans="1:15" hidden="1" x14ac:dyDescent="0.45">
      <c r="A2669" s="187">
        <v>2018</v>
      </c>
      <c r="B2669" t="s">
        <v>313</v>
      </c>
      <c r="C2669" t="s">
        <v>328</v>
      </c>
      <c r="D2669" t="s">
        <v>39</v>
      </c>
      <c r="E2669" t="s">
        <v>364</v>
      </c>
      <c r="F2669" t="s">
        <v>364</v>
      </c>
      <c r="G2669" t="s">
        <v>37</v>
      </c>
      <c r="H2669" t="s">
        <v>43</v>
      </c>
      <c r="I2669" s="187">
        <v>1584.6167783999999</v>
      </c>
      <c r="J2669" s="187">
        <v>694</v>
      </c>
      <c r="K2669" s="187">
        <v>4563.0617252507154</v>
      </c>
      <c r="L2669" s="187">
        <v>2644</v>
      </c>
      <c r="M2669" s="187">
        <v>9485.677734375</v>
      </c>
      <c r="N2669" s="187">
        <v>4228.61669921875</v>
      </c>
      <c r="O2669" t="s">
        <v>3130</v>
      </c>
    </row>
    <row r="2670" spans="1:15" hidden="1" x14ac:dyDescent="0.45">
      <c r="A2670" s="187">
        <v>2018</v>
      </c>
      <c r="B2670" t="s">
        <v>310</v>
      </c>
      <c r="C2670" t="s">
        <v>328</v>
      </c>
      <c r="D2670" t="s">
        <v>39</v>
      </c>
      <c r="E2670" t="s">
        <v>364</v>
      </c>
      <c r="F2670" t="s">
        <v>364</v>
      </c>
      <c r="G2670" t="s">
        <v>37</v>
      </c>
      <c r="H2670" t="s">
        <v>43</v>
      </c>
      <c r="I2670" s="187"/>
      <c r="J2670" s="187">
        <v>717</v>
      </c>
      <c r="K2670" s="187">
        <v>3951.8101248663738</v>
      </c>
      <c r="L2670" s="187">
        <v>4397</v>
      </c>
      <c r="M2670" s="187">
        <v>9065.810546875</v>
      </c>
      <c r="N2670" s="187">
        <v>4397</v>
      </c>
      <c r="O2670" t="s">
        <v>3129</v>
      </c>
    </row>
    <row r="2671" spans="1:15" hidden="1" x14ac:dyDescent="0.45">
      <c r="A2671" s="187">
        <v>2018</v>
      </c>
      <c r="B2671" t="s">
        <v>312</v>
      </c>
      <c r="C2671" t="s">
        <v>328</v>
      </c>
      <c r="D2671" t="s">
        <v>39</v>
      </c>
      <c r="E2671" t="s">
        <v>364</v>
      </c>
      <c r="F2671" t="s">
        <v>364</v>
      </c>
      <c r="G2671" t="s">
        <v>37</v>
      </c>
      <c r="H2671" t="s">
        <v>43</v>
      </c>
      <c r="I2671" s="187">
        <v>1369.1055878086679</v>
      </c>
      <c r="J2671" s="187">
        <v>707</v>
      </c>
      <c r="K2671" s="187">
        <v>4289.8355247222053</v>
      </c>
      <c r="L2671" s="187">
        <v>3130</v>
      </c>
      <c r="M2671" s="187">
        <v>9495.94140625</v>
      </c>
      <c r="N2671" s="187">
        <v>4499.10546875</v>
      </c>
      <c r="O2671" t="s">
        <v>3127</v>
      </c>
    </row>
    <row r="2672" spans="1:15" hidden="1" x14ac:dyDescent="0.45">
      <c r="A2672" s="187">
        <v>2018</v>
      </c>
      <c r="B2672" t="s">
        <v>314</v>
      </c>
      <c r="C2672" t="s">
        <v>328</v>
      </c>
      <c r="D2672" t="s">
        <v>39</v>
      </c>
      <c r="E2672" t="s">
        <v>364</v>
      </c>
      <c r="F2672" t="s">
        <v>364</v>
      </c>
      <c r="G2672" t="s">
        <v>37</v>
      </c>
      <c r="H2672" t="s">
        <v>43</v>
      </c>
      <c r="I2672" s="187">
        <v>1557.5160000000001</v>
      </c>
      <c r="J2672" s="187">
        <v>690</v>
      </c>
      <c r="K2672" s="187">
        <v>3842.281632536221</v>
      </c>
      <c r="L2672" s="187">
        <v>2389</v>
      </c>
      <c r="M2672" s="187">
        <v>8478.7978515625</v>
      </c>
      <c r="N2672" s="187">
        <v>3946.51611328125</v>
      </c>
      <c r="O2672" t="s">
        <v>3131</v>
      </c>
    </row>
    <row r="2673" spans="1:15" hidden="1" x14ac:dyDescent="0.45">
      <c r="A2673" s="187">
        <v>2018</v>
      </c>
      <c r="B2673" t="s">
        <v>310</v>
      </c>
      <c r="C2673" t="s">
        <v>328</v>
      </c>
      <c r="D2673" t="s">
        <v>39</v>
      </c>
      <c r="E2673" t="s">
        <v>365</v>
      </c>
      <c r="F2673" t="s">
        <v>375</v>
      </c>
      <c r="G2673" t="s">
        <v>36</v>
      </c>
      <c r="H2673" t="s">
        <v>43</v>
      </c>
      <c r="I2673" s="187"/>
      <c r="J2673" s="187">
        <v>1943.8863940334222</v>
      </c>
      <c r="K2673" s="187">
        <v>17874.006604091403</v>
      </c>
      <c r="L2673" s="187">
        <v>23769.305416717529</v>
      </c>
      <c r="M2673" s="187">
        <v>43587.19921875</v>
      </c>
      <c r="N2673" s="187">
        <v>23769.3046875</v>
      </c>
      <c r="O2673" t="s">
        <v>3134</v>
      </c>
    </row>
    <row r="2674" spans="1:15" hidden="1" x14ac:dyDescent="0.45">
      <c r="A2674" s="187">
        <v>2018</v>
      </c>
      <c r="B2674" t="s">
        <v>313</v>
      </c>
      <c r="C2674" t="s">
        <v>328</v>
      </c>
      <c r="D2674" t="s">
        <v>39</v>
      </c>
      <c r="E2674" t="s">
        <v>365</v>
      </c>
      <c r="F2674" t="s">
        <v>375</v>
      </c>
      <c r="G2674" t="s">
        <v>36</v>
      </c>
      <c r="H2674" t="s">
        <v>43</v>
      </c>
      <c r="I2674" s="187">
        <v>9155.5941770167992</v>
      </c>
      <c r="J2674" s="187">
        <v>1825.714719832655</v>
      </c>
      <c r="K2674" s="187">
        <v>18607.094907286435</v>
      </c>
      <c r="L2674" s="187">
        <v>13431.554979468863</v>
      </c>
      <c r="M2674" s="187">
        <v>43019.9609375</v>
      </c>
      <c r="N2674" s="187">
        <v>22587.1484375</v>
      </c>
      <c r="O2674" t="s">
        <v>3135</v>
      </c>
    </row>
    <row r="2675" spans="1:15" hidden="1" x14ac:dyDescent="0.45">
      <c r="A2675" s="187">
        <v>2018</v>
      </c>
      <c r="B2675" t="s">
        <v>314</v>
      </c>
      <c r="C2675" t="s">
        <v>328</v>
      </c>
      <c r="D2675" t="s">
        <v>39</v>
      </c>
      <c r="E2675" t="s">
        <v>365</v>
      </c>
      <c r="F2675" t="s">
        <v>375</v>
      </c>
      <c r="G2675" t="s">
        <v>36</v>
      </c>
      <c r="H2675" t="s">
        <v>43</v>
      </c>
      <c r="I2675" s="187">
        <v>8295.5757148860666</v>
      </c>
      <c r="J2675" s="187">
        <v>1914.1075586113518</v>
      </c>
      <c r="K2675" s="187">
        <v>16807.053314491972</v>
      </c>
      <c r="L2675" s="187">
        <v>12901.639758825615</v>
      </c>
      <c r="M2675" s="187">
        <v>39918.375</v>
      </c>
      <c r="N2675" s="187">
        <v>21197.216796875</v>
      </c>
      <c r="O2675" t="s">
        <v>3132</v>
      </c>
    </row>
    <row r="2676" spans="1:15" hidden="1" x14ac:dyDescent="0.45">
      <c r="A2676" s="187">
        <v>2018</v>
      </c>
      <c r="B2676" t="s">
        <v>309</v>
      </c>
      <c r="C2676" t="s">
        <v>328</v>
      </c>
      <c r="D2676" t="s">
        <v>39</v>
      </c>
      <c r="E2676" t="s">
        <v>365</v>
      </c>
      <c r="F2676" t="s">
        <v>375</v>
      </c>
      <c r="G2676" t="s">
        <v>36</v>
      </c>
      <c r="H2676" t="s">
        <v>43</v>
      </c>
      <c r="I2676" s="187"/>
      <c r="J2676" s="187">
        <v>1681.8369788566911</v>
      </c>
      <c r="K2676" s="187">
        <v>19318.549823693946</v>
      </c>
      <c r="L2676" s="187">
        <v>25588.458793752332</v>
      </c>
      <c r="M2676" s="187">
        <v>46588.84375</v>
      </c>
      <c r="N2676" s="187">
        <v>25588.458984375</v>
      </c>
      <c r="O2676" t="s">
        <v>3133</v>
      </c>
    </row>
    <row r="2677" spans="1:15" hidden="1" x14ac:dyDescent="0.45">
      <c r="A2677" s="187">
        <v>2018</v>
      </c>
      <c r="B2677" t="s">
        <v>311</v>
      </c>
      <c r="C2677" t="s">
        <v>328</v>
      </c>
      <c r="D2677" t="s">
        <v>39</v>
      </c>
      <c r="E2677" t="s">
        <v>365</v>
      </c>
      <c r="F2677" t="s">
        <v>375</v>
      </c>
      <c r="G2677" t="s">
        <v>36</v>
      </c>
      <c r="H2677" t="s">
        <v>43</v>
      </c>
      <c r="I2677" s="187"/>
      <c r="J2677" s="187">
        <v>1852.4513341985032</v>
      </c>
      <c r="K2677" s="187">
        <v>18193.875349512025</v>
      </c>
      <c r="L2677" s="187">
        <v>21874.071572060941</v>
      </c>
      <c r="M2677" s="187">
        <v>41920.3984375</v>
      </c>
      <c r="N2677" s="187">
        <v>21874.072265625</v>
      </c>
      <c r="O2677" t="s">
        <v>3137</v>
      </c>
    </row>
    <row r="2678" spans="1:15" hidden="1" x14ac:dyDescent="0.45">
      <c r="A2678" s="187">
        <v>2018</v>
      </c>
      <c r="B2678" t="s">
        <v>312</v>
      </c>
      <c r="C2678" t="s">
        <v>328</v>
      </c>
      <c r="D2678" t="s">
        <v>39</v>
      </c>
      <c r="E2678" t="s">
        <v>365</v>
      </c>
      <c r="F2678" t="s">
        <v>375</v>
      </c>
      <c r="G2678" t="s">
        <v>36</v>
      </c>
      <c r="H2678" t="s">
        <v>43</v>
      </c>
      <c r="I2678" s="187">
        <v>8224.7963263133261</v>
      </c>
      <c r="J2678" s="187">
        <v>1844.0190666388776</v>
      </c>
      <c r="K2678" s="187">
        <v>18839.333531872831</v>
      </c>
      <c r="L2678" s="187">
        <v>13650.380134804773</v>
      </c>
      <c r="M2678" s="187">
        <v>42558.52734375</v>
      </c>
      <c r="N2678" s="187">
        <v>21875.17578125</v>
      </c>
      <c r="O2678" t="s">
        <v>3136</v>
      </c>
    </row>
    <row r="2679" spans="1:15" hidden="1" x14ac:dyDescent="0.45">
      <c r="A2679" s="187">
        <v>2018</v>
      </c>
      <c r="B2679" t="s">
        <v>312</v>
      </c>
      <c r="C2679" t="s">
        <v>328</v>
      </c>
      <c r="D2679" t="s">
        <v>39</v>
      </c>
      <c r="E2679" t="s">
        <v>365</v>
      </c>
      <c r="F2679" t="s">
        <v>375</v>
      </c>
      <c r="G2679" t="s">
        <v>37</v>
      </c>
      <c r="H2679" t="s">
        <v>43</v>
      </c>
      <c r="I2679" s="187">
        <v>7251.2798174285808</v>
      </c>
      <c r="J2679" s="187">
        <v>1653</v>
      </c>
      <c r="K2679" s="187">
        <v>16848.391802038921</v>
      </c>
      <c r="L2679" s="187">
        <v>12193</v>
      </c>
      <c r="M2679" s="187">
        <v>37945.671875</v>
      </c>
      <c r="N2679" s="187">
        <v>19444.279296875</v>
      </c>
      <c r="O2679" t="s">
        <v>3138</v>
      </c>
    </row>
    <row r="2680" spans="1:15" hidden="1" x14ac:dyDescent="0.45">
      <c r="A2680" s="187">
        <v>2018</v>
      </c>
      <c r="B2680" t="s">
        <v>313</v>
      </c>
      <c r="C2680" t="s">
        <v>328</v>
      </c>
      <c r="D2680" t="s">
        <v>39</v>
      </c>
      <c r="E2680" t="s">
        <v>365</v>
      </c>
      <c r="F2680" t="s">
        <v>375</v>
      </c>
      <c r="G2680" t="s">
        <v>37</v>
      </c>
      <c r="H2680" t="s">
        <v>43</v>
      </c>
      <c r="I2680" s="187">
        <v>8163.2920320000003</v>
      </c>
      <c r="J2680" s="187">
        <v>1632</v>
      </c>
      <c r="K2680" s="187">
        <v>16592.532278744871</v>
      </c>
      <c r="L2680" s="187">
        <v>11996</v>
      </c>
      <c r="M2680" s="187">
        <v>38383.82421875</v>
      </c>
      <c r="N2680" s="187">
        <v>20159.29296875</v>
      </c>
      <c r="O2680" t="s">
        <v>3140</v>
      </c>
    </row>
    <row r="2681" spans="1:15" hidden="1" x14ac:dyDescent="0.45">
      <c r="A2681" s="187">
        <v>2018</v>
      </c>
      <c r="B2681" t="s">
        <v>309</v>
      </c>
      <c r="C2681" t="s">
        <v>328</v>
      </c>
      <c r="D2681" t="s">
        <v>39</v>
      </c>
      <c r="E2681" t="s">
        <v>365</v>
      </c>
      <c r="F2681" t="s">
        <v>375</v>
      </c>
      <c r="G2681" t="s">
        <v>37</v>
      </c>
      <c r="H2681" t="s">
        <v>43</v>
      </c>
      <c r="I2681" s="187"/>
      <c r="J2681" s="187">
        <v>1557.8596</v>
      </c>
      <c r="K2681" s="187">
        <v>18149.99181786722</v>
      </c>
      <c r="L2681" s="187">
        <v>24923</v>
      </c>
      <c r="M2681" s="187">
        <v>44630.8515625</v>
      </c>
      <c r="N2681" s="187">
        <v>24923</v>
      </c>
      <c r="O2681" t="s">
        <v>3143</v>
      </c>
    </row>
    <row r="2682" spans="1:15" hidden="1" x14ac:dyDescent="0.45">
      <c r="A2682" s="187">
        <v>2018</v>
      </c>
      <c r="B2682" t="s">
        <v>311</v>
      </c>
      <c r="C2682" t="s">
        <v>328</v>
      </c>
      <c r="D2682" t="s">
        <v>39</v>
      </c>
      <c r="E2682" t="s">
        <v>365</v>
      </c>
      <c r="F2682" t="s">
        <v>375</v>
      </c>
      <c r="G2682" t="s">
        <v>37</v>
      </c>
      <c r="H2682" t="s">
        <v>43</v>
      </c>
      <c r="I2682" s="187"/>
      <c r="J2682" s="187">
        <v>1689</v>
      </c>
      <c r="K2682" s="187">
        <v>16457.037950309688</v>
      </c>
      <c r="L2682" s="187">
        <v>20448</v>
      </c>
      <c r="M2682" s="187">
        <v>38594.0390625</v>
      </c>
      <c r="N2682" s="187">
        <v>20448</v>
      </c>
      <c r="O2682" t="s">
        <v>3139</v>
      </c>
    </row>
    <row r="2683" spans="1:15" hidden="1" x14ac:dyDescent="0.45">
      <c r="A2683" s="187">
        <v>2018</v>
      </c>
      <c r="B2683" t="s">
        <v>310</v>
      </c>
      <c r="C2683" t="s">
        <v>328</v>
      </c>
      <c r="D2683" t="s">
        <v>39</v>
      </c>
      <c r="E2683" t="s">
        <v>365</v>
      </c>
      <c r="F2683" t="s">
        <v>375</v>
      </c>
      <c r="G2683" t="s">
        <v>37</v>
      </c>
      <c r="H2683" t="s">
        <v>43</v>
      </c>
      <c r="I2683" s="187"/>
      <c r="J2683" s="187">
        <v>1806</v>
      </c>
      <c r="K2683" s="187">
        <v>16617.398340314201</v>
      </c>
      <c r="L2683" s="187">
        <v>22676</v>
      </c>
      <c r="M2683" s="187">
        <v>41099.3984375</v>
      </c>
      <c r="N2683" s="187">
        <v>22676</v>
      </c>
      <c r="O2683" t="s">
        <v>3142</v>
      </c>
    </row>
    <row r="2684" spans="1:15" hidden="1" x14ac:dyDescent="0.45">
      <c r="A2684" s="187">
        <v>2018</v>
      </c>
      <c r="B2684" t="s">
        <v>314</v>
      </c>
      <c r="C2684" t="s">
        <v>328</v>
      </c>
      <c r="D2684" t="s">
        <v>39</v>
      </c>
      <c r="E2684" t="s">
        <v>365</v>
      </c>
      <c r="F2684" t="s">
        <v>375</v>
      </c>
      <c r="G2684" t="s">
        <v>37</v>
      </c>
      <c r="H2684" t="s">
        <v>43</v>
      </c>
      <c r="I2684" s="187">
        <v>7476</v>
      </c>
      <c r="J2684" s="187">
        <v>1725</v>
      </c>
      <c r="K2684" s="187">
        <v>15146.571485529221</v>
      </c>
      <c r="L2684" s="187">
        <v>11627</v>
      </c>
      <c r="M2684" s="187">
        <v>35974.5703125</v>
      </c>
      <c r="N2684" s="187">
        <v>19103</v>
      </c>
      <c r="O2684" t="s">
        <v>3141</v>
      </c>
    </row>
    <row r="2685" spans="1:15" hidden="1" x14ac:dyDescent="0.45">
      <c r="A2685" s="187">
        <v>2018</v>
      </c>
      <c r="B2685" t="s">
        <v>34</v>
      </c>
      <c r="C2685" t="s">
        <v>329</v>
      </c>
      <c r="D2685" t="s">
        <v>39</v>
      </c>
      <c r="E2685" t="s">
        <v>349</v>
      </c>
      <c r="F2685" t="s">
        <v>349</v>
      </c>
      <c r="G2685" t="s">
        <v>36</v>
      </c>
      <c r="H2685" t="s">
        <v>43</v>
      </c>
      <c r="I2685" s="187">
        <v>0</v>
      </c>
      <c r="J2685" s="187">
        <v>0</v>
      </c>
      <c r="K2685" s="187">
        <v>2981.225341796875</v>
      </c>
      <c r="L2685" s="187">
        <v>0</v>
      </c>
      <c r="M2685" s="187">
        <v>2981.225341796875</v>
      </c>
      <c r="N2685" s="187">
        <v>0</v>
      </c>
      <c r="O2685" t="s">
        <v>3144</v>
      </c>
    </row>
    <row r="2686" spans="1:15" hidden="1" x14ac:dyDescent="0.45">
      <c r="A2686" s="187">
        <v>2018</v>
      </c>
      <c r="B2686" t="s">
        <v>34</v>
      </c>
      <c r="C2686" t="s">
        <v>329</v>
      </c>
      <c r="D2686" t="s">
        <v>39</v>
      </c>
      <c r="E2686" t="s">
        <v>349</v>
      </c>
      <c r="F2686" t="s">
        <v>349</v>
      </c>
      <c r="G2686" t="s">
        <v>37</v>
      </c>
      <c r="H2686" t="s">
        <v>43</v>
      </c>
      <c r="I2686" s="187">
        <v>0</v>
      </c>
      <c r="J2686" s="187">
        <v>0</v>
      </c>
      <c r="K2686" s="187">
        <v>2686.6899699999999</v>
      </c>
      <c r="L2686" s="187">
        <v>0</v>
      </c>
      <c r="M2686" s="187">
        <v>2686.68994140625</v>
      </c>
      <c r="N2686" s="187">
        <v>0</v>
      </c>
      <c r="O2686" t="s">
        <v>3145</v>
      </c>
    </row>
    <row r="2687" spans="1:15" hidden="1" x14ac:dyDescent="0.45">
      <c r="A2687" s="187">
        <v>2018</v>
      </c>
      <c r="B2687" t="s">
        <v>34</v>
      </c>
      <c r="C2687" t="s">
        <v>329</v>
      </c>
      <c r="D2687" t="s">
        <v>39</v>
      </c>
      <c r="E2687" t="s">
        <v>21</v>
      </c>
      <c r="F2687" t="s">
        <v>21</v>
      </c>
      <c r="G2687" t="s">
        <v>36</v>
      </c>
      <c r="H2687" t="s">
        <v>43</v>
      </c>
      <c r="I2687" s="187">
        <v>5516.18408203125</v>
      </c>
      <c r="J2687" s="187">
        <v>1116.2852783203125</v>
      </c>
      <c r="K2687" s="187">
        <v>6141.7041015625</v>
      </c>
      <c r="L2687" s="187">
        <v>5051.02490234375</v>
      </c>
      <c r="M2687" s="187">
        <v>17825.19921875</v>
      </c>
      <c r="N2687" s="187">
        <v>10567.208984375</v>
      </c>
      <c r="O2687" t="s">
        <v>3146</v>
      </c>
    </row>
    <row r="2688" spans="1:15" hidden="1" x14ac:dyDescent="0.45">
      <c r="A2688" s="187">
        <v>2018</v>
      </c>
      <c r="B2688" t="s">
        <v>34</v>
      </c>
      <c r="C2688" t="s">
        <v>329</v>
      </c>
      <c r="D2688" t="s">
        <v>39</v>
      </c>
      <c r="E2688" t="s">
        <v>21</v>
      </c>
      <c r="F2688" t="s">
        <v>21</v>
      </c>
      <c r="G2688" t="s">
        <v>37</v>
      </c>
      <c r="H2688" t="s">
        <v>43</v>
      </c>
      <c r="I2688" s="187">
        <v>4971.2031100283084</v>
      </c>
      <c r="J2688" s="187">
        <v>1006</v>
      </c>
      <c r="K2688" s="187">
        <v>5534.924019836948</v>
      </c>
      <c r="L2688" s="187">
        <v>4552</v>
      </c>
      <c r="M2688" s="187">
        <v>16064.126953125</v>
      </c>
      <c r="N2688" s="187">
        <v>9523.203125</v>
      </c>
      <c r="O2688" t="s">
        <v>3147</v>
      </c>
    </row>
    <row r="2689" spans="1:15" hidden="1" x14ac:dyDescent="0.45">
      <c r="A2689" s="187">
        <v>2018</v>
      </c>
      <c r="B2689" t="s">
        <v>34</v>
      </c>
      <c r="C2689" t="s">
        <v>329</v>
      </c>
      <c r="D2689" t="s">
        <v>39</v>
      </c>
      <c r="E2689" t="s">
        <v>40</v>
      </c>
      <c r="F2689" t="s">
        <v>40</v>
      </c>
      <c r="G2689" t="s">
        <v>36</v>
      </c>
      <c r="H2689" t="s">
        <v>43</v>
      </c>
      <c r="I2689" s="187">
        <v>4309.8701171875</v>
      </c>
      <c r="J2689" s="187">
        <v>137.59382629394531</v>
      </c>
      <c r="K2689" s="187">
        <v>6441.49072265625</v>
      </c>
      <c r="L2689" s="187">
        <v>5228.13232421875</v>
      </c>
      <c r="M2689" s="187">
        <v>16117.087890625</v>
      </c>
      <c r="N2689" s="187">
        <v>9538.001953125</v>
      </c>
      <c r="O2689" t="s">
        <v>3148</v>
      </c>
    </row>
    <row r="2690" spans="1:15" hidden="1" x14ac:dyDescent="0.45">
      <c r="A2690" s="187">
        <v>2018</v>
      </c>
      <c r="B2690" t="s">
        <v>34</v>
      </c>
      <c r="C2690" t="s">
        <v>329</v>
      </c>
      <c r="D2690" t="s">
        <v>39</v>
      </c>
      <c r="E2690" t="s">
        <v>40</v>
      </c>
      <c r="F2690" t="s">
        <v>40</v>
      </c>
      <c r="G2690" t="s">
        <v>37</v>
      </c>
      <c r="H2690" t="s">
        <v>43</v>
      </c>
      <c r="I2690" s="187">
        <v>3884.06889</v>
      </c>
      <c r="J2690" s="187">
        <v>124</v>
      </c>
      <c r="K2690" s="187">
        <v>5805.0927300000003</v>
      </c>
      <c r="L2690" s="187">
        <v>4711.6100000000006</v>
      </c>
      <c r="M2690" s="187">
        <v>14524.771484375</v>
      </c>
      <c r="N2690" s="187">
        <v>8595.6787109375</v>
      </c>
      <c r="O2690" t="s">
        <v>3149</v>
      </c>
    </row>
    <row r="2691" spans="1:15" hidden="1" x14ac:dyDescent="0.45">
      <c r="A2691" s="187">
        <v>2018</v>
      </c>
      <c r="B2691" t="s">
        <v>34</v>
      </c>
      <c r="C2691" t="s">
        <v>329</v>
      </c>
      <c r="D2691" t="s">
        <v>39</v>
      </c>
      <c r="E2691" t="s">
        <v>41</v>
      </c>
      <c r="F2691" t="s">
        <v>41</v>
      </c>
      <c r="G2691" t="s">
        <v>36</v>
      </c>
      <c r="H2691" t="s">
        <v>43</v>
      </c>
      <c r="I2691" s="187">
        <v>6781.6240234375</v>
      </c>
      <c r="J2691" s="187">
        <v>1808.6929931640625</v>
      </c>
      <c r="K2691" s="187">
        <v>10108.53125</v>
      </c>
      <c r="L2691" s="187">
        <v>7407.87353515625</v>
      </c>
      <c r="M2691" s="187">
        <v>26106.720703125</v>
      </c>
      <c r="N2691" s="187">
        <v>14189.498046875</v>
      </c>
      <c r="O2691" t="s">
        <v>3150</v>
      </c>
    </row>
    <row r="2692" spans="1:15" hidden="1" x14ac:dyDescent="0.45">
      <c r="A2692" s="187">
        <v>2018</v>
      </c>
      <c r="B2692" t="s">
        <v>34</v>
      </c>
      <c r="C2692" t="s">
        <v>329</v>
      </c>
      <c r="D2692" t="s">
        <v>39</v>
      </c>
      <c r="E2692" t="s">
        <v>41</v>
      </c>
      <c r="F2692" t="s">
        <v>41</v>
      </c>
      <c r="G2692" t="s">
        <v>37</v>
      </c>
      <c r="H2692" t="s">
        <v>43</v>
      </c>
      <c r="I2692" s="187">
        <v>6111.6217100283084</v>
      </c>
      <c r="J2692" s="187">
        <v>1630</v>
      </c>
      <c r="K2692" s="187">
        <v>9109.8415056096892</v>
      </c>
      <c r="L2692" s="187">
        <v>6676</v>
      </c>
      <c r="M2692" s="187">
        <v>23527.462890625</v>
      </c>
      <c r="N2692" s="187">
        <v>12787.62109375</v>
      </c>
      <c r="O2692" t="s">
        <v>3151</v>
      </c>
    </row>
    <row r="2693" spans="1:15" hidden="1" x14ac:dyDescent="0.45">
      <c r="A2693" s="187">
        <v>2018</v>
      </c>
      <c r="B2693" t="s">
        <v>34</v>
      </c>
      <c r="C2693" t="s">
        <v>329</v>
      </c>
      <c r="D2693" t="s">
        <v>39</v>
      </c>
      <c r="E2693" t="s">
        <v>362</v>
      </c>
      <c r="F2693" t="s">
        <v>362</v>
      </c>
      <c r="G2693" t="s">
        <v>36</v>
      </c>
      <c r="H2693" t="s">
        <v>43</v>
      </c>
      <c r="I2693" s="187">
        <v>1664.137939453125</v>
      </c>
      <c r="J2693" s="187">
        <v>86.550949096679688</v>
      </c>
      <c r="K2693" s="187">
        <v>2940.272705078125</v>
      </c>
      <c r="L2693" s="187">
        <v>2831.8916015625</v>
      </c>
      <c r="M2693" s="187">
        <v>7522.85302734375</v>
      </c>
      <c r="N2693" s="187">
        <v>4496.029296875</v>
      </c>
      <c r="O2693" t="s">
        <v>3152</v>
      </c>
    </row>
    <row r="2694" spans="1:15" hidden="1" x14ac:dyDescent="0.45">
      <c r="A2694" s="187">
        <v>2018</v>
      </c>
      <c r="B2694" t="s">
        <v>34</v>
      </c>
      <c r="C2694" t="s">
        <v>329</v>
      </c>
      <c r="D2694" t="s">
        <v>39</v>
      </c>
      <c r="E2694" t="s">
        <v>362</v>
      </c>
      <c r="F2694" t="s">
        <v>362</v>
      </c>
      <c r="G2694" t="s">
        <v>37</v>
      </c>
      <c r="H2694" t="s">
        <v>43</v>
      </c>
      <c r="I2694" s="187">
        <v>1499.7265500000001</v>
      </c>
      <c r="J2694" s="187">
        <v>78</v>
      </c>
      <c r="K2694" s="187">
        <v>2649.7834600000001</v>
      </c>
      <c r="L2694" s="187">
        <v>2552.11</v>
      </c>
      <c r="M2694" s="187">
        <v>6779.6201171875</v>
      </c>
      <c r="N2694" s="187">
        <v>4051.836669921875</v>
      </c>
      <c r="O2694" t="s">
        <v>3153</v>
      </c>
    </row>
    <row r="2695" spans="1:15" hidden="1" x14ac:dyDescent="0.45">
      <c r="A2695" s="187">
        <v>2018</v>
      </c>
      <c r="B2695" t="s">
        <v>34</v>
      </c>
      <c r="C2695" t="s">
        <v>329</v>
      </c>
      <c r="D2695" t="s">
        <v>39</v>
      </c>
      <c r="E2695" t="s">
        <v>363</v>
      </c>
      <c r="F2695" t="s">
        <v>363</v>
      </c>
      <c r="G2695" t="s">
        <v>36</v>
      </c>
      <c r="H2695" t="s">
        <v>43</v>
      </c>
      <c r="I2695" s="187">
        <v>2645.73193359375</v>
      </c>
      <c r="J2695" s="187">
        <v>51.042869567871094</v>
      </c>
      <c r="K2695" s="187">
        <v>519.992919921875</v>
      </c>
      <c r="L2695" s="187">
        <v>2396.24072265625</v>
      </c>
      <c r="M2695" s="187">
        <v>5613.0087890625</v>
      </c>
      <c r="N2695" s="187">
        <v>5041.97265625</v>
      </c>
      <c r="O2695" t="s">
        <v>3154</v>
      </c>
    </row>
    <row r="2696" spans="1:15" hidden="1" x14ac:dyDescent="0.45">
      <c r="A2696" s="187">
        <v>2018</v>
      </c>
      <c r="B2696" t="s">
        <v>34</v>
      </c>
      <c r="C2696" t="s">
        <v>329</v>
      </c>
      <c r="D2696" t="s">
        <v>39</v>
      </c>
      <c r="E2696" t="s">
        <v>363</v>
      </c>
      <c r="F2696" t="s">
        <v>363</v>
      </c>
      <c r="G2696" t="s">
        <v>37</v>
      </c>
      <c r="H2696" t="s">
        <v>43</v>
      </c>
      <c r="I2696" s="187">
        <v>2384.3423400000001</v>
      </c>
      <c r="J2696" s="187">
        <v>46</v>
      </c>
      <c r="K2696" s="187">
        <v>468.61930000000001</v>
      </c>
      <c r="L2696" s="187">
        <v>2159.5</v>
      </c>
      <c r="M2696" s="187">
        <v>5058.4619140625</v>
      </c>
      <c r="N2696" s="187">
        <v>4543.84228515625</v>
      </c>
      <c r="O2696" t="s">
        <v>3155</v>
      </c>
    </row>
    <row r="2697" spans="1:15" hidden="1" x14ac:dyDescent="0.45">
      <c r="A2697" s="187">
        <v>2018</v>
      </c>
      <c r="B2697" t="s">
        <v>34</v>
      </c>
      <c r="C2697" t="s">
        <v>329</v>
      </c>
      <c r="D2697" t="s">
        <v>39</v>
      </c>
      <c r="E2697" t="s">
        <v>364</v>
      </c>
      <c r="F2697" t="s">
        <v>364</v>
      </c>
      <c r="G2697" t="s">
        <v>36</v>
      </c>
      <c r="H2697" t="s">
        <v>43</v>
      </c>
      <c r="I2697" s="187">
        <v>1265.43994140625</v>
      </c>
      <c r="J2697" s="187">
        <v>692.4075927734375</v>
      </c>
      <c r="K2697" s="187">
        <v>3966.826904296875</v>
      </c>
      <c r="L2697" s="187">
        <v>2356.848876953125</v>
      </c>
      <c r="M2697" s="187">
        <v>8281.5234375</v>
      </c>
      <c r="N2697" s="187">
        <v>3622.288818359375</v>
      </c>
      <c r="O2697" t="s">
        <v>3156</v>
      </c>
    </row>
    <row r="2698" spans="1:15" hidden="1" x14ac:dyDescent="0.45">
      <c r="A2698" s="187">
        <v>2018</v>
      </c>
      <c r="B2698" t="s">
        <v>34</v>
      </c>
      <c r="C2698" t="s">
        <v>329</v>
      </c>
      <c r="D2698" t="s">
        <v>39</v>
      </c>
      <c r="E2698" t="s">
        <v>364</v>
      </c>
      <c r="F2698" t="s">
        <v>364</v>
      </c>
      <c r="G2698" t="s">
        <v>37</v>
      </c>
      <c r="H2698" t="s">
        <v>43</v>
      </c>
      <c r="I2698" s="187">
        <v>1140.4186</v>
      </c>
      <c r="J2698" s="187">
        <v>624</v>
      </c>
      <c r="K2698" s="187">
        <v>3574.9174857727421</v>
      </c>
      <c r="L2698" s="187">
        <v>2124</v>
      </c>
      <c r="M2698" s="187">
        <v>7463.3359375</v>
      </c>
      <c r="N2698" s="187">
        <v>3264.41845703125</v>
      </c>
      <c r="O2698" t="s">
        <v>3157</v>
      </c>
    </row>
    <row r="2699" spans="1:15" hidden="1" x14ac:dyDescent="0.45">
      <c r="A2699" s="187">
        <v>2018</v>
      </c>
      <c r="B2699" t="s">
        <v>34</v>
      </c>
      <c r="C2699" t="s">
        <v>329</v>
      </c>
      <c r="D2699" t="s">
        <v>39</v>
      </c>
      <c r="E2699" t="s">
        <v>365</v>
      </c>
      <c r="F2699" t="s">
        <v>375</v>
      </c>
      <c r="G2699" t="s">
        <v>36</v>
      </c>
      <c r="H2699" t="s">
        <v>43</v>
      </c>
      <c r="I2699" s="187">
        <v>11091.494140625</v>
      </c>
      <c r="J2699" s="187">
        <v>1946.2867431640625</v>
      </c>
      <c r="K2699" s="187">
        <v>16550.021484375</v>
      </c>
      <c r="L2699" s="187">
        <v>12636.005859375</v>
      </c>
      <c r="M2699" s="187">
        <v>42223.80859375</v>
      </c>
      <c r="N2699" s="187">
        <v>23727.5</v>
      </c>
      <c r="O2699" t="s">
        <v>3158</v>
      </c>
    </row>
    <row r="2700" spans="1:15" hidden="1" x14ac:dyDescent="0.45">
      <c r="A2700" s="187">
        <v>2018</v>
      </c>
      <c r="B2700" t="s">
        <v>34</v>
      </c>
      <c r="C2700" t="s">
        <v>329</v>
      </c>
      <c r="D2700" t="s">
        <v>39</v>
      </c>
      <c r="E2700" t="s">
        <v>365</v>
      </c>
      <c r="F2700" t="s">
        <v>375</v>
      </c>
      <c r="G2700" t="s">
        <v>37</v>
      </c>
      <c r="H2700" t="s">
        <v>43</v>
      </c>
      <c r="I2700" s="187">
        <v>9995.6906000283088</v>
      </c>
      <c r="J2700" s="187">
        <v>1754</v>
      </c>
      <c r="K2700" s="187">
        <v>14914.934235609689</v>
      </c>
      <c r="L2700" s="187">
        <v>11387.61</v>
      </c>
      <c r="M2700" s="187">
        <v>38052.234375</v>
      </c>
      <c r="N2700" s="187">
        <v>21383.30078125</v>
      </c>
      <c r="O2700" t="s">
        <v>3159</v>
      </c>
    </row>
    <row r="2701" spans="1:15" hidden="1" x14ac:dyDescent="0.45">
      <c r="A2701" s="187">
        <v>2018</v>
      </c>
      <c r="B2701" t="s">
        <v>34</v>
      </c>
      <c r="C2701" t="s">
        <v>320</v>
      </c>
      <c r="D2701" t="s">
        <v>336</v>
      </c>
      <c r="E2701" t="s">
        <v>102</v>
      </c>
      <c r="F2701" t="s">
        <v>14</v>
      </c>
      <c r="G2701" t="s">
        <v>36</v>
      </c>
      <c r="H2701" t="s">
        <v>43</v>
      </c>
      <c r="I2701" s="187">
        <v>15607.521484375</v>
      </c>
      <c r="J2701" s="187">
        <v>6.9889240264892578</v>
      </c>
      <c r="K2701" s="187">
        <v>0</v>
      </c>
      <c r="L2701" s="187">
        <v>0</v>
      </c>
      <c r="M2701" s="187">
        <v>15614.5107421875</v>
      </c>
      <c r="N2701" s="187">
        <v>15607.521484375</v>
      </c>
      <c r="O2701" t="s">
        <v>3160</v>
      </c>
    </row>
    <row r="2702" spans="1:15" hidden="1" x14ac:dyDescent="0.45">
      <c r="A2702" s="187">
        <v>2018</v>
      </c>
      <c r="B2702" t="s">
        <v>34</v>
      </c>
      <c r="C2702" t="s">
        <v>320</v>
      </c>
      <c r="D2702" t="s">
        <v>336</v>
      </c>
      <c r="E2702" t="s">
        <v>102</v>
      </c>
      <c r="F2702" t="s">
        <v>14</v>
      </c>
      <c r="G2702" t="s">
        <v>37</v>
      </c>
      <c r="H2702" t="s">
        <v>43</v>
      </c>
      <c r="I2702" s="187">
        <v>13399.0771484375</v>
      </c>
      <c r="J2702" s="187">
        <v>6</v>
      </c>
      <c r="K2702" s="187">
        <v>0</v>
      </c>
      <c r="L2702" s="187">
        <v>0</v>
      </c>
      <c r="M2702" s="187">
        <v>13405.0771484375</v>
      </c>
      <c r="N2702" s="187">
        <v>13399.0771484375</v>
      </c>
      <c r="O2702" t="s">
        <v>3161</v>
      </c>
    </row>
    <row r="2703" spans="1:15" hidden="1" x14ac:dyDescent="0.45">
      <c r="A2703" s="187">
        <v>2018</v>
      </c>
      <c r="B2703" t="s">
        <v>34</v>
      </c>
      <c r="C2703" t="s">
        <v>320</v>
      </c>
      <c r="D2703" t="s">
        <v>336</v>
      </c>
      <c r="E2703" t="s">
        <v>102</v>
      </c>
      <c r="F2703" t="s">
        <v>374</v>
      </c>
      <c r="G2703" t="s">
        <v>36</v>
      </c>
      <c r="H2703" t="s">
        <v>43</v>
      </c>
      <c r="I2703" s="187">
        <v>0</v>
      </c>
      <c r="J2703" s="187">
        <v>0</v>
      </c>
      <c r="K2703" s="187">
        <v>0</v>
      </c>
      <c r="L2703" s="187">
        <v>0</v>
      </c>
      <c r="M2703" s="187">
        <v>0</v>
      </c>
      <c r="N2703" s="187">
        <v>0</v>
      </c>
      <c r="O2703" t="s">
        <v>3162</v>
      </c>
    </row>
    <row r="2704" spans="1:15" hidden="1" x14ac:dyDescent="0.45">
      <c r="A2704" s="187">
        <v>2018</v>
      </c>
      <c r="B2704" t="s">
        <v>34</v>
      </c>
      <c r="C2704" t="s">
        <v>320</v>
      </c>
      <c r="D2704" t="s">
        <v>336</v>
      </c>
      <c r="E2704" t="s">
        <v>102</v>
      </c>
      <c r="F2704" t="s">
        <v>374</v>
      </c>
      <c r="G2704" t="s">
        <v>37</v>
      </c>
      <c r="H2704" t="s">
        <v>43</v>
      </c>
      <c r="I2704" s="187">
        <v>0</v>
      </c>
      <c r="J2704" s="187">
        <v>0</v>
      </c>
      <c r="K2704" s="187">
        <v>0</v>
      </c>
      <c r="L2704" s="187">
        <v>0</v>
      </c>
      <c r="M2704" s="187">
        <v>0</v>
      </c>
      <c r="N2704" s="187">
        <v>0</v>
      </c>
      <c r="O2704" t="s">
        <v>3163</v>
      </c>
    </row>
    <row r="2705" spans="1:15" hidden="1" x14ac:dyDescent="0.45">
      <c r="A2705" s="187">
        <v>2018</v>
      </c>
      <c r="B2705" t="s">
        <v>34</v>
      </c>
      <c r="C2705" t="s">
        <v>320</v>
      </c>
      <c r="D2705" t="s">
        <v>336</v>
      </c>
      <c r="E2705" t="s">
        <v>102</v>
      </c>
      <c r="F2705" t="s">
        <v>375</v>
      </c>
      <c r="G2705" t="s">
        <v>36</v>
      </c>
      <c r="H2705" t="s">
        <v>43</v>
      </c>
      <c r="I2705" s="187">
        <v>5575.3095703125</v>
      </c>
      <c r="J2705" s="187">
        <v>319.57275390625</v>
      </c>
      <c r="K2705" s="187">
        <v>0</v>
      </c>
      <c r="L2705" s="187">
        <v>69.906539916992188</v>
      </c>
      <c r="M2705" s="187">
        <v>5964.7890625</v>
      </c>
      <c r="N2705" s="187">
        <v>5645.21630859375</v>
      </c>
      <c r="O2705" t="s">
        <v>3164</v>
      </c>
    </row>
    <row r="2706" spans="1:15" hidden="1" x14ac:dyDescent="0.45">
      <c r="A2706" s="187">
        <v>2018</v>
      </c>
      <c r="B2706" t="s">
        <v>34</v>
      </c>
      <c r="C2706" t="s">
        <v>320</v>
      </c>
      <c r="D2706" t="s">
        <v>336</v>
      </c>
      <c r="E2706" t="s">
        <v>102</v>
      </c>
      <c r="F2706" t="s">
        <v>375</v>
      </c>
      <c r="G2706" t="s">
        <v>37</v>
      </c>
      <c r="H2706" t="s">
        <v>43</v>
      </c>
      <c r="I2706" s="187">
        <v>5024.4873046875</v>
      </c>
      <c r="J2706" s="187">
        <v>288</v>
      </c>
      <c r="K2706" s="187">
        <v>0</v>
      </c>
      <c r="L2706" s="187">
        <v>63</v>
      </c>
      <c r="M2706" s="187">
        <v>5375.4873046875</v>
      </c>
      <c r="N2706" s="187">
        <v>5087.4873046875</v>
      </c>
      <c r="O2706" t="s">
        <v>3165</v>
      </c>
    </row>
    <row r="2707" spans="1:15" hidden="1" x14ac:dyDescent="0.45">
      <c r="A2707" s="187">
        <v>2018</v>
      </c>
      <c r="B2707" t="s">
        <v>34</v>
      </c>
      <c r="C2707" t="s">
        <v>320</v>
      </c>
      <c r="D2707" t="s">
        <v>336</v>
      </c>
      <c r="E2707" t="s">
        <v>102</v>
      </c>
      <c r="F2707" t="s">
        <v>376</v>
      </c>
      <c r="G2707" t="s">
        <v>36</v>
      </c>
      <c r="H2707" t="s">
        <v>43</v>
      </c>
      <c r="I2707" s="187">
        <v>0</v>
      </c>
      <c r="J2707" s="187">
        <v>0</v>
      </c>
      <c r="K2707" s="187">
        <v>0</v>
      </c>
      <c r="L2707" s="187">
        <v>0</v>
      </c>
      <c r="M2707" s="187">
        <v>0</v>
      </c>
      <c r="N2707" s="187">
        <v>0</v>
      </c>
      <c r="O2707" t="s">
        <v>3166</v>
      </c>
    </row>
    <row r="2708" spans="1:15" hidden="1" x14ac:dyDescent="0.45">
      <c r="A2708" s="187">
        <v>2018</v>
      </c>
      <c r="B2708" t="s">
        <v>34</v>
      </c>
      <c r="C2708" t="s">
        <v>320</v>
      </c>
      <c r="D2708" t="s">
        <v>336</v>
      </c>
      <c r="E2708" t="s">
        <v>102</v>
      </c>
      <c r="F2708" t="s">
        <v>376</v>
      </c>
      <c r="G2708" t="s">
        <v>37</v>
      </c>
      <c r="H2708" t="s">
        <v>43</v>
      </c>
      <c r="I2708" s="187">
        <v>0</v>
      </c>
      <c r="J2708" s="187">
        <v>0</v>
      </c>
      <c r="K2708" s="187">
        <v>0</v>
      </c>
      <c r="L2708" s="187">
        <v>0</v>
      </c>
      <c r="M2708" s="187">
        <v>0</v>
      </c>
      <c r="N2708" s="187">
        <v>0</v>
      </c>
      <c r="O2708" t="s">
        <v>3167</v>
      </c>
    </row>
    <row r="2709" spans="1:15" hidden="1" x14ac:dyDescent="0.45">
      <c r="A2709" s="187">
        <v>2018</v>
      </c>
      <c r="B2709" t="s">
        <v>34</v>
      </c>
      <c r="C2709" t="s">
        <v>320</v>
      </c>
      <c r="D2709" t="s">
        <v>336</v>
      </c>
      <c r="E2709" t="s">
        <v>102</v>
      </c>
      <c r="F2709" t="s">
        <v>347</v>
      </c>
      <c r="G2709" t="s">
        <v>36</v>
      </c>
      <c r="H2709" t="s">
        <v>43</v>
      </c>
      <c r="I2709" s="187">
        <v>0</v>
      </c>
      <c r="J2709" s="187">
        <v>0</v>
      </c>
      <c r="K2709" s="187">
        <v>0</v>
      </c>
      <c r="L2709" s="187">
        <v>3859.90380859375</v>
      </c>
      <c r="M2709" s="187">
        <v>3859.90380859375</v>
      </c>
      <c r="N2709" s="187">
        <v>3859.90380859375</v>
      </c>
      <c r="O2709" t="s">
        <v>3168</v>
      </c>
    </row>
    <row r="2710" spans="1:15" hidden="1" x14ac:dyDescent="0.45">
      <c r="A2710" s="187">
        <v>2018</v>
      </c>
      <c r="B2710" t="s">
        <v>34</v>
      </c>
      <c r="C2710" t="s">
        <v>320</v>
      </c>
      <c r="D2710" t="s">
        <v>336</v>
      </c>
      <c r="E2710" t="s">
        <v>102</v>
      </c>
      <c r="F2710" t="s">
        <v>347</v>
      </c>
      <c r="G2710" t="s">
        <v>37</v>
      </c>
      <c r="H2710" t="s">
        <v>43</v>
      </c>
      <c r="I2710" s="187">
        <v>0</v>
      </c>
      <c r="J2710" s="187">
        <v>0</v>
      </c>
      <c r="K2710" s="187">
        <v>0</v>
      </c>
      <c r="L2710" s="187">
        <v>3487</v>
      </c>
      <c r="M2710" s="187">
        <v>3487</v>
      </c>
      <c r="N2710" s="187">
        <v>3487</v>
      </c>
      <c r="O2710" t="s">
        <v>3169</v>
      </c>
    </row>
    <row r="2711" spans="1:15" hidden="1" x14ac:dyDescent="0.45">
      <c r="A2711" s="187">
        <v>2018</v>
      </c>
      <c r="B2711" t="s">
        <v>34</v>
      </c>
      <c r="C2711" t="s">
        <v>330</v>
      </c>
      <c r="D2711" t="s">
        <v>338</v>
      </c>
      <c r="E2711" t="s">
        <v>366</v>
      </c>
      <c r="F2711" t="s">
        <v>434</v>
      </c>
      <c r="G2711" t="s">
        <v>36</v>
      </c>
      <c r="H2711" t="s">
        <v>43</v>
      </c>
      <c r="I2711" s="187">
        <v>21516.70650535962</v>
      </c>
      <c r="J2711" s="187">
        <v>2532</v>
      </c>
      <c r="K2711" s="187">
        <v>48030.798038442546</v>
      </c>
      <c r="L2711" s="187">
        <v>47556.348703059273</v>
      </c>
      <c r="M2711" s="187">
        <v>119635.859375</v>
      </c>
      <c r="N2711" s="187">
        <v>69073.0546875</v>
      </c>
      <c r="O2711" t="s">
        <v>3170</v>
      </c>
    </row>
    <row r="2712" spans="1:15" hidden="1" x14ac:dyDescent="0.45">
      <c r="A2712" s="187">
        <v>2018</v>
      </c>
      <c r="B2712" t="s">
        <v>34</v>
      </c>
      <c r="C2712" t="s">
        <v>330</v>
      </c>
      <c r="D2712" t="s">
        <v>338</v>
      </c>
      <c r="E2712" t="s">
        <v>366</v>
      </c>
      <c r="F2712" t="s">
        <v>435</v>
      </c>
      <c r="G2712" t="s">
        <v>36</v>
      </c>
      <c r="H2712" t="s">
        <v>43</v>
      </c>
      <c r="I2712" s="187">
        <v>1489.8712911192549</v>
      </c>
      <c r="J2712" s="187">
        <v>213</v>
      </c>
      <c r="K2712" s="187">
        <v>3256.4640539323109</v>
      </c>
      <c r="L2712" s="187">
        <v>4130.8620431899017</v>
      </c>
      <c r="M2712" s="187">
        <v>9090.197265625</v>
      </c>
      <c r="N2712" s="187">
        <v>5620.7333984375</v>
      </c>
      <c r="O2712" t="s">
        <v>3171</v>
      </c>
    </row>
    <row r="2713" spans="1:15" hidden="1" x14ac:dyDescent="0.45">
      <c r="A2713" s="187">
        <v>2018</v>
      </c>
      <c r="B2713" t="s">
        <v>34</v>
      </c>
      <c r="C2713" t="s">
        <v>330</v>
      </c>
      <c r="D2713" t="s">
        <v>338</v>
      </c>
      <c r="E2713" t="s">
        <v>366</v>
      </c>
      <c r="F2713" t="s">
        <v>436</v>
      </c>
      <c r="G2713" t="s">
        <v>36</v>
      </c>
      <c r="H2713" t="s">
        <v>43</v>
      </c>
      <c r="I2713" s="187">
        <v>1451.672749980251</v>
      </c>
      <c r="J2713" s="187">
        <v>7100</v>
      </c>
      <c r="K2713" s="187">
        <v>4705.7728895307828</v>
      </c>
      <c r="L2713" s="187">
        <v>9754.4123563395551</v>
      </c>
      <c r="M2713" s="187">
        <v>23011.857421875</v>
      </c>
      <c r="N2713" s="187">
        <v>11206.0849609375</v>
      </c>
      <c r="O2713" t="s">
        <v>3172</v>
      </c>
    </row>
    <row r="2714" spans="1:15" hidden="1" x14ac:dyDescent="0.45">
      <c r="A2714" s="187">
        <v>2018</v>
      </c>
      <c r="B2714" t="s">
        <v>34</v>
      </c>
      <c r="C2714" t="s">
        <v>330</v>
      </c>
      <c r="D2714" t="s">
        <v>338</v>
      </c>
      <c r="E2714" t="s">
        <v>366</v>
      </c>
      <c r="F2714" t="s">
        <v>437</v>
      </c>
      <c r="G2714" t="s">
        <v>36</v>
      </c>
      <c r="H2714" t="s">
        <v>43</v>
      </c>
      <c r="I2714" s="187">
        <v>87174.666715475207</v>
      </c>
      <c r="J2714" s="187">
        <v>5821</v>
      </c>
      <c r="K2714" s="187">
        <v>172791.09828454861</v>
      </c>
      <c r="L2714" s="187">
        <v>255529.06979484329</v>
      </c>
      <c r="M2714" s="187">
        <v>521315.8125</v>
      </c>
      <c r="N2714" s="187">
        <v>342703.71875</v>
      </c>
      <c r="O2714" t="s">
        <v>3173</v>
      </c>
    </row>
    <row r="2715" spans="1:15" hidden="1" x14ac:dyDescent="0.45">
      <c r="A2715" s="187">
        <v>2018</v>
      </c>
      <c r="B2715" t="s">
        <v>34</v>
      </c>
      <c r="C2715" t="s">
        <v>330</v>
      </c>
      <c r="D2715" t="s">
        <v>338</v>
      </c>
      <c r="E2715" t="s">
        <v>366</v>
      </c>
      <c r="F2715" t="s">
        <v>44</v>
      </c>
      <c r="G2715" t="s">
        <v>36</v>
      </c>
      <c r="H2715" t="s">
        <v>43</v>
      </c>
      <c r="I2715" s="187">
        <v>3934.7097906483991</v>
      </c>
      <c r="J2715" s="187">
        <v>252</v>
      </c>
      <c r="K2715" s="187">
        <v>18168.35790872639</v>
      </c>
      <c r="L2715" s="187">
        <v>9075.4480144851623</v>
      </c>
      <c r="M2715" s="187">
        <v>31430.515625</v>
      </c>
      <c r="N2715" s="187">
        <v>13010.158203125</v>
      </c>
      <c r="O2715" t="s">
        <v>3174</v>
      </c>
    </row>
    <row r="2716" spans="1:15" hidden="1" x14ac:dyDescent="0.45">
      <c r="A2716" s="187">
        <v>2018</v>
      </c>
      <c r="B2716" t="s">
        <v>34</v>
      </c>
      <c r="C2716" t="s">
        <v>330</v>
      </c>
      <c r="D2716" t="s">
        <v>338</v>
      </c>
      <c r="E2716" t="s">
        <v>366</v>
      </c>
      <c r="F2716" t="s">
        <v>438</v>
      </c>
      <c r="G2716" t="s">
        <v>36</v>
      </c>
      <c r="H2716" t="s">
        <v>43</v>
      </c>
      <c r="I2716" s="187">
        <v>26432.23083258298</v>
      </c>
      <c r="J2716" s="187">
        <v>6912</v>
      </c>
      <c r="K2716" s="187">
        <v>102752.1326509889</v>
      </c>
      <c r="L2716" s="187">
        <v>70582.304229999994</v>
      </c>
      <c r="M2716" s="187">
        <v>206678.65625</v>
      </c>
      <c r="N2716" s="187">
        <v>97014.53125</v>
      </c>
      <c r="O2716" t="s">
        <v>3175</v>
      </c>
    </row>
    <row r="2717" spans="1:15" hidden="1" x14ac:dyDescent="0.45">
      <c r="A2717" s="187">
        <v>2018</v>
      </c>
      <c r="B2717" t="s">
        <v>34</v>
      </c>
      <c r="C2717" t="s">
        <v>330</v>
      </c>
      <c r="D2717" t="s">
        <v>338</v>
      </c>
      <c r="E2717" t="s">
        <v>366</v>
      </c>
      <c r="F2717" t="s">
        <v>439</v>
      </c>
      <c r="G2717" t="s">
        <v>36</v>
      </c>
      <c r="H2717" t="s">
        <v>43</v>
      </c>
      <c r="I2717" s="187">
        <v>3462.279639508648</v>
      </c>
      <c r="J2717" s="187">
        <v>440</v>
      </c>
      <c r="K2717" s="187">
        <v>602.06554126745073</v>
      </c>
      <c r="L2717" s="187">
        <v>878.79038003412074</v>
      </c>
      <c r="M2717" s="187">
        <v>5383.1357421875</v>
      </c>
      <c r="N2717" s="187">
        <v>4341.06982421875</v>
      </c>
      <c r="O2717" t="s">
        <v>3176</v>
      </c>
    </row>
    <row r="2718" spans="1:15" hidden="1" x14ac:dyDescent="0.45">
      <c r="A2718" s="187">
        <v>2018</v>
      </c>
      <c r="B2718" t="s">
        <v>34</v>
      </c>
      <c r="C2718" t="s">
        <v>330</v>
      </c>
      <c r="D2718" t="s">
        <v>338</v>
      </c>
      <c r="E2718" t="s">
        <v>366</v>
      </c>
      <c r="F2718" t="s">
        <v>440</v>
      </c>
      <c r="G2718" t="s">
        <v>36</v>
      </c>
      <c r="H2718" t="s">
        <v>43</v>
      </c>
      <c r="I2718" s="187">
        <v>5633.6139757761493</v>
      </c>
      <c r="J2718" s="187">
        <v>152</v>
      </c>
      <c r="K2718" s="187">
        <v>6307.9789769786212</v>
      </c>
      <c r="L2718" s="187">
        <v>4853.8534959737444</v>
      </c>
      <c r="M2718" s="187">
        <v>16947.4453125</v>
      </c>
      <c r="N2718" s="187">
        <v>10487.466796875</v>
      </c>
      <c r="O2718" t="s">
        <v>3177</v>
      </c>
    </row>
    <row r="2719" spans="1:15" hidden="1" x14ac:dyDescent="0.45">
      <c r="A2719" s="187">
        <v>2018</v>
      </c>
      <c r="B2719" t="s">
        <v>34</v>
      </c>
      <c r="C2719" t="s">
        <v>330</v>
      </c>
      <c r="D2719" t="s">
        <v>338</v>
      </c>
      <c r="E2719" t="s">
        <v>366</v>
      </c>
      <c r="F2719" t="s">
        <v>441</v>
      </c>
      <c r="G2719" t="s">
        <v>36</v>
      </c>
      <c r="H2719" t="s">
        <v>43</v>
      </c>
      <c r="I2719" s="187">
        <v>153499.34370277691</v>
      </c>
      <c r="J2719" s="187">
        <v>23623</v>
      </c>
      <c r="K2719" s="187">
        <v>369555.57983987278</v>
      </c>
      <c r="L2719" s="187">
        <v>406008.25708114001</v>
      </c>
      <c r="M2719" s="187">
        <v>952686.1875</v>
      </c>
      <c r="N2719" s="187">
        <v>559507.625</v>
      </c>
      <c r="O2719" t="s">
        <v>3178</v>
      </c>
    </row>
    <row r="2720" spans="1:15" hidden="1" x14ac:dyDescent="0.45">
      <c r="A2720" s="187">
        <v>2018</v>
      </c>
      <c r="B2720" t="s">
        <v>34</v>
      </c>
      <c r="C2720" t="s">
        <v>331</v>
      </c>
      <c r="D2720" t="s">
        <v>339</v>
      </c>
      <c r="E2720" t="s">
        <v>7</v>
      </c>
      <c r="F2720" t="s">
        <v>442</v>
      </c>
      <c r="G2720" t="s">
        <v>453</v>
      </c>
      <c r="H2720" t="s">
        <v>456</v>
      </c>
      <c r="I2720" s="187">
        <v>5.1091795632817467</v>
      </c>
      <c r="J2720" s="187">
        <v>27.910447761194028</v>
      </c>
      <c r="K2720" s="187">
        <v>14.556897569986219</v>
      </c>
      <c r="L2720" s="187">
        <v>8.8586061358609882</v>
      </c>
      <c r="M2720" s="187">
        <v>56.435127258300781</v>
      </c>
      <c r="N2720" s="187">
        <v>13.967785835266113</v>
      </c>
      <c r="O2720" t="s">
        <v>3179</v>
      </c>
    </row>
    <row r="2721" spans="1:15" hidden="1" x14ac:dyDescent="0.45">
      <c r="A2721" s="187">
        <v>2018</v>
      </c>
      <c r="B2721" t="s">
        <v>34</v>
      </c>
      <c r="C2721" t="s">
        <v>332</v>
      </c>
      <c r="D2721" t="s">
        <v>339</v>
      </c>
      <c r="E2721" t="s">
        <v>110</v>
      </c>
      <c r="F2721" t="s">
        <v>443</v>
      </c>
      <c r="G2721" t="s">
        <v>453</v>
      </c>
      <c r="H2721" t="s">
        <v>456</v>
      </c>
      <c r="I2721" s="187">
        <v>85</v>
      </c>
      <c r="J2721" s="187">
        <v>80</v>
      </c>
      <c r="K2721" s="187">
        <v>199</v>
      </c>
      <c r="L2721" s="187">
        <v>357</v>
      </c>
      <c r="M2721" s="187">
        <v>721</v>
      </c>
      <c r="N2721" s="187">
        <v>442</v>
      </c>
      <c r="O2721" t="s">
        <v>3180</v>
      </c>
    </row>
    <row r="2722" spans="1:15" hidden="1" x14ac:dyDescent="0.45">
      <c r="A2722" s="187">
        <v>2018</v>
      </c>
      <c r="B2722" t="s">
        <v>34</v>
      </c>
      <c r="C2722" t="s">
        <v>332</v>
      </c>
      <c r="D2722" t="s">
        <v>339</v>
      </c>
      <c r="E2722" t="s">
        <v>110</v>
      </c>
      <c r="F2722" t="s">
        <v>444</v>
      </c>
      <c r="G2722" t="s">
        <v>453</v>
      </c>
      <c r="H2722" t="s">
        <v>456</v>
      </c>
      <c r="I2722" s="187">
        <v>38</v>
      </c>
      <c r="J2722" s="187">
        <v>93</v>
      </c>
      <c r="K2722" s="187">
        <v>469</v>
      </c>
      <c r="L2722" s="187">
        <v>38</v>
      </c>
      <c r="M2722" s="187">
        <v>638</v>
      </c>
      <c r="N2722" s="187">
        <v>76</v>
      </c>
      <c r="O2722" t="s">
        <v>3181</v>
      </c>
    </row>
    <row r="2723" spans="1:15" hidden="1" x14ac:dyDescent="0.45">
      <c r="A2723" s="187">
        <v>2018</v>
      </c>
      <c r="B2723" t="s">
        <v>34</v>
      </c>
      <c r="C2723" t="s">
        <v>333</v>
      </c>
      <c r="D2723" t="s">
        <v>339</v>
      </c>
      <c r="E2723" t="s">
        <v>111</v>
      </c>
      <c r="F2723" t="s">
        <v>188</v>
      </c>
      <c r="G2723" t="s">
        <v>453</v>
      </c>
      <c r="H2723" t="s">
        <v>460</v>
      </c>
      <c r="I2723" s="187">
        <v>143.2081911262799</v>
      </c>
      <c r="J2723" s="187">
        <v>310.93575584433688</v>
      </c>
      <c r="K2723" s="187">
        <v>162.81793292264621</v>
      </c>
      <c r="L2723" s="187">
        <v>139.87270468038099</v>
      </c>
      <c r="M2723" s="187">
        <v>189.20864868164063</v>
      </c>
      <c r="N2723" s="187">
        <v>283.08090209960938</v>
      </c>
      <c r="O2723" t="s">
        <v>3182</v>
      </c>
    </row>
    <row r="2724" spans="1:15" hidden="1" x14ac:dyDescent="0.45">
      <c r="A2724" s="187">
        <v>2018</v>
      </c>
      <c r="B2724" t="s">
        <v>34</v>
      </c>
      <c r="C2724" t="s">
        <v>333</v>
      </c>
      <c r="D2724" t="s">
        <v>339</v>
      </c>
      <c r="E2724" t="s">
        <v>111</v>
      </c>
      <c r="F2724" t="s">
        <v>445</v>
      </c>
      <c r="G2724" t="s">
        <v>453</v>
      </c>
      <c r="H2724" t="s">
        <v>460</v>
      </c>
      <c r="I2724" s="187">
        <v>74.232258064516131</v>
      </c>
      <c r="J2724" s="187">
        <v>79.931775874906918</v>
      </c>
      <c r="K2724" s="187">
        <v>73.594501718213053</v>
      </c>
      <c r="L2724" s="187">
        <v>172.31456392887381</v>
      </c>
      <c r="M2724" s="187">
        <v>100.01827239990234</v>
      </c>
      <c r="N2724" s="187">
        <v>246.54682922363281</v>
      </c>
      <c r="O2724" t="s">
        <v>3183</v>
      </c>
    </row>
    <row r="2725" spans="1:15" hidden="1" x14ac:dyDescent="0.45">
      <c r="A2725" s="187">
        <v>2018</v>
      </c>
      <c r="B2725" t="s">
        <v>34</v>
      </c>
      <c r="C2725" t="s">
        <v>333</v>
      </c>
      <c r="D2725" t="s">
        <v>339</v>
      </c>
      <c r="E2725" t="s">
        <v>0</v>
      </c>
      <c r="F2725" t="s">
        <v>188</v>
      </c>
      <c r="G2725" t="s">
        <v>453</v>
      </c>
      <c r="H2725" t="s">
        <v>460</v>
      </c>
      <c r="I2725" s="187">
        <v>664.35504045345874</v>
      </c>
      <c r="J2725" s="187">
        <v>4462.3945000000003</v>
      </c>
      <c r="K2725" s="187">
        <v>2210.8452491041539</v>
      </c>
      <c r="L2725" s="187">
        <v>1013.098</v>
      </c>
      <c r="M2725" s="187">
        <v>2087.673095703125</v>
      </c>
      <c r="N2725" s="187">
        <v>1677.4530029296875</v>
      </c>
      <c r="O2725" t="s">
        <v>3184</v>
      </c>
    </row>
    <row r="2726" spans="1:15" hidden="1" x14ac:dyDescent="0.45">
      <c r="A2726" s="187">
        <v>2018</v>
      </c>
      <c r="B2726" t="s">
        <v>34</v>
      </c>
      <c r="C2726" t="s">
        <v>333</v>
      </c>
      <c r="D2726" t="s">
        <v>339</v>
      </c>
      <c r="E2726" t="s">
        <v>0</v>
      </c>
      <c r="F2726" t="s">
        <v>445</v>
      </c>
      <c r="G2726" t="s">
        <v>453</v>
      </c>
      <c r="H2726" t="s">
        <v>460</v>
      </c>
      <c r="I2726" s="187">
        <v>182.17514526829109</v>
      </c>
      <c r="J2726" s="187">
        <v>85.878699999999995</v>
      </c>
      <c r="K2726" s="187">
        <v>199.04178148714399</v>
      </c>
      <c r="L2726" s="187">
        <v>407.00700000000001</v>
      </c>
      <c r="M2726" s="187">
        <v>218.52565002441406</v>
      </c>
      <c r="N2726" s="187">
        <v>589.18212890625</v>
      </c>
      <c r="O2726" t="s">
        <v>3185</v>
      </c>
    </row>
    <row r="2727" spans="1:15" hidden="1" x14ac:dyDescent="0.45">
      <c r="A2727" s="187">
        <v>2018</v>
      </c>
      <c r="B2727" t="s">
        <v>34</v>
      </c>
      <c r="C2727" t="s">
        <v>333</v>
      </c>
      <c r="D2727" t="s">
        <v>339</v>
      </c>
      <c r="E2727" t="s">
        <v>42</v>
      </c>
      <c r="F2727" t="s">
        <v>188</v>
      </c>
      <c r="G2727" t="s">
        <v>453</v>
      </c>
      <c r="H2727" t="s">
        <v>460</v>
      </c>
      <c r="I2727" s="187">
        <v>4.63908548267072</v>
      </c>
      <c r="J2727" s="187">
        <v>14.3515</v>
      </c>
      <c r="K2727" s="187">
        <v>13.57863479420608</v>
      </c>
      <c r="L2727" s="187">
        <v>7.2430000000000003</v>
      </c>
      <c r="M2727" s="187">
        <v>9.9530553817749023</v>
      </c>
      <c r="N2727" s="187">
        <v>11.882084846496582</v>
      </c>
      <c r="O2727" t="s">
        <v>3186</v>
      </c>
    </row>
    <row r="2728" spans="1:15" hidden="1" x14ac:dyDescent="0.45">
      <c r="A2728" s="187">
        <v>2018</v>
      </c>
      <c r="B2728" t="s">
        <v>34</v>
      </c>
      <c r="C2728" t="s">
        <v>333</v>
      </c>
      <c r="D2728" t="s">
        <v>339</v>
      </c>
      <c r="E2728" t="s">
        <v>42</v>
      </c>
      <c r="F2728" t="s">
        <v>445</v>
      </c>
      <c r="G2728" t="s">
        <v>453</v>
      </c>
      <c r="H2728" t="s">
        <v>460</v>
      </c>
      <c r="I2728" s="187">
        <v>2.4541237195015748</v>
      </c>
      <c r="J2728" s="187">
        <v>1.0744</v>
      </c>
      <c r="K2728" s="187">
        <v>2.7045740760533672</v>
      </c>
      <c r="L2728" s="187">
        <v>2.3620000000000001</v>
      </c>
      <c r="M2728" s="187">
        <v>2.1487743854522705</v>
      </c>
      <c r="N2728" s="187">
        <v>4.8161239624023438</v>
      </c>
      <c r="O2728" t="s">
        <v>3187</v>
      </c>
    </row>
    <row r="2729" spans="1:15" hidden="1" x14ac:dyDescent="0.45">
      <c r="A2729" s="187">
        <v>2018</v>
      </c>
      <c r="B2729" t="s">
        <v>34</v>
      </c>
      <c r="C2729" t="s">
        <v>319</v>
      </c>
      <c r="D2729" t="s">
        <v>335</v>
      </c>
      <c r="E2729" t="s">
        <v>10</v>
      </c>
      <c r="F2729" t="s">
        <v>372</v>
      </c>
      <c r="G2729" t="s">
        <v>453</v>
      </c>
      <c r="H2729" t="s">
        <v>454</v>
      </c>
      <c r="I2729" s="187">
        <v>4.2271853870658897E-2</v>
      </c>
      <c r="J2729" s="187">
        <v>6.6036782252616902E-2</v>
      </c>
      <c r="K2729" s="187">
        <v>5.9998980188331601E-2</v>
      </c>
      <c r="L2729" s="187">
        <v>6.1897788035697898E-2</v>
      </c>
      <c r="M2729" s="187">
        <v>5.7551350444555283E-2</v>
      </c>
      <c r="N2729" s="187">
        <v>0.10416963696479797</v>
      </c>
      <c r="O2729" t="s">
        <v>3188</v>
      </c>
    </row>
    <row r="2730" spans="1:15" hidden="1" x14ac:dyDescent="0.45">
      <c r="A2730" s="187">
        <v>2018</v>
      </c>
      <c r="B2730" t="s">
        <v>34</v>
      </c>
      <c r="C2730" t="s">
        <v>319</v>
      </c>
      <c r="D2730" t="s">
        <v>335</v>
      </c>
      <c r="E2730" t="s">
        <v>10</v>
      </c>
      <c r="F2730" t="s">
        <v>373</v>
      </c>
      <c r="G2730" t="s">
        <v>453</v>
      </c>
      <c r="H2730" t="s">
        <v>454</v>
      </c>
      <c r="I2730" s="187">
        <v>4.7528573870658897E-2</v>
      </c>
      <c r="J2730" s="187">
        <v>7.1568462252616899E-2</v>
      </c>
      <c r="K2730" s="187">
        <v>6.5506020188331598E-2</v>
      </c>
      <c r="L2730" s="187">
        <v>6.7429468035698006E-2</v>
      </c>
      <c r="M2730" s="187">
        <v>6.3008129596710205E-2</v>
      </c>
      <c r="N2730" s="187">
        <v>0.11495804041624069</v>
      </c>
      <c r="O2730" t="s">
        <v>3189</v>
      </c>
    </row>
    <row r="2731" spans="1:15" hidden="1" x14ac:dyDescent="0.45">
      <c r="A2731" s="187">
        <v>2018</v>
      </c>
      <c r="B2731" t="s">
        <v>34</v>
      </c>
      <c r="C2731" t="s">
        <v>321</v>
      </c>
      <c r="D2731" t="s">
        <v>335</v>
      </c>
      <c r="E2731" t="s">
        <v>341</v>
      </c>
      <c r="F2731" t="s">
        <v>375</v>
      </c>
      <c r="G2731" t="s">
        <v>36</v>
      </c>
      <c r="H2731" t="s">
        <v>43</v>
      </c>
      <c r="I2731" s="187">
        <v>11064.640625</v>
      </c>
      <c r="J2731" s="187">
        <v>1941.57470703125</v>
      </c>
      <c r="K2731" s="187">
        <v>16509.955078125</v>
      </c>
      <c r="L2731" s="187">
        <v>12605.4140625</v>
      </c>
      <c r="M2731" s="187">
        <v>42121.5859375</v>
      </c>
      <c r="N2731" s="187">
        <v>23670.0546875</v>
      </c>
      <c r="O2731" t="s">
        <v>3190</v>
      </c>
    </row>
    <row r="2732" spans="1:15" hidden="1" x14ac:dyDescent="0.45">
      <c r="A2732" s="187">
        <v>2018</v>
      </c>
      <c r="B2732" t="s">
        <v>34</v>
      </c>
      <c r="C2732" t="s">
        <v>321</v>
      </c>
      <c r="D2732" t="s">
        <v>335</v>
      </c>
      <c r="E2732" t="s">
        <v>341</v>
      </c>
      <c r="F2732" t="s">
        <v>375</v>
      </c>
      <c r="G2732" t="s">
        <v>37</v>
      </c>
      <c r="H2732" t="s">
        <v>43</v>
      </c>
      <c r="I2732" s="187">
        <v>9995.6904296875</v>
      </c>
      <c r="J2732" s="187">
        <v>1754</v>
      </c>
      <c r="K2732" s="187">
        <v>14914.9345703125</v>
      </c>
      <c r="L2732" s="187">
        <v>11387.6103515625</v>
      </c>
      <c r="M2732" s="187">
        <v>38052.234375</v>
      </c>
      <c r="N2732" s="187">
        <v>21383.30078125</v>
      </c>
      <c r="O2732" t="s">
        <v>3191</v>
      </c>
    </row>
    <row r="2733" spans="1:15" hidden="1" x14ac:dyDescent="0.45">
      <c r="A2733" s="187">
        <v>2018</v>
      </c>
      <c r="B2733" t="s">
        <v>34</v>
      </c>
      <c r="C2733" t="s">
        <v>321</v>
      </c>
      <c r="D2733" t="s">
        <v>335</v>
      </c>
      <c r="E2733" t="s">
        <v>341</v>
      </c>
      <c r="F2733" t="s">
        <v>377</v>
      </c>
      <c r="G2733" t="s">
        <v>36</v>
      </c>
      <c r="H2733" t="s">
        <v>43</v>
      </c>
      <c r="I2733" s="187">
        <v>535.9744873046875</v>
      </c>
      <c r="J2733" s="187">
        <v>71.951171875</v>
      </c>
      <c r="K2733" s="187">
        <v>1840.8692626953125</v>
      </c>
      <c r="L2733" s="187">
        <v>2458.516357421875</v>
      </c>
      <c r="M2733" s="187">
        <v>4907.3115234375</v>
      </c>
      <c r="N2733" s="187">
        <v>2994.49072265625</v>
      </c>
      <c r="O2733" t="s">
        <v>3192</v>
      </c>
    </row>
    <row r="2734" spans="1:15" hidden="1" x14ac:dyDescent="0.45">
      <c r="A2734" s="187">
        <v>2018</v>
      </c>
      <c r="B2734" t="s">
        <v>34</v>
      </c>
      <c r="C2734" t="s">
        <v>321</v>
      </c>
      <c r="D2734" t="s">
        <v>335</v>
      </c>
      <c r="E2734" t="s">
        <v>341</v>
      </c>
      <c r="F2734" t="s">
        <v>377</v>
      </c>
      <c r="G2734" t="s">
        <v>37</v>
      </c>
      <c r="H2734" t="s">
        <v>43</v>
      </c>
      <c r="I2734" s="187">
        <v>484.19418334960938</v>
      </c>
      <c r="J2734" s="187">
        <v>65</v>
      </c>
      <c r="K2734" s="187">
        <v>1663.023681640625</v>
      </c>
      <c r="L2734" s="187">
        <v>2221</v>
      </c>
      <c r="M2734" s="187">
        <v>4433.2177734375</v>
      </c>
      <c r="N2734" s="187">
        <v>2705.194091796875</v>
      </c>
      <c r="O2734" t="s">
        <v>3193</v>
      </c>
    </row>
    <row r="2735" spans="1:15" hidden="1" x14ac:dyDescent="0.45">
      <c r="A2735" s="187">
        <v>2018</v>
      </c>
      <c r="B2735" t="s">
        <v>34</v>
      </c>
      <c r="C2735" t="s">
        <v>321</v>
      </c>
      <c r="D2735" t="s">
        <v>335</v>
      </c>
      <c r="E2735" t="s">
        <v>342</v>
      </c>
      <c r="F2735" t="s">
        <v>342</v>
      </c>
      <c r="G2735" t="s">
        <v>36</v>
      </c>
      <c r="H2735" t="s">
        <v>43</v>
      </c>
      <c r="I2735" s="187">
        <v>14433.8720703125</v>
      </c>
      <c r="J2735" s="187">
        <v>2927.859375</v>
      </c>
      <c r="K2735" s="187">
        <v>37834.33203125</v>
      </c>
      <c r="L2735" s="187">
        <v>39375.43359375</v>
      </c>
      <c r="M2735" s="187">
        <v>94571.5</v>
      </c>
      <c r="N2735" s="187">
        <v>53809.3046875</v>
      </c>
      <c r="O2735" t="s">
        <v>3194</v>
      </c>
    </row>
    <row r="2736" spans="1:15" hidden="1" x14ac:dyDescent="0.45">
      <c r="A2736" s="187">
        <v>2018</v>
      </c>
      <c r="B2736" t="s">
        <v>34</v>
      </c>
      <c r="C2736" t="s">
        <v>321</v>
      </c>
      <c r="D2736" t="s">
        <v>335</v>
      </c>
      <c r="E2736" t="s">
        <v>342</v>
      </c>
      <c r="F2736" t="s">
        <v>342</v>
      </c>
      <c r="G2736" t="s">
        <v>37</v>
      </c>
      <c r="H2736" t="s">
        <v>43</v>
      </c>
      <c r="I2736" s="187">
        <v>13039.421875</v>
      </c>
      <c r="J2736" s="187">
        <v>2645</v>
      </c>
      <c r="K2736" s="187">
        <v>34179.171875</v>
      </c>
      <c r="L2736" s="187">
        <v>35571.390625</v>
      </c>
      <c r="M2736" s="187">
        <v>85434.984375</v>
      </c>
      <c r="N2736" s="187">
        <v>48610.8125</v>
      </c>
      <c r="O2736" t="s">
        <v>3195</v>
      </c>
    </row>
    <row r="2737" spans="1:15" hidden="1" x14ac:dyDescent="0.45">
      <c r="A2737" s="187">
        <v>2018</v>
      </c>
      <c r="B2737" t="s">
        <v>34</v>
      </c>
      <c r="C2737" t="s">
        <v>321</v>
      </c>
      <c r="D2737" t="s">
        <v>335</v>
      </c>
      <c r="E2737" t="s">
        <v>343</v>
      </c>
      <c r="F2737" t="s">
        <v>343</v>
      </c>
      <c r="G2737" t="s">
        <v>36</v>
      </c>
      <c r="H2737" t="s">
        <v>43</v>
      </c>
      <c r="I2737" s="187">
        <v>7548.33154296875</v>
      </c>
      <c r="J2737" s="187">
        <v>1740.2928466796875</v>
      </c>
      <c r="K2737" s="187">
        <v>24166.841796875</v>
      </c>
      <c r="L2737" s="187">
        <v>27096.87890625</v>
      </c>
      <c r="M2737" s="187">
        <v>60552.34375</v>
      </c>
      <c r="N2737" s="187">
        <v>34645.2109375</v>
      </c>
      <c r="O2737" t="s">
        <v>3196</v>
      </c>
    </row>
    <row r="2738" spans="1:15" hidden="1" x14ac:dyDescent="0.45">
      <c r="A2738" s="187">
        <v>2018</v>
      </c>
      <c r="B2738" t="s">
        <v>34</v>
      </c>
      <c r="C2738" t="s">
        <v>321</v>
      </c>
      <c r="D2738" t="s">
        <v>335</v>
      </c>
      <c r="E2738" t="s">
        <v>343</v>
      </c>
      <c r="F2738" t="s">
        <v>343</v>
      </c>
      <c r="G2738" t="s">
        <v>37</v>
      </c>
      <c r="H2738" t="s">
        <v>43</v>
      </c>
      <c r="I2738" s="187">
        <v>6819.09033203125</v>
      </c>
      <c r="J2738" s="187">
        <v>1572.163818359375</v>
      </c>
      <c r="K2738" s="187">
        <v>21832.09375</v>
      </c>
      <c r="L2738" s="187">
        <v>24479.060546875</v>
      </c>
      <c r="M2738" s="187">
        <v>54702.40625</v>
      </c>
      <c r="N2738" s="187">
        <v>31298.150390625</v>
      </c>
      <c r="O2738" t="s">
        <v>3197</v>
      </c>
    </row>
    <row r="2739" spans="1:15" hidden="1" x14ac:dyDescent="0.45">
      <c r="A2739" s="187">
        <v>2018</v>
      </c>
      <c r="B2739" t="s">
        <v>34</v>
      </c>
      <c r="C2739" t="s">
        <v>321</v>
      </c>
      <c r="D2739" t="s">
        <v>335</v>
      </c>
      <c r="E2739" t="s">
        <v>344</v>
      </c>
      <c r="F2739" t="s">
        <v>344</v>
      </c>
      <c r="G2739" t="s">
        <v>36</v>
      </c>
      <c r="H2739" t="s">
        <v>43</v>
      </c>
      <c r="I2739" s="187">
        <v>10937.220703125</v>
      </c>
      <c r="J2739" s="187">
        <v>2376.53076171875</v>
      </c>
      <c r="K2739" s="187">
        <v>30272.740234375</v>
      </c>
      <c r="L2739" s="187">
        <v>33683.40625</v>
      </c>
      <c r="M2739" s="187">
        <v>77269.8984375</v>
      </c>
      <c r="N2739" s="187">
        <v>44620.625</v>
      </c>
      <c r="O2739" t="s">
        <v>3198</v>
      </c>
    </row>
    <row r="2740" spans="1:15" hidden="1" x14ac:dyDescent="0.45">
      <c r="A2740" s="187">
        <v>2018</v>
      </c>
      <c r="B2740" t="s">
        <v>34</v>
      </c>
      <c r="C2740" t="s">
        <v>321</v>
      </c>
      <c r="D2740" t="s">
        <v>335</v>
      </c>
      <c r="E2740" t="s">
        <v>344</v>
      </c>
      <c r="F2740" t="s">
        <v>344</v>
      </c>
      <c r="G2740" t="s">
        <v>37</v>
      </c>
      <c r="H2740" t="s">
        <v>43</v>
      </c>
      <c r="I2740" s="187">
        <v>9880.580078125</v>
      </c>
      <c r="J2740" s="187">
        <v>2146.93505859375</v>
      </c>
      <c r="K2740" s="187">
        <v>27348.103515625</v>
      </c>
      <c r="L2740" s="187">
        <v>30429.267578125</v>
      </c>
      <c r="M2740" s="187">
        <v>69804.8828125</v>
      </c>
      <c r="N2740" s="187">
        <v>40309.84765625</v>
      </c>
      <c r="O2740" t="s">
        <v>3199</v>
      </c>
    </row>
    <row r="2741" spans="1:15" hidden="1" x14ac:dyDescent="0.45">
      <c r="A2741" s="187">
        <v>2018</v>
      </c>
      <c r="B2741" t="s">
        <v>34</v>
      </c>
      <c r="C2741" t="s">
        <v>321</v>
      </c>
      <c r="D2741" t="s">
        <v>335</v>
      </c>
      <c r="E2741" t="s">
        <v>345</v>
      </c>
      <c r="F2741" t="s">
        <v>378</v>
      </c>
      <c r="G2741" t="s">
        <v>36</v>
      </c>
      <c r="H2741" t="s">
        <v>43</v>
      </c>
      <c r="I2741" s="187">
        <v>3388.888427734375</v>
      </c>
      <c r="J2741" s="187">
        <v>636.23785400390625</v>
      </c>
      <c r="K2741" s="187">
        <v>6105.8984375</v>
      </c>
      <c r="L2741" s="187">
        <v>6409.7783203125</v>
      </c>
      <c r="M2741" s="187">
        <v>16540.802734375</v>
      </c>
      <c r="N2741" s="187">
        <v>9798.6669921875</v>
      </c>
      <c r="O2741" t="s">
        <v>3200</v>
      </c>
    </row>
    <row r="2742" spans="1:15" hidden="1" x14ac:dyDescent="0.45">
      <c r="A2742" s="187">
        <v>2018</v>
      </c>
      <c r="B2742" t="s">
        <v>34</v>
      </c>
      <c r="C2742" t="s">
        <v>321</v>
      </c>
      <c r="D2742" t="s">
        <v>335</v>
      </c>
      <c r="E2742" t="s">
        <v>345</v>
      </c>
      <c r="F2742" t="s">
        <v>378</v>
      </c>
      <c r="G2742" t="s">
        <v>37</v>
      </c>
      <c r="H2742" t="s">
        <v>43</v>
      </c>
      <c r="I2742" s="187">
        <v>3061.4892578125</v>
      </c>
      <c r="J2742" s="187">
        <v>574.77117919921875</v>
      </c>
      <c r="K2742" s="187">
        <v>5516.01025390625</v>
      </c>
      <c r="L2742" s="187">
        <v>5790.5322265625</v>
      </c>
      <c r="M2742" s="187">
        <v>14942.802734375</v>
      </c>
      <c r="N2742" s="187">
        <v>8852.021484375</v>
      </c>
      <c r="O2742" t="s">
        <v>3201</v>
      </c>
    </row>
    <row r="2743" spans="1:15" hidden="1" x14ac:dyDescent="0.45">
      <c r="A2743" s="187">
        <v>2018</v>
      </c>
      <c r="B2743" t="s">
        <v>34</v>
      </c>
      <c r="C2743" t="s">
        <v>321</v>
      </c>
      <c r="D2743" t="s">
        <v>335</v>
      </c>
      <c r="E2743" t="s">
        <v>346</v>
      </c>
      <c r="F2743" t="s">
        <v>379</v>
      </c>
      <c r="G2743" t="s">
        <v>36</v>
      </c>
      <c r="H2743" t="s">
        <v>43</v>
      </c>
      <c r="I2743" s="187">
        <v>0</v>
      </c>
      <c r="J2743" s="187">
        <v>0</v>
      </c>
      <c r="K2743" s="187">
        <v>0</v>
      </c>
      <c r="L2743" s="187">
        <v>176.7513427734375</v>
      </c>
      <c r="M2743" s="187">
        <v>176.7513427734375</v>
      </c>
      <c r="N2743" s="187">
        <v>176.7513427734375</v>
      </c>
      <c r="O2743" t="s">
        <v>3202</v>
      </c>
    </row>
    <row r="2744" spans="1:15" hidden="1" x14ac:dyDescent="0.45">
      <c r="A2744" s="187">
        <v>2018</v>
      </c>
      <c r="B2744" t="s">
        <v>34</v>
      </c>
      <c r="C2744" t="s">
        <v>321</v>
      </c>
      <c r="D2744" t="s">
        <v>335</v>
      </c>
      <c r="E2744" t="s">
        <v>346</v>
      </c>
      <c r="F2744" t="s">
        <v>379</v>
      </c>
      <c r="G2744" t="s">
        <v>37</v>
      </c>
      <c r="H2744" t="s">
        <v>43</v>
      </c>
      <c r="I2744" s="187">
        <v>0</v>
      </c>
      <c r="J2744" s="187">
        <v>0</v>
      </c>
      <c r="K2744" s="187">
        <v>0</v>
      </c>
      <c r="L2744" s="187">
        <v>159.67546081542969</v>
      </c>
      <c r="M2744" s="187">
        <v>159.67546081542969</v>
      </c>
      <c r="N2744" s="187">
        <v>159.67546081542969</v>
      </c>
      <c r="O2744" t="s">
        <v>3203</v>
      </c>
    </row>
    <row r="2745" spans="1:15" hidden="1" x14ac:dyDescent="0.45">
      <c r="A2745" s="187">
        <v>2018</v>
      </c>
      <c r="B2745" t="s">
        <v>34</v>
      </c>
      <c r="C2745" t="s">
        <v>321</v>
      </c>
      <c r="D2745" t="s">
        <v>335</v>
      </c>
      <c r="E2745" t="s">
        <v>347</v>
      </c>
      <c r="F2745" t="s">
        <v>380</v>
      </c>
      <c r="G2745" t="s">
        <v>36</v>
      </c>
      <c r="H2745" t="s">
        <v>43</v>
      </c>
      <c r="I2745" s="187">
        <v>-2.1445279121398926</v>
      </c>
      <c r="J2745" s="187">
        <v>13.283293724060059</v>
      </c>
      <c r="K2745" s="187">
        <v>-177.61012268066406</v>
      </c>
      <c r="L2745" s="187">
        <v>-47.598468780517578</v>
      </c>
      <c r="M2745" s="187">
        <v>-214.06982421875</v>
      </c>
      <c r="N2745" s="187">
        <v>-49.742996215820313</v>
      </c>
      <c r="O2745" t="s">
        <v>3204</v>
      </c>
    </row>
    <row r="2746" spans="1:15" hidden="1" x14ac:dyDescent="0.45">
      <c r="A2746" s="187">
        <v>2018</v>
      </c>
      <c r="B2746" t="s">
        <v>34</v>
      </c>
      <c r="C2746" t="s">
        <v>321</v>
      </c>
      <c r="D2746" t="s">
        <v>335</v>
      </c>
      <c r="E2746" t="s">
        <v>347</v>
      </c>
      <c r="F2746" t="s">
        <v>380</v>
      </c>
      <c r="G2746" t="s">
        <v>37</v>
      </c>
      <c r="H2746" t="s">
        <v>43</v>
      </c>
      <c r="I2746" s="187">
        <v>-1.9373458623886108</v>
      </c>
      <c r="J2746" s="187">
        <v>12</v>
      </c>
      <c r="K2746" s="187">
        <v>-160.45127868652344</v>
      </c>
      <c r="L2746" s="187">
        <v>-43</v>
      </c>
      <c r="M2746" s="187">
        <v>-193.38862609863281</v>
      </c>
      <c r="N2746" s="187">
        <v>-44.937347412109375</v>
      </c>
      <c r="O2746" t="s">
        <v>3205</v>
      </c>
    </row>
    <row r="2747" spans="1:15" hidden="1" x14ac:dyDescent="0.45">
      <c r="A2747" s="187">
        <v>2018</v>
      </c>
      <c r="B2747" t="s">
        <v>34</v>
      </c>
      <c r="C2747" t="s">
        <v>321</v>
      </c>
      <c r="D2747" t="s">
        <v>335</v>
      </c>
      <c r="E2747" t="s">
        <v>347</v>
      </c>
      <c r="F2747" t="s">
        <v>11</v>
      </c>
      <c r="G2747" t="s">
        <v>36</v>
      </c>
      <c r="H2747" t="s">
        <v>43</v>
      </c>
      <c r="I2747" s="187">
        <v>26036.6328125</v>
      </c>
      <c r="J2747" s="187">
        <v>4900.42822265625</v>
      </c>
      <c r="K2747" s="187">
        <v>56021.5390625</v>
      </c>
      <c r="L2747" s="187">
        <v>54486.96484375</v>
      </c>
      <c r="M2747" s="187">
        <v>141445.5625</v>
      </c>
      <c r="N2747" s="187">
        <v>80523.59375</v>
      </c>
      <c r="O2747" t="s">
        <v>3206</v>
      </c>
    </row>
    <row r="2748" spans="1:15" hidden="1" x14ac:dyDescent="0.45">
      <c r="A2748" s="187">
        <v>2018</v>
      </c>
      <c r="B2748" t="s">
        <v>34</v>
      </c>
      <c r="C2748" t="s">
        <v>321</v>
      </c>
      <c r="D2748" t="s">
        <v>335</v>
      </c>
      <c r="E2748" t="s">
        <v>347</v>
      </c>
      <c r="F2748" t="s">
        <v>11</v>
      </c>
      <c r="G2748" t="s">
        <v>37</v>
      </c>
      <c r="H2748" t="s">
        <v>43</v>
      </c>
      <c r="I2748" s="187">
        <v>23521.244140625</v>
      </c>
      <c r="J2748" s="187">
        <v>4427</v>
      </c>
      <c r="K2748" s="187">
        <v>50609.3203125</v>
      </c>
      <c r="L2748" s="187">
        <v>49223</v>
      </c>
      <c r="M2748" s="187">
        <v>127780.5625</v>
      </c>
      <c r="N2748" s="187">
        <v>72744.2421875</v>
      </c>
      <c r="O2748" t="s">
        <v>3207</v>
      </c>
    </row>
    <row r="2749" spans="1:15" hidden="1" x14ac:dyDescent="0.45">
      <c r="A2749" s="187">
        <v>2018</v>
      </c>
      <c r="B2749" t="s">
        <v>34</v>
      </c>
      <c r="C2749" t="s">
        <v>321</v>
      </c>
      <c r="D2749" t="s">
        <v>335</v>
      </c>
      <c r="E2749" t="s">
        <v>347</v>
      </c>
      <c r="F2749" t="s">
        <v>381</v>
      </c>
      <c r="G2749" t="s">
        <v>36</v>
      </c>
      <c r="H2749" t="s">
        <v>43</v>
      </c>
      <c r="I2749" s="187">
        <v>0</v>
      </c>
      <c r="J2749" s="187">
        <v>27.673528671264648</v>
      </c>
      <c r="K2749" s="187">
        <v>341.22549438476563</v>
      </c>
      <c r="L2749" s="187">
        <v>0</v>
      </c>
      <c r="M2749" s="187">
        <v>368.89901733398438</v>
      </c>
      <c r="N2749" s="187">
        <v>0</v>
      </c>
      <c r="O2749" t="s">
        <v>3208</v>
      </c>
    </row>
    <row r="2750" spans="1:15" hidden="1" x14ac:dyDescent="0.45">
      <c r="A2750" s="187">
        <v>2018</v>
      </c>
      <c r="B2750" t="s">
        <v>34</v>
      </c>
      <c r="C2750" t="s">
        <v>321</v>
      </c>
      <c r="D2750" t="s">
        <v>335</v>
      </c>
      <c r="E2750" t="s">
        <v>347</v>
      </c>
      <c r="F2750" t="s">
        <v>381</v>
      </c>
      <c r="G2750" t="s">
        <v>37</v>
      </c>
      <c r="H2750" t="s">
        <v>43</v>
      </c>
      <c r="I2750" s="187">
        <v>0</v>
      </c>
      <c r="J2750" s="187">
        <v>25</v>
      </c>
      <c r="K2750" s="187">
        <v>308.25982666015625</v>
      </c>
      <c r="L2750" s="187">
        <v>0</v>
      </c>
      <c r="M2750" s="187">
        <v>333.25982666015625</v>
      </c>
      <c r="N2750" s="187">
        <v>0</v>
      </c>
      <c r="O2750" t="s">
        <v>3209</v>
      </c>
    </row>
    <row r="2751" spans="1:15" hidden="1" x14ac:dyDescent="0.45">
      <c r="A2751" s="187">
        <v>2018</v>
      </c>
      <c r="B2751" t="s">
        <v>34</v>
      </c>
      <c r="C2751" t="s">
        <v>321</v>
      </c>
      <c r="D2751" t="s">
        <v>335</v>
      </c>
      <c r="E2751" t="s">
        <v>347</v>
      </c>
      <c r="F2751" t="s">
        <v>347</v>
      </c>
      <c r="G2751" t="s">
        <v>36</v>
      </c>
      <c r="H2751" t="s">
        <v>43</v>
      </c>
      <c r="I2751" s="187">
        <v>26034.48828125</v>
      </c>
      <c r="J2751" s="187">
        <v>4941.38525390625</v>
      </c>
      <c r="K2751" s="187">
        <v>56185.15234375</v>
      </c>
      <c r="L2751" s="187">
        <v>54439.36328125</v>
      </c>
      <c r="M2751" s="187">
        <v>141600.390625</v>
      </c>
      <c r="N2751" s="187">
        <v>80473.8515625</v>
      </c>
      <c r="O2751" t="s">
        <v>3210</v>
      </c>
    </row>
    <row r="2752" spans="1:15" hidden="1" x14ac:dyDescent="0.45">
      <c r="A2752" s="187">
        <v>2018</v>
      </c>
      <c r="B2752" t="s">
        <v>34</v>
      </c>
      <c r="C2752" t="s">
        <v>321</v>
      </c>
      <c r="D2752" t="s">
        <v>335</v>
      </c>
      <c r="E2752" t="s">
        <v>347</v>
      </c>
      <c r="F2752" t="s">
        <v>347</v>
      </c>
      <c r="G2752" t="s">
        <v>37</v>
      </c>
      <c r="H2752" t="s">
        <v>43</v>
      </c>
      <c r="I2752" s="187">
        <v>23519.306640625</v>
      </c>
      <c r="J2752" s="187">
        <v>4464</v>
      </c>
      <c r="K2752" s="187">
        <v>50757.12890625</v>
      </c>
      <c r="L2752" s="187">
        <v>49180</v>
      </c>
      <c r="M2752" s="187">
        <v>127920.4375</v>
      </c>
      <c r="N2752" s="187">
        <v>72699.3046875</v>
      </c>
      <c r="O2752" t="s">
        <v>3211</v>
      </c>
    </row>
    <row r="2753" spans="1:15" hidden="1" x14ac:dyDescent="0.45">
      <c r="A2753" s="187">
        <v>2018</v>
      </c>
      <c r="B2753" t="s">
        <v>34</v>
      </c>
      <c r="C2753" t="s">
        <v>334</v>
      </c>
      <c r="D2753" t="s">
        <v>335</v>
      </c>
      <c r="E2753" t="s">
        <v>367</v>
      </c>
      <c r="F2753" t="s">
        <v>367</v>
      </c>
      <c r="G2753" t="s">
        <v>36</v>
      </c>
      <c r="H2753" t="s">
        <v>43</v>
      </c>
      <c r="I2753" s="187">
        <v>212.66081237792969</v>
      </c>
      <c r="J2753" s="187">
        <v>1.1069411039352417</v>
      </c>
      <c r="K2753" s="187">
        <v>-411.0516357421875</v>
      </c>
      <c r="L2753" s="187">
        <v>24.352705001831055</v>
      </c>
      <c r="M2753" s="187">
        <v>-172.93118286132813</v>
      </c>
      <c r="N2753" s="187">
        <v>237.01351928710938</v>
      </c>
      <c r="O2753" t="s">
        <v>3212</v>
      </c>
    </row>
    <row r="2754" spans="1:15" hidden="1" x14ac:dyDescent="0.45">
      <c r="A2754" s="187">
        <v>2018</v>
      </c>
      <c r="B2754" t="s">
        <v>34</v>
      </c>
      <c r="C2754" t="s">
        <v>334</v>
      </c>
      <c r="D2754" t="s">
        <v>335</v>
      </c>
      <c r="E2754" t="s">
        <v>367</v>
      </c>
      <c r="F2754" t="s">
        <v>367</v>
      </c>
      <c r="G2754" t="s">
        <v>37</v>
      </c>
      <c r="H2754" t="s">
        <v>43</v>
      </c>
      <c r="I2754" s="187">
        <v>192.11573791503906</v>
      </c>
      <c r="J2754" s="187">
        <v>1</v>
      </c>
      <c r="K2754" s="187">
        <v>-371.34011840820313</v>
      </c>
      <c r="L2754" s="187">
        <v>22</v>
      </c>
      <c r="M2754" s="187">
        <v>-156.22438049316406</v>
      </c>
      <c r="N2754" s="187">
        <v>214.11573791503906</v>
      </c>
      <c r="O2754" t="s">
        <v>3213</v>
      </c>
    </row>
    <row r="2755" spans="1:15" hidden="1" x14ac:dyDescent="0.45">
      <c r="A2755" s="187">
        <v>2018</v>
      </c>
      <c r="B2755" t="s">
        <v>34</v>
      </c>
      <c r="C2755" t="s">
        <v>334</v>
      </c>
      <c r="D2755" t="s">
        <v>335</v>
      </c>
      <c r="E2755" t="s">
        <v>26</v>
      </c>
      <c r="F2755" t="s">
        <v>26</v>
      </c>
      <c r="G2755" t="s">
        <v>36</v>
      </c>
      <c r="H2755" t="s">
        <v>43</v>
      </c>
      <c r="I2755" s="187">
        <v>2.1445279121398926</v>
      </c>
      <c r="J2755" s="187">
        <v>8.8555288314819336</v>
      </c>
      <c r="K2755" s="187">
        <v>177.61012268066406</v>
      </c>
      <c r="L2755" s="187">
        <v>47.598468780517578</v>
      </c>
      <c r="M2755" s="187">
        <v>236.20864868164063</v>
      </c>
      <c r="N2755" s="187">
        <v>49.742996215820313</v>
      </c>
      <c r="O2755" t="s">
        <v>3214</v>
      </c>
    </row>
    <row r="2756" spans="1:15" hidden="1" x14ac:dyDescent="0.45">
      <c r="A2756" s="187">
        <v>2018</v>
      </c>
      <c r="B2756" t="s">
        <v>34</v>
      </c>
      <c r="C2756" t="s">
        <v>334</v>
      </c>
      <c r="D2756" t="s">
        <v>335</v>
      </c>
      <c r="E2756" t="s">
        <v>26</v>
      </c>
      <c r="F2756" t="s">
        <v>26</v>
      </c>
      <c r="G2756" t="s">
        <v>37</v>
      </c>
      <c r="H2756" t="s">
        <v>43</v>
      </c>
      <c r="I2756" s="187">
        <v>1.9373458623886108</v>
      </c>
      <c r="J2756" s="187">
        <v>8</v>
      </c>
      <c r="K2756" s="187">
        <v>160.45127868652344</v>
      </c>
      <c r="L2756" s="187">
        <v>43</v>
      </c>
      <c r="M2756" s="187">
        <v>213.38862609863281</v>
      </c>
      <c r="N2756" s="187">
        <v>44.937347412109375</v>
      </c>
      <c r="O2756" t="s">
        <v>3215</v>
      </c>
    </row>
    <row r="2757" spans="1:15" hidden="1" x14ac:dyDescent="0.45">
      <c r="A2757" s="187">
        <v>2018</v>
      </c>
      <c r="B2757" t="s">
        <v>34</v>
      </c>
      <c r="C2757" t="s">
        <v>334</v>
      </c>
      <c r="D2757" t="s">
        <v>335</v>
      </c>
      <c r="E2757" t="s">
        <v>368</v>
      </c>
      <c r="F2757" t="s">
        <v>448</v>
      </c>
      <c r="G2757" t="s">
        <v>36</v>
      </c>
      <c r="H2757" t="s">
        <v>43</v>
      </c>
      <c r="I2757" s="187">
        <v>6607.93212890625</v>
      </c>
      <c r="J2757" s="187">
        <v>935.365234375</v>
      </c>
      <c r="K2757" s="187">
        <v>15123.3896484375</v>
      </c>
      <c r="L2757" s="187">
        <v>12170.8173828125</v>
      </c>
      <c r="M2757" s="187">
        <v>34837.50390625</v>
      </c>
      <c r="N2757" s="187">
        <v>18778.75</v>
      </c>
      <c r="O2757" t="s">
        <v>3216</v>
      </c>
    </row>
    <row r="2758" spans="1:15" hidden="1" x14ac:dyDescent="0.45">
      <c r="A2758" s="187">
        <v>2018</v>
      </c>
      <c r="B2758" t="s">
        <v>34</v>
      </c>
      <c r="C2758" t="s">
        <v>334</v>
      </c>
      <c r="D2758" t="s">
        <v>335</v>
      </c>
      <c r="E2758" t="s">
        <v>368</v>
      </c>
      <c r="F2758" t="s">
        <v>448</v>
      </c>
      <c r="G2758" t="s">
        <v>37</v>
      </c>
      <c r="H2758" t="s">
        <v>43</v>
      </c>
      <c r="I2758" s="187">
        <v>5969.54248046875</v>
      </c>
      <c r="J2758" s="187">
        <v>845</v>
      </c>
      <c r="K2758" s="187">
        <v>13662.3251953125</v>
      </c>
      <c r="L2758" s="187">
        <v>10995</v>
      </c>
      <c r="M2758" s="187">
        <v>31471.8671875</v>
      </c>
      <c r="N2758" s="187">
        <v>16964.54296875</v>
      </c>
      <c r="O2758" t="s">
        <v>3217</v>
      </c>
    </row>
    <row r="2759" spans="1:15" hidden="1" x14ac:dyDescent="0.45">
      <c r="A2759" s="187">
        <v>2018</v>
      </c>
      <c r="B2759" t="s">
        <v>34</v>
      </c>
      <c r="C2759" t="s">
        <v>334</v>
      </c>
      <c r="D2759" t="s">
        <v>335</v>
      </c>
      <c r="E2759" t="s">
        <v>368</v>
      </c>
      <c r="F2759" t="s">
        <v>449</v>
      </c>
      <c r="G2759" t="s">
        <v>36</v>
      </c>
      <c r="H2759" t="s">
        <v>43</v>
      </c>
      <c r="I2759" s="187">
        <v>3111.2802734375</v>
      </c>
      <c r="J2759" s="187">
        <v>384.10858154296875</v>
      </c>
      <c r="K2759" s="187">
        <v>7561.7998046875</v>
      </c>
      <c r="L2759" s="187">
        <v>6478.92626953125</v>
      </c>
      <c r="M2759" s="187">
        <v>17536.115234375</v>
      </c>
      <c r="N2759" s="187">
        <v>9590.20703125</v>
      </c>
      <c r="O2759" t="s">
        <v>3218</v>
      </c>
    </row>
    <row r="2760" spans="1:15" hidden="1" x14ac:dyDescent="0.45">
      <c r="A2760" s="187">
        <v>2018</v>
      </c>
      <c r="B2760" t="s">
        <v>34</v>
      </c>
      <c r="C2760" t="s">
        <v>334</v>
      </c>
      <c r="D2760" t="s">
        <v>335</v>
      </c>
      <c r="E2760" t="s">
        <v>368</v>
      </c>
      <c r="F2760" t="s">
        <v>449</v>
      </c>
      <c r="G2760" t="s">
        <v>37</v>
      </c>
      <c r="H2760" t="s">
        <v>43</v>
      </c>
      <c r="I2760" s="187">
        <v>2810.70068359375</v>
      </c>
      <c r="J2760" s="187">
        <v>347</v>
      </c>
      <c r="K2760" s="187">
        <v>6831.25732421875</v>
      </c>
      <c r="L2760" s="187">
        <v>5853</v>
      </c>
      <c r="M2760" s="187">
        <v>15841.9580078125</v>
      </c>
      <c r="N2760" s="187">
        <v>8663.701171875</v>
      </c>
      <c r="O2760" t="s">
        <v>3219</v>
      </c>
    </row>
    <row r="2761" spans="1:15" hidden="1" x14ac:dyDescent="0.45">
      <c r="A2761" s="187">
        <v>2018</v>
      </c>
      <c r="B2761" t="s">
        <v>34</v>
      </c>
      <c r="C2761" t="s">
        <v>334</v>
      </c>
      <c r="D2761" t="s">
        <v>335</v>
      </c>
      <c r="E2761" t="s">
        <v>46</v>
      </c>
      <c r="F2761" t="s">
        <v>46</v>
      </c>
      <c r="G2761" t="s">
        <v>36</v>
      </c>
      <c r="H2761" t="s">
        <v>43</v>
      </c>
      <c r="I2761" s="187">
        <v>9476.1328125</v>
      </c>
      <c r="J2761" s="187">
        <v>1059.3426513671875</v>
      </c>
      <c r="K2761" s="187">
        <v>14128.375</v>
      </c>
      <c r="L2761" s="187">
        <v>22922.537109375</v>
      </c>
      <c r="M2761" s="187">
        <v>47586.390625</v>
      </c>
      <c r="N2761" s="187">
        <v>32398.669921875</v>
      </c>
      <c r="O2761" t="s">
        <v>3220</v>
      </c>
    </row>
    <row r="2762" spans="1:15" hidden="1" x14ac:dyDescent="0.45">
      <c r="A2762" s="187">
        <v>2018</v>
      </c>
      <c r="B2762" t="s">
        <v>34</v>
      </c>
      <c r="C2762" t="s">
        <v>334</v>
      </c>
      <c r="D2762" t="s">
        <v>335</v>
      </c>
      <c r="E2762" t="s">
        <v>46</v>
      </c>
      <c r="F2762" t="s">
        <v>46</v>
      </c>
      <c r="G2762" t="s">
        <v>37</v>
      </c>
      <c r="H2762" t="s">
        <v>43</v>
      </c>
      <c r="I2762" s="187">
        <v>8560.6474609375</v>
      </c>
      <c r="J2762" s="187">
        <v>957</v>
      </c>
      <c r="K2762" s="187">
        <v>12763.4384765625</v>
      </c>
      <c r="L2762" s="187">
        <v>20708</v>
      </c>
      <c r="M2762" s="187">
        <v>42989.0859375</v>
      </c>
      <c r="N2762" s="187">
        <v>29268.6484375</v>
      </c>
      <c r="O2762" t="s">
        <v>3221</v>
      </c>
    </row>
    <row r="2763" spans="1:15" hidden="1" x14ac:dyDescent="0.45">
      <c r="A2763" s="187">
        <v>2018</v>
      </c>
      <c r="B2763" t="s">
        <v>34</v>
      </c>
      <c r="C2763" t="s">
        <v>334</v>
      </c>
      <c r="D2763" t="s">
        <v>335</v>
      </c>
      <c r="E2763" t="s">
        <v>369</v>
      </c>
      <c r="F2763" t="s">
        <v>369</v>
      </c>
      <c r="G2763" t="s">
        <v>36</v>
      </c>
      <c r="H2763" t="s">
        <v>43</v>
      </c>
      <c r="I2763" s="187">
        <v>0</v>
      </c>
      <c r="J2763" s="187">
        <v>0</v>
      </c>
      <c r="K2763" s="187">
        <v>0</v>
      </c>
      <c r="L2763" s="187">
        <v>0</v>
      </c>
      <c r="M2763" s="187">
        <v>0</v>
      </c>
      <c r="N2763" s="187">
        <v>0</v>
      </c>
      <c r="O2763" t="s">
        <v>3222</v>
      </c>
    </row>
    <row r="2764" spans="1:15" hidden="1" x14ac:dyDescent="0.45">
      <c r="A2764" s="187">
        <v>2018</v>
      </c>
      <c r="B2764" t="s">
        <v>34</v>
      </c>
      <c r="C2764" t="s">
        <v>334</v>
      </c>
      <c r="D2764" t="s">
        <v>335</v>
      </c>
      <c r="E2764" t="s">
        <v>369</v>
      </c>
      <c r="F2764" t="s">
        <v>369</v>
      </c>
      <c r="G2764" t="s">
        <v>37</v>
      </c>
      <c r="H2764" t="s">
        <v>43</v>
      </c>
      <c r="I2764" s="187">
        <v>0</v>
      </c>
      <c r="J2764" s="187">
        <v>0</v>
      </c>
      <c r="K2764" s="187">
        <v>0</v>
      </c>
      <c r="L2764" s="187">
        <v>0</v>
      </c>
      <c r="M2764" s="187">
        <v>0</v>
      </c>
      <c r="N2764" s="187">
        <v>0</v>
      </c>
      <c r="O2764" t="s">
        <v>3223</v>
      </c>
    </row>
    <row r="2765" spans="1:15" hidden="1" x14ac:dyDescent="0.45">
      <c r="A2765" s="187">
        <v>2018</v>
      </c>
      <c r="B2765" t="s">
        <v>34</v>
      </c>
      <c r="C2765" t="s">
        <v>334</v>
      </c>
      <c r="D2765" t="s">
        <v>335</v>
      </c>
      <c r="E2765" t="s">
        <v>366</v>
      </c>
      <c r="F2765" t="s">
        <v>366</v>
      </c>
      <c r="G2765" t="s">
        <v>36</v>
      </c>
      <c r="H2765" t="s">
        <v>43</v>
      </c>
      <c r="I2765" s="187">
        <v>169914.734375</v>
      </c>
      <c r="J2765" s="187">
        <v>26149.26953125</v>
      </c>
      <c r="K2765" s="187">
        <v>409076.28125</v>
      </c>
      <c r="L2765" s="187">
        <v>449426.96875</v>
      </c>
      <c r="M2765" s="187">
        <v>1054567.25</v>
      </c>
      <c r="N2765" s="187">
        <v>619341.6875</v>
      </c>
      <c r="O2765" t="s">
        <v>3224</v>
      </c>
    </row>
    <row r="2766" spans="1:15" hidden="1" x14ac:dyDescent="0.45">
      <c r="A2766" s="187">
        <v>2018</v>
      </c>
      <c r="B2766" t="s">
        <v>34</v>
      </c>
      <c r="C2766" t="s">
        <v>334</v>
      </c>
      <c r="D2766" t="s">
        <v>335</v>
      </c>
      <c r="E2766" t="s">
        <v>366</v>
      </c>
      <c r="F2766" t="s">
        <v>366</v>
      </c>
      <c r="G2766" t="s">
        <v>37</v>
      </c>
      <c r="H2766" t="s">
        <v>43</v>
      </c>
      <c r="I2766" s="187">
        <v>153499.34375</v>
      </c>
      <c r="J2766" s="187">
        <v>23623</v>
      </c>
      <c r="K2766" s="187">
        <v>369555.59375</v>
      </c>
      <c r="L2766" s="187">
        <v>406008</v>
      </c>
      <c r="M2766" s="187">
        <v>952685.9375</v>
      </c>
      <c r="N2766" s="187">
        <v>559507.375</v>
      </c>
      <c r="O2766" t="s">
        <v>3225</v>
      </c>
    </row>
    <row r="2767" spans="1:15" hidden="1" x14ac:dyDescent="0.45">
      <c r="A2767" s="187">
        <v>2018</v>
      </c>
      <c r="B2767" t="s">
        <v>34</v>
      </c>
      <c r="C2767" t="s">
        <v>334</v>
      </c>
      <c r="D2767" t="s">
        <v>335</v>
      </c>
      <c r="E2767" t="s">
        <v>370</v>
      </c>
      <c r="F2767" t="s">
        <v>370</v>
      </c>
      <c r="G2767" t="s">
        <v>36</v>
      </c>
      <c r="H2767" t="s">
        <v>43</v>
      </c>
      <c r="I2767" s="187">
        <v>163724.734375</v>
      </c>
      <c r="J2767" s="187">
        <v>25648.93359375</v>
      </c>
      <c r="K2767" s="187">
        <v>403098.15625</v>
      </c>
      <c r="L2767" s="187">
        <v>432219.5625</v>
      </c>
      <c r="M2767" s="187">
        <v>1024691.375</v>
      </c>
      <c r="N2767" s="187">
        <v>595944.3125</v>
      </c>
      <c r="O2767" t="s">
        <v>3226</v>
      </c>
    </row>
    <row r="2768" spans="1:15" hidden="1" x14ac:dyDescent="0.45">
      <c r="A2768" s="187">
        <v>2018</v>
      </c>
      <c r="B2768" t="s">
        <v>34</v>
      </c>
      <c r="C2768" t="s">
        <v>334</v>
      </c>
      <c r="D2768" t="s">
        <v>335</v>
      </c>
      <c r="E2768" t="s">
        <v>370</v>
      </c>
      <c r="F2768" t="s">
        <v>370</v>
      </c>
      <c r="G2768" t="s">
        <v>37</v>
      </c>
      <c r="H2768" t="s">
        <v>43</v>
      </c>
      <c r="I2768" s="187">
        <v>147907.359375</v>
      </c>
      <c r="J2768" s="187">
        <v>23171</v>
      </c>
      <c r="K2768" s="187">
        <v>364155</v>
      </c>
      <c r="L2768" s="187">
        <v>390463</v>
      </c>
      <c r="M2768" s="187">
        <v>925696.375</v>
      </c>
      <c r="N2768" s="187">
        <v>538370.375</v>
      </c>
      <c r="O2768" t="s">
        <v>3227</v>
      </c>
    </row>
    <row r="2769" spans="1:15" hidden="1" x14ac:dyDescent="0.45">
      <c r="A2769" s="187">
        <v>2019</v>
      </c>
      <c r="B2769" t="s">
        <v>311</v>
      </c>
      <c r="C2769" t="s">
        <v>322</v>
      </c>
      <c r="D2769" t="s">
        <v>35</v>
      </c>
      <c r="E2769" t="s">
        <v>348</v>
      </c>
      <c r="F2769" t="s">
        <v>382</v>
      </c>
      <c r="G2769" t="s">
        <v>36</v>
      </c>
      <c r="H2769" t="s">
        <v>43</v>
      </c>
      <c r="I2769" s="187"/>
      <c r="J2769" s="187">
        <v>1192.4000046824287</v>
      </c>
      <c r="K2769" s="187">
        <v>17906.450593152531</v>
      </c>
      <c r="L2769" s="187">
        <v>32535.30365717446</v>
      </c>
      <c r="M2769" s="187">
        <v>51634.15625</v>
      </c>
      <c r="N2769" s="187">
        <v>32535.302734375</v>
      </c>
      <c r="O2769" t="s">
        <v>3231</v>
      </c>
    </row>
    <row r="2770" spans="1:15" hidden="1" x14ac:dyDescent="0.45">
      <c r="A2770" s="187">
        <v>2019</v>
      </c>
      <c r="B2770" t="s">
        <v>315</v>
      </c>
      <c r="C2770" t="s">
        <v>322</v>
      </c>
      <c r="D2770" t="s">
        <v>35</v>
      </c>
      <c r="E2770" t="s">
        <v>348</v>
      </c>
      <c r="F2770" t="s">
        <v>382</v>
      </c>
      <c r="G2770" t="s">
        <v>36</v>
      </c>
      <c r="H2770" t="s">
        <v>43</v>
      </c>
      <c r="I2770" s="187">
        <v>18139.485345630434</v>
      </c>
      <c r="J2770" s="187">
        <v>960.61222588488158</v>
      </c>
      <c r="K2770" s="187">
        <v>21846.152950492717</v>
      </c>
      <c r="L2770" s="187">
        <v>31012.595410436796</v>
      </c>
      <c r="M2770" s="187">
        <v>71958.84375</v>
      </c>
      <c r="N2770" s="187">
        <v>49152.078125</v>
      </c>
      <c r="O2770" t="s">
        <v>3230</v>
      </c>
    </row>
    <row r="2771" spans="1:15" hidden="1" x14ac:dyDescent="0.45">
      <c r="A2771" s="187">
        <v>2019</v>
      </c>
      <c r="B2771" t="s">
        <v>310</v>
      </c>
      <c r="C2771" t="s">
        <v>322</v>
      </c>
      <c r="D2771" t="s">
        <v>35</v>
      </c>
      <c r="E2771" t="s">
        <v>348</v>
      </c>
      <c r="F2771" t="s">
        <v>382</v>
      </c>
      <c r="G2771" t="s">
        <v>36</v>
      </c>
      <c r="H2771" t="s">
        <v>43</v>
      </c>
      <c r="I2771" s="187"/>
      <c r="J2771" s="187">
        <v>954.63620153653858</v>
      </c>
      <c r="K2771" s="187">
        <v>16707.441140073624</v>
      </c>
      <c r="L2771" s="187">
        <v>36787.494500581321</v>
      </c>
      <c r="M2771" s="187">
        <v>54449.57421875</v>
      </c>
      <c r="N2771" s="187">
        <v>36787.49609375</v>
      </c>
      <c r="O2771" t="s">
        <v>3232</v>
      </c>
    </row>
    <row r="2772" spans="1:15" hidden="1" x14ac:dyDescent="0.45">
      <c r="A2772" s="187">
        <v>2019</v>
      </c>
      <c r="B2772" t="s">
        <v>314</v>
      </c>
      <c r="C2772" t="s">
        <v>322</v>
      </c>
      <c r="D2772" t="s">
        <v>35</v>
      </c>
      <c r="E2772" t="s">
        <v>348</v>
      </c>
      <c r="F2772" t="s">
        <v>382</v>
      </c>
      <c r="G2772" t="s">
        <v>36</v>
      </c>
      <c r="H2772" t="s">
        <v>43</v>
      </c>
      <c r="I2772" s="187">
        <v>18011.179680709971</v>
      </c>
      <c r="J2772" s="187">
        <v>986.60309995076807</v>
      </c>
      <c r="K2772" s="187">
        <v>21770.847593995113</v>
      </c>
      <c r="L2772" s="187">
        <v>30101.295524117766</v>
      </c>
      <c r="M2772" s="187">
        <v>70869.921875</v>
      </c>
      <c r="N2772" s="187">
        <v>48112.4765625</v>
      </c>
      <c r="O2772" t="s">
        <v>3233</v>
      </c>
    </row>
    <row r="2773" spans="1:15" hidden="1" x14ac:dyDescent="0.45">
      <c r="A2773" s="187">
        <v>2019</v>
      </c>
      <c r="B2773" t="s">
        <v>309</v>
      </c>
      <c r="C2773" t="s">
        <v>322</v>
      </c>
      <c r="D2773" t="s">
        <v>35</v>
      </c>
      <c r="E2773" t="s">
        <v>348</v>
      </c>
      <c r="F2773" t="s">
        <v>382</v>
      </c>
      <c r="G2773" t="s">
        <v>36</v>
      </c>
      <c r="H2773" t="s">
        <v>43</v>
      </c>
      <c r="I2773" s="187"/>
      <c r="J2773" s="187">
        <v>1046.5012119958374</v>
      </c>
      <c r="K2773" s="187">
        <v>17277.495183690247</v>
      </c>
      <c r="L2773" s="187">
        <v>28528.417850053611</v>
      </c>
      <c r="M2773" s="187">
        <v>46852.4140625</v>
      </c>
      <c r="N2773" s="187">
        <v>28528.41796875</v>
      </c>
      <c r="O2773" t="s">
        <v>3229</v>
      </c>
    </row>
    <row r="2774" spans="1:15" hidden="1" x14ac:dyDescent="0.45">
      <c r="A2774" s="187">
        <v>2019</v>
      </c>
      <c r="B2774" t="s">
        <v>313</v>
      </c>
      <c r="C2774" t="s">
        <v>322</v>
      </c>
      <c r="D2774" t="s">
        <v>35</v>
      </c>
      <c r="E2774" t="s">
        <v>348</v>
      </c>
      <c r="F2774" t="s">
        <v>382</v>
      </c>
      <c r="G2774" t="s">
        <v>36</v>
      </c>
      <c r="H2774" t="s">
        <v>43</v>
      </c>
      <c r="I2774" s="187">
        <v>15377.264166268864</v>
      </c>
      <c r="J2774" s="187">
        <v>982.27133711629142</v>
      </c>
      <c r="K2774" s="187">
        <v>19132.628966601871</v>
      </c>
      <c r="L2774" s="187">
        <v>27144.229876896541</v>
      </c>
      <c r="M2774" s="187">
        <v>62636.39453125</v>
      </c>
      <c r="N2774" s="187">
        <v>42521.49609375</v>
      </c>
      <c r="O2774" t="s">
        <v>3228</v>
      </c>
    </row>
    <row r="2775" spans="1:15" hidden="1" x14ac:dyDescent="0.45">
      <c r="A2775" s="187">
        <v>2019</v>
      </c>
      <c r="B2775" t="s">
        <v>312</v>
      </c>
      <c r="C2775" t="s">
        <v>322</v>
      </c>
      <c r="D2775" t="s">
        <v>35</v>
      </c>
      <c r="E2775" t="s">
        <v>348</v>
      </c>
      <c r="F2775" t="s">
        <v>382</v>
      </c>
      <c r="G2775" t="s">
        <v>36</v>
      </c>
      <c r="H2775" t="s">
        <v>43</v>
      </c>
      <c r="I2775" s="187">
        <v>12787.124624718241</v>
      </c>
      <c r="J2775" s="187">
        <v>1075.8195852794061</v>
      </c>
      <c r="K2775" s="187">
        <v>17848.107213134863</v>
      </c>
      <c r="L2775" s="187">
        <v>26364.999284761168</v>
      </c>
      <c r="M2775" s="187">
        <v>58076.05078125</v>
      </c>
      <c r="N2775" s="187">
        <v>39152.125</v>
      </c>
      <c r="O2775" t="s">
        <v>3234</v>
      </c>
    </row>
    <row r="2776" spans="1:15" hidden="1" x14ac:dyDescent="0.45">
      <c r="A2776" s="187">
        <v>2019</v>
      </c>
      <c r="B2776" t="s">
        <v>314</v>
      </c>
      <c r="C2776" t="s">
        <v>322</v>
      </c>
      <c r="D2776" t="s">
        <v>35</v>
      </c>
      <c r="E2776" t="s">
        <v>348</v>
      </c>
      <c r="F2776" t="s">
        <v>382</v>
      </c>
      <c r="G2776" t="s">
        <v>37</v>
      </c>
      <c r="H2776" t="s">
        <v>43</v>
      </c>
      <c r="I2776" s="187">
        <v>15825.75634213967</v>
      </c>
      <c r="J2776" s="187">
        <v>863</v>
      </c>
      <c r="K2776" s="187">
        <v>19088.208529448289</v>
      </c>
      <c r="L2776" s="187">
        <v>26775</v>
      </c>
      <c r="M2776" s="187">
        <v>62551.96484375</v>
      </c>
      <c r="N2776" s="187">
        <v>42600.7578125</v>
      </c>
      <c r="O2776" t="s">
        <v>3240</v>
      </c>
    </row>
    <row r="2777" spans="1:15" hidden="1" x14ac:dyDescent="0.45">
      <c r="A2777" s="187">
        <v>2019</v>
      </c>
      <c r="B2777" t="s">
        <v>311</v>
      </c>
      <c r="C2777" t="s">
        <v>322</v>
      </c>
      <c r="D2777" t="s">
        <v>35</v>
      </c>
      <c r="E2777" t="s">
        <v>348</v>
      </c>
      <c r="F2777" t="s">
        <v>382</v>
      </c>
      <c r="G2777" t="s">
        <v>37</v>
      </c>
      <c r="H2777" t="s">
        <v>43</v>
      </c>
      <c r="I2777" s="187"/>
      <c r="J2777" s="187">
        <v>1012</v>
      </c>
      <c r="K2777" s="187">
        <v>15087.530174584839</v>
      </c>
      <c r="L2777" s="187">
        <v>28480</v>
      </c>
      <c r="M2777" s="187">
        <v>44579.53125</v>
      </c>
      <c r="N2777" s="187">
        <v>28480</v>
      </c>
      <c r="O2777" t="s">
        <v>3236</v>
      </c>
    </row>
    <row r="2778" spans="1:15" hidden="1" x14ac:dyDescent="0.45">
      <c r="A2778" s="187">
        <v>2019</v>
      </c>
      <c r="B2778" t="s">
        <v>313</v>
      </c>
      <c r="C2778" t="s">
        <v>322</v>
      </c>
      <c r="D2778" t="s">
        <v>35</v>
      </c>
      <c r="E2778" t="s">
        <v>348</v>
      </c>
      <c r="F2778" t="s">
        <v>382</v>
      </c>
      <c r="G2778" t="s">
        <v>37</v>
      </c>
      <c r="H2778" t="s">
        <v>43</v>
      </c>
      <c r="I2778" s="187">
        <v>13325.425209033559</v>
      </c>
      <c r="J2778" s="187">
        <v>853</v>
      </c>
      <c r="K2778" s="187">
        <v>16551.411202812698</v>
      </c>
      <c r="L2778" s="187">
        <v>23569.226640500001</v>
      </c>
      <c r="M2778" s="187">
        <v>54299.0625</v>
      </c>
      <c r="N2778" s="187">
        <v>36894.65234375</v>
      </c>
      <c r="O2778" t="s">
        <v>3238</v>
      </c>
    </row>
    <row r="2779" spans="1:15" hidden="1" x14ac:dyDescent="0.45">
      <c r="A2779" s="187">
        <v>2019</v>
      </c>
      <c r="B2779" t="s">
        <v>309</v>
      </c>
      <c r="C2779" t="s">
        <v>322</v>
      </c>
      <c r="D2779" t="s">
        <v>35</v>
      </c>
      <c r="E2779" t="s">
        <v>348</v>
      </c>
      <c r="F2779" t="s">
        <v>382</v>
      </c>
      <c r="G2779" t="s">
        <v>37</v>
      </c>
      <c r="H2779" t="s">
        <v>43</v>
      </c>
      <c r="I2779" s="187"/>
      <c r="J2779" s="187">
        <v>887.40699999999993</v>
      </c>
      <c r="K2779" s="187">
        <v>14916.61029633651</v>
      </c>
      <c r="L2779" s="187">
        <v>25610</v>
      </c>
      <c r="M2779" s="187">
        <v>41414.015625</v>
      </c>
      <c r="N2779" s="187">
        <v>25610</v>
      </c>
      <c r="O2779" t="s">
        <v>3241</v>
      </c>
    </row>
    <row r="2780" spans="1:15" hidden="1" x14ac:dyDescent="0.45">
      <c r="A2780" s="187">
        <v>2019</v>
      </c>
      <c r="B2780" t="s">
        <v>315</v>
      </c>
      <c r="C2780" t="s">
        <v>322</v>
      </c>
      <c r="D2780" t="s">
        <v>35</v>
      </c>
      <c r="E2780" t="s">
        <v>348</v>
      </c>
      <c r="F2780" t="s">
        <v>382</v>
      </c>
      <c r="G2780" t="s">
        <v>37</v>
      </c>
      <c r="H2780" t="s">
        <v>43</v>
      </c>
      <c r="I2780" s="187">
        <v>16013</v>
      </c>
      <c r="J2780" s="187">
        <v>848</v>
      </c>
      <c r="K2780" s="187">
        <v>19285.136294151122</v>
      </c>
      <c r="L2780" s="187">
        <v>27377</v>
      </c>
      <c r="M2780" s="187">
        <v>63523.13671875</v>
      </c>
      <c r="N2780" s="187">
        <v>43390</v>
      </c>
      <c r="O2780" t="s">
        <v>3239</v>
      </c>
    </row>
    <row r="2781" spans="1:15" hidden="1" x14ac:dyDescent="0.45">
      <c r="A2781" s="187">
        <v>2019</v>
      </c>
      <c r="B2781" t="s">
        <v>312</v>
      </c>
      <c r="C2781" t="s">
        <v>322</v>
      </c>
      <c r="D2781" t="s">
        <v>35</v>
      </c>
      <c r="E2781" t="s">
        <v>348</v>
      </c>
      <c r="F2781" t="s">
        <v>382</v>
      </c>
      <c r="G2781" t="s">
        <v>37</v>
      </c>
      <c r="H2781" t="s">
        <v>43</v>
      </c>
      <c r="I2781" s="187">
        <v>10787.936609726979</v>
      </c>
      <c r="J2781" s="187">
        <v>923</v>
      </c>
      <c r="K2781" s="187">
        <v>15269.72009481856</v>
      </c>
      <c r="L2781" s="187">
        <v>22500</v>
      </c>
      <c r="M2781" s="187">
        <v>49480.65625</v>
      </c>
      <c r="N2781" s="187">
        <v>33287.9375</v>
      </c>
      <c r="O2781" t="s">
        <v>3235</v>
      </c>
    </row>
    <row r="2782" spans="1:15" hidden="1" x14ac:dyDescent="0.45">
      <c r="A2782" s="187">
        <v>2019</v>
      </c>
      <c r="B2782" t="s">
        <v>310</v>
      </c>
      <c r="C2782" t="s">
        <v>322</v>
      </c>
      <c r="D2782" t="s">
        <v>35</v>
      </c>
      <c r="E2782" t="s">
        <v>348</v>
      </c>
      <c r="F2782" t="s">
        <v>382</v>
      </c>
      <c r="G2782" t="s">
        <v>37</v>
      </c>
      <c r="H2782" t="s">
        <v>43</v>
      </c>
      <c r="I2782" s="187"/>
      <c r="J2782" s="187">
        <v>808</v>
      </c>
      <c r="K2782" s="187">
        <v>14162.17186358901</v>
      </c>
      <c r="L2782" s="187">
        <v>32154</v>
      </c>
      <c r="M2782" s="187">
        <v>47124.171875</v>
      </c>
      <c r="N2782" s="187">
        <v>32154</v>
      </c>
      <c r="O2782" t="s">
        <v>3237</v>
      </c>
    </row>
    <row r="2783" spans="1:15" hidden="1" x14ac:dyDescent="0.45">
      <c r="A2783" s="187">
        <v>2019</v>
      </c>
      <c r="B2783" t="s">
        <v>310</v>
      </c>
      <c r="C2783" t="s">
        <v>322</v>
      </c>
      <c r="D2783" t="s">
        <v>35</v>
      </c>
      <c r="E2783" t="s">
        <v>19</v>
      </c>
      <c r="F2783" t="s">
        <v>19</v>
      </c>
      <c r="G2783" t="s">
        <v>36</v>
      </c>
      <c r="H2783" t="s">
        <v>43</v>
      </c>
      <c r="I2783" s="187"/>
      <c r="J2783" s="187">
        <v>0</v>
      </c>
      <c r="K2783" s="187">
        <v>149.29409289405351</v>
      </c>
      <c r="L2783" s="187">
        <v>6168.5191269148663</v>
      </c>
      <c r="M2783" s="187">
        <v>6317.81298828125</v>
      </c>
      <c r="N2783" s="187">
        <v>6168.51904296875</v>
      </c>
      <c r="O2783" t="s">
        <v>3244</v>
      </c>
    </row>
    <row r="2784" spans="1:15" hidden="1" x14ac:dyDescent="0.45">
      <c r="A2784" s="187">
        <v>2019</v>
      </c>
      <c r="B2784" t="s">
        <v>309</v>
      </c>
      <c r="C2784" t="s">
        <v>322</v>
      </c>
      <c r="D2784" t="s">
        <v>35</v>
      </c>
      <c r="E2784" t="s">
        <v>19</v>
      </c>
      <c r="F2784" t="s">
        <v>19</v>
      </c>
      <c r="G2784" t="s">
        <v>36</v>
      </c>
      <c r="H2784" t="s">
        <v>43</v>
      </c>
      <c r="I2784" s="187"/>
      <c r="J2784" s="187">
        <v>0</v>
      </c>
      <c r="K2784" s="187">
        <v>150.70942137818534</v>
      </c>
      <c r="L2784" s="187">
        <v>4480.0849354049642</v>
      </c>
      <c r="M2784" s="187">
        <v>4630.79443359375</v>
      </c>
      <c r="N2784" s="187">
        <v>4480.0849609375</v>
      </c>
      <c r="O2784" t="s">
        <v>3248</v>
      </c>
    </row>
    <row r="2785" spans="1:15" hidden="1" x14ac:dyDescent="0.45">
      <c r="A2785" s="187">
        <v>2019</v>
      </c>
      <c r="B2785" t="s">
        <v>313</v>
      </c>
      <c r="C2785" t="s">
        <v>322</v>
      </c>
      <c r="D2785" t="s">
        <v>35</v>
      </c>
      <c r="E2785" t="s">
        <v>19</v>
      </c>
      <c r="F2785" t="s">
        <v>19</v>
      </c>
      <c r="G2785" t="s">
        <v>36</v>
      </c>
      <c r="H2785" t="s">
        <v>43</v>
      </c>
      <c r="I2785" s="187">
        <v>916.02791645466846</v>
      </c>
      <c r="J2785" s="187">
        <v>11.978918745320629</v>
      </c>
      <c r="K2785" s="187">
        <v>133.04554563208893</v>
      </c>
      <c r="L2785" s="187">
        <v>3703.8816760531381</v>
      </c>
      <c r="M2785" s="187">
        <v>4764.93408203125</v>
      </c>
      <c r="N2785" s="187">
        <v>4619.90966796875</v>
      </c>
      <c r="O2785" t="s">
        <v>3242</v>
      </c>
    </row>
    <row r="2786" spans="1:15" hidden="1" x14ac:dyDescent="0.45">
      <c r="A2786" s="187">
        <v>2019</v>
      </c>
      <c r="B2786" t="s">
        <v>314</v>
      </c>
      <c r="C2786" t="s">
        <v>322</v>
      </c>
      <c r="D2786" t="s">
        <v>35</v>
      </c>
      <c r="E2786" t="s">
        <v>19</v>
      </c>
      <c r="F2786" t="s">
        <v>19</v>
      </c>
      <c r="G2786" t="s">
        <v>36</v>
      </c>
      <c r="H2786" t="s">
        <v>43</v>
      </c>
      <c r="I2786" s="187">
        <v>988.86751131594428</v>
      </c>
      <c r="J2786" s="187">
        <v>0</v>
      </c>
      <c r="K2786" s="187">
        <v>131.45830128674189</v>
      </c>
      <c r="L2786" s="187">
        <v>4227.1341791279074</v>
      </c>
      <c r="M2786" s="187">
        <v>5347.4599609375</v>
      </c>
      <c r="N2786" s="187">
        <v>5216.00146484375</v>
      </c>
      <c r="O2786" t="s">
        <v>3243</v>
      </c>
    </row>
    <row r="2787" spans="1:15" hidden="1" x14ac:dyDescent="0.45">
      <c r="A2787" s="187">
        <v>2019</v>
      </c>
      <c r="B2787" t="s">
        <v>312</v>
      </c>
      <c r="C2787" t="s">
        <v>322</v>
      </c>
      <c r="D2787" t="s">
        <v>35</v>
      </c>
      <c r="E2787" t="s">
        <v>19</v>
      </c>
      <c r="F2787" t="s">
        <v>19</v>
      </c>
      <c r="G2787" t="s">
        <v>36</v>
      </c>
      <c r="H2787" t="s">
        <v>43</v>
      </c>
      <c r="I2787" s="187">
        <v>945.97929050430525</v>
      </c>
      <c r="J2787" s="187">
        <v>0</v>
      </c>
      <c r="K2787" s="187">
        <v>138.42520430088359</v>
      </c>
      <c r="L2787" s="187">
        <v>2818.1526837376623</v>
      </c>
      <c r="M2787" s="187">
        <v>3902.55712890625</v>
      </c>
      <c r="N2787" s="187">
        <v>3764.132080078125</v>
      </c>
      <c r="O2787" t="s">
        <v>3247</v>
      </c>
    </row>
    <row r="2788" spans="1:15" hidden="1" x14ac:dyDescent="0.45">
      <c r="A2788" s="187">
        <v>2019</v>
      </c>
      <c r="B2788" t="s">
        <v>315</v>
      </c>
      <c r="C2788" t="s">
        <v>322</v>
      </c>
      <c r="D2788" t="s">
        <v>35</v>
      </c>
      <c r="E2788" t="s">
        <v>19</v>
      </c>
      <c r="F2788" t="s">
        <v>19</v>
      </c>
      <c r="G2788" t="s">
        <v>36</v>
      </c>
      <c r="H2788" t="s">
        <v>43</v>
      </c>
      <c r="I2788" s="187">
        <v>1401.2704285608472</v>
      </c>
      <c r="J2788" s="187">
        <v>0</v>
      </c>
      <c r="K2788" s="187">
        <v>157.20473450883023</v>
      </c>
      <c r="L2788" s="187">
        <v>2910.1566135592698</v>
      </c>
      <c r="M2788" s="187">
        <v>4468.6318359375</v>
      </c>
      <c r="N2788" s="187">
        <v>4311.4267578125</v>
      </c>
      <c r="O2788" t="s">
        <v>3246</v>
      </c>
    </row>
    <row r="2789" spans="1:15" hidden="1" x14ac:dyDescent="0.45">
      <c r="A2789" s="187">
        <v>2019</v>
      </c>
      <c r="B2789" t="s">
        <v>311</v>
      </c>
      <c r="C2789" t="s">
        <v>322</v>
      </c>
      <c r="D2789" t="s">
        <v>35</v>
      </c>
      <c r="E2789" t="s">
        <v>19</v>
      </c>
      <c r="F2789" t="s">
        <v>19</v>
      </c>
      <c r="G2789" t="s">
        <v>36</v>
      </c>
      <c r="H2789" t="s">
        <v>43</v>
      </c>
      <c r="I2789" s="187"/>
      <c r="J2789" s="187">
        <v>0</v>
      </c>
      <c r="K2789" s="187">
        <v>142.44974490514744</v>
      </c>
      <c r="L2789" s="187">
        <v>5143.2611966676313</v>
      </c>
      <c r="M2789" s="187">
        <v>5285.7109375</v>
      </c>
      <c r="N2789" s="187">
        <v>5143.26123046875</v>
      </c>
      <c r="O2789" t="s">
        <v>3245</v>
      </c>
    </row>
    <row r="2790" spans="1:15" hidden="1" x14ac:dyDescent="0.45">
      <c r="A2790" s="187">
        <v>2019</v>
      </c>
      <c r="B2790" t="s">
        <v>312</v>
      </c>
      <c r="C2790" t="s">
        <v>322</v>
      </c>
      <c r="D2790" t="s">
        <v>35</v>
      </c>
      <c r="E2790" t="s">
        <v>19</v>
      </c>
      <c r="F2790" t="s">
        <v>19</v>
      </c>
      <c r="G2790" t="s">
        <v>37</v>
      </c>
      <c r="H2790" t="s">
        <v>43</v>
      </c>
      <c r="I2790" s="187">
        <v>798.08126686649996</v>
      </c>
      <c r="J2790" s="187">
        <v>0</v>
      </c>
      <c r="K2790" s="187">
        <v>118.42791498848869</v>
      </c>
      <c r="L2790" s="187">
        <v>2405</v>
      </c>
      <c r="M2790" s="187">
        <v>3321.50927734375</v>
      </c>
      <c r="N2790" s="187">
        <v>3203.081298828125</v>
      </c>
      <c r="O2790" t="s">
        <v>3254</v>
      </c>
    </row>
    <row r="2791" spans="1:15" hidden="1" x14ac:dyDescent="0.45">
      <c r="A2791" s="187">
        <v>2019</v>
      </c>
      <c r="B2791" t="s">
        <v>310</v>
      </c>
      <c r="C2791" t="s">
        <v>322</v>
      </c>
      <c r="D2791" t="s">
        <v>35</v>
      </c>
      <c r="E2791" t="s">
        <v>19</v>
      </c>
      <c r="F2791" t="s">
        <v>19</v>
      </c>
      <c r="G2791" t="s">
        <v>37</v>
      </c>
      <c r="H2791" t="s">
        <v>43</v>
      </c>
      <c r="I2791" s="187"/>
      <c r="J2791" s="187">
        <v>0</v>
      </c>
      <c r="K2791" s="187">
        <v>126.55011524852161</v>
      </c>
      <c r="L2791" s="187">
        <v>5391</v>
      </c>
      <c r="M2791" s="187">
        <v>5517.55029296875</v>
      </c>
      <c r="N2791" s="187">
        <v>5391</v>
      </c>
      <c r="O2791" t="s">
        <v>3250</v>
      </c>
    </row>
    <row r="2792" spans="1:15" hidden="1" x14ac:dyDescent="0.45">
      <c r="A2792" s="187">
        <v>2019</v>
      </c>
      <c r="B2792" t="s">
        <v>309</v>
      </c>
      <c r="C2792" t="s">
        <v>322</v>
      </c>
      <c r="D2792" t="s">
        <v>35</v>
      </c>
      <c r="E2792" t="s">
        <v>19</v>
      </c>
      <c r="F2792" t="s">
        <v>19</v>
      </c>
      <c r="G2792" t="s">
        <v>37</v>
      </c>
      <c r="H2792" t="s">
        <v>43</v>
      </c>
      <c r="I2792" s="187"/>
      <c r="J2792" s="187">
        <v>0</v>
      </c>
      <c r="K2792" s="187">
        <v>130.11571890391329</v>
      </c>
      <c r="L2792" s="187">
        <v>4022</v>
      </c>
      <c r="M2792" s="187">
        <v>4152.11572265625</v>
      </c>
      <c r="N2792" s="187">
        <v>4022</v>
      </c>
      <c r="O2792" t="s">
        <v>3249</v>
      </c>
    </row>
    <row r="2793" spans="1:15" hidden="1" x14ac:dyDescent="0.45">
      <c r="A2793" s="187">
        <v>2019</v>
      </c>
      <c r="B2793" t="s">
        <v>311</v>
      </c>
      <c r="C2793" t="s">
        <v>322</v>
      </c>
      <c r="D2793" t="s">
        <v>35</v>
      </c>
      <c r="E2793" t="s">
        <v>19</v>
      </c>
      <c r="F2793" t="s">
        <v>19</v>
      </c>
      <c r="G2793" t="s">
        <v>37</v>
      </c>
      <c r="H2793" t="s">
        <v>43</v>
      </c>
      <c r="I2793" s="187"/>
      <c r="J2793" s="187">
        <v>0</v>
      </c>
      <c r="K2793" s="187">
        <v>120.02461422702</v>
      </c>
      <c r="L2793" s="187">
        <v>4502</v>
      </c>
      <c r="M2793" s="187">
        <v>4622.0244140625</v>
      </c>
      <c r="N2793" s="187">
        <v>4502</v>
      </c>
      <c r="O2793" t="s">
        <v>3252</v>
      </c>
    </row>
    <row r="2794" spans="1:15" hidden="1" x14ac:dyDescent="0.45">
      <c r="A2794" s="187">
        <v>2019</v>
      </c>
      <c r="B2794" t="s">
        <v>314</v>
      </c>
      <c r="C2794" t="s">
        <v>322</v>
      </c>
      <c r="D2794" t="s">
        <v>35</v>
      </c>
      <c r="E2794" t="s">
        <v>19</v>
      </c>
      <c r="F2794" t="s">
        <v>19</v>
      </c>
      <c r="G2794" t="s">
        <v>37</v>
      </c>
      <c r="H2794" t="s">
        <v>43</v>
      </c>
      <c r="I2794" s="187">
        <v>866.1775631999999</v>
      </c>
      <c r="J2794" s="187">
        <v>0</v>
      </c>
      <c r="K2794" s="187">
        <v>115.25979671000459</v>
      </c>
      <c r="L2794" s="187">
        <v>3760</v>
      </c>
      <c r="M2794" s="187">
        <v>4741.4375</v>
      </c>
      <c r="N2794" s="187">
        <v>4626.177734375</v>
      </c>
      <c r="O2794" t="s">
        <v>3253</v>
      </c>
    </row>
    <row r="2795" spans="1:15" hidden="1" x14ac:dyDescent="0.45">
      <c r="A2795" s="187">
        <v>2019</v>
      </c>
      <c r="B2795" t="s">
        <v>313</v>
      </c>
      <c r="C2795" t="s">
        <v>322</v>
      </c>
      <c r="D2795" t="s">
        <v>35</v>
      </c>
      <c r="E2795" t="s">
        <v>19</v>
      </c>
      <c r="F2795" t="s">
        <v>19</v>
      </c>
      <c r="G2795" t="s">
        <v>37</v>
      </c>
      <c r="H2795" t="s">
        <v>43</v>
      </c>
      <c r="I2795" s="187">
        <v>793.79929733400013</v>
      </c>
      <c r="J2795" s="187">
        <v>10</v>
      </c>
      <c r="K2795" s="187">
        <v>115.09612914687681</v>
      </c>
      <c r="L2795" s="187">
        <v>3216</v>
      </c>
      <c r="M2795" s="187">
        <v>4134.8955078125</v>
      </c>
      <c r="N2795" s="187">
        <v>4009.79931640625</v>
      </c>
      <c r="O2795" t="s">
        <v>3255</v>
      </c>
    </row>
    <row r="2796" spans="1:15" hidden="1" x14ac:dyDescent="0.45">
      <c r="A2796" s="187">
        <v>2019</v>
      </c>
      <c r="B2796" t="s">
        <v>315</v>
      </c>
      <c r="C2796" t="s">
        <v>322</v>
      </c>
      <c r="D2796" t="s">
        <v>35</v>
      </c>
      <c r="E2796" t="s">
        <v>19</v>
      </c>
      <c r="F2796" t="s">
        <v>19</v>
      </c>
      <c r="G2796" t="s">
        <v>37</v>
      </c>
      <c r="H2796" t="s">
        <v>43</v>
      </c>
      <c r="I2796" s="187">
        <v>1237</v>
      </c>
      <c r="J2796" s="187">
        <v>0</v>
      </c>
      <c r="K2796" s="187">
        <v>138.77567999999999</v>
      </c>
      <c r="L2796" s="187">
        <v>2569</v>
      </c>
      <c r="M2796" s="187">
        <v>3944.775634765625</v>
      </c>
      <c r="N2796" s="187">
        <v>3806</v>
      </c>
      <c r="O2796" t="s">
        <v>3251</v>
      </c>
    </row>
    <row r="2797" spans="1:15" hidden="1" x14ac:dyDescent="0.45">
      <c r="A2797" s="187">
        <v>2019</v>
      </c>
      <c r="B2797" t="s">
        <v>310</v>
      </c>
      <c r="C2797" t="s">
        <v>322</v>
      </c>
      <c r="D2797" t="s">
        <v>35</v>
      </c>
      <c r="E2797" t="s">
        <v>349</v>
      </c>
      <c r="F2797" t="s">
        <v>349</v>
      </c>
      <c r="G2797" t="s">
        <v>36</v>
      </c>
      <c r="H2797" t="s">
        <v>43</v>
      </c>
      <c r="I2797" s="187"/>
      <c r="J2797" s="187">
        <v>581.93576669008166</v>
      </c>
      <c r="K2797" s="187">
        <v>3732.3523223513371</v>
      </c>
      <c r="L2797" s="187">
        <v>4192.5529618166338</v>
      </c>
      <c r="M2797" s="187">
        <v>8506.8408203125</v>
      </c>
      <c r="N2797" s="187">
        <v>4192.552734375</v>
      </c>
      <c r="O2797" t="s">
        <v>3262</v>
      </c>
    </row>
    <row r="2798" spans="1:15" hidden="1" x14ac:dyDescent="0.45">
      <c r="A2798" s="187">
        <v>2019</v>
      </c>
      <c r="B2798" t="s">
        <v>311</v>
      </c>
      <c r="C2798" t="s">
        <v>322</v>
      </c>
      <c r="D2798" t="s">
        <v>35</v>
      </c>
      <c r="E2798" t="s">
        <v>349</v>
      </c>
      <c r="F2798" t="s">
        <v>349</v>
      </c>
      <c r="G2798" t="s">
        <v>36</v>
      </c>
      <c r="H2798" t="s">
        <v>43</v>
      </c>
      <c r="I2798" s="187"/>
      <c r="J2798" s="187">
        <v>707.78823807352717</v>
      </c>
      <c r="K2798" s="187">
        <v>4131.0426022492766</v>
      </c>
      <c r="L2798" s="187">
        <v>2809.4729522089738</v>
      </c>
      <c r="M2798" s="187">
        <v>7648.3037109375</v>
      </c>
      <c r="N2798" s="187">
        <v>2809.472900390625</v>
      </c>
      <c r="O2798" t="s">
        <v>3258</v>
      </c>
    </row>
    <row r="2799" spans="1:15" hidden="1" x14ac:dyDescent="0.45">
      <c r="A2799" s="187">
        <v>2019</v>
      </c>
      <c r="B2799" t="s">
        <v>314</v>
      </c>
      <c r="C2799" t="s">
        <v>322</v>
      </c>
      <c r="D2799" t="s">
        <v>35</v>
      </c>
      <c r="E2799" t="s">
        <v>349</v>
      </c>
      <c r="F2799" t="s">
        <v>349</v>
      </c>
      <c r="G2799" t="s">
        <v>36</v>
      </c>
      <c r="H2799" t="s">
        <v>43</v>
      </c>
      <c r="I2799" s="187">
        <v>5138.0239361072472</v>
      </c>
      <c r="J2799" s="187">
        <v>274.89767601934034</v>
      </c>
      <c r="K2799" s="187">
        <v>2578.9741656678821</v>
      </c>
      <c r="L2799" s="187">
        <v>1790.3293561090088</v>
      </c>
      <c r="M2799" s="187">
        <v>9782.224609375</v>
      </c>
      <c r="N2799" s="187">
        <v>6928.353515625</v>
      </c>
      <c r="O2799" t="s">
        <v>3261</v>
      </c>
    </row>
    <row r="2800" spans="1:15" hidden="1" x14ac:dyDescent="0.45">
      <c r="A2800" s="187">
        <v>2019</v>
      </c>
      <c r="B2800" t="s">
        <v>309</v>
      </c>
      <c r="C2800" t="s">
        <v>322</v>
      </c>
      <c r="D2800" t="s">
        <v>35</v>
      </c>
      <c r="E2800" t="s">
        <v>349</v>
      </c>
      <c r="F2800" t="s">
        <v>349</v>
      </c>
      <c r="G2800" t="s">
        <v>36</v>
      </c>
      <c r="H2800" t="s">
        <v>43</v>
      </c>
      <c r="I2800" s="187"/>
      <c r="J2800" s="187">
        <v>555.04304788133652</v>
      </c>
      <c r="K2800" s="187">
        <v>3767.7355344546336</v>
      </c>
      <c r="L2800" s="187">
        <v>1385.6205920856278</v>
      </c>
      <c r="M2800" s="187">
        <v>5708.39892578125</v>
      </c>
      <c r="N2800" s="187">
        <v>1385.62060546875</v>
      </c>
      <c r="O2800" t="s">
        <v>3259</v>
      </c>
    </row>
    <row r="2801" spans="1:15" hidden="1" x14ac:dyDescent="0.45">
      <c r="A2801" s="187">
        <v>2019</v>
      </c>
      <c r="B2801" t="s">
        <v>312</v>
      </c>
      <c r="C2801" t="s">
        <v>322</v>
      </c>
      <c r="D2801" t="s">
        <v>35</v>
      </c>
      <c r="E2801" t="s">
        <v>349</v>
      </c>
      <c r="F2801" t="s">
        <v>349</v>
      </c>
      <c r="G2801" t="s">
        <v>36</v>
      </c>
      <c r="H2801" t="s">
        <v>43</v>
      </c>
      <c r="I2801" s="187">
        <v>4550.5931883082922</v>
      </c>
      <c r="J2801" s="187">
        <v>680.11582977433716</v>
      </c>
      <c r="K2801" s="187">
        <v>3714.8351195677319</v>
      </c>
      <c r="L2801" s="187">
        <v>1482.6525089080549</v>
      </c>
      <c r="M2801" s="187">
        <v>10428.1962890625</v>
      </c>
      <c r="N2801" s="187">
        <v>6033.24560546875</v>
      </c>
      <c r="O2801" t="s">
        <v>3260</v>
      </c>
    </row>
    <row r="2802" spans="1:15" hidden="1" x14ac:dyDescent="0.45">
      <c r="A2802" s="187">
        <v>2019</v>
      </c>
      <c r="B2802" t="s">
        <v>313</v>
      </c>
      <c r="C2802" t="s">
        <v>322</v>
      </c>
      <c r="D2802" t="s">
        <v>35</v>
      </c>
      <c r="E2802" t="s">
        <v>349</v>
      </c>
      <c r="F2802" t="s">
        <v>349</v>
      </c>
      <c r="G2802" t="s">
        <v>36</v>
      </c>
      <c r="H2802" t="s">
        <v>43</v>
      </c>
      <c r="I2802" s="187">
        <v>4348.3475045513878</v>
      </c>
      <c r="J2802" s="187">
        <v>539.05134353942822</v>
      </c>
      <c r="K2802" s="187">
        <v>2729.3719212050987</v>
      </c>
      <c r="L2802" s="187">
        <v>1678.2465162194198</v>
      </c>
      <c r="M2802" s="187">
        <v>9295.017578125</v>
      </c>
      <c r="N2802" s="187">
        <v>6026.59423828125</v>
      </c>
      <c r="O2802" t="s">
        <v>3257</v>
      </c>
    </row>
    <row r="2803" spans="1:15" hidden="1" x14ac:dyDescent="0.45">
      <c r="A2803" s="187">
        <v>2019</v>
      </c>
      <c r="B2803" t="s">
        <v>315</v>
      </c>
      <c r="C2803" t="s">
        <v>322</v>
      </c>
      <c r="D2803" t="s">
        <v>35</v>
      </c>
      <c r="E2803" t="s">
        <v>349</v>
      </c>
      <c r="F2803" t="s">
        <v>349</v>
      </c>
      <c r="G2803" t="s">
        <v>36</v>
      </c>
      <c r="H2803" t="s">
        <v>43</v>
      </c>
      <c r="I2803" s="187">
        <v>3879.8312189336311</v>
      </c>
      <c r="J2803" s="187">
        <v>184.64598209815529</v>
      </c>
      <c r="K2803" s="187">
        <v>2369.2247224367211</v>
      </c>
      <c r="L2803" s="187">
        <v>1700.3289517136877</v>
      </c>
      <c r="M2803" s="187">
        <v>8134.03125</v>
      </c>
      <c r="N2803" s="187">
        <v>5580.16015625</v>
      </c>
      <c r="O2803" t="s">
        <v>3256</v>
      </c>
    </row>
    <row r="2804" spans="1:15" hidden="1" x14ac:dyDescent="0.45">
      <c r="A2804" s="187">
        <v>2019</v>
      </c>
      <c r="B2804" t="s">
        <v>309</v>
      </c>
      <c r="C2804" t="s">
        <v>322</v>
      </c>
      <c r="D2804" t="s">
        <v>35</v>
      </c>
      <c r="E2804" t="s">
        <v>349</v>
      </c>
      <c r="F2804" t="s">
        <v>349</v>
      </c>
      <c r="G2804" t="s">
        <v>37</v>
      </c>
      <c r="H2804" t="s">
        <v>43</v>
      </c>
      <c r="I2804" s="187"/>
      <c r="J2804" s="187">
        <v>470.66269999999997</v>
      </c>
      <c r="K2804" s="187">
        <v>3252.8929725978342</v>
      </c>
      <c r="L2804" s="187">
        <v>1243</v>
      </c>
      <c r="M2804" s="187">
        <v>4966.5556640625</v>
      </c>
      <c r="N2804" s="187">
        <v>1243</v>
      </c>
      <c r="O2804" t="s">
        <v>3267</v>
      </c>
    </row>
    <row r="2805" spans="1:15" hidden="1" x14ac:dyDescent="0.45">
      <c r="A2805" s="187">
        <v>2019</v>
      </c>
      <c r="B2805" t="s">
        <v>310</v>
      </c>
      <c r="C2805" t="s">
        <v>322</v>
      </c>
      <c r="D2805" t="s">
        <v>35</v>
      </c>
      <c r="E2805" t="s">
        <v>349</v>
      </c>
      <c r="F2805" t="s">
        <v>349</v>
      </c>
      <c r="G2805" t="s">
        <v>37</v>
      </c>
      <c r="H2805" t="s">
        <v>43</v>
      </c>
      <c r="I2805" s="187"/>
      <c r="J2805" s="187">
        <v>493</v>
      </c>
      <c r="K2805" s="187">
        <v>3163.7528812130399</v>
      </c>
      <c r="L2805" s="187">
        <v>3665</v>
      </c>
      <c r="M2805" s="187">
        <v>7321.7529296875</v>
      </c>
      <c r="N2805" s="187">
        <v>3665</v>
      </c>
      <c r="O2805" t="s">
        <v>3269</v>
      </c>
    </row>
    <row r="2806" spans="1:15" hidden="1" x14ac:dyDescent="0.45">
      <c r="A2806" s="187">
        <v>2019</v>
      </c>
      <c r="B2806" t="s">
        <v>313</v>
      </c>
      <c r="C2806" t="s">
        <v>322</v>
      </c>
      <c r="D2806" t="s">
        <v>35</v>
      </c>
      <c r="E2806" t="s">
        <v>349</v>
      </c>
      <c r="F2806" t="s">
        <v>349</v>
      </c>
      <c r="G2806" t="s">
        <v>37</v>
      </c>
      <c r="H2806" t="s">
        <v>43</v>
      </c>
      <c r="I2806" s="187">
        <v>3768.1331885999998</v>
      </c>
      <c r="J2806" s="187">
        <v>468</v>
      </c>
      <c r="K2806" s="187">
        <v>2361.1473923491849</v>
      </c>
      <c r="L2806" s="187">
        <v>1457</v>
      </c>
      <c r="M2806" s="187">
        <v>8054.28076171875</v>
      </c>
      <c r="N2806" s="187">
        <v>5225.13330078125</v>
      </c>
      <c r="O2806" t="s">
        <v>3264</v>
      </c>
    </row>
    <row r="2807" spans="1:15" hidden="1" x14ac:dyDescent="0.45">
      <c r="A2807" s="187">
        <v>2019</v>
      </c>
      <c r="B2807" t="s">
        <v>312</v>
      </c>
      <c r="C2807" t="s">
        <v>322</v>
      </c>
      <c r="D2807" t="s">
        <v>35</v>
      </c>
      <c r="E2807" t="s">
        <v>349</v>
      </c>
      <c r="F2807" t="s">
        <v>349</v>
      </c>
      <c r="G2807" t="s">
        <v>37</v>
      </c>
      <c r="H2807" t="s">
        <v>43</v>
      </c>
      <c r="I2807" s="187">
        <v>3839.136028848</v>
      </c>
      <c r="J2807" s="187">
        <v>584</v>
      </c>
      <c r="K2807" s="187">
        <v>3178.1797249882129</v>
      </c>
      <c r="L2807" s="187">
        <v>1265</v>
      </c>
      <c r="M2807" s="187">
        <v>8866.3154296875</v>
      </c>
      <c r="N2807" s="187">
        <v>5104.1357421875</v>
      </c>
      <c r="O2807" t="s">
        <v>3268</v>
      </c>
    </row>
    <row r="2808" spans="1:15" hidden="1" x14ac:dyDescent="0.45">
      <c r="A2808" s="187">
        <v>2019</v>
      </c>
      <c r="B2808" t="s">
        <v>314</v>
      </c>
      <c r="C2808" t="s">
        <v>322</v>
      </c>
      <c r="D2808" t="s">
        <v>35</v>
      </c>
      <c r="E2808" t="s">
        <v>349</v>
      </c>
      <c r="F2808" t="s">
        <v>349</v>
      </c>
      <c r="G2808" t="s">
        <v>37</v>
      </c>
      <c r="H2808" t="s">
        <v>43</v>
      </c>
      <c r="I2808" s="187">
        <v>4500.5433000000003</v>
      </c>
      <c r="J2808" s="187">
        <v>241</v>
      </c>
      <c r="K2808" s="187">
        <v>2261.1887963382119</v>
      </c>
      <c r="L2808" s="187">
        <v>1593</v>
      </c>
      <c r="M2808" s="187">
        <v>8595.732421875</v>
      </c>
      <c r="N2808" s="187">
        <v>6093.54345703125</v>
      </c>
      <c r="O2808" t="s">
        <v>3265</v>
      </c>
    </row>
    <row r="2809" spans="1:15" hidden="1" x14ac:dyDescent="0.45">
      <c r="A2809" s="187">
        <v>2019</v>
      </c>
      <c r="B2809" t="s">
        <v>311</v>
      </c>
      <c r="C2809" t="s">
        <v>322</v>
      </c>
      <c r="D2809" t="s">
        <v>35</v>
      </c>
      <c r="E2809" t="s">
        <v>349</v>
      </c>
      <c r="F2809" t="s">
        <v>349</v>
      </c>
      <c r="G2809" t="s">
        <v>37</v>
      </c>
      <c r="H2809" t="s">
        <v>43</v>
      </c>
      <c r="I2809" s="187"/>
      <c r="J2809" s="187">
        <v>601</v>
      </c>
      <c r="K2809" s="187">
        <v>3480.7138125835791</v>
      </c>
      <c r="L2809" s="187">
        <v>2461</v>
      </c>
      <c r="M2809" s="187">
        <v>6542.7138671875</v>
      </c>
      <c r="N2809" s="187">
        <v>2461</v>
      </c>
      <c r="O2809" t="s">
        <v>3263</v>
      </c>
    </row>
    <row r="2810" spans="1:15" hidden="1" x14ac:dyDescent="0.45">
      <c r="A2810" s="187">
        <v>2019</v>
      </c>
      <c r="B2810" t="s">
        <v>315</v>
      </c>
      <c r="C2810" t="s">
        <v>322</v>
      </c>
      <c r="D2810" t="s">
        <v>35</v>
      </c>
      <c r="E2810" t="s">
        <v>349</v>
      </c>
      <c r="F2810" t="s">
        <v>349</v>
      </c>
      <c r="G2810" t="s">
        <v>37</v>
      </c>
      <c r="H2810" t="s">
        <v>43</v>
      </c>
      <c r="I2810" s="187">
        <v>3425</v>
      </c>
      <c r="J2810" s="187">
        <v>163</v>
      </c>
      <c r="K2810" s="187">
        <v>2091.4813600000002</v>
      </c>
      <c r="L2810" s="187">
        <v>1501</v>
      </c>
      <c r="M2810" s="187">
        <v>7180.4814453125</v>
      </c>
      <c r="N2810" s="187">
        <v>4926</v>
      </c>
      <c r="O2810" t="s">
        <v>3266</v>
      </c>
    </row>
    <row r="2811" spans="1:15" hidden="1" x14ac:dyDescent="0.45">
      <c r="A2811" s="187">
        <v>2019</v>
      </c>
      <c r="B2811" t="s">
        <v>314</v>
      </c>
      <c r="C2811" t="s">
        <v>322</v>
      </c>
      <c r="D2811" t="s">
        <v>35</v>
      </c>
      <c r="E2811" t="s">
        <v>46</v>
      </c>
      <c r="F2811" t="s">
        <v>46</v>
      </c>
      <c r="G2811" t="s">
        <v>37</v>
      </c>
      <c r="H2811" t="s">
        <v>43</v>
      </c>
      <c r="I2811" s="187">
        <v>13724.35029281574</v>
      </c>
      <c r="J2811" s="187">
        <v>863</v>
      </c>
      <c r="K2811" s="187">
        <v>18900.332325838812</v>
      </c>
      <c r="L2811" s="187">
        <v>17887</v>
      </c>
      <c r="M2811" s="187">
        <v>51374.68359375</v>
      </c>
      <c r="N2811" s="187">
        <v>31611.3515625</v>
      </c>
      <c r="O2811" t="s">
        <v>3274</v>
      </c>
    </row>
    <row r="2812" spans="1:15" hidden="1" x14ac:dyDescent="0.45">
      <c r="A2812" s="187">
        <v>2019</v>
      </c>
      <c r="B2812" t="s">
        <v>313</v>
      </c>
      <c r="C2812" t="s">
        <v>322</v>
      </c>
      <c r="D2812" t="s">
        <v>35</v>
      </c>
      <c r="E2812" t="s">
        <v>46</v>
      </c>
      <c r="F2812" t="s">
        <v>46</v>
      </c>
      <c r="G2812" t="s">
        <v>37</v>
      </c>
      <c r="H2812" t="s">
        <v>43</v>
      </c>
      <c r="I2812" s="187">
        <v>12733.81159500319</v>
      </c>
      <c r="J2812" s="187">
        <v>853</v>
      </c>
      <c r="K2812" s="187">
        <v>16628.367366861101</v>
      </c>
      <c r="L2812" s="187"/>
      <c r="M2812" s="187">
        <v>30215.1796875</v>
      </c>
      <c r="N2812" s="187">
        <v>12733.8115234375</v>
      </c>
      <c r="O2812" t="s">
        <v>3270</v>
      </c>
    </row>
    <row r="2813" spans="1:15" hidden="1" x14ac:dyDescent="0.45">
      <c r="A2813" s="187">
        <v>2019</v>
      </c>
      <c r="B2813" t="s">
        <v>312</v>
      </c>
      <c r="C2813" t="s">
        <v>322</v>
      </c>
      <c r="D2813" t="s">
        <v>35</v>
      </c>
      <c r="E2813" t="s">
        <v>46</v>
      </c>
      <c r="F2813" t="s">
        <v>46</v>
      </c>
      <c r="G2813" t="s">
        <v>37</v>
      </c>
      <c r="H2813" t="s">
        <v>43</v>
      </c>
      <c r="I2813" s="187">
        <v>9829.2292297926397</v>
      </c>
      <c r="J2813" s="187">
        <v>923</v>
      </c>
      <c r="K2813" s="187">
        <v>14579.613182157011</v>
      </c>
      <c r="L2813" s="187">
        <v>18466</v>
      </c>
      <c r="M2813" s="187">
        <v>43797.84375</v>
      </c>
      <c r="N2813" s="187">
        <v>28295.23046875</v>
      </c>
      <c r="O2813" t="s">
        <v>3271</v>
      </c>
    </row>
    <row r="2814" spans="1:15" hidden="1" x14ac:dyDescent="0.45">
      <c r="A2814" s="187">
        <v>2019</v>
      </c>
      <c r="B2814" t="s">
        <v>315</v>
      </c>
      <c r="C2814" t="s">
        <v>322</v>
      </c>
      <c r="D2814" t="s">
        <v>35</v>
      </c>
      <c r="E2814" t="s">
        <v>46</v>
      </c>
      <c r="F2814" t="s">
        <v>46</v>
      </c>
      <c r="G2814" t="s">
        <v>37</v>
      </c>
      <c r="H2814" t="s">
        <v>43</v>
      </c>
      <c r="I2814" s="187">
        <v>13724</v>
      </c>
      <c r="J2814" s="187">
        <v>848</v>
      </c>
      <c r="K2814" s="187">
        <v>18690.254173747919</v>
      </c>
      <c r="L2814" s="187">
        <v>21684</v>
      </c>
      <c r="M2814" s="187">
        <v>54946.25390625</v>
      </c>
      <c r="N2814" s="187">
        <v>35408</v>
      </c>
      <c r="O2814" t="s">
        <v>3272</v>
      </c>
    </row>
    <row r="2815" spans="1:15" hidden="1" x14ac:dyDescent="0.45">
      <c r="A2815" s="187">
        <v>2019</v>
      </c>
      <c r="B2815" t="s">
        <v>311</v>
      </c>
      <c r="C2815" t="s">
        <v>322</v>
      </c>
      <c r="D2815" t="s">
        <v>35</v>
      </c>
      <c r="E2815" t="s">
        <v>46</v>
      </c>
      <c r="F2815" t="s">
        <v>46</v>
      </c>
      <c r="G2815" t="s">
        <v>37</v>
      </c>
      <c r="H2815" t="s">
        <v>43</v>
      </c>
      <c r="I2815" s="187"/>
      <c r="J2815" s="187">
        <v>1012</v>
      </c>
      <c r="K2815" s="187">
        <v>14465.211939263279</v>
      </c>
      <c r="L2815" s="187">
        <v>21072</v>
      </c>
      <c r="M2815" s="187">
        <v>36549.2109375</v>
      </c>
      <c r="N2815" s="187">
        <v>21072</v>
      </c>
      <c r="O2815" t="s">
        <v>3273</v>
      </c>
    </row>
    <row r="2816" spans="1:15" hidden="1" x14ac:dyDescent="0.45">
      <c r="A2816" s="187">
        <v>2019</v>
      </c>
      <c r="B2816" t="s">
        <v>313</v>
      </c>
      <c r="C2816" t="s">
        <v>322</v>
      </c>
      <c r="D2816" t="s">
        <v>35</v>
      </c>
      <c r="E2816" t="s">
        <v>350</v>
      </c>
      <c r="F2816" t="s">
        <v>350</v>
      </c>
      <c r="G2816" t="s">
        <v>37</v>
      </c>
      <c r="H2816" t="s">
        <v>43</v>
      </c>
      <c r="I2816" s="187">
        <v>12340.53850230751</v>
      </c>
      <c r="J2816" s="187">
        <v>853</v>
      </c>
      <c r="K2816" s="187">
        <v>16337.408057236889</v>
      </c>
      <c r="L2816" s="187">
        <v>19082.226640500001</v>
      </c>
      <c r="M2816" s="187">
        <v>48613.171875</v>
      </c>
      <c r="N2816" s="187">
        <v>31422.765625</v>
      </c>
      <c r="O2816" t="s">
        <v>3281</v>
      </c>
    </row>
    <row r="2817" spans="1:15" hidden="1" x14ac:dyDescent="0.45">
      <c r="A2817" s="187">
        <v>2019</v>
      </c>
      <c r="B2817" t="s">
        <v>312</v>
      </c>
      <c r="C2817" t="s">
        <v>322</v>
      </c>
      <c r="D2817" t="s">
        <v>35</v>
      </c>
      <c r="E2817" t="s">
        <v>350</v>
      </c>
      <c r="F2817" t="s">
        <v>350</v>
      </c>
      <c r="G2817" t="s">
        <v>37</v>
      </c>
      <c r="H2817" t="s">
        <v>43</v>
      </c>
      <c r="I2817" s="187">
        <v>10141.94287830189</v>
      </c>
      <c r="J2817" s="187">
        <v>923</v>
      </c>
      <c r="K2817" s="187">
        <v>14579.062016289339</v>
      </c>
      <c r="L2817" s="187">
        <v>18462</v>
      </c>
      <c r="M2817" s="187">
        <v>44106.0078125</v>
      </c>
      <c r="N2817" s="187">
        <v>28603.943359375</v>
      </c>
      <c r="O2817" t="s">
        <v>3277</v>
      </c>
    </row>
    <row r="2818" spans="1:15" hidden="1" x14ac:dyDescent="0.45">
      <c r="A2818" s="187">
        <v>2019</v>
      </c>
      <c r="B2818" t="s">
        <v>315</v>
      </c>
      <c r="C2818" t="s">
        <v>322</v>
      </c>
      <c r="D2818" t="s">
        <v>35</v>
      </c>
      <c r="E2818" t="s">
        <v>350</v>
      </c>
      <c r="F2818" t="s">
        <v>350</v>
      </c>
      <c r="G2818" t="s">
        <v>37</v>
      </c>
      <c r="H2818" t="s">
        <v>43</v>
      </c>
      <c r="I2818" s="187">
        <v>14574</v>
      </c>
      <c r="J2818" s="187">
        <v>848</v>
      </c>
      <c r="K2818" s="187">
        <v>18462.272305195482</v>
      </c>
      <c r="L2818" s="187">
        <v>20716</v>
      </c>
      <c r="M2818" s="187">
        <v>54600.2734375</v>
      </c>
      <c r="N2818" s="187">
        <v>35290</v>
      </c>
      <c r="O2818" t="s">
        <v>3276</v>
      </c>
    </row>
    <row r="2819" spans="1:15" hidden="1" x14ac:dyDescent="0.45">
      <c r="A2819" s="187">
        <v>2019</v>
      </c>
      <c r="B2819" t="s">
        <v>309</v>
      </c>
      <c r="C2819" t="s">
        <v>322</v>
      </c>
      <c r="D2819" t="s">
        <v>35</v>
      </c>
      <c r="E2819" t="s">
        <v>350</v>
      </c>
      <c r="F2819" t="s">
        <v>350</v>
      </c>
      <c r="G2819" t="s">
        <v>37</v>
      </c>
      <c r="H2819" t="s">
        <v>43</v>
      </c>
      <c r="I2819" s="187"/>
      <c r="J2819" s="187">
        <v>887.40699999999993</v>
      </c>
      <c r="K2819" s="187">
        <v>14420.20028041799</v>
      </c>
      <c r="L2819" s="187">
        <v>21011</v>
      </c>
      <c r="M2819" s="187">
        <v>36318.609375</v>
      </c>
      <c r="N2819" s="187">
        <v>21011</v>
      </c>
      <c r="O2819" t="s">
        <v>3280</v>
      </c>
    </row>
    <row r="2820" spans="1:15" hidden="1" x14ac:dyDescent="0.45">
      <c r="A2820" s="187">
        <v>2019</v>
      </c>
      <c r="B2820" t="s">
        <v>314</v>
      </c>
      <c r="C2820" t="s">
        <v>322</v>
      </c>
      <c r="D2820" t="s">
        <v>35</v>
      </c>
      <c r="E2820" t="s">
        <v>350</v>
      </c>
      <c r="F2820" t="s">
        <v>350</v>
      </c>
      <c r="G2820" t="s">
        <v>37</v>
      </c>
      <c r="H2820" t="s">
        <v>43</v>
      </c>
      <c r="I2820" s="187">
        <v>14416.356441350579</v>
      </c>
      <c r="J2820" s="187">
        <v>863</v>
      </c>
      <c r="K2820" s="187">
        <v>18769.556050734071</v>
      </c>
      <c r="L2820" s="187">
        <v>17923</v>
      </c>
      <c r="M2820" s="187">
        <v>51971.9140625</v>
      </c>
      <c r="N2820" s="187">
        <v>32339.35546875</v>
      </c>
      <c r="O2820" t="s">
        <v>3275</v>
      </c>
    </row>
    <row r="2821" spans="1:15" hidden="1" x14ac:dyDescent="0.45">
      <c r="A2821" s="187">
        <v>2019</v>
      </c>
      <c r="B2821" t="s">
        <v>311</v>
      </c>
      <c r="C2821" t="s">
        <v>322</v>
      </c>
      <c r="D2821" t="s">
        <v>35</v>
      </c>
      <c r="E2821" t="s">
        <v>350</v>
      </c>
      <c r="F2821" t="s">
        <v>350</v>
      </c>
      <c r="G2821" t="s">
        <v>37</v>
      </c>
      <c r="H2821" t="s">
        <v>43</v>
      </c>
      <c r="I2821" s="187"/>
      <c r="J2821" s="187">
        <v>1012</v>
      </c>
      <c r="K2821" s="187">
        <v>14468.042928610201</v>
      </c>
      <c r="L2821" s="187">
        <v>21288</v>
      </c>
      <c r="M2821" s="187">
        <v>36768.04296875</v>
      </c>
      <c r="N2821" s="187">
        <v>21288</v>
      </c>
      <c r="O2821" t="s">
        <v>3278</v>
      </c>
    </row>
    <row r="2822" spans="1:15" hidden="1" x14ac:dyDescent="0.45">
      <c r="A2822" s="187">
        <v>2019</v>
      </c>
      <c r="B2822" t="s">
        <v>310</v>
      </c>
      <c r="C2822" t="s">
        <v>322</v>
      </c>
      <c r="D2822" t="s">
        <v>35</v>
      </c>
      <c r="E2822" t="s">
        <v>350</v>
      </c>
      <c r="F2822" t="s">
        <v>350</v>
      </c>
      <c r="G2822" t="s">
        <v>37</v>
      </c>
      <c r="H2822" t="s">
        <v>43</v>
      </c>
      <c r="I2822" s="187"/>
      <c r="J2822" s="187">
        <v>808</v>
      </c>
      <c r="K2822" s="187">
        <v>13526.808246270281</v>
      </c>
      <c r="L2822" s="187">
        <v>25903</v>
      </c>
      <c r="M2822" s="187">
        <v>40237.80859375</v>
      </c>
      <c r="N2822" s="187">
        <v>25903</v>
      </c>
      <c r="O2822" t="s">
        <v>3279</v>
      </c>
    </row>
    <row r="2823" spans="1:15" hidden="1" x14ac:dyDescent="0.45">
      <c r="A2823" s="187">
        <v>2019</v>
      </c>
      <c r="B2823" t="s">
        <v>315</v>
      </c>
      <c r="C2823" t="s">
        <v>322</v>
      </c>
      <c r="D2823" t="s">
        <v>35</v>
      </c>
      <c r="E2823" t="s">
        <v>16</v>
      </c>
      <c r="F2823" t="s">
        <v>16</v>
      </c>
      <c r="G2823" t="s">
        <v>36</v>
      </c>
      <c r="H2823" t="s">
        <v>43</v>
      </c>
      <c r="I2823" s="187">
        <v>7079.9839761562616</v>
      </c>
      <c r="J2823" s="187">
        <v>239.02025903503537</v>
      </c>
      <c r="K2823" s="187">
        <v>8313.2784438363888</v>
      </c>
      <c r="L2823" s="187">
        <v>19958.758028143548</v>
      </c>
      <c r="M2823" s="187">
        <v>35591.0390625</v>
      </c>
      <c r="N2823" s="187">
        <v>27038.7421875</v>
      </c>
      <c r="O2823" t="s">
        <v>3286</v>
      </c>
    </row>
    <row r="2824" spans="1:15" hidden="1" x14ac:dyDescent="0.45">
      <c r="A2824" s="187">
        <v>2019</v>
      </c>
      <c r="B2824" t="s">
        <v>311</v>
      </c>
      <c r="C2824" t="s">
        <v>322</v>
      </c>
      <c r="D2824" t="s">
        <v>35</v>
      </c>
      <c r="E2824" t="s">
        <v>16</v>
      </c>
      <c r="F2824" t="s">
        <v>16</v>
      </c>
      <c r="G2824" t="s">
        <v>36</v>
      </c>
      <c r="H2824" t="s">
        <v>43</v>
      </c>
      <c r="I2824" s="187"/>
      <c r="J2824" s="187">
        <v>127.5294122655004</v>
      </c>
      <c r="K2824" s="187">
        <v>5227.7774888386421</v>
      </c>
      <c r="L2824" s="187">
        <v>19552.809488546522</v>
      </c>
      <c r="M2824" s="187">
        <v>24908.1171875</v>
      </c>
      <c r="N2824" s="187">
        <v>19552.80859375</v>
      </c>
      <c r="O2824" t="s">
        <v>3285</v>
      </c>
    </row>
    <row r="2825" spans="1:15" hidden="1" x14ac:dyDescent="0.45">
      <c r="A2825" s="187">
        <v>2019</v>
      </c>
      <c r="B2825" t="s">
        <v>314</v>
      </c>
      <c r="C2825" t="s">
        <v>322</v>
      </c>
      <c r="D2825" t="s">
        <v>35</v>
      </c>
      <c r="E2825" t="s">
        <v>16</v>
      </c>
      <c r="F2825" t="s">
        <v>16</v>
      </c>
      <c r="G2825" t="s">
        <v>36</v>
      </c>
      <c r="H2825" t="s">
        <v>43</v>
      </c>
      <c r="I2825" s="187">
        <v>8016.0422887674022</v>
      </c>
      <c r="J2825" s="187">
        <v>139.77847933186797</v>
      </c>
      <c r="K2825" s="187">
        <v>7118.9063865089702</v>
      </c>
      <c r="L2825" s="187">
        <v>19263.804093253606</v>
      </c>
      <c r="M2825" s="187">
        <v>34538.53125</v>
      </c>
      <c r="N2825" s="187">
        <v>27279.845703125</v>
      </c>
      <c r="O2825" t="s">
        <v>3283</v>
      </c>
    </row>
    <row r="2826" spans="1:15" hidden="1" x14ac:dyDescent="0.45">
      <c r="A2826" s="187">
        <v>2019</v>
      </c>
      <c r="B2826" t="s">
        <v>309</v>
      </c>
      <c r="C2826" t="s">
        <v>322</v>
      </c>
      <c r="D2826" t="s">
        <v>35</v>
      </c>
      <c r="E2826" t="s">
        <v>16</v>
      </c>
      <c r="F2826" t="s">
        <v>16</v>
      </c>
      <c r="G2826" t="s">
        <v>36</v>
      </c>
      <c r="H2826" t="s">
        <v>43</v>
      </c>
      <c r="I2826" s="187"/>
      <c r="J2826" s="187">
        <v>120.54634214129266</v>
      </c>
      <c r="K2826" s="187">
        <v>4887.5065352945503</v>
      </c>
      <c r="L2826" s="187">
        <v>13372.695867212631</v>
      </c>
      <c r="M2826" s="187">
        <v>18380.748046875</v>
      </c>
      <c r="N2826" s="187">
        <v>13372.6962890625</v>
      </c>
      <c r="O2826" t="s">
        <v>3288</v>
      </c>
    </row>
    <row r="2827" spans="1:15" hidden="1" x14ac:dyDescent="0.45">
      <c r="A2827" s="187">
        <v>2019</v>
      </c>
      <c r="B2827" t="s">
        <v>312</v>
      </c>
      <c r="C2827" t="s">
        <v>322</v>
      </c>
      <c r="D2827" t="s">
        <v>35</v>
      </c>
      <c r="E2827" t="s">
        <v>16</v>
      </c>
      <c r="F2827" t="s">
        <v>16</v>
      </c>
      <c r="G2827" t="s">
        <v>36</v>
      </c>
      <c r="H2827" t="s">
        <v>43</v>
      </c>
      <c r="I2827" s="187">
        <v>4700.8342939241138</v>
      </c>
      <c r="J2827" s="187">
        <v>129.84029477510072</v>
      </c>
      <c r="K2827" s="187">
        <v>4921.1173460674363</v>
      </c>
      <c r="L2827" s="187">
        <v>17622.419436571054</v>
      </c>
      <c r="M2827" s="187">
        <v>27374.2109375</v>
      </c>
      <c r="N2827" s="187">
        <v>22323.25390625</v>
      </c>
      <c r="O2827" t="s">
        <v>3284</v>
      </c>
    </row>
    <row r="2828" spans="1:15" hidden="1" x14ac:dyDescent="0.45">
      <c r="A2828" s="187">
        <v>2019</v>
      </c>
      <c r="B2828" t="s">
        <v>313</v>
      </c>
      <c r="C2828" t="s">
        <v>322</v>
      </c>
      <c r="D2828" t="s">
        <v>35</v>
      </c>
      <c r="E2828" t="s">
        <v>16</v>
      </c>
      <c r="F2828" t="s">
        <v>16</v>
      </c>
      <c r="G2828" t="s">
        <v>36</v>
      </c>
      <c r="H2828" t="s">
        <v>43</v>
      </c>
      <c r="I2828" s="187">
        <v>5578.6967016208973</v>
      </c>
      <c r="J2828" s="187">
        <v>125.77864682586659</v>
      </c>
      <c r="K2828" s="187">
        <v>5858.8578382336782</v>
      </c>
      <c r="L2828" s="187">
        <v>16659.082299117395</v>
      </c>
      <c r="M2828" s="187">
        <v>28222.416015625</v>
      </c>
      <c r="N2828" s="187">
        <v>22237.779296875</v>
      </c>
      <c r="O2828" t="s">
        <v>3287</v>
      </c>
    </row>
    <row r="2829" spans="1:15" hidden="1" x14ac:dyDescent="0.45">
      <c r="A2829" s="187">
        <v>2019</v>
      </c>
      <c r="B2829" t="s">
        <v>310</v>
      </c>
      <c r="C2829" t="s">
        <v>322</v>
      </c>
      <c r="D2829" t="s">
        <v>35</v>
      </c>
      <c r="E2829" t="s">
        <v>16</v>
      </c>
      <c r="F2829" t="s">
        <v>16</v>
      </c>
      <c r="G2829" t="s">
        <v>36</v>
      </c>
      <c r="H2829" t="s">
        <v>43</v>
      </c>
      <c r="I2829" s="187"/>
      <c r="J2829" s="187">
        <v>104.61766592181245</v>
      </c>
      <c r="K2829" s="187">
        <v>5488.9339775879253</v>
      </c>
      <c r="L2829" s="187">
        <v>17524.766762727606</v>
      </c>
      <c r="M2829" s="187">
        <v>23118.318359375</v>
      </c>
      <c r="N2829" s="187">
        <v>17524.767578125</v>
      </c>
      <c r="O2829" t="s">
        <v>3282</v>
      </c>
    </row>
    <row r="2830" spans="1:15" hidden="1" x14ac:dyDescent="0.45">
      <c r="A2830" s="187">
        <v>2019</v>
      </c>
      <c r="B2830" t="s">
        <v>313</v>
      </c>
      <c r="C2830" t="s">
        <v>322</v>
      </c>
      <c r="D2830" t="s">
        <v>35</v>
      </c>
      <c r="E2830" t="s">
        <v>16</v>
      </c>
      <c r="F2830" t="s">
        <v>16</v>
      </c>
      <c r="G2830" t="s">
        <v>37</v>
      </c>
      <c r="H2830" t="s">
        <v>43</v>
      </c>
      <c r="I2830" s="187">
        <v>4834.3128437891</v>
      </c>
      <c r="J2830" s="187">
        <v>109</v>
      </c>
      <c r="K2830" s="187">
        <v>5068.4286737961584</v>
      </c>
      <c r="L2830" s="187">
        <v>14465</v>
      </c>
      <c r="M2830" s="187">
        <v>24476.7421875</v>
      </c>
      <c r="N2830" s="187">
        <v>19299.3125</v>
      </c>
      <c r="O2830" t="s">
        <v>3290</v>
      </c>
    </row>
    <row r="2831" spans="1:15" hidden="1" x14ac:dyDescent="0.45">
      <c r="A2831" s="187">
        <v>2019</v>
      </c>
      <c r="B2831" t="s">
        <v>312</v>
      </c>
      <c r="C2831" t="s">
        <v>322</v>
      </c>
      <c r="D2831" t="s">
        <v>35</v>
      </c>
      <c r="E2831" t="s">
        <v>16</v>
      </c>
      <c r="F2831" t="s">
        <v>16</v>
      </c>
      <c r="G2831" t="s">
        <v>37</v>
      </c>
      <c r="H2831" t="s">
        <v>43</v>
      </c>
      <c r="I2831" s="187">
        <v>3965.8878648648079</v>
      </c>
      <c r="J2831" s="187">
        <v>111</v>
      </c>
      <c r="K2831" s="187">
        <v>4210.1990721405864</v>
      </c>
      <c r="L2831" s="187">
        <v>15040</v>
      </c>
      <c r="M2831" s="187">
        <v>23327.0859375</v>
      </c>
      <c r="N2831" s="187">
        <v>19005.888671875</v>
      </c>
      <c r="O2831" t="s">
        <v>3295</v>
      </c>
    </row>
    <row r="2832" spans="1:15" hidden="1" x14ac:dyDescent="0.45">
      <c r="A2832" s="187">
        <v>2019</v>
      </c>
      <c r="B2832" t="s">
        <v>314</v>
      </c>
      <c r="C2832" t="s">
        <v>322</v>
      </c>
      <c r="D2832" t="s">
        <v>35</v>
      </c>
      <c r="E2832" t="s">
        <v>16</v>
      </c>
      <c r="F2832" t="s">
        <v>16</v>
      </c>
      <c r="G2832" t="s">
        <v>37</v>
      </c>
      <c r="H2832" t="s">
        <v>43</v>
      </c>
      <c r="I2832" s="187">
        <v>7021.4825512396692</v>
      </c>
      <c r="J2832" s="187">
        <v>122</v>
      </c>
      <c r="K2832" s="187">
        <v>6241.7032235706401</v>
      </c>
      <c r="L2832" s="187">
        <v>17135</v>
      </c>
      <c r="M2832" s="187">
        <v>30520.185546875</v>
      </c>
      <c r="N2832" s="187">
        <v>24156.482421875</v>
      </c>
      <c r="O2832" t="s">
        <v>3294</v>
      </c>
    </row>
    <row r="2833" spans="1:15" hidden="1" x14ac:dyDescent="0.45">
      <c r="A2833" s="187">
        <v>2019</v>
      </c>
      <c r="B2833" t="s">
        <v>315</v>
      </c>
      <c r="C2833" t="s">
        <v>322</v>
      </c>
      <c r="D2833" t="s">
        <v>35</v>
      </c>
      <c r="E2833" t="s">
        <v>16</v>
      </c>
      <c r="F2833" t="s">
        <v>16</v>
      </c>
      <c r="G2833" t="s">
        <v>37</v>
      </c>
      <c r="H2833" t="s">
        <v>43</v>
      </c>
      <c r="I2833" s="187">
        <v>6250</v>
      </c>
      <c r="J2833" s="187">
        <v>211</v>
      </c>
      <c r="K2833" s="187">
        <v>7338.7158006232594</v>
      </c>
      <c r="L2833" s="187">
        <v>17619</v>
      </c>
      <c r="M2833" s="187">
        <v>31418.71484375</v>
      </c>
      <c r="N2833" s="187">
        <v>23869</v>
      </c>
      <c r="O2833" t="s">
        <v>3289</v>
      </c>
    </row>
    <row r="2834" spans="1:15" hidden="1" x14ac:dyDescent="0.45">
      <c r="A2834" s="187">
        <v>2019</v>
      </c>
      <c r="B2834" t="s">
        <v>310</v>
      </c>
      <c r="C2834" t="s">
        <v>322</v>
      </c>
      <c r="D2834" t="s">
        <v>35</v>
      </c>
      <c r="E2834" t="s">
        <v>16</v>
      </c>
      <c r="F2834" t="s">
        <v>16</v>
      </c>
      <c r="G2834" t="s">
        <v>37</v>
      </c>
      <c r="H2834" t="s">
        <v>43</v>
      </c>
      <c r="I2834" s="187"/>
      <c r="J2834" s="187">
        <v>89</v>
      </c>
      <c r="K2834" s="187">
        <v>4652.7308213608894</v>
      </c>
      <c r="L2834" s="187">
        <v>15318</v>
      </c>
      <c r="M2834" s="187">
        <v>20059.73046875</v>
      </c>
      <c r="N2834" s="187">
        <v>15318</v>
      </c>
      <c r="O2834" t="s">
        <v>3293</v>
      </c>
    </row>
    <row r="2835" spans="1:15" hidden="1" x14ac:dyDescent="0.45">
      <c r="A2835" s="187">
        <v>2019</v>
      </c>
      <c r="B2835" t="s">
        <v>311</v>
      </c>
      <c r="C2835" t="s">
        <v>322</v>
      </c>
      <c r="D2835" t="s">
        <v>35</v>
      </c>
      <c r="E2835" t="s">
        <v>16</v>
      </c>
      <c r="F2835" t="s">
        <v>16</v>
      </c>
      <c r="G2835" t="s">
        <v>37</v>
      </c>
      <c r="H2835" t="s">
        <v>43</v>
      </c>
      <c r="I2835" s="187"/>
      <c r="J2835" s="187">
        <v>108</v>
      </c>
      <c r="K2835" s="187">
        <v>4404.7953668177033</v>
      </c>
      <c r="L2835" s="187">
        <v>17114</v>
      </c>
      <c r="M2835" s="187">
        <v>21626.794921875</v>
      </c>
      <c r="N2835" s="187">
        <v>17114</v>
      </c>
      <c r="O2835" t="s">
        <v>3291</v>
      </c>
    </row>
    <row r="2836" spans="1:15" hidden="1" x14ac:dyDescent="0.45">
      <c r="A2836" s="187">
        <v>2019</v>
      </c>
      <c r="B2836" t="s">
        <v>309</v>
      </c>
      <c r="C2836" t="s">
        <v>322</v>
      </c>
      <c r="D2836" t="s">
        <v>35</v>
      </c>
      <c r="E2836" t="s">
        <v>16</v>
      </c>
      <c r="F2836" t="s">
        <v>16</v>
      </c>
      <c r="G2836" t="s">
        <v>37</v>
      </c>
      <c r="H2836" t="s">
        <v>43</v>
      </c>
      <c r="I2836" s="187"/>
      <c r="J2836" s="187">
        <v>102.22029999999999</v>
      </c>
      <c r="K2836" s="187">
        <v>4219.6527640539098</v>
      </c>
      <c r="L2836" s="187">
        <v>12005</v>
      </c>
      <c r="M2836" s="187">
        <v>16326.873046875</v>
      </c>
      <c r="N2836" s="187">
        <v>12005</v>
      </c>
      <c r="O2836" t="s">
        <v>3292</v>
      </c>
    </row>
    <row r="2837" spans="1:15" hidden="1" x14ac:dyDescent="0.45">
      <c r="A2837" s="187">
        <v>2019</v>
      </c>
      <c r="B2837" t="s">
        <v>312</v>
      </c>
      <c r="C2837" t="s">
        <v>322</v>
      </c>
      <c r="D2837" t="s">
        <v>35</v>
      </c>
      <c r="E2837" t="s">
        <v>351</v>
      </c>
      <c r="F2837" t="s">
        <v>351</v>
      </c>
      <c r="G2837" t="s">
        <v>37</v>
      </c>
      <c r="H2837" t="s">
        <v>43</v>
      </c>
      <c r="I2837" s="187">
        <v>332.52620032933828</v>
      </c>
      <c r="J2837" s="187">
        <v>0</v>
      </c>
      <c r="K2837" s="187">
        <v>41.371537407791529</v>
      </c>
      <c r="L2837" s="187">
        <v>98</v>
      </c>
      <c r="M2837" s="187">
        <v>471.89776611328125</v>
      </c>
      <c r="N2837" s="187">
        <v>430.52621459960938</v>
      </c>
      <c r="O2837" t="s">
        <v>3298</v>
      </c>
    </row>
    <row r="2838" spans="1:15" hidden="1" x14ac:dyDescent="0.45">
      <c r="A2838" s="187">
        <v>2019</v>
      </c>
      <c r="B2838" t="s">
        <v>315</v>
      </c>
      <c r="C2838" t="s">
        <v>322</v>
      </c>
      <c r="D2838" t="s">
        <v>35</v>
      </c>
      <c r="E2838" t="s">
        <v>351</v>
      </c>
      <c r="F2838" t="s">
        <v>351</v>
      </c>
      <c r="G2838" t="s">
        <v>37</v>
      </c>
      <c r="H2838" t="s">
        <v>43</v>
      </c>
      <c r="I2838" s="187">
        <v>61</v>
      </c>
      <c r="J2838" s="187">
        <v>0</v>
      </c>
      <c r="K2838" s="187">
        <v>57.6</v>
      </c>
      <c r="L2838" s="187">
        <v>124</v>
      </c>
      <c r="M2838" s="187">
        <v>242.60000610351563</v>
      </c>
      <c r="N2838" s="187">
        <v>185</v>
      </c>
      <c r="O2838" t="s">
        <v>3300</v>
      </c>
    </row>
    <row r="2839" spans="1:15" hidden="1" x14ac:dyDescent="0.45">
      <c r="A2839" s="187">
        <v>2019</v>
      </c>
      <c r="B2839" t="s">
        <v>310</v>
      </c>
      <c r="C2839" t="s">
        <v>322</v>
      </c>
      <c r="D2839" t="s">
        <v>35</v>
      </c>
      <c r="E2839" t="s">
        <v>351</v>
      </c>
      <c r="F2839" t="s">
        <v>351</v>
      </c>
      <c r="G2839" t="s">
        <v>37</v>
      </c>
      <c r="H2839" t="s">
        <v>43</v>
      </c>
      <c r="I2839" s="187"/>
      <c r="J2839" s="187">
        <v>0</v>
      </c>
      <c r="K2839" s="187">
        <v>31.136499033583789</v>
      </c>
      <c r="L2839" s="187">
        <v>211</v>
      </c>
      <c r="M2839" s="187">
        <v>242.13650512695313</v>
      </c>
      <c r="N2839" s="187">
        <v>211</v>
      </c>
      <c r="O2839" t="s">
        <v>3301</v>
      </c>
    </row>
    <row r="2840" spans="1:15" hidden="1" x14ac:dyDescent="0.45">
      <c r="A2840" s="187">
        <v>2019</v>
      </c>
      <c r="B2840" t="s">
        <v>313</v>
      </c>
      <c r="C2840" t="s">
        <v>322</v>
      </c>
      <c r="D2840" t="s">
        <v>35</v>
      </c>
      <c r="E2840" t="s">
        <v>351</v>
      </c>
      <c r="F2840" t="s">
        <v>351</v>
      </c>
      <c r="G2840" t="s">
        <v>37</v>
      </c>
      <c r="H2840" t="s">
        <v>43</v>
      </c>
      <c r="I2840" s="187">
        <v>50.555747142453455</v>
      </c>
      <c r="J2840" s="187">
        <v>0</v>
      </c>
      <c r="K2840" s="187">
        <v>118.7704554207202</v>
      </c>
      <c r="L2840" s="187">
        <v>360</v>
      </c>
      <c r="M2840" s="187">
        <v>529.326171875</v>
      </c>
      <c r="N2840" s="187">
        <v>410.55575561523438</v>
      </c>
      <c r="O2840" t="s">
        <v>3296</v>
      </c>
    </row>
    <row r="2841" spans="1:15" hidden="1" x14ac:dyDescent="0.45">
      <c r="A2841" s="187">
        <v>2019</v>
      </c>
      <c r="B2841" t="s">
        <v>311</v>
      </c>
      <c r="C2841" t="s">
        <v>322</v>
      </c>
      <c r="D2841" t="s">
        <v>35</v>
      </c>
      <c r="E2841" t="s">
        <v>351</v>
      </c>
      <c r="F2841" t="s">
        <v>351</v>
      </c>
      <c r="G2841" t="s">
        <v>37</v>
      </c>
      <c r="H2841" t="s">
        <v>43</v>
      </c>
      <c r="I2841" s="187"/>
      <c r="J2841" s="187">
        <v>0</v>
      </c>
      <c r="K2841" s="187">
        <v>45.033304512947588</v>
      </c>
      <c r="L2841" s="187">
        <v>145</v>
      </c>
      <c r="M2841" s="187">
        <v>190.03330993652344</v>
      </c>
      <c r="N2841" s="187">
        <v>145</v>
      </c>
      <c r="O2841" t="s">
        <v>3299</v>
      </c>
    </row>
    <row r="2842" spans="1:15" hidden="1" x14ac:dyDescent="0.45">
      <c r="A2842" s="187">
        <v>2019</v>
      </c>
      <c r="B2842" t="s">
        <v>314</v>
      </c>
      <c r="C2842" t="s">
        <v>322</v>
      </c>
      <c r="D2842" t="s">
        <v>35</v>
      </c>
      <c r="E2842" t="s">
        <v>351</v>
      </c>
      <c r="F2842" t="s">
        <v>351</v>
      </c>
      <c r="G2842" t="s">
        <v>37</v>
      </c>
      <c r="H2842" t="s">
        <v>43</v>
      </c>
      <c r="I2842" s="187">
        <v>61.169179210912922</v>
      </c>
      <c r="J2842" s="187">
        <v>0</v>
      </c>
      <c r="K2842" s="187">
        <v>44.883530607171572</v>
      </c>
      <c r="L2842" s="187">
        <v>409</v>
      </c>
      <c r="M2842" s="187">
        <v>515.052734375</v>
      </c>
      <c r="N2842" s="187">
        <v>470.169189453125</v>
      </c>
      <c r="O2842" t="s">
        <v>3297</v>
      </c>
    </row>
    <row r="2843" spans="1:15" hidden="1" x14ac:dyDescent="0.45">
      <c r="A2843" s="187">
        <v>2019</v>
      </c>
      <c r="B2843" t="s">
        <v>309</v>
      </c>
      <c r="C2843" t="s">
        <v>322</v>
      </c>
      <c r="D2843" t="s">
        <v>35</v>
      </c>
      <c r="E2843" t="s">
        <v>351</v>
      </c>
      <c r="F2843" t="s">
        <v>351</v>
      </c>
      <c r="G2843" t="s">
        <v>37</v>
      </c>
      <c r="H2843" t="s">
        <v>43</v>
      </c>
      <c r="I2843" s="187"/>
      <c r="J2843" s="187">
        <v>0</v>
      </c>
      <c r="K2843" s="187">
        <v>193.93933383391831</v>
      </c>
      <c r="L2843" s="187">
        <v>179</v>
      </c>
      <c r="M2843" s="187">
        <v>372.9393310546875</v>
      </c>
      <c r="N2843" s="187">
        <v>179</v>
      </c>
      <c r="O2843" t="s">
        <v>3302</v>
      </c>
    </row>
    <row r="2844" spans="1:15" hidden="1" x14ac:dyDescent="0.45">
      <c r="A2844" s="187">
        <v>2019</v>
      </c>
      <c r="B2844" t="s">
        <v>310</v>
      </c>
      <c r="C2844" t="s">
        <v>322</v>
      </c>
      <c r="D2844" t="s">
        <v>35</v>
      </c>
      <c r="E2844" t="s">
        <v>352</v>
      </c>
      <c r="F2844" t="s">
        <v>361</v>
      </c>
      <c r="G2844" t="s">
        <v>36</v>
      </c>
      <c r="H2844" t="s">
        <v>43</v>
      </c>
      <c r="I2844" s="187"/>
      <c r="J2844" s="187">
        <v>0</v>
      </c>
      <c r="K2844" s="187">
        <v>0</v>
      </c>
      <c r="L2844" s="187"/>
      <c r="M2844" s="187">
        <v>0</v>
      </c>
      <c r="N2844" s="187">
        <v>0</v>
      </c>
      <c r="O2844" t="s">
        <v>3309</v>
      </c>
    </row>
    <row r="2845" spans="1:15" hidden="1" x14ac:dyDescent="0.45">
      <c r="A2845" s="187">
        <v>2019</v>
      </c>
      <c r="B2845" t="s">
        <v>315</v>
      </c>
      <c r="C2845" t="s">
        <v>322</v>
      </c>
      <c r="D2845" t="s">
        <v>35</v>
      </c>
      <c r="E2845" t="s">
        <v>352</v>
      </c>
      <c r="F2845" t="s">
        <v>361</v>
      </c>
      <c r="G2845" t="s">
        <v>36</v>
      </c>
      <c r="H2845" t="s">
        <v>43</v>
      </c>
      <c r="I2845" s="187">
        <v>0</v>
      </c>
      <c r="J2845" s="187">
        <v>0</v>
      </c>
      <c r="K2845" s="187">
        <v>0</v>
      </c>
      <c r="L2845" s="187"/>
      <c r="M2845" s="187">
        <v>0</v>
      </c>
      <c r="N2845" s="187">
        <v>0</v>
      </c>
      <c r="O2845" t="s">
        <v>3304</v>
      </c>
    </row>
    <row r="2846" spans="1:15" hidden="1" x14ac:dyDescent="0.45">
      <c r="A2846" s="187">
        <v>2019</v>
      </c>
      <c r="B2846" t="s">
        <v>313</v>
      </c>
      <c r="C2846" t="s">
        <v>322</v>
      </c>
      <c r="D2846" t="s">
        <v>35</v>
      </c>
      <c r="E2846" t="s">
        <v>352</v>
      </c>
      <c r="F2846" t="s">
        <v>361</v>
      </c>
      <c r="G2846" t="s">
        <v>36</v>
      </c>
      <c r="H2846" t="s">
        <v>43</v>
      </c>
      <c r="I2846" s="187"/>
      <c r="J2846" s="187">
        <v>0</v>
      </c>
      <c r="K2846" s="187">
        <v>0</v>
      </c>
      <c r="L2846" s="187"/>
      <c r="M2846" s="187">
        <v>0</v>
      </c>
      <c r="N2846" s="187">
        <v>0</v>
      </c>
      <c r="O2846" t="s">
        <v>3306</v>
      </c>
    </row>
    <row r="2847" spans="1:15" hidden="1" x14ac:dyDescent="0.45">
      <c r="A2847" s="187">
        <v>2019</v>
      </c>
      <c r="B2847" t="s">
        <v>312</v>
      </c>
      <c r="C2847" t="s">
        <v>322</v>
      </c>
      <c r="D2847" t="s">
        <v>35</v>
      </c>
      <c r="E2847" t="s">
        <v>352</v>
      </c>
      <c r="F2847" t="s">
        <v>361</v>
      </c>
      <c r="G2847" t="s">
        <v>36</v>
      </c>
      <c r="H2847" t="s">
        <v>43</v>
      </c>
      <c r="I2847" s="187"/>
      <c r="J2847" s="187">
        <v>0</v>
      </c>
      <c r="K2847" s="187">
        <v>0</v>
      </c>
      <c r="L2847" s="187"/>
      <c r="M2847" s="187">
        <v>0</v>
      </c>
      <c r="N2847" s="187">
        <v>0</v>
      </c>
      <c r="O2847" t="s">
        <v>3305</v>
      </c>
    </row>
    <row r="2848" spans="1:15" hidden="1" x14ac:dyDescent="0.45">
      <c r="A2848" s="187">
        <v>2019</v>
      </c>
      <c r="B2848" t="s">
        <v>311</v>
      </c>
      <c r="C2848" t="s">
        <v>322</v>
      </c>
      <c r="D2848" t="s">
        <v>35</v>
      </c>
      <c r="E2848" t="s">
        <v>352</v>
      </c>
      <c r="F2848" t="s">
        <v>361</v>
      </c>
      <c r="G2848" t="s">
        <v>36</v>
      </c>
      <c r="H2848" t="s">
        <v>43</v>
      </c>
      <c r="I2848" s="187"/>
      <c r="J2848" s="187">
        <v>0</v>
      </c>
      <c r="K2848" s="187">
        <v>0</v>
      </c>
      <c r="L2848" s="187"/>
      <c r="M2848" s="187">
        <v>0</v>
      </c>
      <c r="N2848" s="187">
        <v>0</v>
      </c>
      <c r="O2848" t="s">
        <v>3307</v>
      </c>
    </row>
    <row r="2849" spans="1:15" hidden="1" x14ac:dyDescent="0.45">
      <c r="A2849" s="187">
        <v>2019</v>
      </c>
      <c r="B2849" t="s">
        <v>314</v>
      </c>
      <c r="C2849" t="s">
        <v>322</v>
      </c>
      <c r="D2849" t="s">
        <v>35</v>
      </c>
      <c r="E2849" t="s">
        <v>352</v>
      </c>
      <c r="F2849" t="s">
        <v>361</v>
      </c>
      <c r="G2849" t="s">
        <v>36</v>
      </c>
      <c r="H2849" t="s">
        <v>43</v>
      </c>
      <c r="I2849" s="187">
        <v>0</v>
      </c>
      <c r="J2849" s="187">
        <v>0</v>
      </c>
      <c r="K2849" s="187">
        <v>0</v>
      </c>
      <c r="L2849" s="187"/>
      <c r="M2849" s="187">
        <v>0</v>
      </c>
      <c r="N2849" s="187">
        <v>0</v>
      </c>
      <c r="O2849" t="s">
        <v>3308</v>
      </c>
    </row>
    <row r="2850" spans="1:15" hidden="1" x14ac:dyDescent="0.45">
      <c r="A2850" s="187">
        <v>2019</v>
      </c>
      <c r="B2850" t="s">
        <v>309</v>
      </c>
      <c r="C2850" t="s">
        <v>322</v>
      </c>
      <c r="D2850" t="s">
        <v>35</v>
      </c>
      <c r="E2850" t="s">
        <v>352</v>
      </c>
      <c r="F2850" t="s">
        <v>361</v>
      </c>
      <c r="G2850" t="s">
        <v>36</v>
      </c>
      <c r="H2850" t="s">
        <v>43</v>
      </c>
      <c r="I2850" s="187"/>
      <c r="J2850" s="187">
        <v>0</v>
      </c>
      <c r="K2850" s="187">
        <v>0</v>
      </c>
      <c r="L2850" s="187">
        <v>0</v>
      </c>
      <c r="M2850" s="187">
        <v>0</v>
      </c>
      <c r="N2850" s="187">
        <v>0</v>
      </c>
      <c r="O2850" t="s">
        <v>3303</v>
      </c>
    </row>
    <row r="2851" spans="1:15" hidden="1" x14ac:dyDescent="0.45">
      <c r="A2851" s="187">
        <v>2019</v>
      </c>
      <c r="B2851" t="s">
        <v>313</v>
      </c>
      <c r="C2851" t="s">
        <v>322</v>
      </c>
      <c r="D2851" t="s">
        <v>35</v>
      </c>
      <c r="E2851" t="s">
        <v>353</v>
      </c>
      <c r="F2851" t="s">
        <v>383</v>
      </c>
      <c r="G2851" t="s">
        <v>36</v>
      </c>
      <c r="H2851" t="s">
        <v>43</v>
      </c>
      <c r="I2851" s="187">
        <v>14646.378824266247</v>
      </c>
      <c r="J2851" s="187">
        <v>862.48214966308524</v>
      </c>
      <c r="K2851" s="187">
        <v>15846.362959332353</v>
      </c>
      <c r="L2851" s="187">
        <v>25207.238715778196</v>
      </c>
      <c r="M2851" s="187">
        <v>56562.46484375</v>
      </c>
      <c r="N2851" s="187">
        <v>39853.6171875</v>
      </c>
      <c r="O2851" t="s">
        <v>3316</v>
      </c>
    </row>
    <row r="2852" spans="1:15" hidden="1" x14ac:dyDescent="0.45">
      <c r="A2852" s="187">
        <v>2019</v>
      </c>
      <c r="B2852" t="s">
        <v>312</v>
      </c>
      <c r="C2852" t="s">
        <v>322</v>
      </c>
      <c r="D2852" t="s">
        <v>35</v>
      </c>
      <c r="E2852" t="s">
        <v>353</v>
      </c>
      <c r="F2852" t="s">
        <v>383</v>
      </c>
      <c r="G2852" t="s">
        <v>36</v>
      </c>
      <c r="H2852" t="s">
        <v>43</v>
      </c>
      <c r="I2852" s="187">
        <v>12368.831131070778</v>
      </c>
      <c r="J2852" s="187">
        <v>995.44225994243891</v>
      </c>
      <c r="K2852" s="187">
        <v>16484.127807152774</v>
      </c>
      <c r="L2852" s="187">
        <v>24706.75323434774</v>
      </c>
      <c r="M2852" s="187">
        <v>54555.15234375</v>
      </c>
      <c r="N2852" s="187">
        <v>37075.5859375</v>
      </c>
      <c r="O2852" t="s">
        <v>3311</v>
      </c>
    </row>
    <row r="2853" spans="1:15" hidden="1" x14ac:dyDescent="0.45">
      <c r="A2853" s="187">
        <v>2019</v>
      </c>
      <c r="B2853" t="s">
        <v>311</v>
      </c>
      <c r="C2853" t="s">
        <v>322</v>
      </c>
      <c r="D2853" t="s">
        <v>35</v>
      </c>
      <c r="E2853" t="s">
        <v>353</v>
      </c>
      <c r="F2853" t="s">
        <v>383</v>
      </c>
      <c r="G2853" t="s">
        <v>36</v>
      </c>
      <c r="H2853" t="s">
        <v>43</v>
      </c>
      <c r="I2853" s="187"/>
      <c r="J2853" s="187">
        <v>1007.4823568974531</v>
      </c>
      <c r="K2853" s="187">
        <v>16516.825970861202</v>
      </c>
      <c r="L2853" s="187">
        <v>30627.463649682577</v>
      </c>
      <c r="M2853" s="187">
        <v>48151.7734375</v>
      </c>
      <c r="N2853" s="187">
        <v>30627.462890625</v>
      </c>
      <c r="O2853" t="s">
        <v>3314</v>
      </c>
    </row>
    <row r="2854" spans="1:15" hidden="1" x14ac:dyDescent="0.45">
      <c r="A2854" s="187">
        <v>2019</v>
      </c>
      <c r="B2854" t="s">
        <v>315</v>
      </c>
      <c r="C2854" t="s">
        <v>322</v>
      </c>
      <c r="D2854" t="s">
        <v>35</v>
      </c>
      <c r="E2854" t="s">
        <v>353</v>
      </c>
      <c r="F2854" t="s">
        <v>383</v>
      </c>
      <c r="G2854" t="s">
        <v>36</v>
      </c>
      <c r="H2854" t="s">
        <v>43</v>
      </c>
      <c r="I2854" s="187">
        <v>17957.104958404649</v>
      </c>
      <c r="J2854" s="187">
        <v>849.59807713875136</v>
      </c>
      <c r="K2854" s="187">
        <v>17889.137316843113</v>
      </c>
      <c r="L2854" s="187">
        <v>26925.462260681306</v>
      </c>
      <c r="M2854" s="187">
        <v>63621.30078125</v>
      </c>
      <c r="N2854" s="187">
        <v>44882.56640625</v>
      </c>
      <c r="O2854" t="s">
        <v>3313</v>
      </c>
    </row>
    <row r="2855" spans="1:15" hidden="1" x14ac:dyDescent="0.45">
      <c r="A2855" s="187">
        <v>2019</v>
      </c>
      <c r="B2855" t="s">
        <v>314</v>
      </c>
      <c r="C2855" t="s">
        <v>322</v>
      </c>
      <c r="D2855" t="s">
        <v>35</v>
      </c>
      <c r="E2855" t="s">
        <v>353</v>
      </c>
      <c r="F2855" t="s">
        <v>383</v>
      </c>
      <c r="G2855" t="s">
        <v>36</v>
      </c>
      <c r="H2855" t="s">
        <v>43</v>
      </c>
      <c r="I2855" s="187">
        <v>17526.737756682891</v>
      </c>
      <c r="J2855" s="187">
        <v>935.35099086241655</v>
      </c>
      <c r="K2855" s="187">
        <v>18058.019677409025</v>
      </c>
      <c r="L2855" s="187">
        <v>28507.820859734471</v>
      </c>
      <c r="M2855" s="187">
        <v>65027.9296875</v>
      </c>
      <c r="N2855" s="187">
        <v>46034.55859375</v>
      </c>
      <c r="O2855" t="s">
        <v>3310</v>
      </c>
    </row>
    <row r="2856" spans="1:15" hidden="1" x14ac:dyDescent="0.45">
      <c r="A2856" s="187">
        <v>2019</v>
      </c>
      <c r="B2856" t="s">
        <v>310</v>
      </c>
      <c r="C2856" t="s">
        <v>322</v>
      </c>
      <c r="D2856" t="s">
        <v>35</v>
      </c>
      <c r="E2856" t="s">
        <v>353</v>
      </c>
      <c r="F2856" t="s">
        <v>383</v>
      </c>
      <c r="G2856" t="s">
        <v>36</v>
      </c>
      <c r="H2856" t="s">
        <v>43</v>
      </c>
      <c r="I2856" s="187"/>
      <c r="J2856" s="187">
        <v>856.55713973483932</v>
      </c>
      <c r="K2856" s="187">
        <v>15317.351013269514</v>
      </c>
      <c r="L2856" s="187">
        <v>35407.84903123742</v>
      </c>
      <c r="M2856" s="187">
        <v>51581.7578125</v>
      </c>
      <c r="N2856" s="187">
        <v>35407.84765625</v>
      </c>
      <c r="O2856" t="s">
        <v>3312</v>
      </c>
    </row>
    <row r="2857" spans="1:15" hidden="1" x14ac:dyDescent="0.45">
      <c r="A2857" s="187">
        <v>2019</v>
      </c>
      <c r="B2857" t="s">
        <v>309</v>
      </c>
      <c r="C2857" t="s">
        <v>322</v>
      </c>
      <c r="D2857" t="s">
        <v>35</v>
      </c>
      <c r="E2857" t="s">
        <v>353</v>
      </c>
      <c r="F2857" t="s">
        <v>383</v>
      </c>
      <c r="G2857" t="s">
        <v>36</v>
      </c>
      <c r="H2857" t="s">
        <v>43</v>
      </c>
      <c r="I2857" s="187"/>
      <c r="J2857" s="187">
        <v>847.7984502244758</v>
      </c>
      <c r="K2857" s="187">
        <v>15239.585980340722</v>
      </c>
      <c r="L2857" s="187">
        <v>26806.327248035144</v>
      </c>
      <c r="M2857" s="187">
        <v>42893.7109375</v>
      </c>
      <c r="N2857" s="187">
        <v>26806.328125</v>
      </c>
      <c r="O2857" t="s">
        <v>3315</v>
      </c>
    </row>
    <row r="2858" spans="1:15" hidden="1" x14ac:dyDescent="0.45">
      <c r="A2858" s="187">
        <v>2019</v>
      </c>
      <c r="B2858" t="s">
        <v>309</v>
      </c>
      <c r="C2858" t="s">
        <v>322</v>
      </c>
      <c r="D2858" t="s">
        <v>35</v>
      </c>
      <c r="E2858" t="s">
        <v>353</v>
      </c>
      <c r="F2858" t="s">
        <v>383</v>
      </c>
      <c r="G2858" t="s">
        <v>37</v>
      </c>
      <c r="H2858" t="s">
        <v>43</v>
      </c>
      <c r="I2858" s="187"/>
      <c r="J2858" s="187">
        <v>718.91199999999992</v>
      </c>
      <c r="K2858" s="187">
        <v>13157.171379844811</v>
      </c>
      <c r="L2858" s="187">
        <v>24064</v>
      </c>
      <c r="M2858" s="187">
        <v>37940.08203125</v>
      </c>
      <c r="N2858" s="187">
        <v>24064</v>
      </c>
      <c r="O2858" t="s">
        <v>3322</v>
      </c>
    </row>
    <row r="2859" spans="1:15" hidden="1" x14ac:dyDescent="0.45">
      <c r="A2859" s="187">
        <v>2019</v>
      </c>
      <c r="B2859" t="s">
        <v>314</v>
      </c>
      <c r="C2859" t="s">
        <v>322</v>
      </c>
      <c r="D2859" t="s">
        <v>35</v>
      </c>
      <c r="E2859" t="s">
        <v>353</v>
      </c>
      <c r="F2859" t="s">
        <v>383</v>
      </c>
      <c r="G2859" t="s">
        <v>37</v>
      </c>
      <c r="H2859" t="s">
        <v>43</v>
      </c>
      <c r="I2859" s="187">
        <v>15352.174914439671</v>
      </c>
      <c r="J2859" s="187">
        <v>818</v>
      </c>
      <c r="K2859" s="187">
        <v>15832.881275892019</v>
      </c>
      <c r="L2859" s="187">
        <v>25358</v>
      </c>
      <c r="M2859" s="187">
        <v>57361.0546875</v>
      </c>
      <c r="N2859" s="187">
        <v>40710.17578125</v>
      </c>
      <c r="O2859" t="s">
        <v>3323</v>
      </c>
    </row>
    <row r="2860" spans="1:15" hidden="1" x14ac:dyDescent="0.45">
      <c r="A2860" s="187">
        <v>2019</v>
      </c>
      <c r="B2860" t="s">
        <v>311</v>
      </c>
      <c r="C2860" t="s">
        <v>322</v>
      </c>
      <c r="D2860" t="s">
        <v>35</v>
      </c>
      <c r="E2860" t="s">
        <v>353</v>
      </c>
      <c r="F2860" t="s">
        <v>383</v>
      </c>
      <c r="G2860" t="s">
        <v>37</v>
      </c>
      <c r="H2860" t="s">
        <v>43</v>
      </c>
      <c r="I2860" s="187"/>
      <c r="J2860" s="187">
        <v>855</v>
      </c>
      <c r="K2860" s="187">
        <v>13916.667009319481</v>
      </c>
      <c r="L2860" s="187">
        <v>26810</v>
      </c>
      <c r="M2860" s="187">
        <v>41581.66796875</v>
      </c>
      <c r="N2860" s="187">
        <v>26810</v>
      </c>
      <c r="O2860" t="s">
        <v>3317</v>
      </c>
    </row>
    <row r="2861" spans="1:15" hidden="1" x14ac:dyDescent="0.45">
      <c r="A2861" s="187">
        <v>2019</v>
      </c>
      <c r="B2861" t="s">
        <v>312</v>
      </c>
      <c r="C2861" t="s">
        <v>322</v>
      </c>
      <c r="D2861" t="s">
        <v>35</v>
      </c>
      <c r="E2861" t="s">
        <v>353</v>
      </c>
      <c r="F2861" t="s">
        <v>383</v>
      </c>
      <c r="G2861" t="s">
        <v>37</v>
      </c>
      <c r="H2861" t="s">
        <v>43</v>
      </c>
      <c r="I2861" s="187">
        <v>10435.04072217091</v>
      </c>
      <c r="J2861" s="187">
        <v>854</v>
      </c>
      <c r="K2861" s="187">
        <v>14102.7849405342</v>
      </c>
      <c r="L2861" s="187">
        <v>21085</v>
      </c>
      <c r="M2861" s="187">
        <v>46476.828125</v>
      </c>
      <c r="N2861" s="187">
        <v>31520.041015625</v>
      </c>
      <c r="O2861" t="s">
        <v>3319</v>
      </c>
    </row>
    <row r="2862" spans="1:15" hidden="1" x14ac:dyDescent="0.45">
      <c r="A2862" s="187">
        <v>2019</v>
      </c>
      <c r="B2862" t="s">
        <v>313</v>
      </c>
      <c r="C2862" t="s">
        <v>322</v>
      </c>
      <c r="D2862" t="s">
        <v>35</v>
      </c>
      <c r="E2862" t="s">
        <v>353</v>
      </c>
      <c r="F2862" t="s">
        <v>383</v>
      </c>
      <c r="G2862" t="s">
        <v>37</v>
      </c>
      <c r="H2862" t="s">
        <v>43</v>
      </c>
      <c r="I2862" s="187">
        <v>12692.0643032231</v>
      </c>
      <c r="J2862" s="187">
        <v>749</v>
      </c>
      <c r="K2862" s="187">
        <v>13708.501318181001</v>
      </c>
      <c r="L2862" s="187">
        <v>21887.39551568</v>
      </c>
      <c r="M2862" s="187">
        <v>49036.9609375</v>
      </c>
      <c r="N2862" s="187">
        <v>34579.4609375</v>
      </c>
      <c r="O2862" t="s">
        <v>3318</v>
      </c>
    </row>
    <row r="2863" spans="1:15" hidden="1" x14ac:dyDescent="0.45">
      <c r="A2863" s="187">
        <v>2019</v>
      </c>
      <c r="B2863" t="s">
        <v>315</v>
      </c>
      <c r="C2863" t="s">
        <v>322</v>
      </c>
      <c r="D2863" t="s">
        <v>35</v>
      </c>
      <c r="E2863" t="s">
        <v>353</v>
      </c>
      <c r="F2863" t="s">
        <v>383</v>
      </c>
      <c r="G2863" t="s">
        <v>37</v>
      </c>
      <c r="H2863" t="s">
        <v>43</v>
      </c>
      <c r="I2863" s="187">
        <v>15852</v>
      </c>
      <c r="J2863" s="187">
        <v>750</v>
      </c>
      <c r="K2863" s="187">
        <v>15792.000180623259</v>
      </c>
      <c r="L2863" s="187">
        <v>23769</v>
      </c>
      <c r="M2863" s="187">
        <v>56163</v>
      </c>
      <c r="N2863" s="187">
        <v>39621</v>
      </c>
      <c r="O2863" t="s">
        <v>3321</v>
      </c>
    </row>
    <row r="2864" spans="1:15" hidden="1" x14ac:dyDescent="0.45">
      <c r="A2864" s="187">
        <v>2019</v>
      </c>
      <c r="B2864" t="s">
        <v>310</v>
      </c>
      <c r="C2864" t="s">
        <v>322</v>
      </c>
      <c r="D2864" t="s">
        <v>35</v>
      </c>
      <c r="E2864" t="s">
        <v>353</v>
      </c>
      <c r="F2864" t="s">
        <v>383</v>
      </c>
      <c r="G2864" t="s">
        <v>37</v>
      </c>
      <c r="H2864" t="s">
        <v>43</v>
      </c>
      <c r="I2864" s="187"/>
      <c r="J2864" s="187">
        <v>725</v>
      </c>
      <c r="K2864" s="187">
        <v>12983.85286688409</v>
      </c>
      <c r="L2864" s="187">
        <v>30948</v>
      </c>
      <c r="M2864" s="187">
        <v>44656.8515625</v>
      </c>
      <c r="N2864" s="187">
        <v>30948</v>
      </c>
      <c r="O2864" t="s">
        <v>3320</v>
      </c>
    </row>
    <row r="2865" spans="1:15" hidden="1" x14ac:dyDescent="0.45">
      <c r="A2865" s="187">
        <v>2019</v>
      </c>
      <c r="B2865" t="s">
        <v>313</v>
      </c>
      <c r="C2865" t="s">
        <v>322</v>
      </c>
      <c r="D2865" t="s">
        <v>35</v>
      </c>
      <c r="E2865" t="s">
        <v>38</v>
      </c>
      <c r="F2865" t="s">
        <v>38</v>
      </c>
      <c r="G2865" t="s">
        <v>36</v>
      </c>
      <c r="H2865" t="s">
        <v>43</v>
      </c>
      <c r="I2865" s="187">
        <v>730.88534200261643</v>
      </c>
      <c r="J2865" s="187">
        <v>119.78918745320628</v>
      </c>
      <c r="K2865" s="187">
        <v>3286.2660072695221</v>
      </c>
      <c r="L2865" s="187">
        <v>1936.9911611183454</v>
      </c>
      <c r="M2865" s="187">
        <v>6073.931640625</v>
      </c>
      <c r="N2865" s="187">
        <v>2667.87646484375</v>
      </c>
      <c r="O2865" t="s">
        <v>3324</v>
      </c>
    </row>
    <row r="2866" spans="1:15" hidden="1" x14ac:dyDescent="0.45">
      <c r="A2866" s="187">
        <v>2019</v>
      </c>
      <c r="B2866" t="s">
        <v>309</v>
      </c>
      <c r="C2866" t="s">
        <v>322</v>
      </c>
      <c r="D2866" t="s">
        <v>35</v>
      </c>
      <c r="E2866" t="s">
        <v>38</v>
      </c>
      <c r="F2866" t="s">
        <v>38</v>
      </c>
      <c r="G2866" t="s">
        <v>36</v>
      </c>
      <c r="H2866" t="s">
        <v>43</v>
      </c>
      <c r="I2866" s="187"/>
      <c r="J2866" s="187">
        <v>198.70276177136154</v>
      </c>
      <c r="K2866" s="187">
        <v>2037.909203349526</v>
      </c>
      <c r="L2866" s="187">
        <v>1722.0906020184666</v>
      </c>
      <c r="M2866" s="187">
        <v>3958.70263671875</v>
      </c>
      <c r="N2866" s="187">
        <v>1722.090576171875</v>
      </c>
      <c r="O2866" t="s">
        <v>3330</v>
      </c>
    </row>
    <row r="2867" spans="1:15" hidden="1" x14ac:dyDescent="0.45">
      <c r="A2867" s="187">
        <v>2019</v>
      </c>
      <c r="B2867" t="s">
        <v>314</v>
      </c>
      <c r="C2867" t="s">
        <v>322</v>
      </c>
      <c r="D2867" t="s">
        <v>35</v>
      </c>
      <c r="E2867" t="s">
        <v>38</v>
      </c>
      <c r="F2867" t="s">
        <v>38</v>
      </c>
      <c r="G2867" t="s">
        <v>36</v>
      </c>
      <c r="H2867" t="s">
        <v>43</v>
      </c>
      <c r="I2867" s="187">
        <v>484.4419240270658</v>
      </c>
      <c r="J2867" s="187">
        <v>51.252109088351588</v>
      </c>
      <c r="K2867" s="187">
        <v>3712.8279165860768</v>
      </c>
      <c r="L2867" s="187">
        <v>1593.4746643832948</v>
      </c>
      <c r="M2867" s="187">
        <v>5841.99658203125</v>
      </c>
      <c r="N2867" s="187">
        <v>2077.91650390625</v>
      </c>
      <c r="O2867" t="s">
        <v>3326</v>
      </c>
    </row>
    <row r="2868" spans="1:15" hidden="1" x14ac:dyDescent="0.45">
      <c r="A2868" s="187">
        <v>2019</v>
      </c>
      <c r="B2868" t="s">
        <v>315</v>
      </c>
      <c r="C2868" t="s">
        <v>322</v>
      </c>
      <c r="D2868" t="s">
        <v>35</v>
      </c>
      <c r="E2868" t="s">
        <v>38</v>
      </c>
      <c r="F2868" t="s">
        <v>38</v>
      </c>
      <c r="G2868" t="s">
        <v>36</v>
      </c>
      <c r="H2868" t="s">
        <v>43</v>
      </c>
      <c r="I2868" s="187">
        <v>182.38038722578528</v>
      </c>
      <c r="J2868" s="187">
        <v>111.01414874613018</v>
      </c>
      <c r="K2868" s="187">
        <v>3957.0156336496011</v>
      </c>
      <c r="L2868" s="187">
        <v>4087.1331497554866</v>
      </c>
      <c r="M2868" s="187">
        <v>8337.54296875</v>
      </c>
      <c r="N2868" s="187">
        <v>4269.513671875</v>
      </c>
      <c r="O2868" t="s">
        <v>3327</v>
      </c>
    </row>
    <row r="2869" spans="1:15" hidden="1" x14ac:dyDescent="0.45">
      <c r="A2869" s="187">
        <v>2019</v>
      </c>
      <c r="B2869" t="s">
        <v>311</v>
      </c>
      <c r="C2869" t="s">
        <v>322</v>
      </c>
      <c r="D2869" t="s">
        <v>35</v>
      </c>
      <c r="E2869" t="s">
        <v>38</v>
      </c>
      <c r="F2869" t="s">
        <v>38</v>
      </c>
      <c r="G2869" t="s">
        <v>36</v>
      </c>
      <c r="H2869" t="s">
        <v>43</v>
      </c>
      <c r="I2869" s="187"/>
      <c r="J2869" s="187">
        <v>184.91764778497557</v>
      </c>
      <c r="K2869" s="187">
        <v>1389.6246222913171</v>
      </c>
      <c r="L2869" s="187">
        <v>1907.8400074918859</v>
      </c>
      <c r="M2869" s="187">
        <v>3482.38232421875</v>
      </c>
      <c r="N2869" s="187">
        <v>1907.8399658203125</v>
      </c>
      <c r="O2869" t="s">
        <v>3329</v>
      </c>
    </row>
    <row r="2870" spans="1:15" hidden="1" x14ac:dyDescent="0.45">
      <c r="A2870" s="187">
        <v>2019</v>
      </c>
      <c r="B2870" t="s">
        <v>310</v>
      </c>
      <c r="C2870" t="s">
        <v>322</v>
      </c>
      <c r="D2870" t="s">
        <v>35</v>
      </c>
      <c r="E2870" t="s">
        <v>38</v>
      </c>
      <c r="F2870" t="s">
        <v>38</v>
      </c>
      <c r="G2870" t="s">
        <v>36</v>
      </c>
      <c r="H2870" t="s">
        <v>43</v>
      </c>
      <c r="I2870" s="187"/>
      <c r="J2870" s="187">
        <v>98.079061801699169</v>
      </c>
      <c r="K2870" s="187">
        <v>1390.0901268041141</v>
      </c>
      <c r="L2870" s="187">
        <v>1379.6454693439016</v>
      </c>
      <c r="M2870" s="187">
        <v>2867.814697265625</v>
      </c>
      <c r="N2870" s="187">
        <v>1379.6455078125</v>
      </c>
      <c r="O2870" t="s">
        <v>3325</v>
      </c>
    </row>
    <row r="2871" spans="1:15" hidden="1" x14ac:dyDescent="0.45">
      <c r="A2871" s="187">
        <v>2019</v>
      </c>
      <c r="B2871" t="s">
        <v>312</v>
      </c>
      <c r="C2871" t="s">
        <v>322</v>
      </c>
      <c r="D2871" t="s">
        <v>35</v>
      </c>
      <c r="E2871" t="s">
        <v>38</v>
      </c>
      <c r="F2871" t="s">
        <v>38</v>
      </c>
      <c r="G2871" t="s">
        <v>36</v>
      </c>
      <c r="H2871" t="s">
        <v>43</v>
      </c>
      <c r="I2871" s="187">
        <v>418.29349364746446</v>
      </c>
      <c r="J2871" s="187">
        <v>80.377325336967118</v>
      </c>
      <c r="K2871" s="187">
        <v>1363.9794059820922</v>
      </c>
      <c r="L2871" s="187">
        <v>1658.2460504134292</v>
      </c>
      <c r="M2871" s="187">
        <v>3520.896240234375</v>
      </c>
      <c r="N2871" s="187">
        <v>2076.53955078125</v>
      </c>
      <c r="O2871" t="s">
        <v>3328</v>
      </c>
    </row>
    <row r="2872" spans="1:15" hidden="1" x14ac:dyDescent="0.45">
      <c r="A2872" s="187">
        <v>2019</v>
      </c>
      <c r="B2872" t="s">
        <v>309</v>
      </c>
      <c r="C2872" t="s">
        <v>322</v>
      </c>
      <c r="D2872" t="s">
        <v>35</v>
      </c>
      <c r="E2872" t="s">
        <v>38</v>
      </c>
      <c r="F2872" t="s">
        <v>38</v>
      </c>
      <c r="G2872" t="s">
        <v>37</v>
      </c>
      <c r="H2872" t="s">
        <v>43</v>
      </c>
      <c r="I2872" s="187"/>
      <c r="J2872" s="187">
        <v>168.495</v>
      </c>
      <c r="K2872" s="187">
        <v>1759.4389164916961</v>
      </c>
      <c r="L2872" s="187">
        <v>1546</v>
      </c>
      <c r="M2872" s="187">
        <v>3473.93408203125</v>
      </c>
      <c r="N2872" s="187">
        <v>1546</v>
      </c>
      <c r="O2872" t="s">
        <v>3336</v>
      </c>
    </row>
    <row r="2873" spans="1:15" hidden="1" x14ac:dyDescent="0.45">
      <c r="A2873" s="187">
        <v>2019</v>
      </c>
      <c r="B2873" t="s">
        <v>311</v>
      </c>
      <c r="C2873" t="s">
        <v>322</v>
      </c>
      <c r="D2873" t="s">
        <v>35</v>
      </c>
      <c r="E2873" t="s">
        <v>38</v>
      </c>
      <c r="F2873" t="s">
        <v>38</v>
      </c>
      <c r="G2873" t="s">
        <v>37</v>
      </c>
      <c r="H2873" t="s">
        <v>43</v>
      </c>
      <c r="I2873" s="187"/>
      <c r="J2873" s="187">
        <v>157</v>
      </c>
      <c r="K2873" s="187">
        <v>1170.8631652653571</v>
      </c>
      <c r="L2873" s="187">
        <v>1670</v>
      </c>
      <c r="M2873" s="187">
        <v>2997.86328125</v>
      </c>
      <c r="N2873" s="187">
        <v>1670</v>
      </c>
      <c r="O2873" t="s">
        <v>3333</v>
      </c>
    </row>
    <row r="2874" spans="1:15" hidden="1" x14ac:dyDescent="0.45">
      <c r="A2874" s="187">
        <v>2019</v>
      </c>
      <c r="B2874" t="s">
        <v>310</v>
      </c>
      <c r="C2874" t="s">
        <v>322</v>
      </c>
      <c r="D2874" t="s">
        <v>35</v>
      </c>
      <c r="E2874" t="s">
        <v>38</v>
      </c>
      <c r="F2874" t="s">
        <v>38</v>
      </c>
      <c r="G2874" t="s">
        <v>37</v>
      </c>
      <c r="H2874" t="s">
        <v>43</v>
      </c>
      <c r="I2874" s="187"/>
      <c r="J2874" s="187">
        <v>83</v>
      </c>
      <c r="K2874" s="187">
        <v>1178.3189967049229</v>
      </c>
      <c r="L2874" s="187">
        <v>1206</v>
      </c>
      <c r="M2874" s="187">
        <v>2467.31884765625</v>
      </c>
      <c r="N2874" s="187">
        <v>1206</v>
      </c>
      <c r="O2874" t="s">
        <v>3335</v>
      </c>
    </row>
    <row r="2875" spans="1:15" hidden="1" x14ac:dyDescent="0.45">
      <c r="A2875" s="187">
        <v>2019</v>
      </c>
      <c r="B2875" t="s">
        <v>314</v>
      </c>
      <c r="C2875" t="s">
        <v>322</v>
      </c>
      <c r="D2875" t="s">
        <v>35</v>
      </c>
      <c r="E2875" t="s">
        <v>38</v>
      </c>
      <c r="F2875" t="s">
        <v>38</v>
      </c>
      <c r="G2875" t="s">
        <v>37</v>
      </c>
      <c r="H2875" t="s">
        <v>43</v>
      </c>
      <c r="I2875" s="187">
        <v>473.58142770000001</v>
      </c>
      <c r="J2875" s="187">
        <v>45</v>
      </c>
      <c r="K2875" s="187">
        <v>3255.3272535562628</v>
      </c>
      <c r="L2875" s="187">
        <v>1417</v>
      </c>
      <c r="M2875" s="187">
        <v>5190.90869140625</v>
      </c>
      <c r="N2875" s="187">
        <v>1890.5814208984375</v>
      </c>
      <c r="O2875" t="s">
        <v>3331</v>
      </c>
    </row>
    <row r="2876" spans="1:15" hidden="1" x14ac:dyDescent="0.45">
      <c r="A2876" s="187">
        <v>2019</v>
      </c>
      <c r="B2876" t="s">
        <v>312</v>
      </c>
      <c r="C2876" t="s">
        <v>322</v>
      </c>
      <c r="D2876" t="s">
        <v>35</v>
      </c>
      <c r="E2876" t="s">
        <v>38</v>
      </c>
      <c r="F2876" t="s">
        <v>38</v>
      </c>
      <c r="G2876" t="s">
        <v>37</v>
      </c>
      <c r="H2876" t="s">
        <v>43</v>
      </c>
      <c r="I2876" s="187">
        <v>352.8958875560748</v>
      </c>
      <c r="J2876" s="187">
        <v>69</v>
      </c>
      <c r="K2876" s="187">
        <v>1166.935154284366</v>
      </c>
      <c r="L2876" s="187">
        <v>1415</v>
      </c>
      <c r="M2876" s="187">
        <v>3003.8310546875</v>
      </c>
      <c r="N2876" s="187">
        <v>1767.8958740234375</v>
      </c>
      <c r="O2876" t="s">
        <v>3334</v>
      </c>
    </row>
    <row r="2877" spans="1:15" hidden="1" x14ac:dyDescent="0.45">
      <c r="A2877" s="187">
        <v>2019</v>
      </c>
      <c r="B2877" t="s">
        <v>315</v>
      </c>
      <c r="C2877" t="s">
        <v>322</v>
      </c>
      <c r="D2877" t="s">
        <v>35</v>
      </c>
      <c r="E2877" t="s">
        <v>38</v>
      </c>
      <c r="F2877" t="s">
        <v>38</v>
      </c>
      <c r="G2877" t="s">
        <v>37</v>
      </c>
      <c r="H2877" t="s">
        <v>43</v>
      </c>
      <c r="I2877" s="187">
        <v>161</v>
      </c>
      <c r="J2877" s="187">
        <v>98</v>
      </c>
      <c r="K2877" s="187">
        <v>3493.1361135278598</v>
      </c>
      <c r="L2877" s="187">
        <v>3608</v>
      </c>
      <c r="M2877" s="187">
        <v>7360.13623046875</v>
      </c>
      <c r="N2877" s="187">
        <v>3769</v>
      </c>
      <c r="O2877" t="s">
        <v>3332</v>
      </c>
    </row>
    <row r="2878" spans="1:15" hidden="1" x14ac:dyDescent="0.45">
      <c r="A2878" s="187">
        <v>2019</v>
      </c>
      <c r="B2878" t="s">
        <v>313</v>
      </c>
      <c r="C2878" t="s">
        <v>322</v>
      </c>
      <c r="D2878" t="s">
        <v>35</v>
      </c>
      <c r="E2878" t="s">
        <v>38</v>
      </c>
      <c r="F2878" t="s">
        <v>38</v>
      </c>
      <c r="G2878" t="s">
        <v>37</v>
      </c>
      <c r="H2878" t="s">
        <v>43</v>
      </c>
      <c r="I2878" s="187">
        <v>633.36090581046005</v>
      </c>
      <c r="J2878" s="187">
        <v>104</v>
      </c>
      <c r="K2878" s="187">
        <v>2842.9098846317038</v>
      </c>
      <c r="L2878" s="187">
        <v>1681.83112482</v>
      </c>
      <c r="M2878" s="187">
        <v>5262.10205078125</v>
      </c>
      <c r="N2878" s="187">
        <v>2315.192138671875</v>
      </c>
      <c r="O2878" t="s">
        <v>3337</v>
      </c>
    </row>
    <row r="2879" spans="1:15" hidden="1" x14ac:dyDescent="0.45">
      <c r="A2879" s="187">
        <v>2019</v>
      </c>
      <c r="B2879" t="s">
        <v>314</v>
      </c>
      <c r="C2879" t="s">
        <v>322</v>
      </c>
      <c r="D2879" t="s">
        <v>35</v>
      </c>
      <c r="E2879" t="s">
        <v>354</v>
      </c>
      <c r="F2879" t="s">
        <v>384</v>
      </c>
      <c r="G2879" t="s">
        <v>36</v>
      </c>
      <c r="H2879" t="s">
        <v>43</v>
      </c>
      <c r="I2879" s="187">
        <v>0</v>
      </c>
      <c r="J2879" s="187">
        <v>0</v>
      </c>
      <c r="K2879" s="187">
        <v>0</v>
      </c>
      <c r="L2879" s="187">
        <v>0</v>
      </c>
      <c r="M2879" s="187">
        <v>0</v>
      </c>
      <c r="N2879" s="187">
        <v>0</v>
      </c>
      <c r="O2879" t="s">
        <v>3339</v>
      </c>
    </row>
    <row r="2880" spans="1:15" hidden="1" x14ac:dyDescent="0.45">
      <c r="A2880" s="187">
        <v>2019</v>
      </c>
      <c r="B2880" t="s">
        <v>311</v>
      </c>
      <c r="C2880" t="s">
        <v>322</v>
      </c>
      <c r="D2880" t="s">
        <v>35</v>
      </c>
      <c r="E2880" t="s">
        <v>354</v>
      </c>
      <c r="F2880" t="s">
        <v>384</v>
      </c>
      <c r="G2880" t="s">
        <v>36</v>
      </c>
      <c r="H2880" t="s">
        <v>43</v>
      </c>
      <c r="I2880" s="187"/>
      <c r="J2880" s="187">
        <v>0</v>
      </c>
      <c r="K2880" s="187">
        <v>0</v>
      </c>
      <c r="L2880" s="187">
        <v>0</v>
      </c>
      <c r="M2880" s="187">
        <v>0</v>
      </c>
      <c r="N2880" s="187">
        <v>0</v>
      </c>
      <c r="O2880" t="s">
        <v>3340</v>
      </c>
    </row>
    <row r="2881" spans="1:15" hidden="1" x14ac:dyDescent="0.45">
      <c r="A2881" s="187">
        <v>2019</v>
      </c>
      <c r="B2881" t="s">
        <v>315</v>
      </c>
      <c r="C2881" t="s">
        <v>322</v>
      </c>
      <c r="D2881" t="s">
        <v>35</v>
      </c>
      <c r="E2881" t="s">
        <v>354</v>
      </c>
      <c r="F2881" t="s">
        <v>384</v>
      </c>
      <c r="G2881" t="s">
        <v>36</v>
      </c>
      <c r="H2881" t="s">
        <v>43</v>
      </c>
      <c r="I2881" s="187">
        <v>0</v>
      </c>
      <c r="J2881" s="187">
        <v>0</v>
      </c>
      <c r="K2881" s="187">
        <v>0</v>
      </c>
      <c r="L2881" s="187">
        <v>937.95627716118145</v>
      </c>
      <c r="M2881" s="187">
        <v>937.956298828125</v>
      </c>
      <c r="N2881" s="187">
        <v>937.956298828125</v>
      </c>
      <c r="O2881" t="s">
        <v>3343</v>
      </c>
    </row>
    <row r="2882" spans="1:15" hidden="1" x14ac:dyDescent="0.45">
      <c r="A2882" s="187">
        <v>2019</v>
      </c>
      <c r="B2882" t="s">
        <v>312</v>
      </c>
      <c r="C2882" t="s">
        <v>322</v>
      </c>
      <c r="D2882" t="s">
        <v>35</v>
      </c>
      <c r="E2882" t="s">
        <v>354</v>
      </c>
      <c r="F2882" t="s">
        <v>384</v>
      </c>
      <c r="G2882" t="s">
        <v>36</v>
      </c>
      <c r="H2882" t="s">
        <v>43</v>
      </c>
      <c r="I2882" s="187">
        <v>0</v>
      </c>
      <c r="J2882" s="187">
        <v>0</v>
      </c>
      <c r="K2882" s="187">
        <v>0</v>
      </c>
      <c r="L2882" s="187">
        <v>0</v>
      </c>
      <c r="M2882" s="187">
        <v>0</v>
      </c>
      <c r="N2882" s="187">
        <v>0</v>
      </c>
      <c r="O2882" t="s">
        <v>3344</v>
      </c>
    </row>
    <row r="2883" spans="1:15" hidden="1" x14ac:dyDescent="0.45">
      <c r="A2883" s="187">
        <v>2019</v>
      </c>
      <c r="B2883" t="s">
        <v>313</v>
      </c>
      <c r="C2883" t="s">
        <v>322</v>
      </c>
      <c r="D2883" t="s">
        <v>35</v>
      </c>
      <c r="E2883" t="s">
        <v>354</v>
      </c>
      <c r="F2883" t="s">
        <v>384</v>
      </c>
      <c r="G2883" t="s">
        <v>36</v>
      </c>
      <c r="H2883" t="s">
        <v>43</v>
      </c>
      <c r="I2883" s="187">
        <v>0</v>
      </c>
      <c r="J2883" s="187">
        <v>0</v>
      </c>
      <c r="K2883" s="187">
        <v>0</v>
      </c>
      <c r="L2883" s="187">
        <v>0</v>
      </c>
      <c r="M2883" s="187">
        <v>0</v>
      </c>
      <c r="N2883" s="187">
        <v>0</v>
      </c>
      <c r="O2883" t="s">
        <v>3342</v>
      </c>
    </row>
    <row r="2884" spans="1:15" hidden="1" x14ac:dyDescent="0.45">
      <c r="A2884" s="187">
        <v>2019</v>
      </c>
      <c r="B2884" t="s">
        <v>310</v>
      </c>
      <c r="C2884" t="s">
        <v>322</v>
      </c>
      <c r="D2884" t="s">
        <v>35</v>
      </c>
      <c r="E2884" t="s">
        <v>354</v>
      </c>
      <c r="F2884" t="s">
        <v>384</v>
      </c>
      <c r="G2884" t="s">
        <v>36</v>
      </c>
      <c r="H2884" t="s">
        <v>43</v>
      </c>
      <c r="I2884" s="187"/>
      <c r="J2884" s="187">
        <v>0</v>
      </c>
      <c r="K2884" s="187">
        <v>0</v>
      </c>
      <c r="L2884" s="187">
        <v>0</v>
      </c>
      <c r="M2884" s="187">
        <v>0</v>
      </c>
      <c r="N2884" s="187">
        <v>0</v>
      </c>
      <c r="O2884" t="s">
        <v>3341</v>
      </c>
    </row>
    <row r="2885" spans="1:15" hidden="1" x14ac:dyDescent="0.45">
      <c r="A2885" s="187">
        <v>2019</v>
      </c>
      <c r="B2885" t="s">
        <v>309</v>
      </c>
      <c r="C2885" t="s">
        <v>322</v>
      </c>
      <c r="D2885" t="s">
        <v>35</v>
      </c>
      <c r="E2885" t="s">
        <v>354</v>
      </c>
      <c r="F2885" t="s">
        <v>384</v>
      </c>
      <c r="G2885" t="s">
        <v>36</v>
      </c>
      <c r="H2885" t="s">
        <v>43</v>
      </c>
      <c r="I2885" s="187"/>
      <c r="J2885" s="187">
        <v>0</v>
      </c>
      <c r="K2885" s="187">
        <v>0</v>
      </c>
      <c r="L2885" s="187">
        <v>0</v>
      </c>
      <c r="M2885" s="187">
        <v>0</v>
      </c>
      <c r="N2885" s="187">
        <v>0</v>
      </c>
      <c r="O2885" t="s">
        <v>3338</v>
      </c>
    </row>
    <row r="2886" spans="1:15" hidden="1" x14ac:dyDescent="0.45">
      <c r="A2886" s="187">
        <v>2019</v>
      </c>
      <c r="B2886" t="s">
        <v>309</v>
      </c>
      <c r="C2886" t="s">
        <v>322</v>
      </c>
      <c r="D2886" t="s">
        <v>35</v>
      </c>
      <c r="E2886" t="s">
        <v>354</v>
      </c>
      <c r="F2886" t="s">
        <v>384</v>
      </c>
      <c r="G2886" t="s">
        <v>37</v>
      </c>
      <c r="H2886" t="s">
        <v>43</v>
      </c>
      <c r="I2886" s="187"/>
      <c r="J2886" s="187">
        <v>0</v>
      </c>
      <c r="K2886" s="187">
        <v>0</v>
      </c>
      <c r="L2886" s="187">
        <v>0</v>
      </c>
      <c r="M2886" s="187">
        <v>0</v>
      </c>
      <c r="N2886" s="187">
        <v>0</v>
      </c>
      <c r="O2886" t="s">
        <v>3349</v>
      </c>
    </row>
    <row r="2887" spans="1:15" hidden="1" x14ac:dyDescent="0.45">
      <c r="A2887" s="187">
        <v>2019</v>
      </c>
      <c r="B2887" t="s">
        <v>313</v>
      </c>
      <c r="C2887" t="s">
        <v>322</v>
      </c>
      <c r="D2887" t="s">
        <v>35</v>
      </c>
      <c r="E2887" t="s">
        <v>354</v>
      </c>
      <c r="F2887" t="s">
        <v>384</v>
      </c>
      <c r="G2887" t="s">
        <v>37</v>
      </c>
      <c r="H2887" t="s">
        <v>43</v>
      </c>
      <c r="I2887" s="187"/>
      <c r="J2887" s="187">
        <v>0</v>
      </c>
      <c r="K2887" s="187">
        <v>0</v>
      </c>
      <c r="L2887" s="187">
        <v>0</v>
      </c>
      <c r="M2887" s="187">
        <v>0</v>
      </c>
      <c r="N2887" s="187">
        <v>0</v>
      </c>
      <c r="O2887" t="s">
        <v>3345</v>
      </c>
    </row>
    <row r="2888" spans="1:15" hidden="1" x14ac:dyDescent="0.45">
      <c r="A2888" s="187">
        <v>2019</v>
      </c>
      <c r="B2888" t="s">
        <v>312</v>
      </c>
      <c r="C2888" t="s">
        <v>322</v>
      </c>
      <c r="D2888" t="s">
        <v>35</v>
      </c>
      <c r="E2888" t="s">
        <v>354</v>
      </c>
      <c r="F2888" t="s">
        <v>384</v>
      </c>
      <c r="G2888" t="s">
        <v>37</v>
      </c>
      <c r="H2888" t="s">
        <v>43</v>
      </c>
      <c r="I2888" s="187"/>
      <c r="J2888" s="187">
        <v>0</v>
      </c>
      <c r="K2888" s="187">
        <v>0</v>
      </c>
      <c r="L2888" s="187">
        <v>0</v>
      </c>
      <c r="M2888" s="187">
        <v>0</v>
      </c>
      <c r="N2888" s="187">
        <v>0</v>
      </c>
      <c r="O2888" t="s">
        <v>3346</v>
      </c>
    </row>
    <row r="2889" spans="1:15" hidden="1" x14ac:dyDescent="0.45">
      <c r="A2889" s="187">
        <v>2019</v>
      </c>
      <c r="B2889" t="s">
        <v>310</v>
      </c>
      <c r="C2889" t="s">
        <v>322</v>
      </c>
      <c r="D2889" t="s">
        <v>35</v>
      </c>
      <c r="E2889" t="s">
        <v>354</v>
      </c>
      <c r="F2889" t="s">
        <v>384</v>
      </c>
      <c r="G2889" t="s">
        <v>37</v>
      </c>
      <c r="H2889" t="s">
        <v>43</v>
      </c>
      <c r="I2889" s="187"/>
      <c r="J2889" s="187">
        <v>0</v>
      </c>
      <c r="K2889" s="187">
        <v>0</v>
      </c>
      <c r="L2889" s="187">
        <v>0</v>
      </c>
      <c r="M2889" s="187">
        <v>0</v>
      </c>
      <c r="N2889" s="187">
        <v>0</v>
      </c>
      <c r="O2889" t="s">
        <v>3347</v>
      </c>
    </row>
    <row r="2890" spans="1:15" hidden="1" x14ac:dyDescent="0.45">
      <c r="A2890" s="187">
        <v>2019</v>
      </c>
      <c r="B2890" t="s">
        <v>311</v>
      </c>
      <c r="C2890" t="s">
        <v>322</v>
      </c>
      <c r="D2890" t="s">
        <v>35</v>
      </c>
      <c r="E2890" t="s">
        <v>354</v>
      </c>
      <c r="F2890" t="s">
        <v>384</v>
      </c>
      <c r="G2890" t="s">
        <v>37</v>
      </c>
      <c r="H2890" t="s">
        <v>43</v>
      </c>
      <c r="I2890" s="187"/>
      <c r="J2890" s="187">
        <v>0</v>
      </c>
      <c r="K2890" s="187">
        <v>0</v>
      </c>
      <c r="L2890" s="187">
        <v>0</v>
      </c>
      <c r="M2890" s="187">
        <v>0</v>
      </c>
      <c r="N2890" s="187">
        <v>0</v>
      </c>
      <c r="O2890" t="s">
        <v>3348</v>
      </c>
    </row>
    <row r="2891" spans="1:15" hidden="1" x14ac:dyDescent="0.45">
      <c r="A2891" s="187">
        <v>2019</v>
      </c>
      <c r="B2891" t="s">
        <v>314</v>
      </c>
      <c r="C2891" t="s">
        <v>322</v>
      </c>
      <c r="D2891" t="s">
        <v>35</v>
      </c>
      <c r="E2891" t="s">
        <v>354</v>
      </c>
      <c r="F2891" t="s">
        <v>384</v>
      </c>
      <c r="G2891" t="s">
        <v>37</v>
      </c>
      <c r="H2891" t="s">
        <v>43</v>
      </c>
      <c r="I2891" s="187">
        <v>0</v>
      </c>
      <c r="J2891" s="187">
        <v>0</v>
      </c>
      <c r="K2891" s="187">
        <v>0</v>
      </c>
      <c r="L2891" s="187">
        <v>0</v>
      </c>
      <c r="M2891" s="187">
        <v>0</v>
      </c>
      <c r="N2891" s="187">
        <v>0</v>
      </c>
      <c r="O2891" t="s">
        <v>3351</v>
      </c>
    </row>
    <row r="2892" spans="1:15" hidden="1" x14ac:dyDescent="0.45">
      <c r="A2892" s="187">
        <v>2019</v>
      </c>
      <c r="B2892" t="s">
        <v>315</v>
      </c>
      <c r="C2892" t="s">
        <v>322</v>
      </c>
      <c r="D2892" t="s">
        <v>35</v>
      </c>
      <c r="E2892" t="s">
        <v>354</v>
      </c>
      <c r="F2892" t="s">
        <v>384</v>
      </c>
      <c r="G2892" t="s">
        <v>37</v>
      </c>
      <c r="H2892" t="s">
        <v>43</v>
      </c>
      <c r="I2892" s="187">
        <v>0</v>
      </c>
      <c r="J2892" s="187">
        <v>0</v>
      </c>
      <c r="K2892" s="187">
        <v>0</v>
      </c>
      <c r="L2892" s="187">
        <v>828</v>
      </c>
      <c r="M2892" s="187">
        <v>828</v>
      </c>
      <c r="N2892" s="187">
        <v>828</v>
      </c>
      <c r="O2892" t="s">
        <v>3350</v>
      </c>
    </row>
    <row r="2893" spans="1:15" hidden="1" x14ac:dyDescent="0.45">
      <c r="A2893" s="187">
        <v>2019</v>
      </c>
      <c r="B2893" t="s">
        <v>313</v>
      </c>
      <c r="C2893" t="s">
        <v>322</v>
      </c>
      <c r="D2893" t="s">
        <v>35</v>
      </c>
      <c r="E2893" t="s">
        <v>354</v>
      </c>
      <c r="F2893" t="s">
        <v>385</v>
      </c>
      <c r="G2893" t="s">
        <v>36</v>
      </c>
      <c r="H2893" t="s">
        <v>43</v>
      </c>
      <c r="I2893" s="187">
        <v>0</v>
      </c>
      <c r="J2893" s="187">
        <v>47.915674981282514</v>
      </c>
      <c r="K2893" s="187">
        <v>2311.3811552911047</v>
      </c>
      <c r="L2893" s="187">
        <v>479.15674981282513</v>
      </c>
      <c r="M2893" s="187">
        <v>2838.45361328125</v>
      </c>
      <c r="N2893" s="187">
        <v>479.15673828125</v>
      </c>
      <c r="O2893" t="s">
        <v>3358</v>
      </c>
    </row>
    <row r="2894" spans="1:15" hidden="1" x14ac:dyDescent="0.45">
      <c r="A2894" s="187">
        <v>2019</v>
      </c>
      <c r="B2894" t="s">
        <v>311</v>
      </c>
      <c r="C2894" t="s">
        <v>322</v>
      </c>
      <c r="D2894" t="s">
        <v>35</v>
      </c>
      <c r="E2894" t="s">
        <v>354</v>
      </c>
      <c r="F2894" t="s">
        <v>385</v>
      </c>
      <c r="G2894" t="s">
        <v>36</v>
      </c>
      <c r="H2894" t="s">
        <v>43</v>
      </c>
      <c r="I2894" s="187"/>
      <c r="J2894" s="187">
        <v>51.011764906200156</v>
      </c>
      <c r="K2894" s="187">
        <v>1204.5550429179266</v>
      </c>
      <c r="L2894" s="187">
        <v>0</v>
      </c>
      <c r="M2894" s="187">
        <v>1255.5667724609375</v>
      </c>
      <c r="N2894" s="187">
        <v>0</v>
      </c>
      <c r="O2894" t="s">
        <v>3355</v>
      </c>
    </row>
    <row r="2895" spans="1:15" hidden="1" x14ac:dyDescent="0.45">
      <c r="A2895" s="187">
        <v>2019</v>
      </c>
      <c r="B2895" t="s">
        <v>314</v>
      </c>
      <c r="C2895" t="s">
        <v>322</v>
      </c>
      <c r="D2895" t="s">
        <v>35</v>
      </c>
      <c r="E2895" t="s">
        <v>354</v>
      </c>
      <c r="F2895" t="s">
        <v>385</v>
      </c>
      <c r="G2895" t="s">
        <v>36</v>
      </c>
      <c r="H2895" t="s">
        <v>43</v>
      </c>
      <c r="I2895" s="187">
        <v>0</v>
      </c>
      <c r="J2895" s="187">
        <v>361.09440494065893</v>
      </c>
      <c r="K2895" s="187">
        <v>2368.1887058677808</v>
      </c>
      <c r="L2895" s="187">
        <v>356.43512229626333</v>
      </c>
      <c r="M2895" s="187">
        <v>3085.71826171875</v>
      </c>
      <c r="N2895" s="187">
        <v>356.43511962890625</v>
      </c>
      <c r="O2895" t="s">
        <v>3356</v>
      </c>
    </row>
    <row r="2896" spans="1:15" hidden="1" x14ac:dyDescent="0.45">
      <c r="A2896" s="187">
        <v>2019</v>
      </c>
      <c r="B2896" t="s">
        <v>312</v>
      </c>
      <c r="C2896" t="s">
        <v>322</v>
      </c>
      <c r="D2896" t="s">
        <v>35</v>
      </c>
      <c r="E2896" t="s">
        <v>354</v>
      </c>
      <c r="F2896" t="s">
        <v>385</v>
      </c>
      <c r="G2896" t="s">
        <v>36</v>
      </c>
      <c r="H2896" t="s">
        <v>43</v>
      </c>
      <c r="I2896" s="187">
        <v>0</v>
      </c>
      <c r="J2896" s="187">
        <v>43.280098258366905</v>
      </c>
      <c r="K2896" s="187">
        <v>2246.2635425188846</v>
      </c>
      <c r="L2896" s="187">
        <v>252.26114413448141</v>
      </c>
      <c r="M2896" s="187">
        <v>2541.804931640625</v>
      </c>
      <c r="N2896" s="187">
        <v>252.26113891601563</v>
      </c>
      <c r="O2896" t="s">
        <v>3354</v>
      </c>
    </row>
    <row r="2897" spans="1:15" hidden="1" x14ac:dyDescent="0.45">
      <c r="A2897" s="187">
        <v>2019</v>
      </c>
      <c r="B2897" t="s">
        <v>310</v>
      </c>
      <c r="C2897" t="s">
        <v>322</v>
      </c>
      <c r="D2897" t="s">
        <v>35</v>
      </c>
      <c r="E2897" t="s">
        <v>354</v>
      </c>
      <c r="F2897" t="s">
        <v>385</v>
      </c>
      <c r="G2897" t="s">
        <v>36</v>
      </c>
      <c r="H2897" t="s">
        <v>43</v>
      </c>
      <c r="I2897" s="187"/>
      <c r="J2897" s="187">
        <v>52.308832960906223</v>
      </c>
      <c r="K2897" s="187">
        <v>1262.4308495121161</v>
      </c>
      <c r="L2897" s="187">
        <v>0</v>
      </c>
      <c r="M2897" s="187">
        <v>1314.7396240234375</v>
      </c>
      <c r="N2897" s="187">
        <v>0</v>
      </c>
      <c r="O2897" t="s">
        <v>3353</v>
      </c>
    </row>
    <row r="2898" spans="1:15" hidden="1" x14ac:dyDescent="0.45">
      <c r="A2898" s="187">
        <v>2019</v>
      </c>
      <c r="B2898" t="s">
        <v>309</v>
      </c>
      <c r="C2898" t="s">
        <v>322</v>
      </c>
      <c r="D2898" t="s">
        <v>35</v>
      </c>
      <c r="E2898" t="s">
        <v>354</v>
      </c>
      <c r="F2898" t="s">
        <v>385</v>
      </c>
      <c r="G2898" t="s">
        <v>36</v>
      </c>
      <c r="H2898" t="s">
        <v>43</v>
      </c>
      <c r="I2898" s="187"/>
      <c r="J2898" s="187">
        <v>59.610828531408458</v>
      </c>
      <c r="K2898" s="187">
        <v>1274.3988671739351</v>
      </c>
      <c r="L2898" s="187">
        <v>0</v>
      </c>
      <c r="M2898" s="187">
        <v>1334.0096435546875</v>
      </c>
      <c r="N2898" s="187">
        <v>0</v>
      </c>
      <c r="O2898" t="s">
        <v>3357</v>
      </c>
    </row>
    <row r="2899" spans="1:15" hidden="1" x14ac:dyDescent="0.45">
      <c r="A2899" s="187">
        <v>2019</v>
      </c>
      <c r="B2899" t="s">
        <v>315</v>
      </c>
      <c r="C2899" t="s">
        <v>322</v>
      </c>
      <c r="D2899" t="s">
        <v>35</v>
      </c>
      <c r="E2899" t="s">
        <v>354</v>
      </c>
      <c r="F2899" t="s">
        <v>385</v>
      </c>
      <c r="G2899" t="s">
        <v>36</v>
      </c>
      <c r="H2899" t="s">
        <v>43</v>
      </c>
      <c r="I2899" s="187">
        <v>0</v>
      </c>
      <c r="J2899" s="187">
        <v>265.07460006729042</v>
      </c>
      <c r="K2899" s="187">
        <v>2235.9933460859506</v>
      </c>
      <c r="L2899" s="187">
        <v>336.44083854694554</v>
      </c>
      <c r="M2899" s="187">
        <v>2837.5087890625</v>
      </c>
      <c r="N2899" s="187">
        <v>336.44082641601563</v>
      </c>
      <c r="O2899" t="s">
        <v>3352</v>
      </c>
    </row>
    <row r="2900" spans="1:15" hidden="1" x14ac:dyDescent="0.45">
      <c r="A2900" s="187">
        <v>2019</v>
      </c>
      <c r="B2900" t="s">
        <v>313</v>
      </c>
      <c r="C2900" t="s">
        <v>322</v>
      </c>
      <c r="D2900" t="s">
        <v>35</v>
      </c>
      <c r="E2900" t="s">
        <v>354</v>
      </c>
      <c r="F2900" t="s">
        <v>385</v>
      </c>
      <c r="G2900" t="s">
        <v>37</v>
      </c>
      <c r="H2900" t="s">
        <v>43</v>
      </c>
      <c r="I2900" s="187"/>
      <c r="J2900" s="187">
        <v>42</v>
      </c>
      <c r="K2900" s="187">
        <v>1999.548520720102</v>
      </c>
      <c r="L2900" s="187">
        <v>416.03738399999992</v>
      </c>
      <c r="M2900" s="187">
        <v>2457.5859375</v>
      </c>
      <c r="N2900" s="187">
        <v>416.03738403320313</v>
      </c>
      <c r="O2900" t="s">
        <v>3361</v>
      </c>
    </row>
    <row r="2901" spans="1:15" hidden="1" x14ac:dyDescent="0.45">
      <c r="A2901" s="187">
        <v>2019</v>
      </c>
      <c r="B2901" t="s">
        <v>312</v>
      </c>
      <c r="C2901" t="s">
        <v>322</v>
      </c>
      <c r="D2901" t="s">
        <v>35</v>
      </c>
      <c r="E2901" t="s">
        <v>354</v>
      </c>
      <c r="F2901" t="s">
        <v>385</v>
      </c>
      <c r="G2901" t="s">
        <v>37</v>
      </c>
      <c r="H2901" t="s">
        <v>43</v>
      </c>
      <c r="I2901" s="187"/>
      <c r="J2901" s="187">
        <v>37</v>
      </c>
      <c r="K2901" s="187">
        <v>1921.762075040476</v>
      </c>
      <c r="L2901" s="187">
        <v>215</v>
      </c>
      <c r="M2901" s="187">
        <v>2173.76220703125</v>
      </c>
      <c r="N2901" s="187">
        <v>215</v>
      </c>
      <c r="O2901" t="s">
        <v>3359</v>
      </c>
    </row>
    <row r="2902" spans="1:15" hidden="1" x14ac:dyDescent="0.45">
      <c r="A2902" s="187">
        <v>2019</v>
      </c>
      <c r="B2902" t="s">
        <v>314</v>
      </c>
      <c r="C2902" t="s">
        <v>322</v>
      </c>
      <c r="D2902" t="s">
        <v>35</v>
      </c>
      <c r="E2902" t="s">
        <v>354</v>
      </c>
      <c r="F2902" t="s">
        <v>385</v>
      </c>
      <c r="G2902" t="s">
        <v>37</v>
      </c>
      <c r="H2902" t="s">
        <v>43</v>
      </c>
      <c r="I2902" s="187">
        <v>0</v>
      </c>
      <c r="J2902" s="187">
        <v>316</v>
      </c>
      <c r="K2902" s="187">
        <v>2076.376661933773</v>
      </c>
      <c r="L2902" s="187">
        <v>317</v>
      </c>
      <c r="M2902" s="187">
        <v>2709.376708984375</v>
      </c>
      <c r="N2902" s="187">
        <v>317</v>
      </c>
      <c r="O2902" t="s">
        <v>3360</v>
      </c>
    </row>
    <row r="2903" spans="1:15" hidden="1" x14ac:dyDescent="0.45">
      <c r="A2903" s="187">
        <v>2019</v>
      </c>
      <c r="B2903" t="s">
        <v>310</v>
      </c>
      <c r="C2903" t="s">
        <v>322</v>
      </c>
      <c r="D2903" t="s">
        <v>35</v>
      </c>
      <c r="E2903" t="s">
        <v>354</v>
      </c>
      <c r="F2903" t="s">
        <v>385</v>
      </c>
      <c r="G2903" t="s">
        <v>37</v>
      </c>
      <c r="H2903" t="s">
        <v>43</v>
      </c>
      <c r="I2903" s="187"/>
      <c r="J2903" s="187">
        <v>44</v>
      </c>
      <c r="K2903" s="187">
        <v>1070.1077745414991</v>
      </c>
      <c r="L2903" s="187">
        <v>0</v>
      </c>
      <c r="M2903" s="187">
        <v>1114.1077880859375</v>
      </c>
      <c r="N2903" s="187">
        <v>0</v>
      </c>
      <c r="O2903" t="s">
        <v>3365</v>
      </c>
    </row>
    <row r="2904" spans="1:15" hidden="1" x14ac:dyDescent="0.45">
      <c r="A2904" s="187">
        <v>2019</v>
      </c>
      <c r="B2904" t="s">
        <v>309</v>
      </c>
      <c r="C2904" t="s">
        <v>322</v>
      </c>
      <c r="D2904" t="s">
        <v>35</v>
      </c>
      <c r="E2904" t="s">
        <v>354</v>
      </c>
      <c r="F2904" t="s">
        <v>385</v>
      </c>
      <c r="G2904" t="s">
        <v>37</v>
      </c>
      <c r="H2904" t="s">
        <v>43</v>
      </c>
      <c r="I2904" s="187"/>
      <c r="J2904" s="187">
        <v>50.548499999999997</v>
      </c>
      <c r="K2904" s="187">
        <v>1100.258519051491</v>
      </c>
      <c r="L2904" s="187">
        <v>0</v>
      </c>
      <c r="M2904" s="187">
        <v>1150.8070068359375</v>
      </c>
      <c r="N2904" s="187">
        <v>0</v>
      </c>
      <c r="O2904" t="s">
        <v>3363</v>
      </c>
    </row>
    <row r="2905" spans="1:15" hidden="1" x14ac:dyDescent="0.45">
      <c r="A2905" s="187">
        <v>2019</v>
      </c>
      <c r="B2905" t="s">
        <v>311</v>
      </c>
      <c r="C2905" t="s">
        <v>322</v>
      </c>
      <c r="D2905" t="s">
        <v>35</v>
      </c>
      <c r="E2905" t="s">
        <v>354</v>
      </c>
      <c r="F2905" t="s">
        <v>385</v>
      </c>
      <c r="G2905" t="s">
        <v>37</v>
      </c>
      <c r="H2905" t="s">
        <v>43</v>
      </c>
      <c r="I2905" s="187"/>
      <c r="J2905" s="187">
        <v>43</v>
      </c>
      <c r="K2905" s="187">
        <v>1014.928137903681</v>
      </c>
      <c r="L2905" s="187">
        <v>0</v>
      </c>
      <c r="M2905" s="187">
        <v>1057.9281005859375</v>
      </c>
      <c r="N2905" s="187">
        <v>0</v>
      </c>
      <c r="O2905" t="s">
        <v>3364</v>
      </c>
    </row>
    <row r="2906" spans="1:15" hidden="1" x14ac:dyDescent="0.45">
      <c r="A2906" s="187">
        <v>2019</v>
      </c>
      <c r="B2906" t="s">
        <v>315</v>
      </c>
      <c r="C2906" t="s">
        <v>322</v>
      </c>
      <c r="D2906" t="s">
        <v>35</v>
      </c>
      <c r="E2906" t="s">
        <v>354</v>
      </c>
      <c r="F2906" t="s">
        <v>385</v>
      </c>
      <c r="G2906" t="s">
        <v>37</v>
      </c>
      <c r="H2906" t="s">
        <v>43</v>
      </c>
      <c r="I2906" s="187">
        <v>0</v>
      </c>
      <c r="J2906" s="187">
        <v>234</v>
      </c>
      <c r="K2906" s="187">
        <v>1973.8686499999999</v>
      </c>
      <c r="L2906" s="187">
        <v>297</v>
      </c>
      <c r="M2906" s="187">
        <v>2504.86865234375</v>
      </c>
      <c r="N2906" s="187">
        <v>297</v>
      </c>
      <c r="O2906" t="s">
        <v>3362</v>
      </c>
    </row>
    <row r="2907" spans="1:15" hidden="1" x14ac:dyDescent="0.45">
      <c r="A2907" s="187">
        <v>2019</v>
      </c>
      <c r="B2907" t="s">
        <v>311</v>
      </c>
      <c r="C2907" t="s">
        <v>322</v>
      </c>
      <c r="D2907" t="s">
        <v>35</v>
      </c>
      <c r="E2907" t="s">
        <v>354</v>
      </c>
      <c r="F2907" t="s">
        <v>386</v>
      </c>
      <c r="G2907" t="s">
        <v>36</v>
      </c>
      <c r="H2907" t="s">
        <v>43</v>
      </c>
      <c r="I2907" s="187"/>
      <c r="J2907" s="187">
        <v>63.764706132750199</v>
      </c>
      <c r="K2907" s="187">
        <v>3701.498801504828</v>
      </c>
      <c r="L2907" s="187">
        <v>262.71058926693081</v>
      </c>
      <c r="M2907" s="187">
        <v>4027.97412109375</v>
      </c>
      <c r="N2907" s="187">
        <v>262.71060180664063</v>
      </c>
      <c r="O2907" t="s">
        <v>3371</v>
      </c>
    </row>
    <row r="2908" spans="1:15" hidden="1" x14ac:dyDescent="0.45">
      <c r="A2908" s="187">
        <v>2019</v>
      </c>
      <c r="B2908" t="s">
        <v>313</v>
      </c>
      <c r="C2908" t="s">
        <v>322</v>
      </c>
      <c r="D2908" t="s">
        <v>35</v>
      </c>
      <c r="E2908" t="s">
        <v>354</v>
      </c>
      <c r="F2908" t="s">
        <v>386</v>
      </c>
      <c r="G2908" t="s">
        <v>36</v>
      </c>
      <c r="H2908" t="s">
        <v>43</v>
      </c>
      <c r="I2908" s="187">
        <v>0</v>
      </c>
      <c r="J2908" s="187">
        <v>59.894593726603141</v>
      </c>
      <c r="K2908" s="187">
        <v>3044.9400162337452</v>
      </c>
      <c r="L2908" s="187">
        <v>488.73988480908162</v>
      </c>
      <c r="M2908" s="187">
        <v>3593.57470703125</v>
      </c>
      <c r="N2908" s="187">
        <v>488.73989868164063</v>
      </c>
      <c r="O2908" t="s">
        <v>3369</v>
      </c>
    </row>
    <row r="2909" spans="1:15" hidden="1" x14ac:dyDescent="0.45">
      <c r="A2909" s="187">
        <v>2019</v>
      </c>
      <c r="B2909" t="s">
        <v>310</v>
      </c>
      <c r="C2909" t="s">
        <v>322</v>
      </c>
      <c r="D2909" t="s">
        <v>35</v>
      </c>
      <c r="E2909" t="s">
        <v>354</v>
      </c>
      <c r="F2909" t="s">
        <v>386</v>
      </c>
      <c r="G2909" t="s">
        <v>36</v>
      </c>
      <c r="H2909" t="s">
        <v>43</v>
      </c>
      <c r="I2909" s="187"/>
      <c r="J2909" s="187">
        <v>65.386041201132784</v>
      </c>
      <c r="K2909" s="187">
        <v>1866.1761611756685</v>
      </c>
      <c r="L2909" s="187">
        <v>320.39160188555059</v>
      </c>
      <c r="M2909" s="187">
        <v>2251.953857421875</v>
      </c>
      <c r="N2909" s="187">
        <v>320.3916015625</v>
      </c>
      <c r="O2909" t="s">
        <v>3366</v>
      </c>
    </row>
    <row r="2910" spans="1:15" hidden="1" x14ac:dyDescent="0.45">
      <c r="A2910" s="187">
        <v>2019</v>
      </c>
      <c r="B2910" t="s">
        <v>314</v>
      </c>
      <c r="C2910" t="s">
        <v>322</v>
      </c>
      <c r="D2910" t="s">
        <v>35</v>
      </c>
      <c r="E2910" t="s">
        <v>354</v>
      </c>
      <c r="F2910" t="s">
        <v>386</v>
      </c>
      <c r="G2910" t="s">
        <v>36</v>
      </c>
      <c r="H2910" t="s">
        <v>43</v>
      </c>
      <c r="I2910" s="187">
        <v>0</v>
      </c>
      <c r="J2910" s="187">
        <v>78.04298429362629</v>
      </c>
      <c r="K2910" s="187">
        <v>4007.8422392841658</v>
      </c>
      <c r="L2910" s="187">
        <v>484.56539501714229</v>
      </c>
      <c r="M2910" s="187">
        <v>4570.45068359375</v>
      </c>
      <c r="N2910" s="187">
        <v>484.56539916992188</v>
      </c>
      <c r="O2910" t="s">
        <v>3370</v>
      </c>
    </row>
    <row r="2911" spans="1:15" hidden="1" x14ac:dyDescent="0.45">
      <c r="A2911" s="187">
        <v>2019</v>
      </c>
      <c r="B2911" t="s">
        <v>315</v>
      </c>
      <c r="C2911" t="s">
        <v>322</v>
      </c>
      <c r="D2911" t="s">
        <v>35</v>
      </c>
      <c r="E2911" t="s">
        <v>354</v>
      </c>
      <c r="F2911" t="s">
        <v>386</v>
      </c>
      <c r="G2911" t="s">
        <v>36</v>
      </c>
      <c r="H2911" t="s">
        <v>43</v>
      </c>
      <c r="I2911" s="187">
        <v>0</v>
      </c>
      <c r="J2911" s="187">
        <v>73.631833352025112</v>
      </c>
      <c r="K2911" s="187">
        <v>3109.2781383195102</v>
      </c>
      <c r="L2911" s="187">
        <v>0</v>
      </c>
      <c r="M2911" s="187">
        <v>3182.909912109375</v>
      </c>
      <c r="N2911" s="187">
        <v>0</v>
      </c>
      <c r="O2911" t="s">
        <v>3372</v>
      </c>
    </row>
    <row r="2912" spans="1:15" hidden="1" x14ac:dyDescent="0.45">
      <c r="A2912" s="187">
        <v>2019</v>
      </c>
      <c r="B2912" t="s">
        <v>309</v>
      </c>
      <c r="C2912" t="s">
        <v>322</v>
      </c>
      <c r="D2912" t="s">
        <v>35</v>
      </c>
      <c r="E2912" t="s">
        <v>354</v>
      </c>
      <c r="F2912" t="s">
        <v>386</v>
      </c>
      <c r="G2912" t="s">
        <v>36</v>
      </c>
      <c r="H2912" t="s">
        <v>43</v>
      </c>
      <c r="I2912" s="187"/>
      <c r="J2912" s="187">
        <v>71.532994237690147</v>
      </c>
      <c r="K2912" s="187">
        <v>753.54710689092667</v>
      </c>
      <c r="L2912" s="187">
        <v>321.8984740696057</v>
      </c>
      <c r="M2912" s="187">
        <v>1146.978515625</v>
      </c>
      <c r="N2912" s="187">
        <v>321.89846801757813</v>
      </c>
      <c r="O2912" t="s">
        <v>3368</v>
      </c>
    </row>
    <row r="2913" spans="1:15" hidden="1" x14ac:dyDescent="0.45">
      <c r="A2913" s="187">
        <v>2019</v>
      </c>
      <c r="B2913" t="s">
        <v>312</v>
      </c>
      <c r="C2913" t="s">
        <v>322</v>
      </c>
      <c r="D2913" t="s">
        <v>35</v>
      </c>
      <c r="E2913" t="s">
        <v>354</v>
      </c>
      <c r="F2913" t="s">
        <v>386</v>
      </c>
      <c r="G2913" t="s">
        <v>36</v>
      </c>
      <c r="H2913" t="s">
        <v>43</v>
      </c>
      <c r="I2913" s="187">
        <v>0</v>
      </c>
      <c r="J2913" s="187">
        <v>61.828711797667012</v>
      </c>
      <c r="K2913" s="187">
        <v>3804.2427500281933</v>
      </c>
      <c r="L2913" s="187">
        <v>495.86626861728945</v>
      </c>
      <c r="M2913" s="187">
        <v>4361.93798828125</v>
      </c>
      <c r="N2913" s="187">
        <v>495.86627197265625</v>
      </c>
      <c r="O2913" t="s">
        <v>3367</v>
      </c>
    </row>
    <row r="2914" spans="1:15" hidden="1" x14ac:dyDescent="0.45">
      <c r="A2914" s="187">
        <v>2019</v>
      </c>
      <c r="B2914" t="s">
        <v>310</v>
      </c>
      <c r="C2914" t="s">
        <v>322</v>
      </c>
      <c r="D2914" t="s">
        <v>35</v>
      </c>
      <c r="E2914" t="s">
        <v>354</v>
      </c>
      <c r="F2914" t="s">
        <v>386</v>
      </c>
      <c r="G2914" t="s">
        <v>37</v>
      </c>
      <c r="H2914" t="s">
        <v>43</v>
      </c>
      <c r="I2914" s="187"/>
      <c r="J2914" s="187">
        <v>55</v>
      </c>
      <c r="K2914" s="187">
        <v>1581.87644060652</v>
      </c>
      <c r="L2914" s="187">
        <v>280</v>
      </c>
      <c r="M2914" s="187">
        <v>1916.87646484375</v>
      </c>
      <c r="N2914" s="187">
        <v>280</v>
      </c>
      <c r="O2914" t="s">
        <v>3376</v>
      </c>
    </row>
    <row r="2915" spans="1:15" hidden="1" x14ac:dyDescent="0.45">
      <c r="A2915" s="187">
        <v>2019</v>
      </c>
      <c r="B2915" t="s">
        <v>314</v>
      </c>
      <c r="C2915" t="s">
        <v>322</v>
      </c>
      <c r="D2915" t="s">
        <v>35</v>
      </c>
      <c r="E2915" t="s">
        <v>354</v>
      </c>
      <c r="F2915" t="s">
        <v>386</v>
      </c>
      <c r="G2915" t="s">
        <v>37</v>
      </c>
      <c r="H2915" t="s">
        <v>43</v>
      </c>
      <c r="I2915" s="187">
        <v>0</v>
      </c>
      <c r="J2915" s="187">
        <v>68</v>
      </c>
      <c r="K2915" s="187">
        <v>3513.9894340948072</v>
      </c>
      <c r="L2915" s="187">
        <v>431</v>
      </c>
      <c r="M2915" s="187">
        <v>4012.989501953125</v>
      </c>
      <c r="N2915" s="187">
        <v>431</v>
      </c>
      <c r="O2915" t="s">
        <v>3378</v>
      </c>
    </row>
    <row r="2916" spans="1:15" hidden="1" x14ac:dyDescent="0.45">
      <c r="A2916" s="187">
        <v>2019</v>
      </c>
      <c r="B2916" t="s">
        <v>309</v>
      </c>
      <c r="C2916" t="s">
        <v>322</v>
      </c>
      <c r="D2916" t="s">
        <v>35</v>
      </c>
      <c r="E2916" t="s">
        <v>354</v>
      </c>
      <c r="F2916" t="s">
        <v>386</v>
      </c>
      <c r="G2916" t="s">
        <v>37</v>
      </c>
      <c r="H2916" t="s">
        <v>43</v>
      </c>
      <c r="I2916" s="187"/>
      <c r="J2916" s="187">
        <v>60.658200000000001</v>
      </c>
      <c r="K2916" s="187">
        <v>650.57859451956676</v>
      </c>
      <c r="L2916" s="187">
        <v>289</v>
      </c>
      <c r="M2916" s="187">
        <v>1000.23681640625</v>
      </c>
      <c r="N2916" s="187">
        <v>289</v>
      </c>
      <c r="O2916" t="s">
        <v>3374</v>
      </c>
    </row>
    <row r="2917" spans="1:15" hidden="1" x14ac:dyDescent="0.45">
      <c r="A2917" s="187">
        <v>2019</v>
      </c>
      <c r="B2917" t="s">
        <v>313</v>
      </c>
      <c r="C2917" t="s">
        <v>322</v>
      </c>
      <c r="D2917" t="s">
        <v>35</v>
      </c>
      <c r="E2917" t="s">
        <v>354</v>
      </c>
      <c r="F2917" t="s">
        <v>386</v>
      </c>
      <c r="G2917" t="s">
        <v>37</v>
      </c>
      <c r="H2917" t="s">
        <v>43</v>
      </c>
      <c r="I2917" s="187"/>
      <c r="J2917" s="187">
        <v>52</v>
      </c>
      <c r="K2917" s="187">
        <v>2634.1416218628028</v>
      </c>
      <c r="L2917" s="187">
        <v>424.35813167999987</v>
      </c>
      <c r="M2917" s="187">
        <v>3110.499755859375</v>
      </c>
      <c r="N2917" s="187">
        <v>424.35812377929688</v>
      </c>
      <c r="O2917" t="s">
        <v>3377</v>
      </c>
    </row>
    <row r="2918" spans="1:15" hidden="1" x14ac:dyDescent="0.45">
      <c r="A2918" s="187">
        <v>2019</v>
      </c>
      <c r="B2918" t="s">
        <v>311</v>
      </c>
      <c r="C2918" t="s">
        <v>322</v>
      </c>
      <c r="D2918" t="s">
        <v>35</v>
      </c>
      <c r="E2918" t="s">
        <v>354</v>
      </c>
      <c r="F2918" t="s">
        <v>386</v>
      </c>
      <c r="G2918" t="s">
        <v>37</v>
      </c>
      <c r="H2918" t="s">
        <v>43</v>
      </c>
      <c r="I2918" s="187"/>
      <c r="J2918" s="187">
        <v>54</v>
      </c>
      <c r="K2918" s="187">
        <v>3118.7908831161399</v>
      </c>
      <c r="L2918" s="187">
        <v>230</v>
      </c>
      <c r="M2918" s="187">
        <v>3402.790771484375</v>
      </c>
      <c r="N2918" s="187">
        <v>230</v>
      </c>
      <c r="O2918" t="s">
        <v>3379</v>
      </c>
    </row>
    <row r="2919" spans="1:15" hidden="1" x14ac:dyDescent="0.45">
      <c r="A2919" s="187">
        <v>2019</v>
      </c>
      <c r="B2919" t="s">
        <v>312</v>
      </c>
      <c r="C2919" t="s">
        <v>322</v>
      </c>
      <c r="D2919" t="s">
        <v>35</v>
      </c>
      <c r="E2919" t="s">
        <v>354</v>
      </c>
      <c r="F2919" t="s">
        <v>386</v>
      </c>
      <c r="G2919" t="s">
        <v>37</v>
      </c>
      <c r="H2919" t="s">
        <v>43</v>
      </c>
      <c r="I2919" s="187"/>
      <c r="J2919" s="187">
        <v>53</v>
      </c>
      <c r="K2919" s="187">
        <v>3254.6712809369319</v>
      </c>
      <c r="L2919" s="187">
        <v>423</v>
      </c>
      <c r="M2919" s="187">
        <v>3730.67138671875</v>
      </c>
      <c r="N2919" s="187">
        <v>423</v>
      </c>
      <c r="O2919" t="s">
        <v>3375</v>
      </c>
    </row>
    <row r="2920" spans="1:15" hidden="1" x14ac:dyDescent="0.45">
      <c r="A2920" s="187">
        <v>2019</v>
      </c>
      <c r="B2920" t="s">
        <v>315</v>
      </c>
      <c r="C2920" t="s">
        <v>322</v>
      </c>
      <c r="D2920" t="s">
        <v>35</v>
      </c>
      <c r="E2920" t="s">
        <v>354</v>
      </c>
      <c r="F2920" t="s">
        <v>386</v>
      </c>
      <c r="G2920" t="s">
        <v>37</v>
      </c>
      <c r="H2920" t="s">
        <v>43</v>
      </c>
      <c r="I2920" s="187">
        <v>0</v>
      </c>
      <c r="J2920" s="187">
        <v>65</v>
      </c>
      <c r="K2920" s="187">
        <v>2744.7785800000001</v>
      </c>
      <c r="L2920" s="187">
        <v>0</v>
      </c>
      <c r="M2920" s="187">
        <v>2809.778564453125</v>
      </c>
      <c r="N2920" s="187">
        <v>0</v>
      </c>
      <c r="O2920" t="s">
        <v>3373</v>
      </c>
    </row>
    <row r="2921" spans="1:15" hidden="1" x14ac:dyDescent="0.45">
      <c r="A2921" s="187">
        <v>2019</v>
      </c>
      <c r="B2921" t="s">
        <v>309</v>
      </c>
      <c r="C2921" t="s">
        <v>322</v>
      </c>
      <c r="D2921" t="s">
        <v>35</v>
      </c>
      <c r="E2921" t="s">
        <v>354</v>
      </c>
      <c r="F2921" t="s">
        <v>387</v>
      </c>
      <c r="G2921" t="s">
        <v>36</v>
      </c>
      <c r="H2921" t="s">
        <v>43</v>
      </c>
      <c r="I2921" s="187"/>
      <c r="J2921" s="187">
        <v>131.14382276909862</v>
      </c>
      <c r="K2921" s="187">
        <v>2027.945974064862</v>
      </c>
      <c r="L2921" s="187">
        <v>321.8984740696057</v>
      </c>
      <c r="M2921" s="187">
        <v>2480.98828125</v>
      </c>
      <c r="N2921" s="187">
        <v>321.89846801757813</v>
      </c>
      <c r="O2921" t="s">
        <v>3382</v>
      </c>
    </row>
    <row r="2922" spans="1:15" hidden="1" x14ac:dyDescent="0.45">
      <c r="A2922" s="187">
        <v>2019</v>
      </c>
      <c r="B2922" t="s">
        <v>313</v>
      </c>
      <c r="C2922" t="s">
        <v>322</v>
      </c>
      <c r="D2922" t="s">
        <v>35</v>
      </c>
      <c r="E2922" t="s">
        <v>354</v>
      </c>
      <c r="F2922" t="s">
        <v>387</v>
      </c>
      <c r="G2922" t="s">
        <v>36</v>
      </c>
      <c r="H2922" t="s">
        <v>43</v>
      </c>
      <c r="I2922" s="187">
        <v>0</v>
      </c>
      <c r="J2922" s="187">
        <v>107.81026870788565</v>
      </c>
      <c r="K2922" s="187">
        <v>5356.3211715248517</v>
      </c>
      <c r="L2922" s="187">
        <v>967.89663462190674</v>
      </c>
      <c r="M2922" s="187">
        <v>6432.02783203125</v>
      </c>
      <c r="N2922" s="187">
        <v>967.8966064453125</v>
      </c>
      <c r="O2922" t="s">
        <v>3384</v>
      </c>
    </row>
    <row r="2923" spans="1:15" hidden="1" x14ac:dyDescent="0.45">
      <c r="A2923" s="187">
        <v>2019</v>
      </c>
      <c r="B2923" t="s">
        <v>314</v>
      </c>
      <c r="C2923" t="s">
        <v>322</v>
      </c>
      <c r="D2923" t="s">
        <v>35</v>
      </c>
      <c r="E2923" t="s">
        <v>354</v>
      </c>
      <c r="F2923" t="s">
        <v>387</v>
      </c>
      <c r="G2923" t="s">
        <v>36</v>
      </c>
      <c r="H2923" t="s">
        <v>43</v>
      </c>
      <c r="I2923" s="187">
        <v>0</v>
      </c>
      <c r="J2923" s="187">
        <v>439.13738923428519</v>
      </c>
      <c r="K2923" s="187">
        <v>6376.0309451519479</v>
      </c>
      <c r="L2923" s="187">
        <v>841.00051731340568</v>
      </c>
      <c r="M2923" s="187">
        <v>7656.1689453125</v>
      </c>
      <c r="N2923" s="187">
        <v>841.00048828125</v>
      </c>
      <c r="O2923" t="s">
        <v>3381</v>
      </c>
    </row>
    <row r="2924" spans="1:15" hidden="1" x14ac:dyDescent="0.45">
      <c r="A2924" s="187">
        <v>2019</v>
      </c>
      <c r="B2924" t="s">
        <v>312</v>
      </c>
      <c r="C2924" t="s">
        <v>322</v>
      </c>
      <c r="D2924" t="s">
        <v>35</v>
      </c>
      <c r="E2924" t="s">
        <v>354</v>
      </c>
      <c r="F2924" t="s">
        <v>387</v>
      </c>
      <c r="G2924" t="s">
        <v>36</v>
      </c>
      <c r="H2924" t="s">
        <v>43</v>
      </c>
      <c r="I2924" s="187">
        <v>0</v>
      </c>
      <c r="J2924" s="187">
        <v>105.10881005603392</v>
      </c>
      <c r="K2924" s="187">
        <v>6050.5062925470775</v>
      </c>
      <c r="L2924" s="187">
        <v>748.12741275177086</v>
      </c>
      <c r="M2924" s="187">
        <v>6903.74267578125</v>
      </c>
      <c r="N2924" s="187">
        <v>748.12744140625</v>
      </c>
      <c r="O2924" t="s">
        <v>3383</v>
      </c>
    </row>
    <row r="2925" spans="1:15" hidden="1" x14ac:dyDescent="0.45">
      <c r="A2925" s="187">
        <v>2019</v>
      </c>
      <c r="B2925" t="s">
        <v>310</v>
      </c>
      <c r="C2925" t="s">
        <v>322</v>
      </c>
      <c r="D2925" t="s">
        <v>35</v>
      </c>
      <c r="E2925" t="s">
        <v>354</v>
      </c>
      <c r="F2925" t="s">
        <v>387</v>
      </c>
      <c r="G2925" t="s">
        <v>36</v>
      </c>
      <c r="H2925" t="s">
        <v>43</v>
      </c>
      <c r="I2925" s="187"/>
      <c r="J2925" s="187">
        <v>117.694874162039</v>
      </c>
      <c r="K2925" s="187">
        <v>3128.6070106877837</v>
      </c>
      <c r="L2925" s="187">
        <v>320.39160188555059</v>
      </c>
      <c r="M2925" s="187">
        <v>3566.693603515625</v>
      </c>
      <c r="N2925" s="187">
        <v>320.3916015625</v>
      </c>
      <c r="O2925" t="s">
        <v>3385</v>
      </c>
    </row>
    <row r="2926" spans="1:15" hidden="1" x14ac:dyDescent="0.45">
      <c r="A2926" s="187">
        <v>2019</v>
      </c>
      <c r="B2926" t="s">
        <v>311</v>
      </c>
      <c r="C2926" t="s">
        <v>322</v>
      </c>
      <c r="D2926" t="s">
        <v>35</v>
      </c>
      <c r="E2926" t="s">
        <v>354</v>
      </c>
      <c r="F2926" t="s">
        <v>387</v>
      </c>
      <c r="G2926" t="s">
        <v>36</v>
      </c>
      <c r="H2926" t="s">
        <v>43</v>
      </c>
      <c r="I2926" s="187"/>
      <c r="J2926" s="187">
        <v>114.77647103895036</v>
      </c>
      <c r="K2926" s="187">
        <v>4906.0538444227541</v>
      </c>
      <c r="L2926" s="187">
        <v>262.71058926693081</v>
      </c>
      <c r="M2926" s="187">
        <v>5283.54052734375</v>
      </c>
      <c r="N2926" s="187">
        <v>262.71060180664063</v>
      </c>
      <c r="O2926" t="s">
        <v>3386</v>
      </c>
    </row>
    <row r="2927" spans="1:15" hidden="1" x14ac:dyDescent="0.45">
      <c r="A2927" s="187">
        <v>2019</v>
      </c>
      <c r="B2927" t="s">
        <v>315</v>
      </c>
      <c r="C2927" t="s">
        <v>322</v>
      </c>
      <c r="D2927" t="s">
        <v>35</v>
      </c>
      <c r="E2927" t="s">
        <v>354</v>
      </c>
      <c r="F2927" t="s">
        <v>387</v>
      </c>
      <c r="G2927" t="s">
        <v>36</v>
      </c>
      <c r="H2927" t="s">
        <v>43</v>
      </c>
      <c r="I2927" s="187">
        <v>0</v>
      </c>
      <c r="J2927" s="187">
        <v>338.70643341931554</v>
      </c>
      <c r="K2927" s="187">
        <v>5345.2714844054599</v>
      </c>
      <c r="L2927" s="187">
        <v>1274.3971157081271</v>
      </c>
      <c r="M2927" s="187">
        <v>6958.375</v>
      </c>
      <c r="N2927" s="187">
        <v>1274.3970947265625</v>
      </c>
      <c r="O2927" t="s">
        <v>3380</v>
      </c>
    </row>
    <row r="2928" spans="1:15" hidden="1" x14ac:dyDescent="0.45">
      <c r="A2928" s="187">
        <v>2019</v>
      </c>
      <c r="B2928" t="s">
        <v>313</v>
      </c>
      <c r="C2928" t="s">
        <v>322</v>
      </c>
      <c r="D2928" t="s">
        <v>35</v>
      </c>
      <c r="E2928" t="s">
        <v>354</v>
      </c>
      <c r="F2928" t="s">
        <v>387</v>
      </c>
      <c r="G2928" t="s">
        <v>37</v>
      </c>
      <c r="H2928" t="s">
        <v>43</v>
      </c>
      <c r="I2928" s="187">
        <v>0</v>
      </c>
      <c r="J2928" s="187">
        <v>94</v>
      </c>
      <c r="K2928" s="187">
        <v>4633.6901425829046</v>
      </c>
      <c r="L2928" s="187">
        <v>840.39551567999979</v>
      </c>
      <c r="M2928" s="187">
        <v>5568.08544921875</v>
      </c>
      <c r="N2928" s="187">
        <v>840.3955078125</v>
      </c>
      <c r="O2928" t="s">
        <v>3392</v>
      </c>
    </row>
    <row r="2929" spans="1:15" hidden="1" x14ac:dyDescent="0.45">
      <c r="A2929" s="187">
        <v>2019</v>
      </c>
      <c r="B2929" t="s">
        <v>315</v>
      </c>
      <c r="C2929" t="s">
        <v>322</v>
      </c>
      <c r="D2929" t="s">
        <v>35</v>
      </c>
      <c r="E2929" t="s">
        <v>354</v>
      </c>
      <c r="F2929" t="s">
        <v>387</v>
      </c>
      <c r="G2929" t="s">
        <v>37</v>
      </c>
      <c r="H2929" t="s">
        <v>43</v>
      </c>
      <c r="I2929" s="187">
        <v>0</v>
      </c>
      <c r="J2929" s="187">
        <v>299</v>
      </c>
      <c r="K2929" s="187">
        <v>4718.6472299999996</v>
      </c>
      <c r="L2929" s="187">
        <v>1125</v>
      </c>
      <c r="M2929" s="187">
        <v>6142.6474609375</v>
      </c>
      <c r="N2929" s="187">
        <v>1125</v>
      </c>
      <c r="O2929" t="s">
        <v>3390</v>
      </c>
    </row>
    <row r="2930" spans="1:15" hidden="1" x14ac:dyDescent="0.45">
      <c r="A2930" s="187">
        <v>2019</v>
      </c>
      <c r="B2930" t="s">
        <v>310</v>
      </c>
      <c r="C2930" t="s">
        <v>322</v>
      </c>
      <c r="D2930" t="s">
        <v>35</v>
      </c>
      <c r="E2930" t="s">
        <v>354</v>
      </c>
      <c r="F2930" t="s">
        <v>387</v>
      </c>
      <c r="G2930" t="s">
        <v>37</v>
      </c>
      <c r="H2930" t="s">
        <v>43</v>
      </c>
      <c r="I2930" s="187"/>
      <c r="J2930" s="187">
        <v>99</v>
      </c>
      <c r="K2930" s="187">
        <v>2651.9842151480188</v>
      </c>
      <c r="L2930" s="187">
        <v>280</v>
      </c>
      <c r="M2930" s="187">
        <v>3030.984130859375</v>
      </c>
      <c r="N2930" s="187">
        <v>280</v>
      </c>
      <c r="O2930" t="s">
        <v>3391</v>
      </c>
    </row>
    <row r="2931" spans="1:15" hidden="1" x14ac:dyDescent="0.45">
      <c r="A2931" s="187">
        <v>2019</v>
      </c>
      <c r="B2931" t="s">
        <v>311</v>
      </c>
      <c r="C2931" t="s">
        <v>322</v>
      </c>
      <c r="D2931" t="s">
        <v>35</v>
      </c>
      <c r="E2931" t="s">
        <v>354</v>
      </c>
      <c r="F2931" t="s">
        <v>387</v>
      </c>
      <c r="G2931" t="s">
        <v>37</v>
      </c>
      <c r="H2931" t="s">
        <v>43</v>
      </c>
      <c r="I2931" s="187"/>
      <c r="J2931" s="187">
        <v>97</v>
      </c>
      <c r="K2931" s="187">
        <v>4133.7190210198214</v>
      </c>
      <c r="L2931" s="187">
        <v>230</v>
      </c>
      <c r="M2931" s="187">
        <v>4460.71923828125</v>
      </c>
      <c r="N2931" s="187">
        <v>230</v>
      </c>
      <c r="O2931" t="s">
        <v>3387</v>
      </c>
    </row>
    <row r="2932" spans="1:15" hidden="1" x14ac:dyDescent="0.45">
      <c r="A2932" s="187">
        <v>2019</v>
      </c>
      <c r="B2932" t="s">
        <v>312</v>
      </c>
      <c r="C2932" t="s">
        <v>322</v>
      </c>
      <c r="D2932" t="s">
        <v>35</v>
      </c>
      <c r="E2932" t="s">
        <v>354</v>
      </c>
      <c r="F2932" t="s">
        <v>387</v>
      </c>
      <c r="G2932" t="s">
        <v>37</v>
      </c>
      <c r="H2932" t="s">
        <v>43</v>
      </c>
      <c r="I2932" s="187">
        <v>0</v>
      </c>
      <c r="J2932" s="187">
        <v>90</v>
      </c>
      <c r="K2932" s="187">
        <v>5176.4333559774077</v>
      </c>
      <c r="L2932" s="187">
        <v>638</v>
      </c>
      <c r="M2932" s="187">
        <v>5904.43359375</v>
      </c>
      <c r="N2932" s="187">
        <v>638</v>
      </c>
      <c r="O2932" t="s">
        <v>3388</v>
      </c>
    </row>
    <row r="2933" spans="1:15" hidden="1" x14ac:dyDescent="0.45">
      <c r="A2933" s="187">
        <v>2019</v>
      </c>
      <c r="B2933" t="s">
        <v>309</v>
      </c>
      <c r="C2933" t="s">
        <v>322</v>
      </c>
      <c r="D2933" t="s">
        <v>35</v>
      </c>
      <c r="E2933" t="s">
        <v>354</v>
      </c>
      <c r="F2933" t="s">
        <v>387</v>
      </c>
      <c r="G2933" t="s">
        <v>37</v>
      </c>
      <c r="H2933" t="s">
        <v>43</v>
      </c>
      <c r="I2933" s="187"/>
      <c r="J2933" s="187">
        <v>111.2067</v>
      </c>
      <c r="K2933" s="187">
        <v>1750.8371135710579</v>
      </c>
      <c r="L2933" s="187">
        <v>289</v>
      </c>
      <c r="M2933" s="187">
        <v>2151.0439453125</v>
      </c>
      <c r="N2933" s="187">
        <v>289</v>
      </c>
      <c r="O2933" t="s">
        <v>3389</v>
      </c>
    </row>
    <row r="2934" spans="1:15" hidden="1" x14ac:dyDescent="0.45">
      <c r="A2934" s="187">
        <v>2019</v>
      </c>
      <c r="B2934" t="s">
        <v>314</v>
      </c>
      <c r="C2934" t="s">
        <v>322</v>
      </c>
      <c r="D2934" t="s">
        <v>35</v>
      </c>
      <c r="E2934" t="s">
        <v>354</v>
      </c>
      <c r="F2934" t="s">
        <v>387</v>
      </c>
      <c r="G2934" t="s">
        <v>37</v>
      </c>
      <c r="H2934" t="s">
        <v>43</v>
      </c>
      <c r="I2934" s="187">
        <v>0</v>
      </c>
      <c r="J2934" s="187">
        <v>384</v>
      </c>
      <c r="K2934" s="187">
        <v>5590.3660960285797</v>
      </c>
      <c r="L2934" s="187">
        <v>748</v>
      </c>
      <c r="M2934" s="187">
        <v>6722.3662109375</v>
      </c>
      <c r="N2934" s="187">
        <v>748</v>
      </c>
      <c r="O2934" t="s">
        <v>3393</v>
      </c>
    </row>
    <row r="2935" spans="1:15" hidden="1" x14ac:dyDescent="0.45">
      <c r="A2935" s="187">
        <v>2019</v>
      </c>
      <c r="B2935" t="s">
        <v>314</v>
      </c>
      <c r="C2935" t="s">
        <v>322</v>
      </c>
      <c r="D2935" t="s">
        <v>35</v>
      </c>
      <c r="E2935" t="s">
        <v>17</v>
      </c>
      <c r="F2935" t="s">
        <v>17</v>
      </c>
      <c r="G2935" t="s">
        <v>36</v>
      </c>
      <c r="H2935" t="s">
        <v>43</v>
      </c>
      <c r="I2935" s="187">
        <v>3383.8040204923036</v>
      </c>
      <c r="J2935" s="187">
        <v>81.537446276922978</v>
      </c>
      <c r="K2935" s="187">
        <v>1852.6498787934913</v>
      </c>
      <c r="L2935" s="187">
        <v>2385.5527139305468</v>
      </c>
      <c r="M2935" s="187">
        <v>7703.5439453125</v>
      </c>
      <c r="N2935" s="187">
        <v>5769.3564453125</v>
      </c>
      <c r="O2935" t="s">
        <v>3400</v>
      </c>
    </row>
    <row r="2936" spans="1:15" hidden="1" x14ac:dyDescent="0.45">
      <c r="A2936" s="187">
        <v>2019</v>
      </c>
      <c r="B2936" t="s">
        <v>312</v>
      </c>
      <c r="C2936" t="s">
        <v>322</v>
      </c>
      <c r="D2936" t="s">
        <v>35</v>
      </c>
      <c r="E2936" t="s">
        <v>17</v>
      </c>
      <c r="F2936" t="s">
        <v>17</v>
      </c>
      <c r="G2936" t="s">
        <v>36</v>
      </c>
      <c r="H2936" t="s">
        <v>43</v>
      </c>
      <c r="I2936" s="187">
        <v>2171.4243583340653</v>
      </c>
      <c r="J2936" s="187">
        <v>80.377325336967118</v>
      </c>
      <c r="K2936" s="187">
        <v>1659.243844669644</v>
      </c>
      <c r="L2936" s="187">
        <v>2035.4011923791979</v>
      </c>
      <c r="M2936" s="187">
        <v>5946.44677734375</v>
      </c>
      <c r="N2936" s="187">
        <v>4206.82568359375</v>
      </c>
      <c r="O2936" t="s">
        <v>3395</v>
      </c>
    </row>
    <row r="2937" spans="1:15" hidden="1" x14ac:dyDescent="0.45">
      <c r="A2937" s="187">
        <v>2019</v>
      </c>
      <c r="B2937" t="s">
        <v>313</v>
      </c>
      <c r="C2937" t="s">
        <v>322</v>
      </c>
      <c r="D2937" t="s">
        <v>35</v>
      </c>
      <c r="E2937" t="s">
        <v>17</v>
      </c>
      <c r="F2937" t="s">
        <v>17</v>
      </c>
      <c r="G2937" t="s">
        <v>36</v>
      </c>
      <c r="H2937" t="s">
        <v>43</v>
      </c>
      <c r="I2937" s="187">
        <v>3803.3067016392993</v>
      </c>
      <c r="J2937" s="187">
        <v>77.862971844584081</v>
      </c>
      <c r="K2937" s="187">
        <v>1768.7664827366332</v>
      </c>
      <c r="L2937" s="187">
        <v>2198.1315897663353</v>
      </c>
      <c r="M2937" s="187">
        <v>7848.0673828125</v>
      </c>
      <c r="N2937" s="187">
        <v>6001.43798828125</v>
      </c>
      <c r="O2937" t="s">
        <v>3396</v>
      </c>
    </row>
    <row r="2938" spans="1:15" hidden="1" x14ac:dyDescent="0.45">
      <c r="A2938" s="187">
        <v>2019</v>
      </c>
      <c r="B2938" t="s">
        <v>310</v>
      </c>
      <c r="C2938" t="s">
        <v>322</v>
      </c>
      <c r="D2938" t="s">
        <v>35</v>
      </c>
      <c r="E2938" t="s">
        <v>17</v>
      </c>
      <c r="F2938" t="s">
        <v>17</v>
      </c>
      <c r="G2938" t="s">
        <v>36</v>
      </c>
      <c r="H2938" t="s">
        <v>43</v>
      </c>
      <c r="I2938" s="187"/>
      <c r="J2938" s="187">
        <v>52.308832960906223</v>
      </c>
      <c r="K2938" s="187">
        <v>2818.1636097484061</v>
      </c>
      <c r="L2938" s="187">
        <v>7201.6185778927638</v>
      </c>
      <c r="M2938" s="187">
        <v>10072.0908203125</v>
      </c>
      <c r="N2938" s="187">
        <v>7201.61865234375</v>
      </c>
      <c r="O2938" t="s">
        <v>3397</v>
      </c>
    </row>
    <row r="2939" spans="1:15" hidden="1" x14ac:dyDescent="0.45">
      <c r="A2939" s="187">
        <v>2019</v>
      </c>
      <c r="B2939" t="s">
        <v>311</v>
      </c>
      <c r="C2939" t="s">
        <v>322</v>
      </c>
      <c r="D2939" t="s">
        <v>35</v>
      </c>
      <c r="E2939" t="s">
        <v>17</v>
      </c>
      <c r="F2939" t="s">
        <v>17</v>
      </c>
      <c r="G2939" t="s">
        <v>36</v>
      </c>
      <c r="H2939" t="s">
        <v>43</v>
      </c>
      <c r="I2939" s="187"/>
      <c r="J2939" s="187">
        <v>57.388235519475181</v>
      </c>
      <c r="K2939" s="187">
        <v>2109.5022904453876</v>
      </c>
      <c r="L2939" s="187">
        <v>2859.2094229925187</v>
      </c>
      <c r="M2939" s="187">
        <v>5026.10009765625</v>
      </c>
      <c r="N2939" s="187">
        <v>2859.20947265625</v>
      </c>
      <c r="O2939" t="s">
        <v>3394</v>
      </c>
    </row>
    <row r="2940" spans="1:15" hidden="1" x14ac:dyDescent="0.45">
      <c r="A2940" s="187">
        <v>2019</v>
      </c>
      <c r="B2940" t="s">
        <v>315</v>
      </c>
      <c r="C2940" t="s">
        <v>322</v>
      </c>
      <c r="D2940" t="s">
        <v>35</v>
      </c>
      <c r="E2940" t="s">
        <v>17</v>
      </c>
      <c r="F2940" t="s">
        <v>17</v>
      </c>
      <c r="G2940" t="s">
        <v>36</v>
      </c>
      <c r="H2940" t="s">
        <v>43</v>
      </c>
      <c r="I2940" s="187">
        <v>5596.0193347539089</v>
      </c>
      <c r="J2940" s="187">
        <v>87.225402586245139</v>
      </c>
      <c r="K2940" s="187">
        <v>1704.1579316557111</v>
      </c>
      <c r="L2940" s="187">
        <v>1081.8215515566767</v>
      </c>
      <c r="M2940" s="187">
        <v>8469.224609375</v>
      </c>
      <c r="N2940" s="187">
        <v>6677.84130859375</v>
      </c>
      <c r="O2940" t="s">
        <v>3399</v>
      </c>
    </row>
    <row r="2941" spans="1:15" hidden="1" x14ac:dyDescent="0.45">
      <c r="A2941" s="187">
        <v>2019</v>
      </c>
      <c r="B2941" t="s">
        <v>309</v>
      </c>
      <c r="C2941" t="s">
        <v>322</v>
      </c>
      <c r="D2941" t="s">
        <v>35</v>
      </c>
      <c r="E2941" t="s">
        <v>17</v>
      </c>
      <c r="F2941" t="s">
        <v>17</v>
      </c>
      <c r="G2941" t="s">
        <v>36</v>
      </c>
      <c r="H2941" t="s">
        <v>43</v>
      </c>
      <c r="I2941" s="187"/>
      <c r="J2941" s="187">
        <v>41.065237432748049</v>
      </c>
      <c r="K2941" s="187">
        <v>4405.6885151484921</v>
      </c>
      <c r="L2941" s="187">
        <v>7246.0273792623166</v>
      </c>
      <c r="M2941" s="187">
        <v>11692.78125</v>
      </c>
      <c r="N2941" s="187">
        <v>7246.02734375</v>
      </c>
      <c r="O2941" t="s">
        <v>3398</v>
      </c>
    </row>
    <row r="2942" spans="1:15" hidden="1" x14ac:dyDescent="0.45">
      <c r="A2942" s="187">
        <v>2019</v>
      </c>
      <c r="B2942" t="s">
        <v>315</v>
      </c>
      <c r="C2942" t="s">
        <v>322</v>
      </c>
      <c r="D2942" t="s">
        <v>35</v>
      </c>
      <c r="E2942" t="s">
        <v>17</v>
      </c>
      <c r="F2942" t="s">
        <v>17</v>
      </c>
      <c r="G2942" t="s">
        <v>37</v>
      </c>
      <c r="H2942" t="s">
        <v>43</v>
      </c>
      <c r="I2942" s="187">
        <v>4940</v>
      </c>
      <c r="J2942" s="187">
        <v>77</v>
      </c>
      <c r="K2942" s="187">
        <v>1504.3801100000001</v>
      </c>
      <c r="L2942" s="187">
        <v>955</v>
      </c>
      <c r="M2942" s="187">
        <v>7476.3798828125</v>
      </c>
      <c r="N2942" s="187">
        <v>5895</v>
      </c>
      <c r="O2942" t="s">
        <v>3404</v>
      </c>
    </row>
    <row r="2943" spans="1:15" hidden="1" x14ac:dyDescent="0.45">
      <c r="A2943" s="187">
        <v>2019</v>
      </c>
      <c r="B2943" t="s">
        <v>309</v>
      </c>
      <c r="C2943" t="s">
        <v>322</v>
      </c>
      <c r="D2943" t="s">
        <v>35</v>
      </c>
      <c r="E2943" t="s">
        <v>17</v>
      </c>
      <c r="F2943" t="s">
        <v>17</v>
      </c>
      <c r="G2943" t="s">
        <v>37</v>
      </c>
      <c r="H2943" t="s">
        <v>43</v>
      </c>
      <c r="I2943" s="187"/>
      <c r="J2943" s="187">
        <v>34.822299999999998</v>
      </c>
      <c r="K2943" s="187">
        <v>3803.6728107180988</v>
      </c>
      <c r="L2943" s="187">
        <v>6505</v>
      </c>
      <c r="M2943" s="187">
        <v>10343.4951171875</v>
      </c>
      <c r="N2943" s="187">
        <v>6505</v>
      </c>
      <c r="O2943" t="s">
        <v>3401</v>
      </c>
    </row>
    <row r="2944" spans="1:15" hidden="1" x14ac:dyDescent="0.45">
      <c r="A2944" s="187">
        <v>2019</v>
      </c>
      <c r="B2944" t="s">
        <v>314</v>
      </c>
      <c r="C2944" t="s">
        <v>322</v>
      </c>
      <c r="D2944" t="s">
        <v>35</v>
      </c>
      <c r="E2944" t="s">
        <v>17</v>
      </c>
      <c r="F2944" t="s">
        <v>17</v>
      </c>
      <c r="G2944" t="s">
        <v>37</v>
      </c>
      <c r="H2944" t="s">
        <v>43</v>
      </c>
      <c r="I2944" s="187">
        <v>2963.9715000000001</v>
      </c>
      <c r="J2944" s="187">
        <v>71</v>
      </c>
      <c r="K2944" s="187">
        <v>1624.363363244589</v>
      </c>
      <c r="L2944" s="187">
        <v>2122</v>
      </c>
      <c r="M2944" s="187">
        <v>6781.3349609375</v>
      </c>
      <c r="N2944" s="187">
        <v>5085.9716796875</v>
      </c>
      <c r="O2944" t="s">
        <v>3406</v>
      </c>
    </row>
    <row r="2945" spans="1:15" hidden="1" x14ac:dyDescent="0.45">
      <c r="A2945" s="187">
        <v>2019</v>
      </c>
      <c r="B2945" t="s">
        <v>310</v>
      </c>
      <c r="C2945" t="s">
        <v>322</v>
      </c>
      <c r="D2945" t="s">
        <v>35</v>
      </c>
      <c r="E2945" t="s">
        <v>17</v>
      </c>
      <c r="F2945" t="s">
        <v>17</v>
      </c>
      <c r="G2945" t="s">
        <v>37</v>
      </c>
      <c r="H2945" t="s">
        <v>43</v>
      </c>
      <c r="I2945" s="187"/>
      <c r="J2945" s="187">
        <v>44</v>
      </c>
      <c r="K2945" s="187">
        <v>2388.8348339136169</v>
      </c>
      <c r="L2945" s="187">
        <v>6294</v>
      </c>
      <c r="M2945" s="187">
        <v>8726.8349609375</v>
      </c>
      <c r="N2945" s="187">
        <v>6294</v>
      </c>
      <c r="O2945" t="s">
        <v>3407</v>
      </c>
    </row>
    <row r="2946" spans="1:15" hidden="1" x14ac:dyDescent="0.45">
      <c r="A2946" s="187">
        <v>2019</v>
      </c>
      <c r="B2946" t="s">
        <v>312</v>
      </c>
      <c r="C2946" t="s">
        <v>322</v>
      </c>
      <c r="D2946" t="s">
        <v>35</v>
      </c>
      <c r="E2946" t="s">
        <v>17</v>
      </c>
      <c r="F2946" t="s">
        <v>17</v>
      </c>
      <c r="G2946" t="s">
        <v>37</v>
      </c>
      <c r="H2946" t="s">
        <v>43</v>
      </c>
      <c r="I2946" s="187">
        <v>1831.9355615915999</v>
      </c>
      <c r="J2946" s="187">
        <v>69</v>
      </c>
      <c r="K2946" s="187">
        <v>1419.5448724395019</v>
      </c>
      <c r="L2946" s="187">
        <v>1737</v>
      </c>
      <c r="M2946" s="187">
        <v>5057.48046875</v>
      </c>
      <c r="N2946" s="187">
        <v>3568.935546875</v>
      </c>
      <c r="O2946" t="s">
        <v>3403</v>
      </c>
    </row>
    <row r="2947" spans="1:15" hidden="1" x14ac:dyDescent="0.45">
      <c r="A2947" s="187">
        <v>2019</v>
      </c>
      <c r="B2947" t="s">
        <v>313</v>
      </c>
      <c r="C2947" t="s">
        <v>322</v>
      </c>
      <c r="D2947" t="s">
        <v>35</v>
      </c>
      <c r="E2947" t="s">
        <v>17</v>
      </c>
      <c r="F2947" t="s">
        <v>17</v>
      </c>
      <c r="G2947" t="s">
        <v>37</v>
      </c>
      <c r="H2947" t="s">
        <v>43</v>
      </c>
      <c r="I2947" s="187">
        <v>3295.8189734999996</v>
      </c>
      <c r="J2947" s="187">
        <v>68</v>
      </c>
      <c r="K2947" s="187">
        <v>1530.1389803058689</v>
      </c>
      <c r="L2947" s="187">
        <v>1909</v>
      </c>
      <c r="M2947" s="187">
        <v>6802.9580078125</v>
      </c>
      <c r="N2947" s="187">
        <v>5204.8193359375</v>
      </c>
      <c r="O2947" t="s">
        <v>3405</v>
      </c>
    </row>
    <row r="2948" spans="1:15" hidden="1" x14ac:dyDescent="0.45">
      <c r="A2948" s="187">
        <v>2019</v>
      </c>
      <c r="B2948" t="s">
        <v>311</v>
      </c>
      <c r="C2948" t="s">
        <v>322</v>
      </c>
      <c r="D2948" t="s">
        <v>35</v>
      </c>
      <c r="E2948" t="s">
        <v>17</v>
      </c>
      <c r="F2948" t="s">
        <v>17</v>
      </c>
      <c r="G2948" t="s">
        <v>37</v>
      </c>
      <c r="H2948" t="s">
        <v>43</v>
      </c>
      <c r="I2948" s="187"/>
      <c r="J2948" s="187">
        <v>49</v>
      </c>
      <c r="K2948" s="187">
        <v>1777.414194671356</v>
      </c>
      <c r="L2948" s="187">
        <v>2503</v>
      </c>
      <c r="M2948" s="187">
        <v>4329.4140625</v>
      </c>
      <c r="N2948" s="187">
        <v>2503</v>
      </c>
      <c r="O2948" t="s">
        <v>3402</v>
      </c>
    </row>
    <row r="2949" spans="1:15" hidden="1" x14ac:dyDescent="0.45">
      <c r="A2949" s="187">
        <v>2019</v>
      </c>
      <c r="B2949" t="s">
        <v>315</v>
      </c>
      <c r="C2949" t="s">
        <v>322</v>
      </c>
      <c r="D2949" t="s">
        <v>35</v>
      </c>
      <c r="E2949" t="s">
        <v>45</v>
      </c>
      <c r="F2949" t="s">
        <v>45</v>
      </c>
      <c r="G2949" t="s">
        <v>37</v>
      </c>
      <c r="H2949" t="s">
        <v>43</v>
      </c>
      <c r="I2949" s="187">
        <v>1500</v>
      </c>
      <c r="J2949" s="187">
        <v>0</v>
      </c>
      <c r="K2949" s="187">
        <v>880.46398895563982</v>
      </c>
      <c r="L2949" s="187">
        <v>6785</v>
      </c>
      <c r="M2949" s="187">
        <v>9165.4638671875</v>
      </c>
      <c r="N2949" s="187">
        <v>8285</v>
      </c>
      <c r="O2949" t="s">
        <v>3408</v>
      </c>
    </row>
    <row r="2950" spans="1:15" hidden="1" x14ac:dyDescent="0.45">
      <c r="A2950" s="187">
        <v>2019</v>
      </c>
      <c r="B2950" t="s">
        <v>310</v>
      </c>
      <c r="C2950" t="s">
        <v>322</v>
      </c>
      <c r="D2950" t="s">
        <v>35</v>
      </c>
      <c r="E2950" t="s">
        <v>45</v>
      </c>
      <c r="F2950" t="s">
        <v>45</v>
      </c>
      <c r="G2950" t="s">
        <v>37</v>
      </c>
      <c r="H2950" t="s">
        <v>43</v>
      </c>
      <c r="I2950" s="187"/>
      <c r="J2950" s="187">
        <v>0</v>
      </c>
      <c r="K2950" s="187">
        <v>666.50011635231147</v>
      </c>
      <c r="L2950" s="187">
        <v>6462</v>
      </c>
      <c r="M2950" s="187">
        <v>7128.5</v>
      </c>
      <c r="N2950" s="187">
        <v>6462</v>
      </c>
      <c r="O2950" t="s">
        <v>3414</v>
      </c>
    </row>
    <row r="2951" spans="1:15" hidden="1" x14ac:dyDescent="0.45">
      <c r="A2951" s="187">
        <v>2019</v>
      </c>
      <c r="B2951" t="s">
        <v>309</v>
      </c>
      <c r="C2951" t="s">
        <v>322</v>
      </c>
      <c r="D2951" t="s">
        <v>35</v>
      </c>
      <c r="E2951" t="s">
        <v>45</v>
      </c>
      <c r="F2951" t="s">
        <v>45</v>
      </c>
      <c r="G2951" t="s">
        <v>37</v>
      </c>
      <c r="H2951" t="s">
        <v>43</v>
      </c>
      <c r="I2951" s="187"/>
      <c r="J2951" s="187">
        <v>0</v>
      </c>
      <c r="K2951" s="187">
        <v>690.34934975243891</v>
      </c>
      <c r="L2951" s="187">
        <v>4778</v>
      </c>
      <c r="M2951" s="187">
        <v>5468.349609375</v>
      </c>
      <c r="N2951" s="187">
        <v>4778</v>
      </c>
      <c r="O2951" t="s">
        <v>3412</v>
      </c>
    </row>
    <row r="2952" spans="1:15" hidden="1" x14ac:dyDescent="0.45">
      <c r="A2952" s="187">
        <v>2019</v>
      </c>
      <c r="B2952" t="s">
        <v>312</v>
      </c>
      <c r="C2952" t="s">
        <v>322</v>
      </c>
      <c r="D2952" t="s">
        <v>35</v>
      </c>
      <c r="E2952" t="s">
        <v>45</v>
      </c>
      <c r="F2952" t="s">
        <v>45</v>
      </c>
      <c r="G2952" t="s">
        <v>37</v>
      </c>
      <c r="H2952" t="s">
        <v>43</v>
      </c>
      <c r="I2952" s="187">
        <v>978.51993175442976</v>
      </c>
      <c r="J2952" s="187">
        <v>0</v>
      </c>
      <c r="K2952" s="187">
        <v>732.02961593701139</v>
      </c>
      <c r="L2952" s="187">
        <v>4136</v>
      </c>
      <c r="M2952" s="187">
        <v>5846.5498046875</v>
      </c>
      <c r="N2952" s="187">
        <v>5114.52001953125</v>
      </c>
      <c r="O2952" t="s">
        <v>3410</v>
      </c>
    </row>
    <row r="2953" spans="1:15" hidden="1" x14ac:dyDescent="0.45">
      <c r="A2953" s="187">
        <v>2019</v>
      </c>
      <c r="B2953" t="s">
        <v>311</v>
      </c>
      <c r="C2953" t="s">
        <v>322</v>
      </c>
      <c r="D2953" t="s">
        <v>35</v>
      </c>
      <c r="E2953" t="s">
        <v>45</v>
      </c>
      <c r="F2953" t="s">
        <v>45</v>
      </c>
      <c r="G2953" t="s">
        <v>37</v>
      </c>
      <c r="H2953" t="s">
        <v>43</v>
      </c>
      <c r="I2953" s="187"/>
      <c r="J2953" s="187">
        <v>0</v>
      </c>
      <c r="K2953" s="187">
        <v>664.52055048758518</v>
      </c>
      <c r="L2953" s="187">
        <v>7337</v>
      </c>
      <c r="M2953" s="187">
        <v>8001.5205078125</v>
      </c>
      <c r="N2953" s="187">
        <v>7337</v>
      </c>
      <c r="O2953" t="s">
        <v>3413</v>
      </c>
    </row>
    <row r="2954" spans="1:15" hidden="1" x14ac:dyDescent="0.45">
      <c r="A2954" s="187">
        <v>2019</v>
      </c>
      <c r="B2954" t="s">
        <v>314</v>
      </c>
      <c r="C2954" t="s">
        <v>322</v>
      </c>
      <c r="D2954" t="s">
        <v>35</v>
      </c>
      <c r="E2954" t="s">
        <v>45</v>
      </c>
      <c r="F2954" t="s">
        <v>45</v>
      </c>
      <c r="G2954" t="s">
        <v>37</v>
      </c>
      <c r="H2954" t="s">
        <v>43</v>
      </c>
      <c r="I2954" s="187">
        <v>1470.56908</v>
      </c>
      <c r="J2954" s="187">
        <v>0</v>
      </c>
      <c r="K2954" s="187">
        <v>363.53600932139432</v>
      </c>
      <c r="L2954" s="187">
        <v>9261</v>
      </c>
      <c r="M2954" s="187">
        <v>11095.10546875</v>
      </c>
      <c r="N2954" s="187">
        <v>10731.5693359375</v>
      </c>
      <c r="O2954" t="s">
        <v>3411</v>
      </c>
    </row>
    <row r="2955" spans="1:15" hidden="1" x14ac:dyDescent="0.45">
      <c r="A2955" s="187">
        <v>2019</v>
      </c>
      <c r="B2955" t="s">
        <v>313</v>
      </c>
      <c r="C2955" t="s">
        <v>322</v>
      </c>
      <c r="D2955" t="s">
        <v>35</v>
      </c>
      <c r="E2955" t="s">
        <v>45</v>
      </c>
      <c r="F2955" t="s">
        <v>45</v>
      </c>
      <c r="G2955" t="s">
        <v>37</v>
      </c>
      <c r="H2955" t="s">
        <v>43</v>
      </c>
      <c r="I2955" s="187">
        <v>1035.4424538685068</v>
      </c>
      <c r="J2955" s="187">
        <v>0</v>
      </c>
      <c r="K2955" s="187">
        <v>332.77360099652623</v>
      </c>
      <c r="L2955" s="187">
        <v>4847</v>
      </c>
      <c r="M2955" s="187">
        <v>6215.2158203125</v>
      </c>
      <c r="N2955" s="187">
        <v>5882.4423828125</v>
      </c>
      <c r="O2955" t="s">
        <v>3409</v>
      </c>
    </row>
    <row r="2956" spans="1:15" hidden="1" x14ac:dyDescent="0.45">
      <c r="A2956" s="187">
        <v>2019</v>
      </c>
      <c r="B2956" t="s">
        <v>310</v>
      </c>
      <c r="C2956" t="s">
        <v>322</v>
      </c>
      <c r="D2956" t="s">
        <v>35</v>
      </c>
      <c r="E2956" t="s">
        <v>355</v>
      </c>
      <c r="F2956" t="s">
        <v>355</v>
      </c>
      <c r="G2956" t="s">
        <v>37</v>
      </c>
      <c r="H2956" t="s">
        <v>43</v>
      </c>
      <c r="I2956" s="187"/>
      <c r="J2956" s="187">
        <v>808</v>
      </c>
      <c r="K2956" s="187">
        <v>13513.23287495906</v>
      </c>
      <c r="L2956" s="187">
        <v>25903</v>
      </c>
      <c r="M2956" s="187">
        <v>40224.234375</v>
      </c>
      <c r="N2956" s="187">
        <v>25903</v>
      </c>
      <c r="O2956" t="s">
        <v>3416</v>
      </c>
    </row>
    <row r="2957" spans="1:15" hidden="1" x14ac:dyDescent="0.45">
      <c r="A2957" s="187">
        <v>2019</v>
      </c>
      <c r="B2957" t="s">
        <v>313</v>
      </c>
      <c r="C2957" t="s">
        <v>322</v>
      </c>
      <c r="D2957" t="s">
        <v>35</v>
      </c>
      <c r="E2957" t="s">
        <v>355</v>
      </c>
      <c r="F2957" t="s">
        <v>355</v>
      </c>
      <c r="G2957" t="s">
        <v>37</v>
      </c>
      <c r="H2957" t="s">
        <v>43</v>
      </c>
      <c r="I2957" s="187"/>
      <c r="J2957" s="187"/>
      <c r="K2957" s="187"/>
      <c r="L2957" s="187">
        <v>19082</v>
      </c>
      <c r="M2957" s="187">
        <v>19082</v>
      </c>
      <c r="N2957" s="187">
        <v>19082</v>
      </c>
      <c r="O2957" t="s">
        <v>3417</v>
      </c>
    </row>
    <row r="2958" spans="1:15" hidden="1" x14ac:dyDescent="0.45">
      <c r="A2958" s="187">
        <v>2019</v>
      </c>
      <c r="B2958" t="s">
        <v>309</v>
      </c>
      <c r="C2958" t="s">
        <v>322</v>
      </c>
      <c r="D2958" t="s">
        <v>35</v>
      </c>
      <c r="E2958" t="s">
        <v>355</v>
      </c>
      <c r="F2958" t="s">
        <v>355</v>
      </c>
      <c r="G2958" t="s">
        <v>37</v>
      </c>
      <c r="H2958" t="s">
        <v>43</v>
      </c>
      <c r="I2958" s="187"/>
      <c r="J2958" s="187">
        <v>887.40699999999993</v>
      </c>
      <c r="K2958" s="187">
        <v>13699.19026639709</v>
      </c>
      <c r="L2958" s="187">
        <v>21011</v>
      </c>
      <c r="M2958" s="187">
        <v>35597.59765625</v>
      </c>
      <c r="N2958" s="187">
        <v>21011</v>
      </c>
      <c r="O2958" t="s">
        <v>3415</v>
      </c>
    </row>
    <row r="2959" spans="1:15" hidden="1" x14ac:dyDescent="0.45">
      <c r="A2959" s="187">
        <v>2019</v>
      </c>
      <c r="B2959" t="s">
        <v>311</v>
      </c>
      <c r="C2959" t="s">
        <v>322</v>
      </c>
      <c r="D2959" t="s">
        <v>35</v>
      </c>
      <c r="E2959" t="s">
        <v>356</v>
      </c>
      <c r="F2959" t="s">
        <v>356</v>
      </c>
      <c r="G2959" t="s">
        <v>37</v>
      </c>
      <c r="H2959" t="s">
        <v>43</v>
      </c>
      <c r="I2959" s="187"/>
      <c r="J2959" s="187">
        <v>0</v>
      </c>
      <c r="K2959" s="187">
        <v>0</v>
      </c>
      <c r="L2959" s="187">
        <v>0</v>
      </c>
      <c r="M2959" s="187">
        <v>0</v>
      </c>
      <c r="N2959" s="187">
        <v>0</v>
      </c>
      <c r="O2959" t="s">
        <v>3421</v>
      </c>
    </row>
    <row r="2960" spans="1:15" hidden="1" x14ac:dyDescent="0.45">
      <c r="A2960" s="187">
        <v>2019</v>
      </c>
      <c r="B2960" t="s">
        <v>310</v>
      </c>
      <c r="C2960" t="s">
        <v>322</v>
      </c>
      <c r="D2960" t="s">
        <v>35</v>
      </c>
      <c r="E2960" t="s">
        <v>356</v>
      </c>
      <c r="F2960" t="s">
        <v>356</v>
      </c>
      <c r="G2960" t="s">
        <v>37</v>
      </c>
      <c r="H2960" t="s">
        <v>43</v>
      </c>
      <c r="I2960" s="187"/>
      <c r="J2960" s="187">
        <v>0</v>
      </c>
      <c r="K2960" s="187">
        <v>0</v>
      </c>
      <c r="L2960" s="187">
        <v>0</v>
      </c>
      <c r="M2960" s="187">
        <v>0</v>
      </c>
      <c r="N2960" s="187">
        <v>0</v>
      </c>
      <c r="O2960" t="s">
        <v>3418</v>
      </c>
    </row>
    <row r="2961" spans="1:15" hidden="1" x14ac:dyDescent="0.45">
      <c r="A2961" s="187">
        <v>2019</v>
      </c>
      <c r="B2961" t="s">
        <v>315</v>
      </c>
      <c r="C2961" t="s">
        <v>322</v>
      </c>
      <c r="D2961" t="s">
        <v>35</v>
      </c>
      <c r="E2961" t="s">
        <v>356</v>
      </c>
      <c r="F2961" t="s">
        <v>356</v>
      </c>
      <c r="G2961" t="s">
        <v>37</v>
      </c>
      <c r="H2961" t="s">
        <v>43</v>
      </c>
      <c r="I2961" s="187"/>
      <c r="J2961" s="187">
        <v>0</v>
      </c>
      <c r="K2961" s="187">
        <v>0</v>
      </c>
      <c r="L2961" s="187">
        <v>0</v>
      </c>
      <c r="M2961" s="187">
        <v>0</v>
      </c>
      <c r="N2961" s="187">
        <v>0</v>
      </c>
      <c r="O2961" t="s">
        <v>3419</v>
      </c>
    </row>
    <row r="2962" spans="1:15" hidden="1" x14ac:dyDescent="0.45">
      <c r="A2962" s="187">
        <v>2019</v>
      </c>
      <c r="B2962" t="s">
        <v>313</v>
      </c>
      <c r="C2962" t="s">
        <v>322</v>
      </c>
      <c r="D2962" t="s">
        <v>35</v>
      </c>
      <c r="E2962" t="s">
        <v>356</v>
      </c>
      <c r="F2962" t="s">
        <v>356</v>
      </c>
      <c r="G2962" t="s">
        <v>37</v>
      </c>
      <c r="H2962" t="s">
        <v>43</v>
      </c>
      <c r="I2962" s="187"/>
      <c r="J2962" s="187">
        <v>0</v>
      </c>
      <c r="K2962" s="187">
        <v>0</v>
      </c>
      <c r="L2962" s="187">
        <v>0</v>
      </c>
      <c r="M2962" s="187">
        <v>0</v>
      </c>
      <c r="N2962" s="187">
        <v>0</v>
      </c>
      <c r="O2962" t="s">
        <v>3424</v>
      </c>
    </row>
    <row r="2963" spans="1:15" hidden="1" x14ac:dyDescent="0.45">
      <c r="A2963" s="187">
        <v>2019</v>
      </c>
      <c r="B2963" t="s">
        <v>309</v>
      </c>
      <c r="C2963" t="s">
        <v>322</v>
      </c>
      <c r="D2963" t="s">
        <v>35</v>
      </c>
      <c r="E2963" t="s">
        <v>356</v>
      </c>
      <c r="F2963" t="s">
        <v>356</v>
      </c>
      <c r="G2963" t="s">
        <v>37</v>
      </c>
      <c r="H2963" t="s">
        <v>43</v>
      </c>
      <c r="I2963" s="187"/>
      <c r="J2963" s="187">
        <v>0</v>
      </c>
      <c r="K2963" s="187">
        <v>0</v>
      </c>
      <c r="L2963" s="187">
        <v>0</v>
      </c>
      <c r="M2963" s="187">
        <v>0</v>
      </c>
      <c r="N2963" s="187">
        <v>0</v>
      </c>
      <c r="O2963" t="s">
        <v>3422</v>
      </c>
    </row>
    <row r="2964" spans="1:15" hidden="1" x14ac:dyDescent="0.45">
      <c r="A2964" s="187">
        <v>2019</v>
      </c>
      <c r="B2964" t="s">
        <v>314</v>
      </c>
      <c r="C2964" t="s">
        <v>322</v>
      </c>
      <c r="D2964" t="s">
        <v>35</v>
      </c>
      <c r="E2964" t="s">
        <v>356</v>
      </c>
      <c r="F2964" t="s">
        <v>356</v>
      </c>
      <c r="G2964" t="s">
        <v>37</v>
      </c>
      <c r="H2964" t="s">
        <v>43</v>
      </c>
      <c r="I2964" s="187"/>
      <c r="J2964" s="187">
        <v>0</v>
      </c>
      <c r="K2964" s="187">
        <v>0</v>
      </c>
      <c r="L2964" s="187">
        <v>0</v>
      </c>
      <c r="M2964" s="187">
        <v>0</v>
      </c>
      <c r="N2964" s="187">
        <v>0</v>
      </c>
      <c r="O2964" t="s">
        <v>3423</v>
      </c>
    </row>
    <row r="2965" spans="1:15" hidden="1" x14ac:dyDescent="0.45">
      <c r="A2965" s="187">
        <v>2019</v>
      </c>
      <c r="B2965" t="s">
        <v>312</v>
      </c>
      <c r="C2965" t="s">
        <v>322</v>
      </c>
      <c r="D2965" t="s">
        <v>35</v>
      </c>
      <c r="E2965" t="s">
        <v>356</v>
      </c>
      <c r="F2965" t="s">
        <v>356</v>
      </c>
      <c r="G2965" t="s">
        <v>37</v>
      </c>
      <c r="H2965" t="s">
        <v>43</v>
      </c>
      <c r="I2965" s="187">
        <v>0</v>
      </c>
      <c r="J2965" s="187">
        <v>0</v>
      </c>
      <c r="K2965" s="187">
        <v>0</v>
      </c>
      <c r="L2965" s="187">
        <v>0</v>
      </c>
      <c r="M2965" s="187">
        <v>0</v>
      </c>
      <c r="N2965" s="187">
        <v>0</v>
      </c>
      <c r="O2965" t="s">
        <v>3420</v>
      </c>
    </row>
    <row r="2966" spans="1:15" hidden="1" x14ac:dyDescent="0.45">
      <c r="A2966" s="187">
        <v>2019</v>
      </c>
      <c r="B2966" t="s">
        <v>315</v>
      </c>
      <c r="C2966" t="s">
        <v>323</v>
      </c>
      <c r="D2966" t="s">
        <v>35</v>
      </c>
      <c r="E2966" t="s">
        <v>349</v>
      </c>
      <c r="F2966" t="s">
        <v>388</v>
      </c>
      <c r="G2966" t="s">
        <v>36</v>
      </c>
      <c r="H2966" t="s">
        <v>43</v>
      </c>
      <c r="I2966" s="187">
        <v>3879.8312189336311</v>
      </c>
      <c r="J2966" s="187">
        <v>184.64598209815529</v>
      </c>
      <c r="K2966" s="187">
        <v>2369.2247224367211</v>
      </c>
      <c r="L2966" s="187">
        <v>1700.3289517136877</v>
      </c>
      <c r="M2966" s="187">
        <v>8134.03125</v>
      </c>
      <c r="N2966" s="187">
        <v>5580.16015625</v>
      </c>
      <c r="O2966" t="s">
        <v>3428</v>
      </c>
    </row>
    <row r="2967" spans="1:15" hidden="1" x14ac:dyDescent="0.45">
      <c r="A2967" s="187">
        <v>2019</v>
      </c>
      <c r="B2967" t="s">
        <v>314</v>
      </c>
      <c r="C2967" t="s">
        <v>323</v>
      </c>
      <c r="D2967" t="s">
        <v>35</v>
      </c>
      <c r="E2967" t="s">
        <v>349</v>
      </c>
      <c r="F2967" t="s">
        <v>388</v>
      </c>
      <c r="G2967" t="s">
        <v>36</v>
      </c>
      <c r="H2967" t="s">
        <v>43</v>
      </c>
      <c r="I2967" s="187">
        <v>5138.0239361072472</v>
      </c>
      <c r="J2967" s="187">
        <v>274.89767601934034</v>
      </c>
      <c r="K2967" s="187">
        <v>2578.9741656678821</v>
      </c>
      <c r="L2967" s="187">
        <v>1790.3293561090088</v>
      </c>
      <c r="M2967" s="187">
        <v>9782.224609375</v>
      </c>
      <c r="N2967" s="187">
        <v>6928.353515625</v>
      </c>
      <c r="O2967" t="s">
        <v>3425</v>
      </c>
    </row>
    <row r="2968" spans="1:15" hidden="1" x14ac:dyDescent="0.45">
      <c r="A2968" s="187">
        <v>2019</v>
      </c>
      <c r="B2968" t="s">
        <v>310</v>
      </c>
      <c r="C2968" t="s">
        <v>323</v>
      </c>
      <c r="D2968" t="s">
        <v>35</v>
      </c>
      <c r="E2968" t="s">
        <v>349</v>
      </c>
      <c r="F2968" t="s">
        <v>388</v>
      </c>
      <c r="G2968" t="s">
        <v>36</v>
      </c>
      <c r="H2968" t="s">
        <v>43</v>
      </c>
      <c r="I2968" s="187"/>
      <c r="J2968" s="187">
        <v>581.93576669008166</v>
      </c>
      <c r="K2968" s="187">
        <v>3732.3523223513371</v>
      </c>
      <c r="L2968" s="187">
        <v>4192.5529618166338</v>
      </c>
      <c r="M2968" s="187">
        <v>8506.8408203125</v>
      </c>
      <c r="N2968" s="187">
        <v>4192.552734375</v>
      </c>
      <c r="O2968" t="s">
        <v>3427</v>
      </c>
    </row>
    <row r="2969" spans="1:15" hidden="1" x14ac:dyDescent="0.45">
      <c r="A2969" s="187">
        <v>2019</v>
      </c>
      <c r="B2969" t="s">
        <v>311</v>
      </c>
      <c r="C2969" t="s">
        <v>323</v>
      </c>
      <c r="D2969" t="s">
        <v>35</v>
      </c>
      <c r="E2969" t="s">
        <v>349</v>
      </c>
      <c r="F2969" t="s">
        <v>388</v>
      </c>
      <c r="G2969" t="s">
        <v>36</v>
      </c>
      <c r="H2969" t="s">
        <v>43</v>
      </c>
      <c r="I2969" s="187"/>
      <c r="J2969" s="187">
        <v>707.78823807352717</v>
      </c>
      <c r="K2969" s="187">
        <v>4131.0426022492766</v>
      </c>
      <c r="L2969" s="187">
        <v>2809.4729522089738</v>
      </c>
      <c r="M2969" s="187">
        <v>7648.3037109375</v>
      </c>
      <c r="N2969" s="187">
        <v>2809.472900390625</v>
      </c>
      <c r="O2969" t="s">
        <v>3426</v>
      </c>
    </row>
    <row r="2970" spans="1:15" hidden="1" x14ac:dyDescent="0.45">
      <c r="A2970" s="187">
        <v>2019</v>
      </c>
      <c r="B2970" t="s">
        <v>312</v>
      </c>
      <c r="C2970" t="s">
        <v>323</v>
      </c>
      <c r="D2970" t="s">
        <v>35</v>
      </c>
      <c r="E2970" t="s">
        <v>349</v>
      </c>
      <c r="F2970" t="s">
        <v>388</v>
      </c>
      <c r="G2970" t="s">
        <v>36</v>
      </c>
      <c r="H2970" t="s">
        <v>43</v>
      </c>
      <c r="I2970" s="187">
        <v>4550.5931883082922</v>
      </c>
      <c r="J2970" s="187">
        <v>680.11582977433716</v>
      </c>
      <c r="K2970" s="187">
        <v>3714.8351195677319</v>
      </c>
      <c r="L2970" s="187">
        <v>1482.6525089080549</v>
      </c>
      <c r="M2970" s="187">
        <v>10428.1962890625</v>
      </c>
      <c r="N2970" s="187">
        <v>6033.24560546875</v>
      </c>
      <c r="O2970" t="s">
        <v>3430</v>
      </c>
    </row>
    <row r="2971" spans="1:15" hidden="1" x14ac:dyDescent="0.45">
      <c r="A2971" s="187">
        <v>2019</v>
      </c>
      <c r="B2971" t="s">
        <v>313</v>
      </c>
      <c r="C2971" t="s">
        <v>323</v>
      </c>
      <c r="D2971" t="s">
        <v>35</v>
      </c>
      <c r="E2971" t="s">
        <v>349</v>
      </c>
      <c r="F2971" t="s">
        <v>388</v>
      </c>
      <c r="G2971" t="s">
        <v>36</v>
      </c>
      <c r="H2971" t="s">
        <v>43</v>
      </c>
      <c r="I2971" s="187">
        <v>4348.3475045513878</v>
      </c>
      <c r="J2971" s="187">
        <v>539.05134353942822</v>
      </c>
      <c r="K2971" s="187">
        <v>2729.3719212050987</v>
      </c>
      <c r="L2971" s="187">
        <v>1678.2465162194198</v>
      </c>
      <c r="M2971" s="187">
        <v>9295.017578125</v>
      </c>
      <c r="N2971" s="187">
        <v>6026.59423828125</v>
      </c>
      <c r="O2971" t="s">
        <v>3429</v>
      </c>
    </row>
    <row r="2972" spans="1:15" hidden="1" x14ac:dyDescent="0.45">
      <c r="A2972" s="187">
        <v>2019</v>
      </c>
      <c r="B2972" t="s">
        <v>315</v>
      </c>
      <c r="C2972" t="s">
        <v>323</v>
      </c>
      <c r="D2972" t="s">
        <v>35</v>
      </c>
      <c r="E2972" t="s">
        <v>349</v>
      </c>
      <c r="F2972" t="s">
        <v>389</v>
      </c>
      <c r="G2972" t="s">
        <v>36</v>
      </c>
      <c r="H2972" t="s">
        <v>43</v>
      </c>
      <c r="I2972" s="187">
        <v>0</v>
      </c>
      <c r="J2972" s="187">
        <v>0</v>
      </c>
      <c r="K2972" s="187">
        <v>0</v>
      </c>
      <c r="L2972" s="187"/>
      <c r="M2972" s="187">
        <v>0</v>
      </c>
      <c r="N2972" s="187">
        <v>0</v>
      </c>
      <c r="O2972" t="s">
        <v>3431</v>
      </c>
    </row>
    <row r="2973" spans="1:15" hidden="1" x14ac:dyDescent="0.45">
      <c r="A2973" s="187">
        <v>2019</v>
      </c>
      <c r="B2973" t="s">
        <v>311</v>
      </c>
      <c r="C2973" t="s">
        <v>323</v>
      </c>
      <c r="D2973" t="s">
        <v>35</v>
      </c>
      <c r="E2973" t="s">
        <v>349</v>
      </c>
      <c r="F2973" t="s">
        <v>389</v>
      </c>
      <c r="G2973" t="s">
        <v>36</v>
      </c>
      <c r="H2973" t="s">
        <v>43</v>
      </c>
      <c r="I2973" s="187"/>
      <c r="J2973" s="187">
        <v>0</v>
      </c>
      <c r="K2973" s="187">
        <v>0</v>
      </c>
      <c r="L2973" s="187">
        <v>0</v>
      </c>
      <c r="M2973" s="187">
        <v>0</v>
      </c>
      <c r="N2973" s="187">
        <v>0</v>
      </c>
      <c r="O2973" t="s">
        <v>3432</v>
      </c>
    </row>
    <row r="2974" spans="1:15" hidden="1" x14ac:dyDescent="0.45">
      <c r="A2974" s="187">
        <v>2019</v>
      </c>
      <c r="B2974" t="s">
        <v>312</v>
      </c>
      <c r="C2974" t="s">
        <v>323</v>
      </c>
      <c r="D2974" t="s">
        <v>35</v>
      </c>
      <c r="E2974" t="s">
        <v>349</v>
      </c>
      <c r="F2974" t="s">
        <v>389</v>
      </c>
      <c r="G2974" t="s">
        <v>36</v>
      </c>
      <c r="H2974" t="s">
        <v>43</v>
      </c>
      <c r="I2974" s="187"/>
      <c r="J2974" s="187">
        <v>0</v>
      </c>
      <c r="K2974" s="187">
        <v>0</v>
      </c>
      <c r="L2974" s="187">
        <v>0</v>
      </c>
      <c r="M2974" s="187">
        <v>0</v>
      </c>
      <c r="N2974" s="187">
        <v>0</v>
      </c>
      <c r="O2974" t="s">
        <v>3435</v>
      </c>
    </row>
    <row r="2975" spans="1:15" hidden="1" x14ac:dyDescent="0.45">
      <c r="A2975" s="187">
        <v>2019</v>
      </c>
      <c r="B2975" t="s">
        <v>310</v>
      </c>
      <c r="C2975" t="s">
        <v>323</v>
      </c>
      <c r="D2975" t="s">
        <v>35</v>
      </c>
      <c r="E2975" t="s">
        <v>349</v>
      </c>
      <c r="F2975" t="s">
        <v>389</v>
      </c>
      <c r="G2975" t="s">
        <v>36</v>
      </c>
      <c r="H2975" t="s">
        <v>43</v>
      </c>
      <c r="I2975" s="187"/>
      <c r="J2975" s="187">
        <v>0</v>
      </c>
      <c r="K2975" s="187">
        <v>0</v>
      </c>
      <c r="L2975" s="187">
        <v>0</v>
      </c>
      <c r="M2975" s="187">
        <v>0</v>
      </c>
      <c r="N2975" s="187">
        <v>0</v>
      </c>
      <c r="O2975" t="s">
        <v>3436</v>
      </c>
    </row>
    <row r="2976" spans="1:15" hidden="1" x14ac:dyDescent="0.45">
      <c r="A2976" s="187">
        <v>2019</v>
      </c>
      <c r="B2976" t="s">
        <v>314</v>
      </c>
      <c r="C2976" t="s">
        <v>323</v>
      </c>
      <c r="D2976" t="s">
        <v>35</v>
      </c>
      <c r="E2976" t="s">
        <v>349</v>
      </c>
      <c r="F2976" t="s">
        <v>389</v>
      </c>
      <c r="G2976" t="s">
        <v>36</v>
      </c>
      <c r="H2976" t="s">
        <v>43</v>
      </c>
      <c r="I2976" s="187">
        <v>0</v>
      </c>
      <c r="J2976" s="187">
        <v>0</v>
      </c>
      <c r="K2976" s="187">
        <v>0</v>
      </c>
      <c r="L2976" s="187"/>
      <c r="M2976" s="187">
        <v>0</v>
      </c>
      <c r="N2976" s="187">
        <v>0</v>
      </c>
      <c r="O2976" t="s">
        <v>3433</v>
      </c>
    </row>
    <row r="2977" spans="1:15" hidden="1" x14ac:dyDescent="0.45">
      <c r="A2977" s="187">
        <v>2019</v>
      </c>
      <c r="B2977" t="s">
        <v>313</v>
      </c>
      <c r="C2977" t="s">
        <v>323</v>
      </c>
      <c r="D2977" t="s">
        <v>35</v>
      </c>
      <c r="E2977" t="s">
        <v>349</v>
      </c>
      <c r="F2977" t="s">
        <v>389</v>
      </c>
      <c r="G2977" t="s">
        <v>36</v>
      </c>
      <c r="H2977" t="s">
        <v>43</v>
      </c>
      <c r="I2977" s="187"/>
      <c r="J2977" s="187">
        <v>0</v>
      </c>
      <c r="K2977" s="187">
        <v>0</v>
      </c>
      <c r="L2977" s="187"/>
      <c r="M2977" s="187">
        <v>0</v>
      </c>
      <c r="N2977" s="187">
        <v>0</v>
      </c>
      <c r="O2977" t="s">
        <v>3434</v>
      </c>
    </row>
    <row r="2978" spans="1:15" hidden="1" x14ac:dyDescent="0.45">
      <c r="A2978" s="187">
        <v>2019</v>
      </c>
      <c r="B2978" t="s">
        <v>311</v>
      </c>
      <c r="C2978" t="s">
        <v>323</v>
      </c>
      <c r="D2978" t="s">
        <v>35</v>
      </c>
      <c r="E2978" t="s">
        <v>349</v>
      </c>
      <c r="F2978" t="s">
        <v>390</v>
      </c>
      <c r="G2978" t="s">
        <v>36</v>
      </c>
      <c r="H2978" t="s">
        <v>43</v>
      </c>
      <c r="I2978" s="187"/>
      <c r="J2978" s="187">
        <v>707.78823807352717</v>
      </c>
      <c r="K2978" s="187">
        <v>4131.0426022492766</v>
      </c>
      <c r="L2978" s="187">
        <v>2809.4729522089738</v>
      </c>
      <c r="M2978" s="187">
        <v>7648.3037109375</v>
      </c>
      <c r="N2978" s="187">
        <v>2809.472900390625</v>
      </c>
      <c r="O2978" t="s">
        <v>3437</v>
      </c>
    </row>
    <row r="2979" spans="1:15" hidden="1" x14ac:dyDescent="0.45">
      <c r="A2979" s="187">
        <v>2019</v>
      </c>
      <c r="B2979" t="s">
        <v>312</v>
      </c>
      <c r="C2979" t="s">
        <v>323</v>
      </c>
      <c r="D2979" t="s">
        <v>35</v>
      </c>
      <c r="E2979" t="s">
        <v>349</v>
      </c>
      <c r="F2979" t="s">
        <v>390</v>
      </c>
      <c r="G2979" t="s">
        <v>36</v>
      </c>
      <c r="H2979" t="s">
        <v>43</v>
      </c>
      <c r="I2979" s="187">
        <v>4550.5931883082922</v>
      </c>
      <c r="J2979" s="187">
        <v>680.11582977433716</v>
      </c>
      <c r="K2979" s="187">
        <v>3714.8351195677319</v>
      </c>
      <c r="L2979" s="187">
        <v>1482.6525089080549</v>
      </c>
      <c r="M2979" s="187">
        <v>10428.1962890625</v>
      </c>
      <c r="N2979" s="187">
        <v>6033.24560546875</v>
      </c>
      <c r="O2979" t="s">
        <v>3438</v>
      </c>
    </row>
    <row r="2980" spans="1:15" hidden="1" x14ac:dyDescent="0.45">
      <c r="A2980" s="187">
        <v>2019</v>
      </c>
      <c r="B2980" t="s">
        <v>310</v>
      </c>
      <c r="C2980" t="s">
        <v>323</v>
      </c>
      <c r="D2980" t="s">
        <v>35</v>
      </c>
      <c r="E2980" t="s">
        <v>349</v>
      </c>
      <c r="F2980" t="s">
        <v>390</v>
      </c>
      <c r="G2980" t="s">
        <v>36</v>
      </c>
      <c r="H2980" t="s">
        <v>43</v>
      </c>
      <c r="I2980" s="187"/>
      <c r="J2980" s="187">
        <v>581.93576669008166</v>
      </c>
      <c r="K2980" s="187">
        <v>3732.3523223513371</v>
      </c>
      <c r="L2980" s="187">
        <v>4192.5529618166338</v>
      </c>
      <c r="M2980" s="187">
        <v>8506.8408203125</v>
      </c>
      <c r="N2980" s="187">
        <v>4192.552734375</v>
      </c>
      <c r="O2980" t="s">
        <v>3439</v>
      </c>
    </row>
    <row r="2981" spans="1:15" hidden="1" x14ac:dyDescent="0.45">
      <c r="A2981" s="187">
        <v>2019</v>
      </c>
      <c r="B2981" t="s">
        <v>315</v>
      </c>
      <c r="C2981" t="s">
        <v>323</v>
      </c>
      <c r="D2981" t="s">
        <v>35</v>
      </c>
      <c r="E2981" t="s">
        <v>349</v>
      </c>
      <c r="F2981" t="s">
        <v>390</v>
      </c>
      <c r="G2981" t="s">
        <v>36</v>
      </c>
      <c r="H2981" t="s">
        <v>43</v>
      </c>
      <c r="I2981" s="187">
        <v>3879.8312189336311</v>
      </c>
      <c r="J2981" s="187">
        <v>184.64598209815529</v>
      </c>
      <c r="K2981" s="187">
        <v>2369.2247224367211</v>
      </c>
      <c r="L2981" s="187">
        <v>1700.3289517136877</v>
      </c>
      <c r="M2981" s="187">
        <v>8134.03125</v>
      </c>
      <c r="N2981" s="187">
        <v>5580.16015625</v>
      </c>
      <c r="O2981" t="s">
        <v>3441</v>
      </c>
    </row>
    <row r="2982" spans="1:15" hidden="1" x14ac:dyDescent="0.45">
      <c r="A2982" s="187">
        <v>2019</v>
      </c>
      <c r="B2982" t="s">
        <v>313</v>
      </c>
      <c r="C2982" t="s">
        <v>323</v>
      </c>
      <c r="D2982" t="s">
        <v>35</v>
      </c>
      <c r="E2982" t="s">
        <v>349</v>
      </c>
      <c r="F2982" t="s">
        <v>390</v>
      </c>
      <c r="G2982" t="s">
        <v>36</v>
      </c>
      <c r="H2982" t="s">
        <v>43</v>
      </c>
      <c r="I2982" s="187">
        <v>4348.3475045513878</v>
      </c>
      <c r="J2982" s="187">
        <v>539.05134353942822</v>
      </c>
      <c r="K2982" s="187">
        <v>2729.3719212050987</v>
      </c>
      <c r="L2982" s="187">
        <v>1678.2465162194198</v>
      </c>
      <c r="M2982" s="187">
        <v>9295.017578125</v>
      </c>
      <c r="N2982" s="187">
        <v>6026.59423828125</v>
      </c>
      <c r="O2982" t="s">
        <v>3440</v>
      </c>
    </row>
    <row r="2983" spans="1:15" hidden="1" x14ac:dyDescent="0.45">
      <c r="A2983" s="187">
        <v>2019</v>
      </c>
      <c r="B2983" t="s">
        <v>314</v>
      </c>
      <c r="C2983" t="s">
        <v>323</v>
      </c>
      <c r="D2983" t="s">
        <v>35</v>
      </c>
      <c r="E2983" t="s">
        <v>349</v>
      </c>
      <c r="F2983" t="s">
        <v>390</v>
      </c>
      <c r="G2983" t="s">
        <v>36</v>
      </c>
      <c r="H2983" t="s">
        <v>43</v>
      </c>
      <c r="I2983" s="187">
        <v>5138.0239361072472</v>
      </c>
      <c r="J2983" s="187">
        <v>274.89767601934034</v>
      </c>
      <c r="K2983" s="187">
        <v>2578.9741656678821</v>
      </c>
      <c r="L2983" s="187">
        <v>1790.3293561090088</v>
      </c>
      <c r="M2983" s="187">
        <v>9782.224609375</v>
      </c>
      <c r="N2983" s="187">
        <v>6928.353515625</v>
      </c>
      <c r="O2983" t="s">
        <v>3442</v>
      </c>
    </row>
    <row r="2984" spans="1:15" hidden="1" x14ac:dyDescent="0.45">
      <c r="A2984" s="187">
        <v>2019</v>
      </c>
      <c r="B2984" t="s">
        <v>311</v>
      </c>
      <c r="C2984" t="s">
        <v>323</v>
      </c>
      <c r="D2984" t="s">
        <v>35</v>
      </c>
      <c r="E2984" t="s">
        <v>349</v>
      </c>
      <c r="F2984" t="s">
        <v>391</v>
      </c>
      <c r="G2984" t="s">
        <v>36</v>
      </c>
      <c r="H2984" t="s">
        <v>43</v>
      </c>
      <c r="I2984" s="187"/>
      <c r="J2984" s="187">
        <v>0</v>
      </c>
      <c r="K2984" s="187">
        <v>130.62262728603554</v>
      </c>
      <c r="L2984" s="187">
        <v>730.74353228131724</v>
      </c>
      <c r="M2984" s="187">
        <v>861.36614990234375</v>
      </c>
      <c r="N2984" s="187">
        <v>730.7435302734375</v>
      </c>
      <c r="O2984" t="s">
        <v>3448</v>
      </c>
    </row>
    <row r="2985" spans="1:15" hidden="1" x14ac:dyDescent="0.45">
      <c r="A2985" s="187">
        <v>2019</v>
      </c>
      <c r="B2985" t="s">
        <v>315</v>
      </c>
      <c r="C2985" t="s">
        <v>323</v>
      </c>
      <c r="D2985" t="s">
        <v>35</v>
      </c>
      <c r="E2985" t="s">
        <v>349</v>
      </c>
      <c r="F2985" t="s">
        <v>391</v>
      </c>
      <c r="G2985" t="s">
        <v>36</v>
      </c>
      <c r="H2985" t="s">
        <v>43</v>
      </c>
      <c r="I2985" s="187">
        <v>1084.0871464290467</v>
      </c>
      <c r="J2985" s="187">
        <v>15.859164106590026</v>
      </c>
      <c r="K2985" s="187">
        <v>32.500608435834629</v>
      </c>
      <c r="L2985" s="187">
        <v>973.07299768291659</v>
      </c>
      <c r="M2985" s="187">
        <v>2105.519775390625</v>
      </c>
      <c r="N2985" s="187">
        <v>2057.16015625</v>
      </c>
      <c r="O2985" t="s">
        <v>3447</v>
      </c>
    </row>
    <row r="2986" spans="1:15" hidden="1" x14ac:dyDescent="0.45">
      <c r="A2986" s="187">
        <v>2019</v>
      </c>
      <c r="B2986" t="s">
        <v>313</v>
      </c>
      <c r="C2986" t="s">
        <v>323</v>
      </c>
      <c r="D2986" t="s">
        <v>35</v>
      </c>
      <c r="E2986" t="s">
        <v>349</v>
      </c>
      <c r="F2986" t="s">
        <v>391</v>
      </c>
      <c r="G2986" t="s">
        <v>36</v>
      </c>
      <c r="H2986" t="s">
        <v>43</v>
      </c>
      <c r="I2986" s="187">
        <v>814.56647468180267</v>
      </c>
      <c r="J2986" s="187">
        <v>0</v>
      </c>
      <c r="K2986" s="187">
        <v>106.94687065930955</v>
      </c>
      <c r="L2986" s="187">
        <v>660.03842286716656</v>
      </c>
      <c r="M2986" s="187">
        <v>1581.5517578125</v>
      </c>
      <c r="N2986" s="187">
        <v>1474.6048583984375</v>
      </c>
      <c r="O2986" t="s">
        <v>3444</v>
      </c>
    </row>
    <row r="2987" spans="1:15" hidden="1" x14ac:dyDescent="0.45">
      <c r="A2987" s="187">
        <v>2019</v>
      </c>
      <c r="B2987" t="s">
        <v>312</v>
      </c>
      <c r="C2987" t="s">
        <v>323</v>
      </c>
      <c r="D2987" t="s">
        <v>35</v>
      </c>
      <c r="E2987" t="s">
        <v>349</v>
      </c>
      <c r="F2987" t="s">
        <v>391</v>
      </c>
      <c r="G2987" t="s">
        <v>36</v>
      </c>
      <c r="H2987" t="s">
        <v>43</v>
      </c>
      <c r="I2987" s="187">
        <v>779.04176865060435</v>
      </c>
      <c r="J2987" s="187">
        <v>0</v>
      </c>
      <c r="K2987" s="187">
        <v>695.20628967231323</v>
      </c>
      <c r="L2987" s="187">
        <v>435.27413105557577</v>
      </c>
      <c r="M2987" s="187">
        <v>1909.522216796875</v>
      </c>
      <c r="N2987" s="187">
        <v>1214.31591796875</v>
      </c>
      <c r="O2987" t="s">
        <v>3445</v>
      </c>
    </row>
    <row r="2988" spans="1:15" hidden="1" x14ac:dyDescent="0.45">
      <c r="A2988" s="187">
        <v>2019</v>
      </c>
      <c r="B2988" t="s">
        <v>310</v>
      </c>
      <c r="C2988" t="s">
        <v>323</v>
      </c>
      <c r="D2988" t="s">
        <v>35</v>
      </c>
      <c r="E2988" t="s">
        <v>349</v>
      </c>
      <c r="F2988" t="s">
        <v>391</v>
      </c>
      <c r="G2988" t="s">
        <v>36</v>
      </c>
      <c r="H2988" t="s">
        <v>43</v>
      </c>
      <c r="I2988" s="187"/>
      <c r="J2988" s="187">
        <v>0</v>
      </c>
      <c r="K2988" s="187">
        <v>109.69691808598002</v>
      </c>
      <c r="L2988" s="187">
        <v>647.32180789121446</v>
      </c>
      <c r="M2988" s="187">
        <v>757.01873779296875</v>
      </c>
      <c r="N2988" s="187">
        <v>647.32183837890625</v>
      </c>
      <c r="O2988" t="s">
        <v>3446</v>
      </c>
    </row>
    <row r="2989" spans="1:15" hidden="1" x14ac:dyDescent="0.45">
      <c r="A2989" s="187">
        <v>2019</v>
      </c>
      <c r="B2989" t="s">
        <v>314</v>
      </c>
      <c r="C2989" t="s">
        <v>323</v>
      </c>
      <c r="D2989" t="s">
        <v>35</v>
      </c>
      <c r="E2989" t="s">
        <v>349</v>
      </c>
      <c r="F2989" t="s">
        <v>391</v>
      </c>
      <c r="G2989" t="s">
        <v>36</v>
      </c>
      <c r="H2989" t="s">
        <v>43</v>
      </c>
      <c r="I2989" s="187">
        <v>2238.7853106320854</v>
      </c>
      <c r="J2989" s="187">
        <v>16.307489255384596</v>
      </c>
      <c r="K2989" s="187">
        <v>157.01370689847246</v>
      </c>
      <c r="L2989" s="187">
        <v>654.62921153758168</v>
      </c>
      <c r="M2989" s="187">
        <v>3066.735595703125</v>
      </c>
      <c r="N2989" s="187">
        <v>2893.41455078125</v>
      </c>
      <c r="O2989" t="s">
        <v>3443</v>
      </c>
    </row>
    <row r="2990" spans="1:15" hidden="1" x14ac:dyDescent="0.45">
      <c r="A2990" s="187">
        <v>2019</v>
      </c>
      <c r="B2990" t="s">
        <v>312</v>
      </c>
      <c r="C2990" t="s">
        <v>323</v>
      </c>
      <c r="D2990" t="s">
        <v>35</v>
      </c>
      <c r="E2990" t="s">
        <v>349</v>
      </c>
      <c r="F2990" t="s">
        <v>392</v>
      </c>
      <c r="G2990" t="s">
        <v>36</v>
      </c>
      <c r="H2990" t="s">
        <v>43</v>
      </c>
      <c r="I2990" s="187">
        <v>61.828711797667012</v>
      </c>
      <c r="J2990" s="187">
        <v>0</v>
      </c>
      <c r="K2990" s="187">
        <v>0.49385510409305866</v>
      </c>
      <c r="L2990" s="187">
        <v>0</v>
      </c>
      <c r="M2990" s="187">
        <v>62.322566986083984</v>
      </c>
      <c r="N2990" s="187">
        <v>61.828712463378906</v>
      </c>
      <c r="O2990" t="s">
        <v>3453</v>
      </c>
    </row>
    <row r="2991" spans="1:15" hidden="1" x14ac:dyDescent="0.45">
      <c r="A2991" s="187">
        <v>2019</v>
      </c>
      <c r="B2991" t="s">
        <v>310</v>
      </c>
      <c r="C2991" t="s">
        <v>323</v>
      </c>
      <c r="D2991" t="s">
        <v>35</v>
      </c>
      <c r="E2991" t="s">
        <v>349</v>
      </c>
      <c r="F2991" t="s">
        <v>392</v>
      </c>
      <c r="G2991" t="s">
        <v>36</v>
      </c>
      <c r="H2991" t="s">
        <v>43</v>
      </c>
      <c r="I2991" s="187"/>
      <c r="J2991" s="187">
        <v>0</v>
      </c>
      <c r="K2991" s="187">
        <v>1.200627961942081</v>
      </c>
      <c r="L2991" s="187">
        <v>0</v>
      </c>
      <c r="M2991" s="187">
        <v>1.2006279230117798</v>
      </c>
      <c r="N2991" s="187">
        <v>0</v>
      </c>
      <c r="O2991" t="s">
        <v>3449</v>
      </c>
    </row>
    <row r="2992" spans="1:15" hidden="1" x14ac:dyDescent="0.45">
      <c r="A2992" s="187">
        <v>2019</v>
      </c>
      <c r="B2992" t="s">
        <v>311</v>
      </c>
      <c r="C2992" t="s">
        <v>323</v>
      </c>
      <c r="D2992" t="s">
        <v>35</v>
      </c>
      <c r="E2992" t="s">
        <v>349</v>
      </c>
      <c r="F2992" t="s">
        <v>392</v>
      </c>
      <c r="G2992" t="s">
        <v>36</v>
      </c>
      <c r="H2992" t="s">
        <v>43</v>
      </c>
      <c r="I2992" s="187"/>
      <c r="J2992" s="187">
        <v>0</v>
      </c>
      <c r="K2992" s="187">
        <v>0.89790687133504954</v>
      </c>
      <c r="L2992" s="187">
        <v>0</v>
      </c>
      <c r="M2992" s="187">
        <v>0.89790689945220947</v>
      </c>
      <c r="N2992" s="187">
        <v>0</v>
      </c>
      <c r="O2992" t="s">
        <v>3451</v>
      </c>
    </row>
    <row r="2993" spans="1:15" hidden="1" x14ac:dyDescent="0.45">
      <c r="A2993" s="187">
        <v>2019</v>
      </c>
      <c r="B2993" t="s">
        <v>314</v>
      </c>
      <c r="C2993" t="s">
        <v>323</v>
      </c>
      <c r="D2993" t="s">
        <v>35</v>
      </c>
      <c r="E2993" t="s">
        <v>349</v>
      </c>
      <c r="F2993" t="s">
        <v>392</v>
      </c>
      <c r="G2993" t="s">
        <v>36</v>
      </c>
      <c r="H2993" t="s">
        <v>43</v>
      </c>
      <c r="I2993" s="187">
        <v>116.48206610988997</v>
      </c>
      <c r="J2993" s="187">
        <v>0</v>
      </c>
      <c r="K2993" s="187">
        <v>0.2544689755817458</v>
      </c>
      <c r="L2993" s="187">
        <v>0</v>
      </c>
      <c r="M2993" s="187">
        <v>116.73653411865234</v>
      </c>
      <c r="N2993" s="187">
        <v>116.48206329345703</v>
      </c>
      <c r="O2993" t="s">
        <v>3450</v>
      </c>
    </row>
    <row r="2994" spans="1:15" hidden="1" x14ac:dyDescent="0.45">
      <c r="A2994" s="187">
        <v>2019</v>
      </c>
      <c r="B2994" t="s">
        <v>313</v>
      </c>
      <c r="C2994" t="s">
        <v>323</v>
      </c>
      <c r="D2994" t="s">
        <v>35</v>
      </c>
      <c r="E2994" t="s">
        <v>349</v>
      </c>
      <c r="F2994" t="s">
        <v>392</v>
      </c>
      <c r="G2994" t="s">
        <v>36</v>
      </c>
      <c r="H2994" t="s">
        <v>43</v>
      </c>
      <c r="I2994" s="187">
        <v>119.78918745320628</v>
      </c>
      <c r="J2994" s="187">
        <v>0</v>
      </c>
      <c r="K2994" s="187">
        <v>0.36582478910243865</v>
      </c>
      <c r="L2994" s="187">
        <v>0</v>
      </c>
      <c r="M2994" s="187">
        <v>120.15500640869141</v>
      </c>
      <c r="N2994" s="187">
        <v>119.7891845703125</v>
      </c>
      <c r="O2994" t="s">
        <v>3454</v>
      </c>
    </row>
    <row r="2995" spans="1:15" hidden="1" x14ac:dyDescent="0.45">
      <c r="A2995" s="187">
        <v>2019</v>
      </c>
      <c r="B2995" t="s">
        <v>315</v>
      </c>
      <c r="C2995" t="s">
        <v>323</v>
      </c>
      <c r="D2995" t="s">
        <v>35</v>
      </c>
      <c r="E2995" t="s">
        <v>349</v>
      </c>
      <c r="F2995" t="s">
        <v>392</v>
      </c>
      <c r="G2995" t="s">
        <v>36</v>
      </c>
      <c r="H2995" t="s">
        <v>43</v>
      </c>
      <c r="I2995" s="187">
        <v>0</v>
      </c>
      <c r="J2995" s="187">
        <v>0</v>
      </c>
      <c r="K2995" s="187">
        <v>3.2894961705243797</v>
      </c>
      <c r="L2995" s="187">
        <v>0</v>
      </c>
      <c r="M2995" s="187">
        <v>3.2894961833953857</v>
      </c>
      <c r="N2995" s="187">
        <v>0</v>
      </c>
      <c r="O2995" t="s">
        <v>3452</v>
      </c>
    </row>
    <row r="2996" spans="1:15" hidden="1" x14ac:dyDescent="0.45">
      <c r="A2996" s="187">
        <v>2019</v>
      </c>
      <c r="B2996" t="s">
        <v>314</v>
      </c>
      <c r="C2996" t="s">
        <v>323</v>
      </c>
      <c r="D2996" t="s">
        <v>35</v>
      </c>
      <c r="E2996" t="s">
        <v>349</v>
      </c>
      <c r="F2996" t="s">
        <v>393</v>
      </c>
      <c r="G2996" t="s">
        <v>36</v>
      </c>
      <c r="H2996" t="s">
        <v>43</v>
      </c>
      <c r="I2996" s="187">
        <v>23.296413221977996</v>
      </c>
      <c r="J2996" s="187">
        <v>0</v>
      </c>
      <c r="K2996" s="187">
        <v>19.198223019099256</v>
      </c>
      <c r="L2996" s="187">
        <v>0</v>
      </c>
      <c r="M2996" s="187">
        <v>42.494636535644531</v>
      </c>
      <c r="N2996" s="187">
        <v>23.296413421630859</v>
      </c>
      <c r="O2996" t="s">
        <v>3455</v>
      </c>
    </row>
    <row r="2997" spans="1:15" hidden="1" x14ac:dyDescent="0.45">
      <c r="A2997" s="187">
        <v>2019</v>
      </c>
      <c r="B2997" t="s">
        <v>311</v>
      </c>
      <c r="C2997" t="s">
        <v>323</v>
      </c>
      <c r="D2997" t="s">
        <v>35</v>
      </c>
      <c r="E2997" t="s">
        <v>349</v>
      </c>
      <c r="F2997" t="s">
        <v>393</v>
      </c>
      <c r="G2997" t="s">
        <v>36</v>
      </c>
      <c r="H2997" t="s">
        <v>43</v>
      </c>
      <c r="I2997" s="187"/>
      <c r="J2997" s="187">
        <v>0</v>
      </c>
      <c r="K2997" s="187">
        <v>90.431266144111277</v>
      </c>
      <c r="L2997" s="187">
        <v>24.230588330445077</v>
      </c>
      <c r="M2997" s="187">
        <v>114.66185760498047</v>
      </c>
      <c r="N2997" s="187">
        <v>24.230588912963867</v>
      </c>
      <c r="O2997" t="s">
        <v>3459</v>
      </c>
    </row>
    <row r="2998" spans="1:15" hidden="1" x14ac:dyDescent="0.45">
      <c r="A2998" s="187">
        <v>2019</v>
      </c>
      <c r="B2998" t="s">
        <v>310</v>
      </c>
      <c r="C2998" t="s">
        <v>323</v>
      </c>
      <c r="D2998" t="s">
        <v>35</v>
      </c>
      <c r="E2998" t="s">
        <v>349</v>
      </c>
      <c r="F2998" t="s">
        <v>393</v>
      </c>
      <c r="G2998" t="s">
        <v>36</v>
      </c>
      <c r="H2998" t="s">
        <v>43</v>
      </c>
      <c r="I2998" s="187"/>
      <c r="J2998" s="187">
        <v>0</v>
      </c>
      <c r="K2998" s="187">
        <v>76.408856056958399</v>
      </c>
      <c r="L2998" s="187">
        <v>13.077208240226556</v>
      </c>
      <c r="M2998" s="187">
        <v>89.486068725585938</v>
      </c>
      <c r="N2998" s="187">
        <v>13.077208518981934</v>
      </c>
      <c r="O2998" t="s">
        <v>3456</v>
      </c>
    </row>
    <row r="2999" spans="1:15" hidden="1" x14ac:dyDescent="0.45">
      <c r="A2999" s="187">
        <v>2019</v>
      </c>
      <c r="B2999" t="s">
        <v>312</v>
      </c>
      <c r="C2999" t="s">
        <v>323</v>
      </c>
      <c r="D2999" t="s">
        <v>35</v>
      </c>
      <c r="E2999" t="s">
        <v>349</v>
      </c>
      <c r="F2999" t="s">
        <v>393</v>
      </c>
      <c r="G2999" t="s">
        <v>36</v>
      </c>
      <c r="H2999" t="s">
        <v>43</v>
      </c>
      <c r="I2999" s="187">
        <v>24.731484719066806</v>
      </c>
      <c r="J2999" s="187">
        <v>0</v>
      </c>
      <c r="K2999" s="187">
        <v>45.705386110273324</v>
      </c>
      <c r="L2999" s="187">
        <v>0</v>
      </c>
      <c r="M2999" s="187">
        <v>70.436874389648438</v>
      </c>
      <c r="N2999" s="187">
        <v>24.731485366821289</v>
      </c>
      <c r="O2999" t="s">
        <v>3457</v>
      </c>
    </row>
    <row r="3000" spans="1:15" hidden="1" x14ac:dyDescent="0.45">
      <c r="A3000" s="187">
        <v>2019</v>
      </c>
      <c r="B3000" t="s">
        <v>315</v>
      </c>
      <c r="C3000" t="s">
        <v>323</v>
      </c>
      <c r="D3000" t="s">
        <v>35</v>
      </c>
      <c r="E3000" t="s">
        <v>349</v>
      </c>
      <c r="F3000" t="s">
        <v>393</v>
      </c>
      <c r="G3000" t="s">
        <v>36</v>
      </c>
      <c r="H3000" t="s">
        <v>43</v>
      </c>
      <c r="I3000" s="187">
        <v>415.73665907989567</v>
      </c>
      <c r="J3000" s="187">
        <v>0</v>
      </c>
      <c r="K3000" s="187">
        <v>0.55433767654840793</v>
      </c>
      <c r="L3000" s="187">
        <v>20.390353851330033</v>
      </c>
      <c r="M3000" s="187">
        <v>436.68136596679688</v>
      </c>
      <c r="N3000" s="187">
        <v>436.12701416015625</v>
      </c>
      <c r="O3000" t="s">
        <v>3458</v>
      </c>
    </row>
    <row r="3001" spans="1:15" hidden="1" x14ac:dyDescent="0.45">
      <c r="A3001" s="187">
        <v>2019</v>
      </c>
      <c r="B3001" t="s">
        <v>313</v>
      </c>
      <c r="C3001" t="s">
        <v>323</v>
      </c>
      <c r="D3001" t="s">
        <v>35</v>
      </c>
      <c r="E3001" t="s">
        <v>349</v>
      </c>
      <c r="F3001" t="s">
        <v>393</v>
      </c>
      <c r="G3001" t="s">
        <v>36</v>
      </c>
      <c r="H3001" t="s">
        <v>43</v>
      </c>
      <c r="I3001" s="187">
        <v>23.957837490641257</v>
      </c>
      <c r="J3001" s="187">
        <v>0</v>
      </c>
      <c r="K3001" s="187">
        <v>27.599379732039015</v>
      </c>
      <c r="L3001" s="187">
        <v>0</v>
      </c>
      <c r="M3001" s="187">
        <v>51.557216644287109</v>
      </c>
      <c r="N3001" s="187">
        <v>23.95783805847168</v>
      </c>
      <c r="O3001" t="s">
        <v>3460</v>
      </c>
    </row>
    <row r="3002" spans="1:15" hidden="1" x14ac:dyDescent="0.45">
      <c r="A3002" s="187">
        <v>2019</v>
      </c>
      <c r="B3002" t="s">
        <v>310</v>
      </c>
      <c r="C3002" t="s">
        <v>323</v>
      </c>
      <c r="D3002" t="s">
        <v>35</v>
      </c>
      <c r="E3002" t="s">
        <v>349</v>
      </c>
      <c r="F3002" t="s">
        <v>394</v>
      </c>
      <c r="G3002" t="s">
        <v>36</v>
      </c>
      <c r="H3002" t="s">
        <v>43</v>
      </c>
      <c r="I3002" s="187"/>
      <c r="J3002" s="187">
        <v>0</v>
      </c>
      <c r="K3002" s="187">
        <v>32.026637058498096</v>
      </c>
      <c r="L3002" s="187">
        <v>0</v>
      </c>
      <c r="M3002" s="187">
        <v>32.026638031005859</v>
      </c>
      <c r="N3002" s="187">
        <v>0</v>
      </c>
      <c r="O3002" t="s">
        <v>3463</v>
      </c>
    </row>
    <row r="3003" spans="1:15" hidden="1" x14ac:dyDescent="0.45">
      <c r="A3003" s="187">
        <v>2019</v>
      </c>
      <c r="B3003" t="s">
        <v>311</v>
      </c>
      <c r="C3003" t="s">
        <v>323</v>
      </c>
      <c r="D3003" t="s">
        <v>35</v>
      </c>
      <c r="E3003" t="s">
        <v>349</v>
      </c>
      <c r="F3003" t="s">
        <v>394</v>
      </c>
      <c r="G3003" t="s">
        <v>36</v>
      </c>
      <c r="H3003" t="s">
        <v>43</v>
      </c>
      <c r="I3003" s="187"/>
      <c r="J3003" s="187">
        <v>0</v>
      </c>
      <c r="K3003" s="187">
        <v>39.152580463235012</v>
      </c>
      <c r="L3003" s="187">
        <v>0</v>
      </c>
      <c r="M3003" s="187">
        <v>39.152580261230469</v>
      </c>
      <c r="N3003" s="187">
        <v>0</v>
      </c>
      <c r="O3003" t="s">
        <v>3464</v>
      </c>
    </row>
    <row r="3004" spans="1:15" hidden="1" x14ac:dyDescent="0.45">
      <c r="A3004" s="187">
        <v>2019</v>
      </c>
      <c r="B3004" t="s">
        <v>312</v>
      </c>
      <c r="C3004" t="s">
        <v>323</v>
      </c>
      <c r="D3004" t="s">
        <v>35</v>
      </c>
      <c r="E3004" t="s">
        <v>349</v>
      </c>
      <c r="F3004" t="s">
        <v>394</v>
      </c>
      <c r="G3004" t="s">
        <v>36</v>
      </c>
      <c r="H3004" t="s">
        <v>43</v>
      </c>
      <c r="I3004" s="187">
        <v>74.194454157200411</v>
      </c>
      <c r="J3004" s="187">
        <v>0</v>
      </c>
      <c r="K3004" s="187">
        <v>19.725117199240636</v>
      </c>
      <c r="L3004" s="187">
        <v>0</v>
      </c>
      <c r="M3004" s="187">
        <v>93.919570922851563</v>
      </c>
      <c r="N3004" s="187">
        <v>74.194450378417969</v>
      </c>
      <c r="O3004" t="s">
        <v>3466</v>
      </c>
    </row>
    <row r="3005" spans="1:15" hidden="1" x14ac:dyDescent="0.45">
      <c r="A3005" s="187">
        <v>2019</v>
      </c>
      <c r="B3005" t="s">
        <v>314</v>
      </c>
      <c r="C3005" t="s">
        <v>323</v>
      </c>
      <c r="D3005" t="s">
        <v>35</v>
      </c>
      <c r="E3005" t="s">
        <v>349</v>
      </c>
      <c r="F3005" t="s">
        <v>394</v>
      </c>
      <c r="G3005" t="s">
        <v>36</v>
      </c>
      <c r="H3005" t="s">
        <v>43</v>
      </c>
      <c r="I3005" s="187">
        <v>0</v>
      </c>
      <c r="J3005" s="187">
        <v>0</v>
      </c>
      <c r="K3005" s="187">
        <v>8.2669946207545877</v>
      </c>
      <c r="L3005" s="187">
        <v>0</v>
      </c>
      <c r="M3005" s="187">
        <v>8.2669944763183594</v>
      </c>
      <c r="N3005" s="187">
        <v>0</v>
      </c>
      <c r="O3005" t="s">
        <v>3461</v>
      </c>
    </row>
    <row r="3006" spans="1:15" hidden="1" x14ac:dyDescent="0.45">
      <c r="A3006" s="187">
        <v>2019</v>
      </c>
      <c r="B3006" t="s">
        <v>315</v>
      </c>
      <c r="C3006" t="s">
        <v>323</v>
      </c>
      <c r="D3006" t="s">
        <v>35</v>
      </c>
      <c r="E3006" t="s">
        <v>349</v>
      </c>
      <c r="F3006" t="s">
        <v>394</v>
      </c>
      <c r="G3006" t="s">
        <v>36</v>
      </c>
      <c r="H3006" t="s">
        <v>43</v>
      </c>
      <c r="I3006" s="187">
        <v>0</v>
      </c>
      <c r="J3006" s="187">
        <v>0</v>
      </c>
      <c r="K3006" s="187">
        <v>0.25255979275611895</v>
      </c>
      <c r="L3006" s="187">
        <v>0</v>
      </c>
      <c r="M3006" s="187">
        <v>0.25255978107452393</v>
      </c>
      <c r="N3006" s="187">
        <v>0</v>
      </c>
      <c r="O3006" t="s">
        <v>3462</v>
      </c>
    </row>
    <row r="3007" spans="1:15" hidden="1" x14ac:dyDescent="0.45">
      <c r="A3007" s="187">
        <v>2019</v>
      </c>
      <c r="B3007" t="s">
        <v>313</v>
      </c>
      <c r="C3007" t="s">
        <v>323</v>
      </c>
      <c r="D3007" t="s">
        <v>35</v>
      </c>
      <c r="E3007" t="s">
        <v>349</v>
      </c>
      <c r="F3007" t="s">
        <v>394</v>
      </c>
      <c r="G3007" t="s">
        <v>36</v>
      </c>
      <c r="H3007" t="s">
        <v>43</v>
      </c>
      <c r="I3007" s="187">
        <v>0</v>
      </c>
      <c r="J3007" s="187">
        <v>0</v>
      </c>
      <c r="K3007" s="187">
        <v>11.884637633073751</v>
      </c>
      <c r="L3007" s="187">
        <v>0</v>
      </c>
      <c r="M3007" s="187">
        <v>11.884637832641602</v>
      </c>
      <c r="N3007" s="187">
        <v>0</v>
      </c>
      <c r="O3007" t="s">
        <v>3465</v>
      </c>
    </row>
    <row r="3008" spans="1:15" hidden="1" x14ac:dyDescent="0.45">
      <c r="A3008" s="187">
        <v>2019</v>
      </c>
      <c r="B3008" t="s">
        <v>311</v>
      </c>
      <c r="C3008" t="s">
        <v>323</v>
      </c>
      <c r="D3008" t="s">
        <v>35</v>
      </c>
      <c r="E3008" t="s">
        <v>349</v>
      </c>
      <c r="F3008" t="s">
        <v>395</v>
      </c>
      <c r="G3008" t="s">
        <v>36</v>
      </c>
      <c r="H3008" t="s">
        <v>43</v>
      </c>
      <c r="I3008" s="187"/>
      <c r="J3008" s="187">
        <v>0</v>
      </c>
      <c r="K3008" s="187">
        <v>0.14087380735415819</v>
      </c>
      <c r="L3008" s="187">
        <v>91.821176831160287</v>
      </c>
      <c r="M3008" s="187">
        <v>91.962051391601563</v>
      </c>
      <c r="N3008" s="187">
        <v>91.821174621582031</v>
      </c>
      <c r="O3008" t="s">
        <v>3467</v>
      </c>
    </row>
    <row r="3009" spans="1:15" hidden="1" x14ac:dyDescent="0.45">
      <c r="A3009" s="187">
        <v>2019</v>
      </c>
      <c r="B3009" t="s">
        <v>314</v>
      </c>
      <c r="C3009" t="s">
        <v>323</v>
      </c>
      <c r="D3009" t="s">
        <v>35</v>
      </c>
      <c r="E3009" t="s">
        <v>349</v>
      </c>
      <c r="F3009" t="s">
        <v>395</v>
      </c>
      <c r="G3009" t="s">
        <v>36</v>
      </c>
      <c r="H3009" t="s">
        <v>43</v>
      </c>
      <c r="I3009" s="187">
        <v>69.889239665933985</v>
      </c>
      <c r="J3009" s="187">
        <v>0</v>
      </c>
      <c r="K3009" s="187">
        <v>4.0588570651890324E-2</v>
      </c>
      <c r="L3009" s="187">
        <v>292.36998593582382</v>
      </c>
      <c r="M3009" s="187">
        <v>362.2998046875</v>
      </c>
      <c r="N3009" s="187">
        <v>362.25921630859375</v>
      </c>
      <c r="O3009" t="s">
        <v>3471</v>
      </c>
    </row>
    <row r="3010" spans="1:15" hidden="1" x14ac:dyDescent="0.45">
      <c r="A3010" s="187">
        <v>2019</v>
      </c>
      <c r="B3010" t="s">
        <v>313</v>
      </c>
      <c r="C3010" t="s">
        <v>323</v>
      </c>
      <c r="D3010" t="s">
        <v>35</v>
      </c>
      <c r="E3010" t="s">
        <v>349</v>
      </c>
      <c r="F3010" t="s">
        <v>395</v>
      </c>
      <c r="G3010" t="s">
        <v>36</v>
      </c>
      <c r="H3010" t="s">
        <v>43</v>
      </c>
      <c r="I3010" s="187">
        <v>71.87351247192376</v>
      </c>
      <c r="J3010" s="187">
        <v>0</v>
      </c>
      <c r="K3010" s="187">
        <v>5.8350159443807378E-2</v>
      </c>
      <c r="L3010" s="187">
        <v>294.68140113488744</v>
      </c>
      <c r="M3010" s="187">
        <v>366.61325073242188</v>
      </c>
      <c r="N3010" s="187">
        <v>366.55490112304688</v>
      </c>
      <c r="O3010" t="s">
        <v>3470</v>
      </c>
    </row>
    <row r="3011" spans="1:15" hidden="1" x14ac:dyDescent="0.45">
      <c r="A3011" s="187">
        <v>2019</v>
      </c>
      <c r="B3011" t="s">
        <v>310</v>
      </c>
      <c r="C3011" t="s">
        <v>323</v>
      </c>
      <c r="D3011" t="s">
        <v>35</v>
      </c>
      <c r="E3011" t="s">
        <v>349</v>
      </c>
      <c r="F3011" t="s">
        <v>395</v>
      </c>
      <c r="G3011" t="s">
        <v>36</v>
      </c>
      <c r="H3011" t="s">
        <v>43</v>
      </c>
      <c r="I3011" s="187"/>
      <c r="J3011" s="187">
        <v>0</v>
      </c>
      <c r="K3011" s="187">
        <v>6.0797008581455932E-2</v>
      </c>
      <c r="L3011" s="187">
        <v>126.84891993019758</v>
      </c>
      <c r="M3011" s="187">
        <v>126.90971374511719</v>
      </c>
      <c r="N3011" s="187">
        <v>126.84892272949219</v>
      </c>
      <c r="O3011" t="s">
        <v>3469</v>
      </c>
    </row>
    <row r="3012" spans="1:15" hidden="1" x14ac:dyDescent="0.45">
      <c r="A3012" s="187">
        <v>2019</v>
      </c>
      <c r="B3012" t="s">
        <v>312</v>
      </c>
      <c r="C3012" t="s">
        <v>323</v>
      </c>
      <c r="D3012" t="s">
        <v>35</v>
      </c>
      <c r="E3012" t="s">
        <v>349</v>
      </c>
      <c r="F3012" t="s">
        <v>395</v>
      </c>
      <c r="G3012" t="s">
        <v>36</v>
      </c>
      <c r="H3012" t="s">
        <v>43</v>
      </c>
      <c r="I3012" s="187">
        <v>0</v>
      </c>
      <c r="J3012" s="187">
        <v>0</v>
      </c>
      <c r="K3012" s="187">
        <v>7.6457163780498716E-2</v>
      </c>
      <c r="L3012" s="187">
        <v>60.59213756171367</v>
      </c>
      <c r="M3012" s="187">
        <v>60.668594360351563</v>
      </c>
      <c r="N3012" s="187">
        <v>60.592136383056641</v>
      </c>
      <c r="O3012" t="s">
        <v>3468</v>
      </c>
    </row>
    <row r="3013" spans="1:15" hidden="1" x14ac:dyDescent="0.45">
      <c r="A3013" s="187">
        <v>2019</v>
      </c>
      <c r="B3013" t="s">
        <v>315</v>
      </c>
      <c r="C3013" t="s">
        <v>323</v>
      </c>
      <c r="D3013" t="s">
        <v>35</v>
      </c>
      <c r="E3013" t="s">
        <v>349</v>
      </c>
      <c r="F3013" t="s">
        <v>395</v>
      </c>
      <c r="G3013" t="s">
        <v>36</v>
      </c>
      <c r="H3013" t="s">
        <v>43</v>
      </c>
      <c r="I3013" s="187">
        <v>0</v>
      </c>
      <c r="J3013" s="187">
        <v>0</v>
      </c>
      <c r="K3013" s="187">
        <v>1.4796889134924701E-3</v>
      </c>
      <c r="L3013" s="187">
        <v>461.04855652729572</v>
      </c>
      <c r="M3013" s="187">
        <v>461.050048828125</v>
      </c>
      <c r="N3013" s="187">
        <v>461.04855346679688</v>
      </c>
      <c r="O3013" t="s">
        <v>3472</v>
      </c>
    </row>
    <row r="3014" spans="1:15" hidden="1" x14ac:dyDescent="0.45">
      <c r="A3014" s="187">
        <v>2019</v>
      </c>
      <c r="B3014" t="s">
        <v>312</v>
      </c>
      <c r="C3014" t="s">
        <v>323</v>
      </c>
      <c r="D3014" t="s">
        <v>35</v>
      </c>
      <c r="E3014" t="s">
        <v>349</v>
      </c>
      <c r="F3014" t="s">
        <v>396</v>
      </c>
      <c r="G3014" t="s">
        <v>36</v>
      </c>
      <c r="H3014" t="s">
        <v>43</v>
      </c>
      <c r="I3014" s="187">
        <v>618.28711797667017</v>
      </c>
      <c r="J3014" s="187">
        <v>0</v>
      </c>
      <c r="K3014" s="187">
        <v>629.20547409492565</v>
      </c>
      <c r="L3014" s="187">
        <v>374.68199349386208</v>
      </c>
      <c r="M3014" s="187">
        <v>1622.174560546875</v>
      </c>
      <c r="N3014" s="187">
        <v>992.9691162109375</v>
      </c>
      <c r="O3014" t="s">
        <v>3477</v>
      </c>
    </row>
    <row r="3015" spans="1:15" hidden="1" x14ac:dyDescent="0.45">
      <c r="A3015" s="187">
        <v>2019</v>
      </c>
      <c r="B3015" t="s">
        <v>310</v>
      </c>
      <c r="C3015" t="s">
        <v>323</v>
      </c>
      <c r="D3015" t="s">
        <v>35</v>
      </c>
      <c r="E3015" t="s">
        <v>349</v>
      </c>
      <c r="F3015" t="s">
        <v>396</v>
      </c>
      <c r="G3015" t="s">
        <v>36</v>
      </c>
      <c r="H3015" t="s">
        <v>43</v>
      </c>
      <c r="I3015" s="187"/>
      <c r="J3015" s="187">
        <v>0</v>
      </c>
      <c r="K3015" s="187">
        <v>0</v>
      </c>
      <c r="L3015" s="187">
        <v>507.39567972079033</v>
      </c>
      <c r="M3015" s="187">
        <v>507.39569091796875</v>
      </c>
      <c r="N3015" s="187">
        <v>507.39569091796875</v>
      </c>
      <c r="O3015" t="s">
        <v>3474</v>
      </c>
    </row>
    <row r="3016" spans="1:15" hidden="1" x14ac:dyDescent="0.45">
      <c r="A3016" s="187">
        <v>2019</v>
      </c>
      <c r="B3016" t="s">
        <v>314</v>
      </c>
      <c r="C3016" t="s">
        <v>323</v>
      </c>
      <c r="D3016" t="s">
        <v>35</v>
      </c>
      <c r="E3016" t="s">
        <v>349</v>
      </c>
      <c r="F3016" t="s">
        <v>396</v>
      </c>
      <c r="G3016" t="s">
        <v>36</v>
      </c>
      <c r="H3016" t="s">
        <v>43</v>
      </c>
      <c r="I3016" s="187">
        <v>2029.1175916342834</v>
      </c>
      <c r="J3016" s="187">
        <v>16.307489255384596</v>
      </c>
      <c r="K3016" s="187">
        <v>129.25343171238501</v>
      </c>
      <c r="L3016" s="187">
        <v>362.25922560175781</v>
      </c>
      <c r="M3016" s="187">
        <v>2536.937744140625</v>
      </c>
      <c r="N3016" s="187">
        <v>2391.376708984375</v>
      </c>
      <c r="O3016" t="s">
        <v>3473</v>
      </c>
    </row>
    <row r="3017" spans="1:15" hidden="1" x14ac:dyDescent="0.45">
      <c r="A3017" s="187">
        <v>2019</v>
      </c>
      <c r="B3017" t="s">
        <v>315</v>
      </c>
      <c r="C3017" t="s">
        <v>323</v>
      </c>
      <c r="D3017" t="s">
        <v>35</v>
      </c>
      <c r="E3017" t="s">
        <v>349</v>
      </c>
      <c r="F3017" t="s">
        <v>396</v>
      </c>
      <c r="G3017" t="s">
        <v>36</v>
      </c>
      <c r="H3017" t="s">
        <v>43</v>
      </c>
      <c r="I3017" s="187">
        <v>668.35048734915108</v>
      </c>
      <c r="J3017" s="187">
        <v>15.859164106590026</v>
      </c>
      <c r="K3017" s="187">
        <v>30.019489423528263</v>
      </c>
      <c r="L3017" s="187">
        <v>491.6340873042908</v>
      </c>
      <c r="M3017" s="187">
        <v>1205.8631591796875</v>
      </c>
      <c r="N3017" s="187">
        <v>1159.9844970703125</v>
      </c>
      <c r="O3017" t="s">
        <v>3475</v>
      </c>
    </row>
    <row r="3018" spans="1:15" hidden="1" x14ac:dyDescent="0.45">
      <c r="A3018" s="187">
        <v>2019</v>
      </c>
      <c r="B3018" t="s">
        <v>313</v>
      </c>
      <c r="C3018" t="s">
        <v>323</v>
      </c>
      <c r="D3018" t="s">
        <v>35</v>
      </c>
      <c r="E3018" t="s">
        <v>349</v>
      </c>
      <c r="F3018" t="s">
        <v>396</v>
      </c>
      <c r="G3018" t="s">
        <v>36</v>
      </c>
      <c r="H3018" t="s">
        <v>43</v>
      </c>
      <c r="I3018" s="187">
        <v>598.94593726603136</v>
      </c>
      <c r="J3018" s="187">
        <v>0</v>
      </c>
      <c r="K3018" s="187">
        <v>67.038678345650538</v>
      </c>
      <c r="L3018" s="187">
        <v>365.35702173227912</v>
      </c>
      <c r="M3018" s="187">
        <v>1031.3416748046875</v>
      </c>
      <c r="N3018" s="187">
        <v>964.30291748046875</v>
      </c>
      <c r="O3018" t="s">
        <v>3478</v>
      </c>
    </row>
    <row r="3019" spans="1:15" hidden="1" x14ac:dyDescent="0.45">
      <c r="A3019" s="187">
        <v>2019</v>
      </c>
      <c r="B3019" t="s">
        <v>311</v>
      </c>
      <c r="C3019" t="s">
        <v>323</v>
      </c>
      <c r="D3019" t="s">
        <v>35</v>
      </c>
      <c r="E3019" t="s">
        <v>349</v>
      </c>
      <c r="F3019" t="s">
        <v>396</v>
      </c>
      <c r="G3019" t="s">
        <v>36</v>
      </c>
      <c r="H3019" t="s">
        <v>43</v>
      </c>
      <c r="I3019" s="187"/>
      <c r="J3019" s="187">
        <v>0</v>
      </c>
      <c r="K3019" s="187">
        <v>0</v>
      </c>
      <c r="L3019" s="187">
        <v>614.69176711971193</v>
      </c>
      <c r="M3019" s="187">
        <v>614.6917724609375</v>
      </c>
      <c r="N3019" s="187">
        <v>614.6917724609375</v>
      </c>
      <c r="O3019" t="s">
        <v>3476</v>
      </c>
    </row>
    <row r="3020" spans="1:15" hidden="1" x14ac:dyDescent="0.45">
      <c r="A3020" s="187">
        <v>2019</v>
      </c>
      <c r="B3020" t="s">
        <v>310</v>
      </c>
      <c r="C3020" t="s">
        <v>323</v>
      </c>
      <c r="D3020" t="s">
        <v>35</v>
      </c>
      <c r="E3020" t="s">
        <v>349</v>
      </c>
      <c r="F3020" t="s">
        <v>397</v>
      </c>
      <c r="G3020" t="s">
        <v>36</v>
      </c>
      <c r="H3020" t="s">
        <v>43</v>
      </c>
      <c r="I3020" s="187"/>
      <c r="J3020" s="187">
        <v>0</v>
      </c>
      <c r="K3020" s="187">
        <v>0.30233761387369879</v>
      </c>
      <c r="L3020" s="187">
        <v>0</v>
      </c>
      <c r="M3020" s="187">
        <v>0.30233761668205261</v>
      </c>
      <c r="N3020" s="187">
        <v>0</v>
      </c>
      <c r="O3020" t="s">
        <v>3479</v>
      </c>
    </row>
    <row r="3021" spans="1:15" hidden="1" x14ac:dyDescent="0.45">
      <c r="A3021" s="187">
        <v>2019</v>
      </c>
      <c r="B3021" t="s">
        <v>311</v>
      </c>
      <c r="C3021" t="s">
        <v>323</v>
      </c>
      <c r="D3021" t="s">
        <v>35</v>
      </c>
      <c r="E3021" t="s">
        <v>349</v>
      </c>
      <c r="F3021" t="s">
        <v>397</v>
      </c>
      <c r="G3021" t="s">
        <v>36</v>
      </c>
      <c r="H3021" t="s">
        <v>43</v>
      </c>
      <c r="I3021" s="187"/>
      <c r="J3021" s="187">
        <v>0</v>
      </c>
      <c r="K3021" s="187">
        <v>0.21544847023821087</v>
      </c>
      <c r="L3021" s="187">
        <v>0</v>
      </c>
      <c r="M3021" s="187">
        <v>0.21544846892356873</v>
      </c>
      <c r="N3021" s="187">
        <v>0</v>
      </c>
      <c r="O3021" t="s">
        <v>3482</v>
      </c>
    </row>
    <row r="3022" spans="1:15" hidden="1" x14ac:dyDescent="0.45">
      <c r="A3022" s="187">
        <v>2019</v>
      </c>
      <c r="B3022" t="s">
        <v>313</v>
      </c>
      <c r="C3022" t="s">
        <v>323</v>
      </c>
      <c r="D3022" t="s">
        <v>35</v>
      </c>
      <c r="E3022" t="s">
        <v>349</v>
      </c>
      <c r="F3022" t="s">
        <v>397</v>
      </c>
      <c r="G3022" t="s">
        <v>36</v>
      </c>
      <c r="H3022" t="s">
        <v>43</v>
      </c>
      <c r="I3022" s="187">
        <v>0</v>
      </c>
      <c r="J3022" s="187">
        <v>0</v>
      </c>
      <c r="K3022" s="187">
        <v>7.3475383727668361E-2</v>
      </c>
      <c r="L3022" s="187">
        <v>0</v>
      </c>
      <c r="M3022" s="187">
        <v>7.3475383222103119E-2</v>
      </c>
      <c r="N3022" s="187">
        <v>0</v>
      </c>
      <c r="O3022" t="s">
        <v>3483</v>
      </c>
    </row>
    <row r="3023" spans="1:15" hidden="1" x14ac:dyDescent="0.45">
      <c r="A3023" s="187">
        <v>2019</v>
      </c>
      <c r="B3023" t="s">
        <v>312</v>
      </c>
      <c r="C3023" t="s">
        <v>323</v>
      </c>
      <c r="D3023" t="s">
        <v>35</v>
      </c>
      <c r="E3023" t="s">
        <v>349</v>
      </c>
      <c r="F3023" t="s">
        <v>397</v>
      </c>
      <c r="G3023" t="s">
        <v>36</v>
      </c>
      <c r="H3023" t="s">
        <v>43</v>
      </c>
      <c r="I3023" s="187">
        <v>0</v>
      </c>
      <c r="J3023" s="187">
        <v>0</v>
      </c>
      <c r="K3023" s="187">
        <v>0.11696207334273996</v>
      </c>
      <c r="L3023" s="187">
        <v>0</v>
      </c>
      <c r="M3023" s="187">
        <v>0.11696207523345947</v>
      </c>
      <c r="N3023" s="187">
        <v>0</v>
      </c>
      <c r="O3023" t="s">
        <v>3480</v>
      </c>
    </row>
    <row r="3024" spans="1:15" hidden="1" x14ac:dyDescent="0.45">
      <c r="A3024" s="187">
        <v>2019</v>
      </c>
      <c r="B3024" t="s">
        <v>315</v>
      </c>
      <c r="C3024" t="s">
        <v>323</v>
      </c>
      <c r="D3024" t="s">
        <v>35</v>
      </c>
      <c r="E3024" t="s">
        <v>349</v>
      </c>
      <c r="F3024" t="s">
        <v>397</v>
      </c>
      <c r="G3024" t="s">
        <v>36</v>
      </c>
      <c r="H3024" t="s">
        <v>43</v>
      </c>
      <c r="I3024" s="187">
        <v>0</v>
      </c>
      <c r="J3024" s="187">
        <v>0</v>
      </c>
      <c r="K3024" s="187">
        <v>1.3760136406256241E-3</v>
      </c>
      <c r="L3024" s="187">
        <v>0</v>
      </c>
      <c r="M3024" s="187">
        <v>1.3760136207565665E-3</v>
      </c>
      <c r="N3024" s="187">
        <v>0</v>
      </c>
      <c r="O3024" t="s">
        <v>3481</v>
      </c>
    </row>
    <row r="3025" spans="1:15" hidden="1" x14ac:dyDescent="0.45">
      <c r="A3025" s="187">
        <v>2019</v>
      </c>
      <c r="B3025" t="s">
        <v>314</v>
      </c>
      <c r="C3025" t="s">
        <v>323</v>
      </c>
      <c r="D3025" t="s">
        <v>35</v>
      </c>
      <c r="E3025" t="s">
        <v>349</v>
      </c>
      <c r="F3025" t="s">
        <v>397</v>
      </c>
      <c r="G3025" t="s">
        <v>36</v>
      </c>
      <c r="H3025" t="s">
        <v>43</v>
      </c>
      <c r="I3025" s="187">
        <v>0</v>
      </c>
      <c r="J3025" s="187">
        <v>0</v>
      </c>
      <c r="K3025" s="187">
        <v>5.1109728440026071E-2</v>
      </c>
      <c r="L3025" s="187"/>
      <c r="M3025" s="187">
        <v>5.1109727472066879E-2</v>
      </c>
      <c r="N3025" s="187">
        <v>0</v>
      </c>
      <c r="O3025" t="s">
        <v>3484</v>
      </c>
    </row>
    <row r="3026" spans="1:15" hidden="1" x14ac:dyDescent="0.45">
      <c r="A3026" s="187">
        <v>2019</v>
      </c>
      <c r="B3026" t="s">
        <v>311</v>
      </c>
      <c r="C3026" t="s">
        <v>323</v>
      </c>
      <c r="D3026" t="s">
        <v>35</v>
      </c>
      <c r="E3026" t="s">
        <v>349</v>
      </c>
      <c r="F3026" t="s">
        <v>398</v>
      </c>
      <c r="G3026" t="s">
        <v>36</v>
      </c>
      <c r="H3026" t="s">
        <v>43</v>
      </c>
      <c r="I3026" s="187"/>
      <c r="J3026" s="187">
        <v>707.78823807352717</v>
      </c>
      <c r="K3026" s="187">
        <v>31.342276271289521</v>
      </c>
      <c r="L3026" s="187">
        <v>0</v>
      </c>
      <c r="M3026" s="187">
        <v>739.1304931640625</v>
      </c>
      <c r="N3026" s="187">
        <v>0</v>
      </c>
      <c r="O3026" t="s">
        <v>3487</v>
      </c>
    </row>
    <row r="3027" spans="1:15" hidden="1" x14ac:dyDescent="0.45">
      <c r="A3027" s="187">
        <v>2019</v>
      </c>
      <c r="B3027" t="s">
        <v>314</v>
      </c>
      <c r="C3027" t="s">
        <v>323</v>
      </c>
      <c r="D3027" t="s">
        <v>35</v>
      </c>
      <c r="E3027" t="s">
        <v>349</v>
      </c>
      <c r="F3027" t="s">
        <v>398</v>
      </c>
      <c r="G3027" t="s">
        <v>36</v>
      </c>
      <c r="H3027" t="s">
        <v>43</v>
      </c>
      <c r="I3027" s="187">
        <v>0</v>
      </c>
      <c r="J3027" s="187">
        <v>200.34915370901075</v>
      </c>
      <c r="K3027" s="187">
        <v>5.5756114195757522</v>
      </c>
      <c r="L3027" s="187">
        <v>0</v>
      </c>
      <c r="M3027" s="187">
        <v>205.92475891113281</v>
      </c>
      <c r="N3027" s="187">
        <v>0</v>
      </c>
      <c r="O3027" t="s">
        <v>3490</v>
      </c>
    </row>
    <row r="3028" spans="1:15" hidden="1" x14ac:dyDescent="0.45">
      <c r="A3028" s="187">
        <v>2019</v>
      </c>
      <c r="B3028" t="s">
        <v>310</v>
      </c>
      <c r="C3028" t="s">
        <v>323</v>
      </c>
      <c r="D3028" t="s">
        <v>35</v>
      </c>
      <c r="E3028" t="s">
        <v>349</v>
      </c>
      <c r="F3028" t="s">
        <v>398</v>
      </c>
      <c r="G3028" t="s">
        <v>36</v>
      </c>
      <c r="H3028" t="s">
        <v>43</v>
      </c>
      <c r="I3028" s="187"/>
      <c r="J3028" s="187">
        <v>581.93576669008166</v>
      </c>
      <c r="K3028" s="187">
        <v>27.623464982247118</v>
      </c>
      <c r="L3028" s="187">
        <v>0</v>
      </c>
      <c r="M3028" s="187">
        <v>609.55926513671875</v>
      </c>
      <c r="N3028" s="187">
        <v>0</v>
      </c>
      <c r="O3028" t="s">
        <v>3489</v>
      </c>
    </row>
    <row r="3029" spans="1:15" hidden="1" x14ac:dyDescent="0.45">
      <c r="A3029" s="187">
        <v>2019</v>
      </c>
      <c r="B3029" t="s">
        <v>315</v>
      </c>
      <c r="C3029" t="s">
        <v>323</v>
      </c>
      <c r="D3029" t="s">
        <v>35</v>
      </c>
      <c r="E3029" t="s">
        <v>349</v>
      </c>
      <c r="F3029" t="s">
        <v>398</v>
      </c>
      <c r="G3029" t="s">
        <v>36</v>
      </c>
      <c r="H3029" t="s">
        <v>43</v>
      </c>
      <c r="I3029" s="187">
        <v>0</v>
      </c>
      <c r="J3029" s="187">
        <v>166.52122311919527</v>
      </c>
      <c r="K3029" s="187">
        <v>0.14036437916772374</v>
      </c>
      <c r="L3029" s="187">
        <v>0</v>
      </c>
      <c r="M3029" s="187">
        <v>166.66159057617188</v>
      </c>
      <c r="N3029" s="187">
        <v>0</v>
      </c>
      <c r="O3029" t="s">
        <v>3488</v>
      </c>
    </row>
    <row r="3030" spans="1:15" hidden="1" x14ac:dyDescent="0.45">
      <c r="A3030" s="187">
        <v>2019</v>
      </c>
      <c r="B3030" t="s">
        <v>313</v>
      </c>
      <c r="C3030" t="s">
        <v>323</v>
      </c>
      <c r="D3030" t="s">
        <v>35</v>
      </c>
      <c r="E3030" t="s">
        <v>349</v>
      </c>
      <c r="F3030" t="s">
        <v>398</v>
      </c>
      <c r="G3030" t="s">
        <v>36</v>
      </c>
      <c r="H3030" t="s">
        <v>43</v>
      </c>
      <c r="I3030" s="187">
        <v>0</v>
      </c>
      <c r="J3030" s="187">
        <v>539.05134353942822</v>
      </c>
      <c r="K3030" s="187">
        <v>8.0155031355805271</v>
      </c>
      <c r="L3030" s="187">
        <v>0</v>
      </c>
      <c r="M3030" s="187">
        <v>547.06683349609375</v>
      </c>
      <c r="N3030" s="187">
        <v>0</v>
      </c>
      <c r="O3030" t="s">
        <v>3486</v>
      </c>
    </row>
    <row r="3031" spans="1:15" hidden="1" x14ac:dyDescent="0.45">
      <c r="A3031" s="187">
        <v>2019</v>
      </c>
      <c r="B3031" t="s">
        <v>312</v>
      </c>
      <c r="C3031" t="s">
        <v>323</v>
      </c>
      <c r="D3031" t="s">
        <v>35</v>
      </c>
      <c r="E3031" t="s">
        <v>349</v>
      </c>
      <c r="F3031" t="s">
        <v>398</v>
      </c>
      <c r="G3031" t="s">
        <v>36</v>
      </c>
      <c r="H3031" t="s">
        <v>43</v>
      </c>
      <c r="I3031" s="187">
        <v>0</v>
      </c>
      <c r="J3031" s="187">
        <v>680.11582977433716</v>
      </c>
      <c r="K3031" s="187">
        <v>15.631289761436635</v>
      </c>
      <c r="L3031" s="187">
        <v>0</v>
      </c>
      <c r="M3031" s="187">
        <v>695.74713134765625</v>
      </c>
      <c r="N3031" s="187">
        <v>0</v>
      </c>
      <c r="O3031" t="s">
        <v>3485</v>
      </c>
    </row>
    <row r="3032" spans="1:15" hidden="1" x14ac:dyDescent="0.45">
      <c r="A3032" s="187">
        <v>2019</v>
      </c>
      <c r="B3032" t="s">
        <v>312</v>
      </c>
      <c r="C3032" t="s">
        <v>323</v>
      </c>
      <c r="D3032" t="s">
        <v>35</v>
      </c>
      <c r="E3032" t="s">
        <v>349</v>
      </c>
      <c r="F3032" t="s">
        <v>399</v>
      </c>
      <c r="G3032" t="s">
        <v>36</v>
      </c>
      <c r="H3032" t="s">
        <v>43</v>
      </c>
      <c r="I3032" s="187">
        <v>0</v>
      </c>
      <c r="J3032" s="187">
        <v>494.62969438133609</v>
      </c>
      <c r="K3032" s="187">
        <v>10.824625842847846</v>
      </c>
      <c r="L3032" s="187">
        <v>0</v>
      </c>
      <c r="M3032" s="187">
        <v>505.45431518554688</v>
      </c>
      <c r="N3032" s="187">
        <v>0</v>
      </c>
      <c r="O3032" t="s">
        <v>3492</v>
      </c>
    </row>
    <row r="3033" spans="1:15" hidden="1" x14ac:dyDescent="0.45">
      <c r="A3033" s="187">
        <v>2019</v>
      </c>
      <c r="B3033" t="s">
        <v>311</v>
      </c>
      <c r="C3033" t="s">
        <v>323</v>
      </c>
      <c r="D3033" t="s">
        <v>35</v>
      </c>
      <c r="E3033" t="s">
        <v>349</v>
      </c>
      <c r="F3033" t="s">
        <v>399</v>
      </c>
      <c r="G3033" t="s">
        <v>36</v>
      </c>
      <c r="H3033" t="s">
        <v>43</v>
      </c>
      <c r="I3033" s="187"/>
      <c r="J3033" s="187">
        <v>542.00000212837665</v>
      </c>
      <c r="K3033" s="187">
        <v>21.698550901481184</v>
      </c>
      <c r="L3033" s="187">
        <v>0</v>
      </c>
      <c r="M3033" s="187">
        <v>563.69854736328125</v>
      </c>
      <c r="N3033" s="187">
        <v>0</v>
      </c>
      <c r="O3033" t="s">
        <v>3495</v>
      </c>
    </row>
    <row r="3034" spans="1:15" hidden="1" x14ac:dyDescent="0.45">
      <c r="A3034" s="187">
        <v>2019</v>
      </c>
      <c r="B3034" t="s">
        <v>310</v>
      </c>
      <c r="C3034" t="s">
        <v>323</v>
      </c>
      <c r="D3034" t="s">
        <v>35</v>
      </c>
      <c r="E3034" t="s">
        <v>349</v>
      </c>
      <c r="F3034" t="s">
        <v>399</v>
      </c>
      <c r="G3034" t="s">
        <v>36</v>
      </c>
      <c r="H3034" t="s">
        <v>43</v>
      </c>
      <c r="I3034" s="187"/>
      <c r="J3034" s="187">
        <v>389.70080555875137</v>
      </c>
      <c r="K3034" s="187">
        <v>19.240990507760749</v>
      </c>
      <c r="L3034" s="187">
        <v>0</v>
      </c>
      <c r="M3034" s="187">
        <v>408.94180297851563</v>
      </c>
      <c r="N3034" s="187">
        <v>0</v>
      </c>
      <c r="O3034" t="s">
        <v>3491</v>
      </c>
    </row>
    <row r="3035" spans="1:15" hidden="1" x14ac:dyDescent="0.45">
      <c r="A3035" s="187">
        <v>2019</v>
      </c>
      <c r="B3035" t="s">
        <v>315</v>
      </c>
      <c r="C3035" t="s">
        <v>323</v>
      </c>
      <c r="D3035" t="s">
        <v>35</v>
      </c>
      <c r="E3035" t="s">
        <v>349</v>
      </c>
      <c r="F3035" t="s">
        <v>399</v>
      </c>
      <c r="G3035" t="s">
        <v>36</v>
      </c>
      <c r="H3035" t="s">
        <v>43</v>
      </c>
      <c r="I3035" s="187">
        <v>0</v>
      </c>
      <c r="J3035" s="187">
        <v>80.428617969135132</v>
      </c>
      <c r="K3035" s="187">
        <v>9.5310075043922721E-2</v>
      </c>
      <c r="L3035" s="187">
        <v>0</v>
      </c>
      <c r="M3035" s="187">
        <v>80.52392578125</v>
      </c>
      <c r="N3035" s="187">
        <v>0</v>
      </c>
      <c r="O3035" t="s">
        <v>3494</v>
      </c>
    </row>
    <row r="3036" spans="1:15" hidden="1" x14ac:dyDescent="0.45">
      <c r="A3036" s="187">
        <v>2019</v>
      </c>
      <c r="B3036" t="s">
        <v>313</v>
      </c>
      <c r="C3036" t="s">
        <v>323</v>
      </c>
      <c r="D3036" t="s">
        <v>35</v>
      </c>
      <c r="E3036" t="s">
        <v>349</v>
      </c>
      <c r="F3036" t="s">
        <v>399</v>
      </c>
      <c r="G3036" t="s">
        <v>36</v>
      </c>
      <c r="H3036" t="s">
        <v>43</v>
      </c>
      <c r="I3036" s="187">
        <v>0</v>
      </c>
      <c r="J3036" s="187">
        <v>359.36756235961883</v>
      </c>
      <c r="K3036" s="187">
        <v>5.54329579860525</v>
      </c>
      <c r="L3036" s="187">
        <v>0</v>
      </c>
      <c r="M3036" s="187">
        <v>364.91085815429688</v>
      </c>
      <c r="N3036" s="187">
        <v>0</v>
      </c>
      <c r="O3036" t="s">
        <v>3496</v>
      </c>
    </row>
    <row r="3037" spans="1:15" hidden="1" x14ac:dyDescent="0.45">
      <c r="A3037" s="187">
        <v>2019</v>
      </c>
      <c r="B3037" t="s">
        <v>314</v>
      </c>
      <c r="C3037" t="s">
        <v>323</v>
      </c>
      <c r="D3037" t="s">
        <v>35</v>
      </c>
      <c r="E3037" t="s">
        <v>349</v>
      </c>
      <c r="F3037" t="s">
        <v>399</v>
      </c>
      <c r="G3037" t="s">
        <v>36</v>
      </c>
      <c r="H3037" t="s">
        <v>43</v>
      </c>
      <c r="I3037" s="187">
        <v>0</v>
      </c>
      <c r="J3037" s="187">
        <v>88.526370243516382</v>
      </c>
      <c r="K3037" s="187">
        <v>3.8559355331786369</v>
      </c>
      <c r="L3037" s="187"/>
      <c r="M3037" s="187">
        <v>92.382301330566406</v>
      </c>
      <c r="N3037" s="187">
        <v>0</v>
      </c>
      <c r="O3037" t="s">
        <v>3493</v>
      </c>
    </row>
    <row r="3038" spans="1:15" hidden="1" x14ac:dyDescent="0.45">
      <c r="A3038" s="187">
        <v>2019</v>
      </c>
      <c r="B3038" t="s">
        <v>310</v>
      </c>
      <c r="C3038" t="s">
        <v>323</v>
      </c>
      <c r="D3038" t="s">
        <v>35</v>
      </c>
      <c r="E3038" t="s">
        <v>349</v>
      </c>
      <c r="F3038" t="s">
        <v>400</v>
      </c>
      <c r="G3038" t="s">
        <v>36</v>
      </c>
      <c r="H3038" t="s">
        <v>43</v>
      </c>
      <c r="I3038" s="187"/>
      <c r="J3038" s="187">
        <v>192.23496113133035</v>
      </c>
      <c r="K3038" s="187">
        <v>8.0648271867687829</v>
      </c>
      <c r="L3038" s="187">
        <v>0</v>
      </c>
      <c r="M3038" s="187">
        <v>200.29978942871094</v>
      </c>
      <c r="N3038" s="187">
        <v>0</v>
      </c>
      <c r="O3038" t="s">
        <v>3498</v>
      </c>
    </row>
    <row r="3039" spans="1:15" hidden="1" x14ac:dyDescent="0.45">
      <c r="A3039" s="187">
        <v>2019</v>
      </c>
      <c r="B3039" t="s">
        <v>313</v>
      </c>
      <c r="C3039" t="s">
        <v>323</v>
      </c>
      <c r="D3039" t="s">
        <v>35</v>
      </c>
      <c r="E3039" t="s">
        <v>349</v>
      </c>
      <c r="F3039" t="s">
        <v>400</v>
      </c>
      <c r="G3039" t="s">
        <v>36</v>
      </c>
      <c r="H3039" t="s">
        <v>43</v>
      </c>
      <c r="I3039" s="187">
        <v>0</v>
      </c>
      <c r="J3039" s="187">
        <v>179.68378117980942</v>
      </c>
      <c r="K3039" s="187">
        <v>2.387012407488494</v>
      </c>
      <c r="L3039" s="187">
        <v>0</v>
      </c>
      <c r="M3039" s="187">
        <v>182.07078552246094</v>
      </c>
      <c r="N3039" s="187">
        <v>0</v>
      </c>
      <c r="O3039" t="s">
        <v>3502</v>
      </c>
    </row>
    <row r="3040" spans="1:15" hidden="1" x14ac:dyDescent="0.45">
      <c r="A3040" s="187">
        <v>2019</v>
      </c>
      <c r="B3040" t="s">
        <v>311</v>
      </c>
      <c r="C3040" t="s">
        <v>323</v>
      </c>
      <c r="D3040" t="s">
        <v>35</v>
      </c>
      <c r="E3040" t="s">
        <v>349</v>
      </c>
      <c r="F3040" t="s">
        <v>400</v>
      </c>
      <c r="G3040" t="s">
        <v>36</v>
      </c>
      <c r="H3040" t="s">
        <v>43</v>
      </c>
      <c r="I3040" s="187"/>
      <c r="J3040" s="187">
        <v>165.78823594515052</v>
      </c>
      <c r="K3040" s="187">
        <v>9.3944749015455873</v>
      </c>
      <c r="L3040" s="187">
        <v>0</v>
      </c>
      <c r="M3040" s="187">
        <v>175.18270874023438</v>
      </c>
      <c r="N3040" s="187">
        <v>0</v>
      </c>
      <c r="O3040" t="s">
        <v>3497</v>
      </c>
    </row>
    <row r="3041" spans="1:15" hidden="1" x14ac:dyDescent="0.45">
      <c r="A3041" s="187">
        <v>2019</v>
      </c>
      <c r="B3041" t="s">
        <v>314</v>
      </c>
      <c r="C3041" t="s">
        <v>323</v>
      </c>
      <c r="D3041" t="s">
        <v>35</v>
      </c>
      <c r="E3041" t="s">
        <v>349</v>
      </c>
      <c r="F3041" t="s">
        <v>400</v>
      </c>
      <c r="G3041" t="s">
        <v>36</v>
      </c>
      <c r="H3041" t="s">
        <v>43</v>
      </c>
      <c r="I3041" s="187">
        <v>0</v>
      </c>
      <c r="J3041" s="187">
        <v>69.889239665933985</v>
      </c>
      <c r="K3041" s="187">
        <v>1.660414001809001</v>
      </c>
      <c r="L3041" s="187"/>
      <c r="M3041" s="187">
        <v>71.549652099609375</v>
      </c>
      <c r="N3041" s="187">
        <v>0</v>
      </c>
      <c r="O3041" t="s">
        <v>3499</v>
      </c>
    </row>
    <row r="3042" spans="1:15" hidden="1" x14ac:dyDescent="0.45">
      <c r="A3042" s="187">
        <v>2019</v>
      </c>
      <c r="B3042" t="s">
        <v>315</v>
      </c>
      <c r="C3042" t="s">
        <v>323</v>
      </c>
      <c r="D3042" t="s">
        <v>35</v>
      </c>
      <c r="E3042" t="s">
        <v>349</v>
      </c>
      <c r="F3042" t="s">
        <v>400</v>
      </c>
      <c r="G3042" t="s">
        <v>36</v>
      </c>
      <c r="H3042" t="s">
        <v>43</v>
      </c>
      <c r="I3042" s="187">
        <v>0</v>
      </c>
      <c r="J3042" s="187">
        <v>56.639871809250089</v>
      </c>
      <c r="K3042" s="187">
        <v>4.3423880098760019E-2</v>
      </c>
      <c r="L3042" s="187">
        <v>0</v>
      </c>
      <c r="M3042" s="187">
        <v>56.683296203613281</v>
      </c>
      <c r="N3042" s="187">
        <v>0</v>
      </c>
      <c r="O3042" t="s">
        <v>3501</v>
      </c>
    </row>
    <row r="3043" spans="1:15" hidden="1" x14ac:dyDescent="0.45">
      <c r="A3043" s="187">
        <v>2019</v>
      </c>
      <c r="B3043" t="s">
        <v>312</v>
      </c>
      <c r="C3043" t="s">
        <v>323</v>
      </c>
      <c r="D3043" t="s">
        <v>35</v>
      </c>
      <c r="E3043" t="s">
        <v>349</v>
      </c>
      <c r="F3043" t="s">
        <v>400</v>
      </c>
      <c r="G3043" t="s">
        <v>36</v>
      </c>
      <c r="H3043" t="s">
        <v>43</v>
      </c>
      <c r="I3043" s="187">
        <v>0</v>
      </c>
      <c r="J3043" s="187">
        <v>185.48613539300104</v>
      </c>
      <c r="K3043" s="187">
        <v>4.6715941283801969</v>
      </c>
      <c r="L3043" s="187">
        <v>0</v>
      </c>
      <c r="M3043" s="187">
        <v>190.15773010253906</v>
      </c>
      <c r="N3043" s="187">
        <v>0</v>
      </c>
      <c r="O3043" t="s">
        <v>3500</v>
      </c>
    </row>
    <row r="3044" spans="1:15" hidden="1" x14ac:dyDescent="0.45">
      <c r="A3044" s="187">
        <v>2019</v>
      </c>
      <c r="B3044" t="s">
        <v>314</v>
      </c>
      <c r="C3044" t="s">
        <v>323</v>
      </c>
      <c r="D3044" t="s">
        <v>35</v>
      </c>
      <c r="E3044" t="s">
        <v>349</v>
      </c>
      <c r="F3044" t="s">
        <v>401</v>
      </c>
      <c r="G3044" t="s">
        <v>36</v>
      </c>
      <c r="H3044" t="s">
        <v>43</v>
      </c>
      <c r="I3044" s="187">
        <v>0</v>
      </c>
      <c r="J3044" s="187">
        <v>41.93354379956039</v>
      </c>
      <c r="K3044" s="187">
        <v>8.1521561480901502E-3</v>
      </c>
      <c r="L3044" s="187"/>
      <c r="M3044" s="187">
        <v>41.941696166992188</v>
      </c>
      <c r="N3044" s="187">
        <v>0</v>
      </c>
      <c r="O3044" t="s">
        <v>3506</v>
      </c>
    </row>
    <row r="3045" spans="1:15" hidden="1" x14ac:dyDescent="0.45">
      <c r="A3045" s="187">
        <v>2019</v>
      </c>
      <c r="B3045" t="s">
        <v>315</v>
      </c>
      <c r="C3045" t="s">
        <v>323</v>
      </c>
      <c r="D3045" t="s">
        <v>35</v>
      </c>
      <c r="E3045" t="s">
        <v>349</v>
      </c>
      <c r="F3045" t="s">
        <v>401</v>
      </c>
      <c r="G3045" t="s">
        <v>36</v>
      </c>
      <c r="H3045" t="s">
        <v>43</v>
      </c>
      <c r="I3045" s="187">
        <v>0</v>
      </c>
      <c r="J3045" s="187">
        <v>29.452733340810045</v>
      </c>
      <c r="K3045" s="187">
        <v>2.5441038441537393E-4</v>
      </c>
      <c r="L3045" s="187">
        <v>0</v>
      </c>
      <c r="M3045" s="187">
        <v>29.452987670898438</v>
      </c>
      <c r="N3045" s="187">
        <v>0</v>
      </c>
      <c r="O3045" t="s">
        <v>3507</v>
      </c>
    </row>
    <row r="3046" spans="1:15" hidden="1" x14ac:dyDescent="0.45">
      <c r="A3046" s="187">
        <v>2019</v>
      </c>
      <c r="B3046" t="s">
        <v>313</v>
      </c>
      <c r="C3046" t="s">
        <v>323</v>
      </c>
      <c r="D3046" t="s">
        <v>35</v>
      </c>
      <c r="E3046" t="s">
        <v>349</v>
      </c>
      <c r="F3046" t="s">
        <v>401</v>
      </c>
      <c r="G3046" t="s">
        <v>36</v>
      </c>
      <c r="H3046" t="s">
        <v>43</v>
      </c>
      <c r="I3046" s="187">
        <v>0</v>
      </c>
      <c r="J3046" s="187">
        <v>0</v>
      </c>
      <c r="K3046" s="187">
        <v>1.1719545759114337E-2</v>
      </c>
      <c r="L3046" s="187">
        <v>0</v>
      </c>
      <c r="M3046" s="187">
        <v>1.1719545349478722E-2</v>
      </c>
      <c r="N3046" s="187">
        <v>0</v>
      </c>
      <c r="O3046" t="s">
        <v>3504</v>
      </c>
    </row>
    <row r="3047" spans="1:15" hidden="1" x14ac:dyDescent="0.45">
      <c r="A3047" s="187">
        <v>2019</v>
      </c>
      <c r="B3047" t="s">
        <v>311</v>
      </c>
      <c r="C3047" t="s">
        <v>323</v>
      </c>
      <c r="D3047" t="s">
        <v>35</v>
      </c>
      <c r="E3047" t="s">
        <v>349</v>
      </c>
      <c r="F3047" t="s">
        <v>401</v>
      </c>
      <c r="G3047" t="s">
        <v>36</v>
      </c>
      <c r="H3047" t="s">
        <v>43</v>
      </c>
      <c r="I3047" s="187"/>
      <c r="J3047" s="187">
        <v>0</v>
      </c>
      <c r="K3047" s="187">
        <v>3.3801998024537296E-2</v>
      </c>
      <c r="L3047" s="187">
        <v>0</v>
      </c>
      <c r="M3047" s="187">
        <v>3.3801998943090439E-2</v>
      </c>
      <c r="N3047" s="187">
        <v>0</v>
      </c>
      <c r="O3047" t="s">
        <v>3503</v>
      </c>
    </row>
    <row r="3048" spans="1:15" hidden="1" x14ac:dyDescent="0.45">
      <c r="A3048" s="187">
        <v>2019</v>
      </c>
      <c r="B3048" t="s">
        <v>312</v>
      </c>
      <c r="C3048" t="s">
        <v>323</v>
      </c>
      <c r="D3048" t="s">
        <v>35</v>
      </c>
      <c r="E3048" t="s">
        <v>349</v>
      </c>
      <c r="F3048" t="s">
        <v>401</v>
      </c>
      <c r="G3048" t="s">
        <v>36</v>
      </c>
      <c r="H3048" t="s">
        <v>43</v>
      </c>
      <c r="I3048" s="187">
        <v>0</v>
      </c>
      <c r="J3048" s="187">
        <v>0</v>
      </c>
      <c r="K3048" s="187">
        <v>1.8107716865851227E-2</v>
      </c>
      <c r="L3048" s="187">
        <v>0</v>
      </c>
      <c r="M3048" s="187">
        <v>1.8107715994119644E-2</v>
      </c>
      <c r="N3048" s="187">
        <v>0</v>
      </c>
      <c r="O3048" t="s">
        <v>3505</v>
      </c>
    </row>
    <row r="3049" spans="1:15" hidden="1" x14ac:dyDescent="0.45">
      <c r="A3049" s="187">
        <v>2019</v>
      </c>
      <c r="B3049" t="s">
        <v>310</v>
      </c>
      <c r="C3049" t="s">
        <v>323</v>
      </c>
      <c r="D3049" t="s">
        <v>35</v>
      </c>
      <c r="E3049" t="s">
        <v>349</v>
      </c>
      <c r="F3049" t="s">
        <v>401</v>
      </c>
      <c r="G3049" t="s">
        <v>36</v>
      </c>
      <c r="H3049" t="s">
        <v>43</v>
      </c>
      <c r="I3049" s="187"/>
      <c r="J3049" s="187">
        <v>0</v>
      </c>
      <c r="K3049" s="187">
        <v>1.5309673843880409E-2</v>
      </c>
      <c r="L3049" s="187">
        <v>0</v>
      </c>
      <c r="M3049" s="187">
        <v>1.5309673734009266E-2</v>
      </c>
      <c r="N3049" s="187">
        <v>0</v>
      </c>
      <c r="O3049" t="s">
        <v>3508</v>
      </c>
    </row>
    <row r="3050" spans="1:15" hidden="1" x14ac:dyDescent="0.45">
      <c r="A3050" s="187">
        <v>2019</v>
      </c>
      <c r="B3050" t="s">
        <v>314</v>
      </c>
      <c r="C3050" t="s">
        <v>323</v>
      </c>
      <c r="D3050" t="s">
        <v>35</v>
      </c>
      <c r="E3050" t="s">
        <v>349</v>
      </c>
      <c r="F3050" t="s">
        <v>402</v>
      </c>
      <c r="G3050" t="s">
        <v>36</v>
      </c>
      <c r="H3050" t="s">
        <v>43</v>
      </c>
      <c r="I3050" s="187">
        <v>0</v>
      </c>
      <c r="J3050" s="187">
        <v>0</v>
      </c>
      <c r="K3050" s="187">
        <v>56.796599472687973</v>
      </c>
      <c r="L3050" s="187">
        <v>0</v>
      </c>
      <c r="M3050" s="187">
        <v>56.796600341796875</v>
      </c>
      <c r="N3050" s="187">
        <v>0</v>
      </c>
      <c r="O3050" t="s">
        <v>3509</v>
      </c>
    </row>
    <row r="3051" spans="1:15" hidden="1" x14ac:dyDescent="0.45">
      <c r="A3051" s="187">
        <v>2019</v>
      </c>
      <c r="B3051" t="s">
        <v>312</v>
      </c>
      <c r="C3051" t="s">
        <v>323</v>
      </c>
      <c r="D3051" t="s">
        <v>35</v>
      </c>
      <c r="E3051" t="s">
        <v>349</v>
      </c>
      <c r="F3051" t="s">
        <v>402</v>
      </c>
      <c r="G3051" t="s">
        <v>36</v>
      </c>
      <c r="H3051" t="s">
        <v>43</v>
      </c>
      <c r="I3051" s="187">
        <v>0</v>
      </c>
      <c r="J3051" s="187">
        <v>0</v>
      </c>
      <c r="K3051" s="187">
        <v>9.7469326596036741</v>
      </c>
      <c r="L3051" s="187">
        <v>0</v>
      </c>
      <c r="M3051" s="187">
        <v>9.7469329833984375</v>
      </c>
      <c r="N3051" s="187">
        <v>0</v>
      </c>
      <c r="O3051" t="s">
        <v>3510</v>
      </c>
    </row>
    <row r="3052" spans="1:15" hidden="1" x14ac:dyDescent="0.45">
      <c r="A3052" s="187">
        <v>2019</v>
      </c>
      <c r="B3052" t="s">
        <v>310</v>
      </c>
      <c r="C3052" t="s">
        <v>323</v>
      </c>
      <c r="D3052" t="s">
        <v>35</v>
      </c>
      <c r="E3052" t="s">
        <v>349</v>
      </c>
      <c r="F3052" t="s">
        <v>402</v>
      </c>
      <c r="G3052" t="s">
        <v>36</v>
      </c>
      <c r="H3052" t="s">
        <v>43</v>
      </c>
      <c r="I3052" s="187"/>
      <c r="J3052" s="187">
        <v>0</v>
      </c>
      <c r="K3052" s="187">
        <v>23.007294002427752</v>
      </c>
      <c r="L3052" s="187">
        <v>0</v>
      </c>
      <c r="M3052" s="187">
        <v>23.007293701171875</v>
      </c>
      <c r="N3052" s="187">
        <v>0</v>
      </c>
      <c r="O3052" t="s">
        <v>3512</v>
      </c>
    </row>
    <row r="3053" spans="1:15" hidden="1" x14ac:dyDescent="0.45">
      <c r="A3053" s="187">
        <v>2019</v>
      </c>
      <c r="B3053" t="s">
        <v>313</v>
      </c>
      <c r="C3053" t="s">
        <v>323</v>
      </c>
      <c r="D3053" t="s">
        <v>35</v>
      </c>
      <c r="E3053" t="s">
        <v>349</v>
      </c>
      <c r="F3053" t="s">
        <v>402</v>
      </c>
      <c r="G3053" t="s">
        <v>36</v>
      </c>
      <c r="H3053" t="s">
        <v>43</v>
      </c>
      <c r="I3053" s="187">
        <v>0</v>
      </c>
      <c r="J3053" s="187">
        <v>0</v>
      </c>
      <c r="K3053" s="187">
        <v>60.13039565968095</v>
      </c>
      <c r="L3053" s="187">
        <v>0</v>
      </c>
      <c r="M3053" s="187">
        <v>60.130393981933594</v>
      </c>
      <c r="N3053" s="187">
        <v>0</v>
      </c>
      <c r="O3053" t="s">
        <v>3513</v>
      </c>
    </row>
    <row r="3054" spans="1:15" hidden="1" x14ac:dyDescent="0.45">
      <c r="A3054" s="187">
        <v>2019</v>
      </c>
      <c r="B3054" t="s">
        <v>311</v>
      </c>
      <c r="C3054" t="s">
        <v>323</v>
      </c>
      <c r="D3054" t="s">
        <v>35</v>
      </c>
      <c r="E3054" t="s">
        <v>349</v>
      </c>
      <c r="F3054" t="s">
        <v>402</v>
      </c>
      <c r="G3054" t="s">
        <v>36</v>
      </c>
      <c r="H3054" t="s">
        <v>43</v>
      </c>
      <c r="I3054" s="187"/>
      <c r="J3054" s="187">
        <v>0</v>
      </c>
      <c r="K3054" s="187">
        <v>17.491579661863842</v>
      </c>
      <c r="L3054" s="187">
        <v>0</v>
      </c>
      <c r="M3054" s="187">
        <v>17.491579055786133</v>
      </c>
      <c r="N3054" s="187">
        <v>0</v>
      </c>
      <c r="O3054" t="s">
        <v>3511</v>
      </c>
    </row>
    <row r="3055" spans="1:15" hidden="1" x14ac:dyDescent="0.45">
      <c r="A3055" s="187">
        <v>2019</v>
      </c>
      <c r="B3055" t="s">
        <v>315</v>
      </c>
      <c r="C3055" t="s">
        <v>323</v>
      </c>
      <c r="D3055" t="s">
        <v>35</v>
      </c>
      <c r="E3055" t="s">
        <v>349</v>
      </c>
      <c r="F3055" t="s">
        <v>402</v>
      </c>
      <c r="G3055" t="s">
        <v>36</v>
      </c>
      <c r="H3055" t="s">
        <v>43</v>
      </c>
      <c r="I3055" s="187">
        <v>0</v>
      </c>
      <c r="J3055" s="187">
        <v>0</v>
      </c>
      <c r="K3055" s="187">
        <v>43.477041394235819</v>
      </c>
      <c r="L3055" s="187">
        <v>0</v>
      </c>
      <c r="M3055" s="187">
        <v>43.477043151855469</v>
      </c>
      <c r="N3055" s="187">
        <v>0</v>
      </c>
      <c r="O3055" t="s">
        <v>3514</v>
      </c>
    </row>
    <row r="3056" spans="1:15" hidden="1" x14ac:dyDescent="0.45">
      <c r="A3056" s="187">
        <v>2019</v>
      </c>
      <c r="B3056" t="s">
        <v>315</v>
      </c>
      <c r="C3056" t="s">
        <v>323</v>
      </c>
      <c r="D3056" t="s">
        <v>35</v>
      </c>
      <c r="E3056" t="s">
        <v>349</v>
      </c>
      <c r="F3056" t="s">
        <v>403</v>
      </c>
      <c r="G3056" t="s">
        <v>36</v>
      </c>
      <c r="H3056" t="s">
        <v>43</v>
      </c>
      <c r="I3056" s="187">
        <v>2607.6996980978743</v>
      </c>
      <c r="J3056" s="187"/>
      <c r="K3056" s="187">
        <v>1299.4256764638283</v>
      </c>
      <c r="L3056" s="187">
        <v>565.26592065631587</v>
      </c>
      <c r="M3056" s="187">
        <v>4472.3916015625</v>
      </c>
      <c r="N3056" s="187">
        <v>3172.965576171875</v>
      </c>
      <c r="O3056" t="s">
        <v>3517</v>
      </c>
    </row>
    <row r="3057" spans="1:15" hidden="1" x14ac:dyDescent="0.45">
      <c r="A3057" s="187">
        <v>2019</v>
      </c>
      <c r="B3057" t="s">
        <v>312</v>
      </c>
      <c r="C3057" t="s">
        <v>323</v>
      </c>
      <c r="D3057" t="s">
        <v>35</v>
      </c>
      <c r="E3057" t="s">
        <v>349</v>
      </c>
      <c r="F3057" t="s">
        <v>403</v>
      </c>
      <c r="G3057" t="s">
        <v>36</v>
      </c>
      <c r="H3057" t="s">
        <v>43</v>
      </c>
      <c r="I3057" s="187">
        <v>3029.6068780856835</v>
      </c>
      <c r="J3057" s="187">
        <v>0</v>
      </c>
      <c r="K3057" s="187">
        <v>1869.0069431056268</v>
      </c>
      <c r="L3057" s="187">
        <v>725.86907650461069</v>
      </c>
      <c r="M3057" s="187">
        <v>5624.48291015625</v>
      </c>
      <c r="N3057" s="187">
        <v>3755.47607421875</v>
      </c>
      <c r="O3057" t="s">
        <v>3520</v>
      </c>
    </row>
    <row r="3058" spans="1:15" hidden="1" x14ac:dyDescent="0.45">
      <c r="A3058" s="187">
        <v>2019</v>
      </c>
      <c r="B3058" t="s">
        <v>314</v>
      </c>
      <c r="C3058" t="s">
        <v>323</v>
      </c>
      <c r="D3058" t="s">
        <v>35</v>
      </c>
      <c r="E3058" t="s">
        <v>349</v>
      </c>
      <c r="F3058" t="s">
        <v>403</v>
      </c>
      <c r="G3058" t="s">
        <v>36</v>
      </c>
      <c r="H3058" t="s">
        <v>43</v>
      </c>
      <c r="I3058" s="187">
        <v>2578.912943672964</v>
      </c>
      <c r="J3058" s="187">
        <v>26.790875205274695</v>
      </c>
      <c r="K3058" s="187">
        <v>1091.878885817345</v>
      </c>
      <c r="L3058" s="187">
        <v>757.13342971428483</v>
      </c>
      <c r="M3058" s="187">
        <v>4454.7158203125</v>
      </c>
      <c r="N3058" s="187">
        <v>3336.04638671875</v>
      </c>
      <c r="O3058" t="s">
        <v>3516</v>
      </c>
    </row>
    <row r="3059" spans="1:15" hidden="1" x14ac:dyDescent="0.45">
      <c r="A3059" s="187">
        <v>2019</v>
      </c>
      <c r="B3059" t="s">
        <v>311</v>
      </c>
      <c r="C3059" t="s">
        <v>323</v>
      </c>
      <c r="D3059" t="s">
        <v>35</v>
      </c>
      <c r="E3059" t="s">
        <v>349</v>
      </c>
      <c r="F3059" t="s">
        <v>403</v>
      </c>
      <c r="G3059" t="s">
        <v>36</v>
      </c>
      <c r="H3059" t="s">
        <v>43</v>
      </c>
      <c r="I3059" s="187"/>
      <c r="J3059" s="187">
        <v>0</v>
      </c>
      <c r="K3059" s="187">
        <v>2755.7352008128905</v>
      </c>
      <c r="L3059" s="187">
        <v>1599.2188298093749</v>
      </c>
      <c r="M3059" s="187">
        <v>4354.9541015625</v>
      </c>
      <c r="N3059" s="187">
        <v>1599.2188720703125</v>
      </c>
      <c r="O3059" t="s">
        <v>3519</v>
      </c>
    </row>
    <row r="3060" spans="1:15" hidden="1" x14ac:dyDescent="0.45">
      <c r="A3060" s="187">
        <v>2019</v>
      </c>
      <c r="B3060" t="s">
        <v>313</v>
      </c>
      <c r="C3060" t="s">
        <v>323</v>
      </c>
      <c r="D3060" t="s">
        <v>35</v>
      </c>
      <c r="E3060" t="s">
        <v>349</v>
      </c>
      <c r="F3060" t="s">
        <v>403</v>
      </c>
      <c r="G3060" t="s">
        <v>36</v>
      </c>
      <c r="H3060" t="s">
        <v>43</v>
      </c>
      <c r="I3060" s="187">
        <v>3234.3080612365693</v>
      </c>
      <c r="J3060" s="187">
        <v>0</v>
      </c>
      <c r="K3060" s="187">
        <v>1465.5246515074075</v>
      </c>
      <c r="L3060" s="187">
        <v>706.75620597391708</v>
      </c>
      <c r="M3060" s="187">
        <v>5406.5888671875</v>
      </c>
      <c r="N3060" s="187">
        <v>3941.064208984375</v>
      </c>
      <c r="O3060" t="s">
        <v>3515</v>
      </c>
    </row>
    <row r="3061" spans="1:15" hidden="1" x14ac:dyDescent="0.45">
      <c r="A3061" s="187">
        <v>2019</v>
      </c>
      <c r="B3061" t="s">
        <v>310</v>
      </c>
      <c r="C3061" t="s">
        <v>323</v>
      </c>
      <c r="D3061" t="s">
        <v>35</v>
      </c>
      <c r="E3061" t="s">
        <v>349</v>
      </c>
      <c r="F3061" t="s">
        <v>403</v>
      </c>
      <c r="G3061" t="s">
        <v>36</v>
      </c>
      <c r="H3061" t="s">
        <v>43</v>
      </c>
      <c r="I3061" s="187"/>
      <c r="J3061" s="187">
        <v>0</v>
      </c>
      <c r="K3061" s="187">
        <v>2516.1991710961406</v>
      </c>
      <c r="L3061" s="187">
        <v>3019.5273826683115</v>
      </c>
      <c r="M3061" s="187">
        <v>5535.7265625</v>
      </c>
      <c r="N3061" s="187">
        <v>3019.52734375</v>
      </c>
      <c r="O3061" t="s">
        <v>3518</v>
      </c>
    </row>
    <row r="3062" spans="1:15" hidden="1" x14ac:dyDescent="0.45">
      <c r="A3062" s="187">
        <v>2019</v>
      </c>
      <c r="B3062" t="s">
        <v>312</v>
      </c>
      <c r="C3062" t="s">
        <v>323</v>
      </c>
      <c r="D3062" t="s">
        <v>35</v>
      </c>
      <c r="E3062" t="s">
        <v>349</v>
      </c>
      <c r="F3062" t="s">
        <v>404</v>
      </c>
      <c r="G3062" t="s">
        <v>36</v>
      </c>
      <c r="H3062" t="s">
        <v>43</v>
      </c>
      <c r="I3062" s="187">
        <v>3029.6068780856835</v>
      </c>
      <c r="J3062" s="187">
        <v>0</v>
      </c>
      <c r="K3062" s="187">
        <v>2686.8719806788486</v>
      </c>
      <c r="L3062" s="187">
        <v>847.05335162803806</v>
      </c>
      <c r="M3062" s="187">
        <v>6563.5322265625</v>
      </c>
      <c r="N3062" s="187">
        <v>3876.660400390625</v>
      </c>
      <c r="O3062" t="s">
        <v>3522</v>
      </c>
    </row>
    <row r="3063" spans="1:15" hidden="1" x14ac:dyDescent="0.45">
      <c r="A3063" s="187">
        <v>2019</v>
      </c>
      <c r="B3063" t="s">
        <v>310</v>
      </c>
      <c r="C3063" t="s">
        <v>323</v>
      </c>
      <c r="D3063" t="s">
        <v>35</v>
      </c>
      <c r="E3063" t="s">
        <v>349</v>
      </c>
      <c r="F3063" t="s">
        <v>404</v>
      </c>
      <c r="G3063" t="s">
        <v>36</v>
      </c>
      <c r="H3063" t="s">
        <v>43</v>
      </c>
      <c r="I3063" s="187"/>
      <c r="J3063" s="187">
        <v>0</v>
      </c>
      <c r="K3063" s="187">
        <v>3595.0319392831102</v>
      </c>
      <c r="L3063" s="187">
        <v>3083.6057030454217</v>
      </c>
      <c r="M3063" s="187">
        <v>6678.6376953125</v>
      </c>
      <c r="N3063" s="187">
        <v>3083.605712890625</v>
      </c>
      <c r="O3063" t="s">
        <v>3521</v>
      </c>
    </row>
    <row r="3064" spans="1:15" hidden="1" x14ac:dyDescent="0.45">
      <c r="A3064" s="187">
        <v>2019</v>
      </c>
      <c r="B3064" t="s">
        <v>311</v>
      </c>
      <c r="C3064" t="s">
        <v>323</v>
      </c>
      <c r="D3064" t="s">
        <v>35</v>
      </c>
      <c r="E3064" t="s">
        <v>349</v>
      </c>
      <c r="F3064" t="s">
        <v>404</v>
      </c>
      <c r="G3064" t="s">
        <v>36</v>
      </c>
      <c r="H3064" t="s">
        <v>43</v>
      </c>
      <c r="I3064" s="187"/>
      <c r="J3064" s="187">
        <v>0</v>
      </c>
      <c r="K3064" s="187">
        <v>3969.0776986919504</v>
      </c>
      <c r="L3064" s="187">
        <v>1660.4329476968151</v>
      </c>
      <c r="M3064" s="187">
        <v>5629.5107421875</v>
      </c>
      <c r="N3064" s="187">
        <v>1660.4329833984375</v>
      </c>
      <c r="O3064" t="s">
        <v>3525</v>
      </c>
    </row>
    <row r="3065" spans="1:15" hidden="1" x14ac:dyDescent="0.45">
      <c r="A3065" s="187">
        <v>2019</v>
      </c>
      <c r="B3065" t="s">
        <v>313</v>
      </c>
      <c r="C3065" t="s">
        <v>323</v>
      </c>
      <c r="D3065" t="s">
        <v>35</v>
      </c>
      <c r="E3065" t="s">
        <v>349</v>
      </c>
      <c r="F3065" t="s">
        <v>404</v>
      </c>
      <c r="G3065" t="s">
        <v>36</v>
      </c>
      <c r="H3065" t="s">
        <v>43</v>
      </c>
      <c r="I3065" s="187">
        <v>3234.3080612365693</v>
      </c>
      <c r="J3065" s="187">
        <v>0</v>
      </c>
      <c r="K3065" s="187">
        <v>2310.7779578925929</v>
      </c>
      <c r="L3065" s="187">
        <v>824.14960967805916</v>
      </c>
      <c r="M3065" s="187">
        <v>6369.2353515625</v>
      </c>
      <c r="N3065" s="187">
        <v>4058.457763671875</v>
      </c>
      <c r="O3065" t="s">
        <v>3523</v>
      </c>
    </row>
    <row r="3066" spans="1:15" hidden="1" x14ac:dyDescent="0.45">
      <c r="A3066" s="187">
        <v>2019</v>
      </c>
      <c r="B3066" t="s">
        <v>315</v>
      </c>
      <c r="C3066" t="s">
        <v>323</v>
      </c>
      <c r="D3066" t="s">
        <v>35</v>
      </c>
      <c r="E3066" t="s">
        <v>349</v>
      </c>
      <c r="F3066" t="s">
        <v>404</v>
      </c>
      <c r="G3066" t="s">
        <v>36</v>
      </c>
      <c r="H3066" t="s">
        <v>43</v>
      </c>
      <c r="I3066" s="187">
        <v>2607.6996980978743</v>
      </c>
      <c r="J3066" s="187">
        <v>2.2655948723700035</v>
      </c>
      <c r="K3066" s="187">
        <v>1989.1669982656347</v>
      </c>
      <c r="L3066" s="187">
        <v>669.48328478533608</v>
      </c>
      <c r="M3066" s="187">
        <v>5268.61572265625</v>
      </c>
      <c r="N3066" s="187">
        <v>3277.18310546875</v>
      </c>
      <c r="O3066" t="s">
        <v>3526</v>
      </c>
    </row>
    <row r="3067" spans="1:15" hidden="1" x14ac:dyDescent="0.45">
      <c r="A3067" s="187">
        <v>2019</v>
      </c>
      <c r="B3067" t="s">
        <v>314</v>
      </c>
      <c r="C3067" t="s">
        <v>323</v>
      </c>
      <c r="D3067" t="s">
        <v>35</v>
      </c>
      <c r="E3067" t="s">
        <v>349</v>
      </c>
      <c r="F3067" t="s">
        <v>404</v>
      </c>
      <c r="G3067" t="s">
        <v>36</v>
      </c>
      <c r="H3067" t="s">
        <v>43</v>
      </c>
      <c r="I3067" s="187">
        <v>2578.912943672964</v>
      </c>
      <c r="J3067" s="187">
        <v>58.241033054944985</v>
      </c>
      <c r="K3067" s="187">
        <v>2372.9374832724798</v>
      </c>
      <c r="L3067" s="187">
        <v>873.61549582417479</v>
      </c>
      <c r="M3067" s="187">
        <v>5883.70703125</v>
      </c>
      <c r="N3067" s="187">
        <v>3452.5283203125</v>
      </c>
      <c r="O3067" t="s">
        <v>3524</v>
      </c>
    </row>
    <row r="3068" spans="1:15" hidden="1" x14ac:dyDescent="0.45">
      <c r="A3068" s="187">
        <v>2019</v>
      </c>
      <c r="B3068" t="s">
        <v>310</v>
      </c>
      <c r="C3068" t="s">
        <v>323</v>
      </c>
      <c r="D3068" t="s">
        <v>35</v>
      </c>
      <c r="E3068" t="s">
        <v>349</v>
      </c>
      <c r="F3068" t="s">
        <v>405</v>
      </c>
      <c r="G3068" t="s">
        <v>36</v>
      </c>
      <c r="H3068" t="s">
        <v>43</v>
      </c>
      <c r="I3068" s="187"/>
      <c r="J3068" s="187">
        <v>0</v>
      </c>
      <c r="K3068" s="187">
        <v>1054.6604383072834</v>
      </c>
      <c r="L3068" s="187">
        <v>0</v>
      </c>
      <c r="M3068" s="187">
        <v>1054.660400390625</v>
      </c>
      <c r="N3068" s="187">
        <v>0</v>
      </c>
      <c r="O3068" t="s">
        <v>3527</v>
      </c>
    </row>
    <row r="3069" spans="1:15" hidden="1" x14ac:dyDescent="0.45">
      <c r="A3069" s="187">
        <v>2019</v>
      </c>
      <c r="B3069" t="s">
        <v>314</v>
      </c>
      <c r="C3069" t="s">
        <v>323</v>
      </c>
      <c r="D3069" t="s">
        <v>35</v>
      </c>
      <c r="E3069" t="s">
        <v>349</v>
      </c>
      <c r="F3069" t="s">
        <v>405</v>
      </c>
      <c r="G3069" t="s">
        <v>36</v>
      </c>
      <c r="H3069" t="s">
        <v>43</v>
      </c>
      <c r="I3069" s="187">
        <v>0</v>
      </c>
      <c r="J3069" s="187">
        <v>0</v>
      </c>
      <c r="K3069" s="187">
        <v>1223.4492939111992</v>
      </c>
      <c r="L3069" s="187">
        <v>0</v>
      </c>
      <c r="M3069" s="187">
        <v>1223.4493408203125</v>
      </c>
      <c r="N3069" s="187">
        <v>0</v>
      </c>
      <c r="O3069" t="s">
        <v>3530</v>
      </c>
    </row>
    <row r="3070" spans="1:15" hidden="1" x14ac:dyDescent="0.45">
      <c r="A3070" s="187">
        <v>2019</v>
      </c>
      <c r="B3070" t="s">
        <v>313</v>
      </c>
      <c r="C3070" t="s">
        <v>323</v>
      </c>
      <c r="D3070" t="s">
        <v>35</v>
      </c>
      <c r="E3070" t="s">
        <v>349</v>
      </c>
      <c r="F3070" t="s">
        <v>405</v>
      </c>
      <c r="G3070" t="s">
        <v>36</v>
      </c>
      <c r="H3070" t="s">
        <v>43</v>
      </c>
      <c r="I3070" s="187">
        <v>0</v>
      </c>
      <c r="J3070" s="187">
        <v>0</v>
      </c>
      <c r="K3070" s="187">
        <v>783.95456674649131</v>
      </c>
      <c r="L3070" s="187">
        <v>0</v>
      </c>
      <c r="M3070" s="187">
        <v>783.95458984375</v>
      </c>
      <c r="N3070" s="187">
        <v>0</v>
      </c>
      <c r="O3070" t="s">
        <v>3528</v>
      </c>
    </row>
    <row r="3071" spans="1:15" hidden="1" x14ac:dyDescent="0.45">
      <c r="A3071" s="187">
        <v>2019</v>
      </c>
      <c r="B3071" t="s">
        <v>312</v>
      </c>
      <c r="C3071" t="s">
        <v>323</v>
      </c>
      <c r="D3071" t="s">
        <v>35</v>
      </c>
      <c r="E3071" t="s">
        <v>349</v>
      </c>
      <c r="F3071" t="s">
        <v>405</v>
      </c>
      <c r="G3071" t="s">
        <v>36</v>
      </c>
      <c r="H3071" t="s">
        <v>43</v>
      </c>
      <c r="I3071" s="187">
        <v>0</v>
      </c>
      <c r="J3071" s="187">
        <v>0</v>
      </c>
      <c r="K3071" s="187">
        <v>806.6091140769604</v>
      </c>
      <c r="L3071" s="187">
        <v>0</v>
      </c>
      <c r="M3071" s="187">
        <v>806.609130859375</v>
      </c>
      <c r="N3071" s="187">
        <v>0</v>
      </c>
      <c r="O3071" t="s">
        <v>3531</v>
      </c>
    </row>
    <row r="3072" spans="1:15" hidden="1" x14ac:dyDescent="0.45">
      <c r="A3072" s="187">
        <v>2019</v>
      </c>
      <c r="B3072" t="s">
        <v>311</v>
      </c>
      <c r="C3072" t="s">
        <v>323</v>
      </c>
      <c r="D3072" t="s">
        <v>35</v>
      </c>
      <c r="E3072" t="s">
        <v>349</v>
      </c>
      <c r="F3072" t="s">
        <v>405</v>
      </c>
      <c r="G3072" t="s">
        <v>36</v>
      </c>
      <c r="H3072" t="s">
        <v>43</v>
      </c>
      <c r="I3072" s="187"/>
      <c r="J3072" s="187">
        <v>0</v>
      </c>
      <c r="K3072" s="187">
        <v>1193.1066409404873</v>
      </c>
      <c r="L3072" s="187">
        <v>0</v>
      </c>
      <c r="M3072" s="187">
        <v>1193.106689453125</v>
      </c>
      <c r="N3072" s="187">
        <v>0</v>
      </c>
      <c r="O3072" t="s">
        <v>3532</v>
      </c>
    </row>
    <row r="3073" spans="1:15" hidden="1" x14ac:dyDescent="0.45">
      <c r="A3073" s="187">
        <v>2019</v>
      </c>
      <c r="B3073" t="s">
        <v>315</v>
      </c>
      <c r="C3073" t="s">
        <v>323</v>
      </c>
      <c r="D3073" t="s">
        <v>35</v>
      </c>
      <c r="E3073" t="s">
        <v>349</v>
      </c>
      <c r="F3073" t="s">
        <v>405</v>
      </c>
      <c r="G3073" t="s">
        <v>36</v>
      </c>
      <c r="H3073" t="s">
        <v>43</v>
      </c>
      <c r="I3073" s="187">
        <v>0</v>
      </c>
      <c r="J3073" s="187">
        <v>0</v>
      </c>
      <c r="K3073" s="187">
        <v>601.27087799529443</v>
      </c>
      <c r="L3073" s="187">
        <v>104.21736412902017</v>
      </c>
      <c r="M3073" s="187">
        <v>705.48822021484375</v>
      </c>
      <c r="N3073" s="187">
        <v>104.21736145019531</v>
      </c>
      <c r="O3073" t="s">
        <v>3529</v>
      </c>
    </row>
    <row r="3074" spans="1:15" hidden="1" x14ac:dyDescent="0.45">
      <c r="A3074" s="187">
        <v>2019</v>
      </c>
      <c r="B3074" t="s">
        <v>310</v>
      </c>
      <c r="C3074" t="s">
        <v>323</v>
      </c>
      <c r="D3074" t="s">
        <v>35</v>
      </c>
      <c r="E3074" t="s">
        <v>349</v>
      </c>
      <c r="F3074" t="s">
        <v>406</v>
      </c>
      <c r="G3074" t="s">
        <v>36</v>
      </c>
      <c r="H3074" t="s">
        <v>43</v>
      </c>
      <c r="I3074" s="187"/>
      <c r="J3074" s="187">
        <v>0</v>
      </c>
      <c r="K3074" s="187">
        <v>1.1650358772580012</v>
      </c>
      <c r="L3074" s="187">
        <v>0</v>
      </c>
      <c r="M3074" s="187">
        <v>1.1650358438491821</v>
      </c>
      <c r="N3074" s="187">
        <v>0</v>
      </c>
      <c r="O3074" t="s">
        <v>3537</v>
      </c>
    </row>
    <row r="3075" spans="1:15" hidden="1" x14ac:dyDescent="0.45">
      <c r="A3075" s="187">
        <v>2019</v>
      </c>
      <c r="B3075" t="s">
        <v>314</v>
      </c>
      <c r="C3075" t="s">
        <v>323</v>
      </c>
      <c r="D3075" t="s">
        <v>35</v>
      </c>
      <c r="E3075" t="s">
        <v>349</v>
      </c>
      <c r="F3075" t="s">
        <v>406</v>
      </c>
      <c r="G3075" t="s">
        <v>36</v>
      </c>
      <c r="H3075" t="s">
        <v>43</v>
      </c>
      <c r="I3075" s="187">
        <v>0</v>
      </c>
      <c r="J3075" s="187">
        <v>29.120516527472493</v>
      </c>
      <c r="K3075" s="187">
        <v>0.81270407124702393</v>
      </c>
      <c r="L3075" s="187">
        <v>0</v>
      </c>
      <c r="M3075" s="187">
        <v>29.933219909667969</v>
      </c>
      <c r="N3075" s="187">
        <v>0</v>
      </c>
      <c r="O3075" t="s">
        <v>3538</v>
      </c>
    </row>
    <row r="3076" spans="1:15" hidden="1" x14ac:dyDescent="0.45">
      <c r="A3076" s="187">
        <v>2019</v>
      </c>
      <c r="B3076" t="s">
        <v>312</v>
      </c>
      <c r="C3076" t="s">
        <v>323</v>
      </c>
      <c r="D3076" t="s">
        <v>35</v>
      </c>
      <c r="E3076" t="s">
        <v>349</v>
      </c>
      <c r="F3076" t="s">
        <v>406</v>
      </c>
      <c r="G3076" t="s">
        <v>36</v>
      </c>
      <c r="H3076" t="s">
        <v>43</v>
      </c>
      <c r="I3076" s="187">
        <v>0</v>
      </c>
      <c r="J3076" s="187">
        <v>0</v>
      </c>
      <c r="K3076" s="187">
        <v>1.5089908366571954</v>
      </c>
      <c r="L3076" s="187">
        <v>0</v>
      </c>
      <c r="M3076" s="187">
        <v>1.5089908838272095</v>
      </c>
      <c r="N3076" s="187">
        <v>0</v>
      </c>
      <c r="O3076" t="s">
        <v>3533</v>
      </c>
    </row>
    <row r="3077" spans="1:15" hidden="1" x14ac:dyDescent="0.45">
      <c r="A3077" s="187">
        <v>2019</v>
      </c>
      <c r="B3077" t="s">
        <v>313</v>
      </c>
      <c r="C3077" t="s">
        <v>323</v>
      </c>
      <c r="D3077" t="s">
        <v>35</v>
      </c>
      <c r="E3077" t="s">
        <v>349</v>
      </c>
      <c r="F3077" t="s">
        <v>406</v>
      </c>
      <c r="G3077" t="s">
        <v>36</v>
      </c>
      <c r="H3077" t="s">
        <v>43</v>
      </c>
      <c r="I3077" s="187">
        <v>0</v>
      </c>
      <c r="J3077" s="187">
        <v>0</v>
      </c>
      <c r="K3077" s="187">
        <v>1.1683439790133809</v>
      </c>
      <c r="L3077" s="187">
        <v>0</v>
      </c>
      <c r="M3077" s="187">
        <v>1.1683440208435059</v>
      </c>
      <c r="N3077" s="187">
        <v>0</v>
      </c>
      <c r="O3077" t="s">
        <v>3535</v>
      </c>
    </row>
    <row r="3078" spans="1:15" hidden="1" x14ac:dyDescent="0.45">
      <c r="A3078" s="187">
        <v>2019</v>
      </c>
      <c r="B3078" t="s">
        <v>311</v>
      </c>
      <c r="C3078" t="s">
        <v>323</v>
      </c>
      <c r="D3078" t="s">
        <v>35</v>
      </c>
      <c r="E3078" t="s">
        <v>349</v>
      </c>
      <c r="F3078" t="s">
        <v>406</v>
      </c>
      <c r="G3078" t="s">
        <v>36</v>
      </c>
      <c r="H3078" t="s">
        <v>43</v>
      </c>
      <c r="I3078" s="187"/>
      <c r="J3078" s="187">
        <v>0</v>
      </c>
      <c r="K3078" s="187">
        <v>2.7442772767086336</v>
      </c>
      <c r="L3078" s="187">
        <v>0</v>
      </c>
      <c r="M3078" s="187">
        <v>2.7442772388458252</v>
      </c>
      <c r="N3078" s="187">
        <v>0</v>
      </c>
      <c r="O3078" t="s">
        <v>3536</v>
      </c>
    </row>
    <row r="3079" spans="1:15" hidden="1" x14ac:dyDescent="0.45">
      <c r="A3079" s="187">
        <v>2019</v>
      </c>
      <c r="B3079" t="s">
        <v>315</v>
      </c>
      <c r="C3079" t="s">
        <v>323</v>
      </c>
      <c r="D3079" t="s">
        <v>35</v>
      </c>
      <c r="E3079" t="s">
        <v>349</v>
      </c>
      <c r="F3079" t="s">
        <v>406</v>
      </c>
      <c r="G3079" t="s">
        <v>36</v>
      </c>
      <c r="H3079" t="s">
        <v>43</v>
      </c>
      <c r="I3079" s="187">
        <v>0</v>
      </c>
      <c r="J3079" s="187">
        <v>0</v>
      </c>
      <c r="K3079" s="187">
        <v>3.0145340348944668E-2</v>
      </c>
      <c r="L3079" s="187">
        <v>0</v>
      </c>
      <c r="M3079" s="187">
        <v>3.0145339667797089E-2</v>
      </c>
      <c r="N3079" s="187">
        <v>0</v>
      </c>
      <c r="O3079" t="s">
        <v>3534</v>
      </c>
    </row>
    <row r="3080" spans="1:15" hidden="1" x14ac:dyDescent="0.45">
      <c r="A3080" s="187">
        <v>2019</v>
      </c>
      <c r="B3080" t="s">
        <v>315</v>
      </c>
      <c r="C3080" t="s">
        <v>323</v>
      </c>
      <c r="D3080" t="s">
        <v>35</v>
      </c>
      <c r="E3080" t="s">
        <v>349</v>
      </c>
      <c r="F3080" t="s">
        <v>407</v>
      </c>
      <c r="G3080" t="s">
        <v>36</v>
      </c>
      <c r="H3080" t="s">
        <v>43</v>
      </c>
      <c r="I3080" s="187">
        <v>0</v>
      </c>
      <c r="J3080" s="187">
        <v>2.2655948723700035</v>
      </c>
      <c r="K3080" s="187">
        <v>45.023547752625397</v>
      </c>
      <c r="L3080" s="187">
        <v>0</v>
      </c>
      <c r="M3080" s="187">
        <v>47.289142608642578</v>
      </c>
      <c r="N3080" s="187">
        <v>0</v>
      </c>
      <c r="O3080" t="s">
        <v>3544</v>
      </c>
    </row>
    <row r="3081" spans="1:15" hidden="1" x14ac:dyDescent="0.45">
      <c r="A3081" s="187">
        <v>2019</v>
      </c>
      <c r="B3081" t="s">
        <v>312</v>
      </c>
      <c r="C3081" t="s">
        <v>323</v>
      </c>
      <c r="D3081" t="s">
        <v>35</v>
      </c>
      <c r="E3081" t="s">
        <v>349</v>
      </c>
      <c r="F3081" t="s">
        <v>407</v>
      </c>
      <c r="G3081" t="s">
        <v>36</v>
      </c>
      <c r="H3081" t="s">
        <v>43</v>
      </c>
      <c r="I3081" s="187">
        <v>0</v>
      </c>
      <c r="J3081" s="187">
        <v>0</v>
      </c>
      <c r="K3081" s="187">
        <v>0</v>
      </c>
      <c r="L3081" s="187">
        <v>121.18427512342734</v>
      </c>
      <c r="M3081" s="187">
        <v>121.18427276611328</v>
      </c>
      <c r="N3081" s="187">
        <v>121.18427276611328</v>
      </c>
      <c r="O3081" t="s">
        <v>3542</v>
      </c>
    </row>
    <row r="3082" spans="1:15" hidden="1" x14ac:dyDescent="0.45">
      <c r="A3082" s="187">
        <v>2019</v>
      </c>
      <c r="B3082" t="s">
        <v>311</v>
      </c>
      <c r="C3082" t="s">
        <v>323</v>
      </c>
      <c r="D3082" t="s">
        <v>35</v>
      </c>
      <c r="E3082" t="s">
        <v>349</v>
      </c>
      <c r="F3082" t="s">
        <v>407</v>
      </c>
      <c r="G3082" t="s">
        <v>36</v>
      </c>
      <c r="H3082" t="s">
        <v>43</v>
      </c>
      <c r="I3082" s="187"/>
      <c r="J3082" s="187">
        <v>0</v>
      </c>
      <c r="K3082" s="187">
        <v>0</v>
      </c>
      <c r="L3082" s="187">
        <v>61.214117887440189</v>
      </c>
      <c r="M3082" s="187">
        <v>61.214118957519531</v>
      </c>
      <c r="N3082" s="187">
        <v>61.214118957519531</v>
      </c>
      <c r="O3082" t="s">
        <v>3539</v>
      </c>
    </row>
    <row r="3083" spans="1:15" hidden="1" x14ac:dyDescent="0.45">
      <c r="A3083" s="187">
        <v>2019</v>
      </c>
      <c r="B3083" t="s">
        <v>314</v>
      </c>
      <c r="C3083" t="s">
        <v>323</v>
      </c>
      <c r="D3083" t="s">
        <v>35</v>
      </c>
      <c r="E3083" t="s">
        <v>349</v>
      </c>
      <c r="F3083" t="s">
        <v>407</v>
      </c>
      <c r="G3083" t="s">
        <v>36</v>
      </c>
      <c r="H3083" t="s">
        <v>43</v>
      </c>
      <c r="I3083" s="187">
        <v>0</v>
      </c>
      <c r="J3083" s="187">
        <v>2.3296413221977996</v>
      </c>
      <c r="K3083" s="187">
        <v>0</v>
      </c>
      <c r="L3083" s="187">
        <v>116.48206610988997</v>
      </c>
      <c r="M3083" s="187">
        <v>118.81170654296875</v>
      </c>
      <c r="N3083" s="187">
        <v>116.48206329345703</v>
      </c>
      <c r="O3083" t="s">
        <v>3543</v>
      </c>
    </row>
    <row r="3084" spans="1:15" hidden="1" x14ac:dyDescent="0.45">
      <c r="A3084" s="187">
        <v>2019</v>
      </c>
      <c r="B3084" t="s">
        <v>310</v>
      </c>
      <c r="C3084" t="s">
        <v>323</v>
      </c>
      <c r="D3084" t="s">
        <v>35</v>
      </c>
      <c r="E3084" t="s">
        <v>349</v>
      </c>
      <c r="F3084" t="s">
        <v>407</v>
      </c>
      <c r="G3084" t="s">
        <v>36</v>
      </c>
      <c r="H3084" t="s">
        <v>43</v>
      </c>
      <c r="I3084" s="187"/>
      <c r="J3084" s="187">
        <v>0</v>
      </c>
      <c r="K3084" s="187">
        <v>0</v>
      </c>
      <c r="L3084" s="187">
        <v>64.078320377110117</v>
      </c>
      <c r="M3084" s="187">
        <v>64.078323364257813</v>
      </c>
      <c r="N3084" s="187">
        <v>64.078323364257813</v>
      </c>
      <c r="O3084" t="s">
        <v>3540</v>
      </c>
    </row>
    <row r="3085" spans="1:15" hidden="1" x14ac:dyDescent="0.45">
      <c r="A3085" s="187">
        <v>2019</v>
      </c>
      <c r="B3085" t="s">
        <v>313</v>
      </c>
      <c r="C3085" t="s">
        <v>323</v>
      </c>
      <c r="D3085" t="s">
        <v>35</v>
      </c>
      <c r="E3085" t="s">
        <v>349</v>
      </c>
      <c r="F3085" t="s">
        <v>407</v>
      </c>
      <c r="G3085" t="s">
        <v>36</v>
      </c>
      <c r="H3085" t="s">
        <v>43</v>
      </c>
      <c r="I3085" s="187">
        <v>0</v>
      </c>
      <c r="J3085" s="187">
        <v>0</v>
      </c>
      <c r="K3085" s="187">
        <v>0</v>
      </c>
      <c r="L3085" s="187">
        <v>117.39340370414216</v>
      </c>
      <c r="M3085" s="187">
        <v>117.39340209960938</v>
      </c>
      <c r="N3085" s="187">
        <v>117.39340209960938</v>
      </c>
      <c r="O3085" t="s">
        <v>3541</v>
      </c>
    </row>
    <row r="3086" spans="1:15" hidden="1" x14ac:dyDescent="0.45">
      <c r="A3086" s="187">
        <v>2019</v>
      </c>
      <c r="B3086" t="s">
        <v>313</v>
      </c>
      <c r="C3086" t="s">
        <v>323</v>
      </c>
      <c r="D3086" t="s">
        <v>35</v>
      </c>
      <c r="E3086" t="s">
        <v>349</v>
      </c>
      <c r="F3086" t="s">
        <v>408</v>
      </c>
      <c r="G3086" t="s">
        <v>36</v>
      </c>
      <c r="H3086" t="s">
        <v>43</v>
      </c>
      <c r="I3086" s="187"/>
      <c r="J3086" s="187"/>
      <c r="K3086" s="187"/>
      <c r="L3086" s="187">
        <v>82.654539342712326</v>
      </c>
      <c r="M3086" s="187">
        <v>82.654541015625</v>
      </c>
      <c r="N3086" s="187">
        <v>82.654541015625</v>
      </c>
      <c r="O3086" t="s">
        <v>3546</v>
      </c>
    </row>
    <row r="3087" spans="1:15" hidden="1" x14ac:dyDescent="0.45">
      <c r="A3087" s="187">
        <v>2019</v>
      </c>
      <c r="B3087" t="s">
        <v>310</v>
      </c>
      <c r="C3087" t="s">
        <v>323</v>
      </c>
      <c r="D3087" t="s">
        <v>35</v>
      </c>
      <c r="E3087" t="s">
        <v>349</v>
      </c>
      <c r="F3087" t="s">
        <v>408</v>
      </c>
      <c r="G3087" t="s">
        <v>36</v>
      </c>
      <c r="H3087" t="s">
        <v>43</v>
      </c>
      <c r="I3087" s="187"/>
      <c r="J3087" s="187">
        <v>0</v>
      </c>
      <c r="K3087" s="187">
        <v>0</v>
      </c>
      <c r="L3087" s="187">
        <v>151.69561558662804</v>
      </c>
      <c r="M3087" s="187">
        <v>151.69561767578125</v>
      </c>
      <c r="N3087" s="187">
        <v>151.69561767578125</v>
      </c>
      <c r="O3087" t="s">
        <v>3545</v>
      </c>
    </row>
    <row r="3088" spans="1:15" hidden="1" x14ac:dyDescent="0.45">
      <c r="A3088" s="187">
        <v>2019</v>
      </c>
      <c r="B3088" t="s">
        <v>310</v>
      </c>
      <c r="C3088" t="s">
        <v>323</v>
      </c>
      <c r="D3088" t="s">
        <v>35</v>
      </c>
      <c r="E3088" t="s">
        <v>349</v>
      </c>
      <c r="F3088" t="s">
        <v>409</v>
      </c>
      <c r="G3088" t="s">
        <v>36</v>
      </c>
      <c r="H3088" t="s">
        <v>43</v>
      </c>
      <c r="I3088" s="187"/>
      <c r="J3088" s="187">
        <v>0</v>
      </c>
      <c r="K3088" s="187">
        <v>0</v>
      </c>
      <c r="L3088" s="187">
        <v>31.385299776543732</v>
      </c>
      <c r="M3088" s="187">
        <v>31.385299682617188</v>
      </c>
      <c r="N3088" s="187">
        <v>31.385299682617188</v>
      </c>
      <c r="O3088" t="s">
        <v>3547</v>
      </c>
    </row>
    <row r="3089" spans="1:15" hidden="1" x14ac:dyDescent="0.45">
      <c r="A3089" s="187">
        <v>2019</v>
      </c>
      <c r="B3089" t="s">
        <v>313</v>
      </c>
      <c r="C3089" t="s">
        <v>323</v>
      </c>
      <c r="D3089" t="s">
        <v>35</v>
      </c>
      <c r="E3089" t="s">
        <v>349</v>
      </c>
      <c r="F3089" t="s">
        <v>409</v>
      </c>
      <c r="G3089" t="s">
        <v>36</v>
      </c>
      <c r="H3089" t="s">
        <v>43</v>
      </c>
      <c r="I3089" s="187"/>
      <c r="J3089" s="187"/>
      <c r="K3089" s="187"/>
      <c r="L3089" s="187">
        <v>0</v>
      </c>
      <c r="M3089" s="187">
        <v>0</v>
      </c>
      <c r="N3089" s="187">
        <v>0</v>
      </c>
      <c r="O3089" t="s">
        <v>3548</v>
      </c>
    </row>
    <row r="3090" spans="1:15" hidden="1" x14ac:dyDescent="0.45">
      <c r="A3090" s="187">
        <v>2019</v>
      </c>
      <c r="B3090" t="s">
        <v>313</v>
      </c>
      <c r="C3090" t="s">
        <v>323</v>
      </c>
      <c r="D3090" t="s">
        <v>35</v>
      </c>
      <c r="E3090" t="s">
        <v>349</v>
      </c>
      <c r="F3090" t="s">
        <v>410</v>
      </c>
      <c r="G3090" t="s">
        <v>36</v>
      </c>
      <c r="H3090" t="s">
        <v>43</v>
      </c>
      <c r="I3090" s="187"/>
      <c r="J3090" s="187"/>
      <c r="K3090" s="187"/>
      <c r="L3090" s="187">
        <v>111.40394433148184</v>
      </c>
      <c r="M3090" s="187">
        <v>111.40394592285156</v>
      </c>
      <c r="N3090" s="187">
        <v>111.40394592285156</v>
      </c>
      <c r="O3090" t="s">
        <v>3549</v>
      </c>
    </row>
    <row r="3091" spans="1:15" hidden="1" x14ac:dyDescent="0.45">
      <c r="A3091" s="187">
        <v>2019</v>
      </c>
      <c r="B3091" t="s">
        <v>310</v>
      </c>
      <c r="C3091" t="s">
        <v>323</v>
      </c>
      <c r="D3091" t="s">
        <v>35</v>
      </c>
      <c r="E3091" t="s">
        <v>349</v>
      </c>
      <c r="F3091" t="s">
        <v>410</v>
      </c>
      <c r="G3091" t="s">
        <v>36</v>
      </c>
      <c r="H3091" t="s">
        <v>43</v>
      </c>
      <c r="I3091" s="187"/>
      <c r="J3091" s="187">
        <v>0</v>
      </c>
      <c r="K3091" s="187">
        <v>0</v>
      </c>
      <c r="L3091" s="187">
        <v>278.54453551682565</v>
      </c>
      <c r="M3091" s="187">
        <v>278.54452514648438</v>
      </c>
      <c r="N3091" s="187">
        <v>278.54452514648438</v>
      </c>
      <c r="O3091" t="s">
        <v>3550</v>
      </c>
    </row>
    <row r="3092" spans="1:15" hidden="1" x14ac:dyDescent="0.45">
      <c r="A3092" s="187">
        <v>2019</v>
      </c>
      <c r="B3092" t="s">
        <v>310</v>
      </c>
      <c r="C3092" t="s">
        <v>323</v>
      </c>
      <c r="D3092" t="s">
        <v>35</v>
      </c>
      <c r="E3092" t="s">
        <v>349</v>
      </c>
      <c r="F3092" t="s">
        <v>411</v>
      </c>
      <c r="G3092" t="s">
        <v>36</v>
      </c>
      <c r="H3092" t="s">
        <v>43</v>
      </c>
      <c r="I3092" s="187"/>
      <c r="J3092" s="187">
        <v>0</v>
      </c>
      <c r="K3092" s="187">
        <v>0</v>
      </c>
      <c r="L3092" s="187">
        <v>461.6254508799974</v>
      </c>
      <c r="M3092" s="187">
        <v>461.62545776367188</v>
      </c>
      <c r="N3092" s="187">
        <v>461.62545776367188</v>
      </c>
      <c r="O3092" t="s">
        <v>3551</v>
      </c>
    </row>
    <row r="3093" spans="1:15" hidden="1" x14ac:dyDescent="0.45">
      <c r="A3093" s="187">
        <v>2019</v>
      </c>
      <c r="B3093" t="s">
        <v>313</v>
      </c>
      <c r="C3093" t="s">
        <v>323</v>
      </c>
      <c r="D3093" t="s">
        <v>35</v>
      </c>
      <c r="E3093" t="s">
        <v>349</v>
      </c>
      <c r="F3093" t="s">
        <v>411</v>
      </c>
      <c r="G3093" t="s">
        <v>36</v>
      </c>
      <c r="H3093" t="s">
        <v>43</v>
      </c>
      <c r="I3093" s="187"/>
      <c r="J3093" s="187"/>
      <c r="K3093" s="187"/>
      <c r="L3093" s="187">
        <v>194.05848367419418</v>
      </c>
      <c r="M3093" s="187">
        <v>194.05848693847656</v>
      </c>
      <c r="N3093" s="187">
        <v>194.05848693847656</v>
      </c>
      <c r="O3093" t="s">
        <v>3552</v>
      </c>
    </row>
    <row r="3094" spans="1:15" hidden="1" x14ac:dyDescent="0.45">
      <c r="A3094" s="187">
        <v>2019</v>
      </c>
      <c r="B3094" t="s">
        <v>315</v>
      </c>
      <c r="C3094" t="s">
        <v>323</v>
      </c>
      <c r="D3094" t="s">
        <v>35</v>
      </c>
      <c r="E3094" t="s">
        <v>349</v>
      </c>
      <c r="F3094" t="s">
        <v>423</v>
      </c>
      <c r="G3094" t="s">
        <v>36</v>
      </c>
      <c r="H3094" t="s">
        <v>43</v>
      </c>
      <c r="I3094" s="187">
        <v>111.01414874613018</v>
      </c>
      <c r="J3094" s="187">
        <v>0</v>
      </c>
      <c r="K3094" s="187">
        <v>347.69748011441959</v>
      </c>
      <c r="L3094" s="187">
        <v>57.77266924543509</v>
      </c>
      <c r="M3094" s="187">
        <v>516.48431396484375</v>
      </c>
      <c r="N3094" s="187">
        <v>168.78681945800781</v>
      </c>
      <c r="O3094" t="s">
        <v>3557</v>
      </c>
    </row>
    <row r="3095" spans="1:15" hidden="1" x14ac:dyDescent="0.45">
      <c r="A3095" s="187">
        <v>2019</v>
      </c>
      <c r="B3095" t="s">
        <v>313</v>
      </c>
      <c r="C3095" t="s">
        <v>323</v>
      </c>
      <c r="D3095" t="s">
        <v>35</v>
      </c>
      <c r="E3095" t="s">
        <v>349</v>
      </c>
      <c r="F3095" t="s">
        <v>423</v>
      </c>
      <c r="G3095" t="s">
        <v>36</v>
      </c>
      <c r="H3095" t="s">
        <v>43</v>
      </c>
      <c r="I3095" s="187">
        <v>59.894593726603141</v>
      </c>
      <c r="J3095" s="187">
        <v>0</v>
      </c>
      <c r="K3095" s="187">
        <v>303.63158951761665</v>
      </c>
      <c r="L3095" s="187"/>
      <c r="M3095" s="187">
        <v>363.52618408203125</v>
      </c>
      <c r="N3095" s="187">
        <v>59.89459228515625</v>
      </c>
      <c r="O3095" t="s">
        <v>3555</v>
      </c>
    </row>
    <row r="3096" spans="1:15" hidden="1" x14ac:dyDescent="0.45">
      <c r="A3096" s="187">
        <v>2019</v>
      </c>
      <c r="B3096" t="s">
        <v>312</v>
      </c>
      <c r="C3096" t="s">
        <v>323</v>
      </c>
      <c r="D3096" t="s">
        <v>35</v>
      </c>
      <c r="E3096" t="s">
        <v>349</v>
      </c>
      <c r="F3096" t="s">
        <v>423</v>
      </c>
      <c r="G3096" t="s">
        <v>36</v>
      </c>
      <c r="H3096" t="s">
        <v>43</v>
      </c>
      <c r="I3096" s="187">
        <v>0</v>
      </c>
      <c r="J3096" s="187">
        <v>0</v>
      </c>
      <c r="K3096" s="187">
        <v>317.12555945513344</v>
      </c>
      <c r="L3096" s="187">
        <v>85.323622280780484</v>
      </c>
      <c r="M3096" s="187">
        <v>402.44915771484375</v>
      </c>
      <c r="N3096" s="187">
        <v>85.323623657226563</v>
      </c>
      <c r="O3096" t="s">
        <v>3556</v>
      </c>
    </row>
    <row r="3097" spans="1:15" hidden="1" x14ac:dyDescent="0.45">
      <c r="A3097" s="187">
        <v>2019</v>
      </c>
      <c r="B3097" t="s">
        <v>311</v>
      </c>
      <c r="C3097" t="s">
        <v>323</v>
      </c>
      <c r="D3097" t="s">
        <v>35</v>
      </c>
      <c r="E3097" t="s">
        <v>349</v>
      </c>
      <c r="F3097" t="s">
        <v>423</v>
      </c>
      <c r="G3097" t="s">
        <v>36</v>
      </c>
      <c r="H3097" t="s">
        <v>43</v>
      </c>
      <c r="I3097" s="187"/>
      <c r="J3097" s="187">
        <v>0</v>
      </c>
      <c r="K3097" s="187">
        <v>0</v>
      </c>
      <c r="L3097" s="187">
        <v>147.93411822798046</v>
      </c>
      <c r="M3097" s="187">
        <v>147.93411254882813</v>
      </c>
      <c r="N3097" s="187">
        <v>147.93411254882813</v>
      </c>
      <c r="O3097" t="s">
        <v>3553</v>
      </c>
    </row>
    <row r="3098" spans="1:15" hidden="1" x14ac:dyDescent="0.45">
      <c r="A3098" s="187">
        <v>2019</v>
      </c>
      <c r="B3098" t="s">
        <v>314</v>
      </c>
      <c r="C3098" t="s">
        <v>323</v>
      </c>
      <c r="D3098" t="s">
        <v>35</v>
      </c>
      <c r="E3098" t="s">
        <v>349</v>
      </c>
      <c r="F3098" t="s">
        <v>423</v>
      </c>
      <c r="G3098" t="s">
        <v>36</v>
      </c>
      <c r="H3098" t="s">
        <v>43</v>
      </c>
      <c r="I3098" s="187">
        <v>58.241033054944985</v>
      </c>
      <c r="J3098" s="187">
        <v>0</v>
      </c>
      <c r="K3098" s="187">
        <v>43.447364077354365</v>
      </c>
      <c r="L3098" s="187">
        <v>81.537446276922978</v>
      </c>
      <c r="M3098" s="187">
        <v>183.22584533691406</v>
      </c>
      <c r="N3098" s="187">
        <v>139.77847290039063</v>
      </c>
      <c r="O3098" t="s">
        <v>3554</v>
      </c>
    </row>
    <row r="3099" spans="1:15" hidden="1" x14ac:dyDescent="0.45">
      <c r="A3099" s="187">
        <v>2019</v>
      </c>
      <c r="B3099" t="s">
        <v>312</v>
      </c>
      <c r="C3099" t="s">
        <v>323</v>
      </c>
      <c r="D3099" t="s">
        <v>35</v>
      </c>
      <c r="E3099" t="s">
        <v>349</v>
      </c>
      <c r="F3099" t="s">
        <v>424</v>
      </c>
      <c r="G3099" t="s">
        <v>36</v>
      </c>
      <c r="H3099" t="s">
        <v>43</v>
      </c>
      <c r="I3099" s="187">
        <v>0</v>
      </c>
      <c r="J3099" s="187">
        <v>0</v>
      </c>
      <c r="K3099" s="187">
        <v>0</v>
      </c>
      <c r="L3099" s="187">
        <v>0</v>
      </c>
      <c r="M3099" s="187">
        <v>0</v>
      </c>
      <c r="N3099" s="187">
        <v>0</v>
      </c>
      <c r="O3099" t="s">
        <v>3559</v>
      </c>
    </row>
    <row r="3100" spans="1:15" hidden="1" x14ac:dyDescent="0.45">
      <c r="A3100" s="187">
        <v>2019</v>
      </c>
      <c r="B3100" t="s">
        <v>314</v>
      </c>
      <c r="C3100" t="s">
        <v>323</v>
      </c>
      <c r="D3100" t="s">
        <v>35</v>
      </c>
      <c r="E3100" t="s">
        <v>349</v>
      </c>
      <c r="F3100" t="s">
        <v>424</v>
      </c>
      <c r="G3100" t="s">
        <v>36</v>
      </c>
      <c r="H3100" t="s">
        <v>43</v>
      </c>
      <c r="I3100" s="187">
        <v>145.60258263736247</v>
      </c>
      <c r="J3100" s="187">
        <v>0</v>
      </c>
      <c r="K3100" s="187">
        <v>0</v>
      </c>
      <c r="L3100" s="187">
        <v>69.889239665933985</v>
      </c>
      <c r="M3100" s="187">
        <v>215.4918212890625</v>
      </c>
      <c r="N3100" s="187">
        <v>215.4918212890625</v>
      </c>
      <c r="O3100" t="s">
        <v>3560</v>
      </c>
    </row>
    <row r="3101" spans="1:15" hidden="1" x14ac:dyDescent="0.45">
      <c r="A3101" s="187">
        <v>2019</v>
      </c>
      <c r="B3101" t="s">
        <v>311</v>
      </c>
      <c r="C3101" t="s">
        <v>323</v>
      </c>
      <c r="D3101" t="s">
        <v>35</v>
      </c>
      <c r="E3101" t="s">
        <v>349</v>
      </c>
      <c r="F3101" t="s">
        <v>424</v>
      </c>
      <c r="G3101" t="s">
        <v>36</v>
      </c>
      <c r="H3101" t="s">
        <v>43</v>
      </c>
      <c r="I3101" s="187"/>
      <c r="J3101" s="187">
        <v>0</v>
      </c>
      <c r="K3101" s="187">
        <v>0</v>
      </c>
      <c r="L3101" s="187">
        <v>0</v>
      </c>
      <c r="M3101" s="187">
        <v>0</v>
      </c>
      <c r="N3101" s="187">
        <v>0</v>
      </c>
      <c r="O3101" t="s">
        <v>3562</v>
      </c>
    </row>
    <row r="3102" spans="1:15" hidden="1" x14ac:dyDescent="0.45">
      <c r="A3102" s="187">
        <v>2019</v>
      </c>
      <c r="B3102" t="s">
        <v>313</v>
      </c>
      <c r="C3102" t="s">
        <v>323</v>
      </c>
      <c r="D3102" t="s">
        <v>35</v>
      </c>
      <c r="E3102" t="s">
        <v>349</v>
      </c>
      <c r="F3102" t="s">
        <v>424</v>
      </c>
      <c r="G3102" t="s">
        <v>36</v>
      </c>
      <c r="H3102" t="s">
        <v>43</v>
      </c>
      <c r="I3102" s="187">
        <v>119.78918745320628</v>
      </c>
      <c r="J3102" s="187">
        <v>0</v>
      </c>
      <c r="K3102" s="187">
        <v>0</v>
      </c>
      <c r="L3102" s="187"/>
      <c r="M3102" s="187">
        <v>119.7891845703125</v>
      </c>
      <c r="N3102" s="187">
        <v>119.7891845703125</v>
      </c>
      <c r="O3102" t="s">
        <v>3561</v>
      </c>
    </row>
    <row r="3103" spans="1:15" hidden="1" x14ac:dyDescent="0.45">
      <c r="A3103" s="187">
        <v>2019</v>
      </c>
      <c r="B3103" t="s">
        <v>315</v>
      </c>
      <c r="C3103" t="s">
        <v>323</v>
      </c>
      <c r="D3103" t="s">
        <v>35</v>
      </c>
      <c r="E3103" t="s">
        <v>349</v>
      </c>
      <c r="F3103" t="s">
        <v>424</v>
      </c>
      <c r="G3103" t="s">
        <v>36</v>
      </c>
      <c r="H3103" t="s">
        <v>43</v>
      </c>
      <c r="I3103" s="187">
        <v>75.897428224395114</v>
      </c>
      <c r="J3103" s="187">
        <v>0</v>
      </c>
      <c r="K3103" s="187">
        <v>0</v>
      </c>
      <c r="L3103" s="187">
        <v>0</v>
      </c>
      <c r="M3103" s="187">
        <v>75.897430419921875</v>
      </c>
      <c r="N3103" s="187">
        <v>75.897430419921875</v>
      </c>
      <c r="O3103" t="s">
        <v>3558</v>
      </c>
    </row>
    <row r="3104" spans="1:15" hidden="1" x14ac:dyDescent="0.45">
      <c r="A3104" s="187">
        <v>2019</v>
      </c>
      <c r="B3104" t="s">
        <v>312</v>
      </c>
      <c r="C3104" t="s">
        <v>323</v>
      </c>
      <c r="D3104" t="s">
        <v>35</v>
      </c>
      <c r="E3104" t="s">
        <v>349</v>
      </c>
      <c r="F3104" t="s">
        <v>446</v>
      </c>
      <c r="G3104" t="s">
        <v>36</v>
      </c>
      <c r="H3104" t="s">
        <v>43</v>
      </c>
      <c r="I3104" s="187">
        <v>741.94454157200414</v>
      </c>
      <c r="J3104" s="187">
        <v>0</v>
      </c>
      <c r="K3104" s="187">
        <v>0</v>
      </c>
      <c r="L3104" s="187">
        <v>115.00140394366065</v>
      </c>
      <c r="M3104" s="187">
        <v>856.9459228515625</v>
      </c>
      <c r="N3104" s="187">
        <v>856.9459228515625</v>
      </c>
      <c r="O3104" t="s">
        <v>3563</v>
      </c>
    </row>
    <row r="3105" spans="1:15" hidden="1" x14ac:dyDescent="0.45">
      <c r="A3105" s="187">
        <v>2019</v>
      </c>
      <c r="B3105" t="s">
        <v>311</v>
      </c>
      <c r="C3105" t="s">
        <v>323</v>
      </c>
      <c r="D3105" t="s">
        <v>35</v>
      </c>
      <c r="E3105" t="s">
        <v>349</v>
      </c>
      <c r="F3105" t="s">
        <v>446</v>
      </c>
      <c r="G3105" t="s">
        <v>36</v>
      </c>
      <c r="H3105" t="s">
        <v>43</v>
      </c>
      <c r="I3105" s="187"/>
      <c r="J3105" s="187">
        <v>0</v>
      </c>
      <c r="K3105" s="187">
        <v>0</v>
      </c>
      <c r="L3105" s="187">
        <v>270.36235400286085</v>
      </c>
      <c r="M3105" s="187">
        <v>270.36236572265625</v>
      </c>
      <c r="N3105" s="187">
        <v>270.36236572265625</v>
      </c>
      <c r="O3105" t="s">
        <v>3564</v>
      </c>
    </row>
    <row r="3106" spans="1:15" hidden="1" x14ac:dyDescent="0.45">
      <c r="A3106" s="187">
        <v>2019</v>
      </c>
      <c r="B3106" t="s">
        <v>314</v>
      </c>
      <c r="C3106" t="s">
        <v>323</v>
      </c>
      <c r="D3106" t="s">
        <v>35</v>
      </c>
      <c r="E3106" t="s">
        <v>349</v>
      </c>
      <c r="F3106" t="s">
        <v>446</v>
      </c>
      <c r="G3106" t="s">
        <v>36</v>
      </c>
      <c r="H3106" t="s">
        <v>43</v>
      </c>
      <c r="I3106" s="187">
        <v>116.48206610988997</v>
      </c>
      <c r="J3106" s="187">
        <v>0</v>
      </c>
      <c r="K3106" s="187">
        <v>0</v>
      </c>
      <c r="L3106" s="187">
        <v>110.65796280439548</v>
      </c>
      <c r="M3106" s="187">
        <v>227.14002990722656</v>
      </c>
      <c r="N3106" s="187">
        <v>227.14002990722656</v>
      </c>
      <c r="O3106" t="s">
        <v>3567</v>
      </c>
    </row>
    <row r="3107" spans="1:15" hidden="1" x14ac:dyDescent="0.45">
      <c r="A3107" s="187">
        <v>2019</v>
      </c>
      <c r="B3107" t="s">
        <v>313</v>
      </c>
      <c r="C3107" t="s">
        <v>323</v>
      </c>
      <c r="D3107" t="s">
        <v>35</v>
      </c>
      <c r="E3107" t="s">
        <v>349</v>
      </c>
      <c r="F3107" t="s">
        <v>446</v>
      </c>
      <c r="G3107" t="s">
        <v>36</v>
      </c>
      <c r="H3107" t="s">
        <v>43</v>
      </c>
      <c r="I3107" s="187">
        <v>119.78918745320628</v>
      </c>
      <c r="J3107" s="187">
        <v>0</v>
      </c>
      <c r="K3107" s="187">
        <v>0</v>
      </c>
      <c r="L3107" s="187"/>
      <c r="M3107" s="187">
        <v>119.7891845703125</v>
      </c>
      <c r="N3107" s="187">
        <v>119.7891845703125</v>
      </c>
      <c r="O3107" t="s">
        <v>3566</v>
      </c>
    </row>
    <row r="3108" spans="1:15" hidden="1" x14ac:dyDescent="0.45">
      <c r="A3108" s="187">
        <v>2019</v>
      </c>
      <c r="B3108" t="s">
        <v>315</v>
      </c>
      <c r="C3108" t="s">
        <v>323</v>
      </c>
      <c r="D3108" t="s">
        <v>35</v>
      </c>
      <c r="E3108" t="s">
        <v>349</v>
      </c>
      <c r="F3108" t="s">
        <v>446</v>
      </c>
      <c r="G3108" t="s">
        <v>36</v>
      </c>
      <c r="H3108" t="s">
        <v>43</v>
      </c>
      <c r="I3108" s="187">
        <v>1.1327974361850017</v>
      </c>
      <c r="J3108" s="187">
        <v>0</v>
      </c>
      <c r="K3108" s="187">
        <v>0</v>
      </c>
      <c r="L3108" s="187">
        <v>0</v>
      </c>
      <c r="M3108" s="187">
        <v>1.1327974796295166</v>
      </c>
      <c r="N3108" s="187">
        <v>1.1327974796295166</v>
      </c>
      <c r="O3108" t="s">
        <v>3565</v>
      </c>
    </row>
    <row r="3109" spans="1:15" hidden="1" x14ac:dyDescent="0.45">
      <c r="A3109" s="187">
        <v>2019</v>
      </c>
      <c r="B3109" t="s">
        <v>313</v>
      </c>
      <c r="C3109" t="s">
        <v>323</v>
      </c>
      <c r="D3109" t="s">
        <v>35</v>
      </c>
      <c r="E3109" t="s">
        <v>349</v>
      </c>
      <c r="F3109" t="s">
        <v>447</v>
      </c>
      <c r="G3109" t="s">
        <v>36</v>
      </c>
      <c r="H3109" t="s">
        <v>43</v>
      </c>
      <c r="I3109" s="187">
        <v>299.47296863301568</v>
      </c>
      <c r="J3109" s="187">
        <v>0</v>
      </c>
      <c r="K3109" s="187">
        <v>303.63158951761665</v>
      </c>
      <c r="L3109" s="187"/>
      <c r="M3109" s="187">
        <v>603.10455322265625</v>
      </c>
      <c r="N3109" s="187">
        <v>299.47296142578125</v>
      </c>
      <c r="O3109" t="s">
        <v>3568</v>
      </c>
    </row>
    <row r="3110" spans="1:15" hidden="1" x14ac:dyDescent="0.45">
      <c r="A3110" s="187">
        <v>2019</v>
      </c>
      <c r="B3110" t="s">
        <v>312</v>
      </c>
      <c r="C3110" t="s">
        <v>323</v>
      </c>
      <c r="D3110" t="s">
        <v>35</v>
      </c>
      <c r="E3110" t="s">
        <v>349</v>
      </c>
      <c r="F3110" t="s">
        <v>447</v>
      </c>
      <c r="G3110" t="s">
        <v>36</v>
      </c>
      <c r="H3110" t="s">
        <v>43</v>
      </c>
      <c r="I3110" s="187">
        <v>741.94454157200414</v>
      </c>
      <c r="J3110" s="187">
        <v>0</v>
      </c>
      <c r="K3110" s="187">
        <v>317.12555945513344</v>
      </c>
      <c r="L3110" s="187">
        <v>200.32502622444113</v>
      </c>
      <c r="M3110" s="187">
        <v>1259.3951416015625</v>
      </c>
      <c r="N3110" s="187">
        <v>942.26953125</v>
      </c>
      <c r="O3110" t="s">
        <v>3570</v>
      </c>
    </row>
    <row r="3111" spans="1:15" hidden="1" x14ac:dyDescent="0.45">
      <c r="A3111" s="187">
        <v>2019</v>
      </c>
      <c r="B3111" t="s">
        <v>315</v>
      </c>
      <c r="C3111" t="s">
        <v>323</v>
      </c>
      <c r="D3111" t="s">
        <v>35</v>
      </c>
      <c r="E3111" t="s">
        <v>349</v>
      </c>
      <c r="F3111" t="s">
        <v>447</v>
      </c>
      <c r="G3111" t="s">
        <v>36</v>
      </c>
      <c r="H3111" t="s">
        <v>43</v>
      </c>
      <c r="I3111" s="187">
        <v>188.04437440671029</v>
      </c>
      <c r="J3111" s="187">
        <v>0</v>
      </c>
      <c r="K3111" s="187">
        <v>347.69748011441959</v>
      </c>
      <c r="L3111" s="187">
        <v>57.77266924543509</v>
      </c>
      <c r="M3111" s="187">
        <v>593.5145263671875</v>
      </c>
      <c r="N3111" s="187">
        <v>245.81704711914063</v>
      </c>
      <c r="O3111" t="s">
        <v>3572</v>
      </c>
    </row>
    <row r="3112" spans="1:15" hidden="1" x14ac:dyDescent="0.45">
      <c r="A3112" s="187">
        <v>2019</v>
      </c>
      <c r="B3112" t="s">
        <v>311</v>
      </c>
      <c r="C3112" t="s">
        <v>323</v>
      </c>
      <c r="D3112" t="s">
        <v>35</v>
      </c>
      <c r="E3112" t="s">
        <v>349</v>
      </c>
      <c r="F3112" t="s">
        <v>447</v>
      </c>
      <c r="G3112" t="s">
        <v>36</v>
      </c>
      <c r="H3112" t="s">
        <v>43</v>
      </c>
      <c r="I3112" s="187"/>
      <c r="J3112" s="187">
        <v>0</v>
      </c>
      <c r="K3112" s="187">
        <v>0</v>
      </c>
      <c r="L3112" s="187">
        <v>418.29647223084129</v>
      </c>
      <c r="M3112" s="187">
        <v>418.29647827148438</v>
      </c>
      <c r="N3112" s="187">
        <v>418.29647827148438</v>
      </c>
      <c r="O3112" t="s">
        <v>3571</v>
      </c>
    </row>
    <row r="3113" spans="1:15" hidden="1" x14ac:dyDescent="0.45">
      <c r="A3113" s="187">
        <v>2019</v>
      </c>
      <c r="B3113" t="s">
        <v>314</v>
      </c>
      <c r="C3113" t="s">
        <v>323</v>
      </c>
      <c r="D3113" t="s">
        <v>35</v>
      </c>
      <c r="E3113" t="s">
        <v>349</v>
      </c>
      <c r="F3113" t="s">
        <v>447</v>
      </c>
      <c r="G3113" t="s">
        <v>36</v>
      </c>
      <c r="H3113" t="s">
        <v>43</v>
      </c>
      <c r="I3113" s="187">
        <v>320.32568180219744</v>
      </c>
      <c r="J3113" s="187">
        <v>0</v>
      </c>
      <c r="K3113" s="187">
        <v>43.447364077354365</v>
      </c>
      <c r="L3113" s="187">
        <v>262.08464874725246</v>
      </c>
      <c r="M3113" s="187">
        <v>625.857666015625</v>
      </c>
      <c r="N3113" s="187">
        <v>582.41033935546875</v>
      </c>
      <c r="O3113" t="s">
        <v>3569</v>
      </c>
    </row>
    <row r="3114" spans="1:15" hidden="1" x14ac:dyDescent="0.45">
      <c r="A3114" s="187">
        <v>2019</v>
      </c>
      <c r="B3114" t="s">
        <v>34</v>
      </c>
      <c r="C3114" t="s">
        <v>324</v>
      </c>
      <c r="D3114" t="s">
        <v>35</v>
      </c>
      <c r="E3114" t="s">
        <v>348</v>
      </c>
      <c r="F3114" t="s">
        <v>382</v>
      </c>
      <c r="G3114" t="s">
        <v>36</v>
      </c>
      <c r="H3114" t="s">
        <v>43</v>
      </c>
      <c r="I3114" s="187">
        <v>19145.609375</v>
      </c>
      <c r="J3114" s="187">
        <v>957.21380615234375</v>
      </c>
      <c r="K3114" s="187">
        <v>21200.525390625</v>
      </c>
      <c r="L3114" s="187">
        <v>30566.2734375</v>
      </c>
      <c r="M3114" s="187">
        <v>71869.625</v>
      </c>
      <c r="N3114" s="187">
        <v>49711.8828125</v>
      </c>
      <c r="O3114" t="s">
        <v>3573</v>
      </c>
    </row>
    <row r="3115" spans="1:15" hidden="1" x14ac:dyDescent="0.45">
      <c r="A3115" s="187">
        <v>2019</v>
      </c>
      <c r="B3115" t="s">
        <v>34</v>
      </c>
      <c r="C3115" t="s">
        <v>324</v>
      </c>
      <c r="D3115" t="s">
        <v>35</v>
      </c>
      <c r="E3115" t="s">
        <v>348</v>
      </c>
      <c r="F3115" t="s">
        <v>382</v>
      </c>
      <c r="G3115" t="s">
        <v>37</v>
      </c>
      <c r="H3115" t="s">
        <v>43</v>
      </c>
      <c r="I3115" s="187">
        <v>16901.176402000001</v>
      </c>
      <c r="J3115" s="187">
        <v>845</v>
      </c>
      <c r="K3115" s="187">
        <v>18715.194942891179</v>
      </c>
      <c r="L3115" s="187">
        <v>26983</v>
      </c>
      <c r="M3115" s="187">
        <v>63444.37109375</v>
      </c>
      <c r="N3115" s="187">
        <v>43884.17578125</v>
      </c>
      <c r="O3115" t="s">
        <v>3574</v>
      </c>
    </row>
    <row r="3116" spans="1:15" hidden="1" x14ac:dyDescent="0.45">
      <c r="A3116" s="187">
        <v>2019</v>
      </c>
      <c r="B3116" t="s">
        <v>34</v>
      </c>
      <c r="C3116" t="s">
        <v>324</v>
      </c>
      <c r="D3116" t="s">
        <v>35</v>
      </c>
      <c r="E3116" t="s">
        <v>19</v>
      </c>
      <c r="F3116" t="s">
        <v>19</v>
      </c>
      <c r="G3116" t="s">
        <v>36</v>
      </c>
      <c r="H3116" t="s">
        <v>43</v>
      </c>
      <c r="I3116" s="187">
        <v>1306.337646484375</v>
      </c>
      <c r="J3116" s="187">
        <v>13.593568801879883</v>
      </c>
      <c r="K3116" s="187">
        <v>151.05145263671875</v>
      </c>
      <c r="L3116" s="187">
        <v>2626.957275390625</v>
      </c>
      <c r="M3116" s="187">
        <v>4097.93994140625</v>
      </c>
      <c r="N3116" s="187">
        <v>3933.294921875</v>
      </c>
      <c r="O3116" t="s">
        <v>3575</v>
      </c>
    </row>
    <row r="3117" spans="1:15" hidden="1" x14ac:dyDescent="0.45">
      <c r="A3117" s="187">
        <v>2019</v>
      </c>
      <c r="B3117" t="s">
        <v>34</v>
      </c>
      <c r="C3117" t="s">
        <v>324</v>
      </c>
      <c r="D3117" t="s">
        <v>35</v>
      </c>
      <c r="E3117" t="s">
        <v>19</v>
      </c>
      <c r="F3117" t="s">
        <v>19</v>
      </c>
      <c r="G3117" t="s">
        <v>37</v>
      </c>
      <c r="H3117" t="s">
        <v>43</v>
      </c>
      <c r="I3117" s="187">
        <v>1153.1961100000001</v>
      </c>
      <c r="J3117" s="187">
        <v>12</v>
      </c>
      <c r="K3117" s="187">
        <v>133.34374</v>
      </c>
      <c r="L3117" s="187">
        <v>2319</v>
      </c>
      <c r="M3117" s="187">
        <v>3617.5400390625</v>
      </c>
      <c r="N3117" s="187">
        <v>3472.1962890625</v>
      </c>
      <c r="O3117" t="s">
        <v>3576</v>
      </c>
    </row>
    <row r="3118" spans="1:15" hidden="1" x14ac:dyDescent="0.45">
      <c r="A3118" s="187">
        <v>2019</v>
      </c>
      <c r="B3118" t="s">
        <v>34</v>
      </c>
      <c r="C3118" t="s">
        <v>324</v>
      </c>
      <c r="D3118" t="s">
        <v>35</v>
      </c>
      <c r="E3118" t="s">
        <v>349</v>
      </c>
      <c r="F3118" t="s">
        <v>349</v>
      </c>
      <c r="G3118" t="s">
        <v>36</v>
      </c>
      <c r="H3118" t="s">
        <v>43</v>
      </c>
      <c r="I3118" s="187">
        <v>4009.010986328125</v>
      </c>
      <c r="J3118" s="187">
        <v>201.637939453125</v>
      </c>
      <c r="K3118" s="187">
        <v>1857.980712890625</v>
      </c>
      <c r="L3118" s="187">
        <v>1360.48974609375</v>
      </c>
      <c r="M3118" s="187">
        <v>7429.11962890625</v>
      </c>
      <c r="N3118" s="187">
        <v>5369.5009765625</v>
      </c>
      <c r="O3118" t="s">
        <v>3577</v>
      </c>
    </row>
    <row r="3119" spans="1:15" hidden="1" x14ac:dyDescent="0.45">
      <c r="A3119" s="187">
        <v>2019</v>
      </c>
      <c r="B3119" t="s">
        <v>34</v>
      </c>
      <c r="C3119" t="s">
        <v>324</v>
      </c>
      <c r="D3119" t="s">
        <v>35</v>
      </c>
      <c r="E3119" t="s">
        <v>349</v>
      </c>
      <c r="F3119" t="s">
        <v>349</v>
      </c>
      <c r="G3119" t="s">
        <v>37</v>
      </c>
      <c r="H3119" t="s">
        <v>43</v>
      </c>
      <c r="I3119" s="187">
        <v>3539.0361100000009</v>
      </c>
      <c r="J3119" s="187">
        <v>178</v>
      </c>
      <c r="K3119" s="187">
        <v>1640.1703199999999</v>
      </c>
      <c r="L3119" s="187">
        <v>1201</v>
      </c>
      <c r="M3119" s="187">
        <v>6558.20654296875</v>
      </c>
      <c r="N3119" s="187">
        <v>4740.0361328125</v>
      </c>
      <c r="O3119" t="s">
        <v>3578</v>
      </c>
    </row>
    <row r="3120" spans="1:15" hidden="1" x14ac:dyDescent="0.45">
      <c r="A3120" s="187">
        <v>2019</v>
      </c>
      <c r="B3120" t="s">
        <v>34</v>
      </c>
      <c r="C3120" t="s">
        <v>324</v>
      </c>
      <c r="D3120" t="s">
        <v>35</v>
      </c>
      <c r="E3120" t="s">
        <v>14</v>
      </c>
      <c r="F3120" t="s">
        <v>14</v>
      </c>
      <c r="G3120" t="s">
        <v>36</v>
      </c>
      <c r="H3120" t="s">
        <v>43</v>
      </c>
      <c r="I3120" s="187">
        <v>17355.7109375</v>
      </c>
      <c r="J3120" s="187">
        <v>942.48748779296875</v>
      </c>
      <c r="K3120" s="187">
        <v>20425.6875</v>
      </c>
      <c r="L3120" s="187">
        <v>23789.87890625</v>
      </c>
      <c r="M3120" s="187">
        <v>62513.765625</v>
      </c>
      <c r="N3120" s="187">
        <v>41145.58984375</v>
      </c>
      <c r="O3120" t="s">
        <v>3579</v>
      </c>
    </row>
    <row r="3121" spans="1:15" hidden="1" x14ac:dyDescent="0.45">
      <c r="A3121" s="187">
        <v>2019</v>
      </c>
      <c r="B3121" t="s">
        <v>34</v>
      </c>
      <c r="C3121" t="s">
        <v>324</v>
      </c>
      <c r="D3121" t="s">
        <v>35</v>
      </c>
      <c r="E3121" t="s">
        <v>14</v>
      </c>
      <c r="F3121" t="s">
        <v>14</v>
      </c>
      <c r="G3121" t="s">
        <v>37</v>
      </c>
      <c r="H3121" t="s">
        <v>43</v>
      </c>
      <c r="I3121" s="187">
        <v>15321.10710386449</v>
      </c>
      <c r="J3121" s="187">
        <v>832</v>
      </c>
      <c r="K3121" s="187">
        <v>18031.19170289117</v>
      </c>
      <c r="L3121" s="187">
        <v>21001</v>
      </c>
      <c r="M3121" s="187">
        <v>55185.30078125</v>
      </c>
      <c r="N3121" s="187">
        <v>36322.109375</v>
      </c>
      <c r="O3121" t="s">
        <v>3580</v>
      </c>
    </row>
    <row r="3122" spans="1:15" hidden="1" x14ac:dyDescent="0.45">
      <c r="A3122" s="187">
        <v>2019</v>
      </c>
      <c r="B3122" t="s">
        <v>34</v>
      </c>
      <c r="C3122" t="s">
        <v>324</v>
      </c>
      <c r="D3122" t="s">
        <v>35</v>
      </c>
      <c r="E3122" t="s">
        <v>16</v>
      </c>
      <c r="F3122" t="s">
        <v>16</v>
      </c>
      <c r="G3122" t="s">
        <v>36</v>
      </c>
      <c r="H3122" t="s">
        <v>43</v>
      </c>
      <c r="I3122" s="187">
        <v>6701.34033203125</v>
      </c>
      <c r="J3122" s="187">
        <v>242.41865539550781</v>
      </c>
      <c r="K3122" s="187">
        <v>8722.2177734375</v>
      </c>
      <c r="L3122" s="187">
        <v>20452.658203125</v>
      </c>
      <c r="M3122" s="187">
        <v>36118.6328125</v>
      </c>
      <c r="N3122" s="187">
        <v>27153.998046875</v>
      </c>
      <c r="O3122" t="s">
        <v>3581</v>
      </c>
    </row>
    <row r="3123" spans="1:15" hidden="1" x14ac:dyDescent="0.45">
      <c r="A3123" s="187">
        <v>2019</v>
      </c>
      <c r="B3123" t="s">
        <v>34</v>
      </c>
      <c r="C3123" t="s">
        <v>324</v>
      </c>
      <c r="D3123" t="s">
        <v>35</v>
      </c>
      <c r="E3123" t="s">
        <v>16</v>
      </c>
      <c r="F3123" t="s">
        <v>16</v>
      </c>
      <c r="G3123" t="s">
        <v>37</v>
      </c>
      <c r="H3123" t="s">
        <v>43</v>
      </c>
      <c r="I3123" s="187">
        <v>5915.7447499999998</v>
      </c>
      <c r="J3123" s="187">
        <v>214</v>
      </c>
      <c r="K3123" s="187">
        <v>7699.7152261871761</v>
      </c>
      <c r="L3123" s="187">
        <v>18055</v>
      </c>
      <c r="M3123" s="187">
        <v>31884.4609375</v>
      </c>
      <c r="N3123" s="187">
        <v>23970.744140625</v>
      </c>
      <c r="O3123" t="s">
        <v>3582</v>
      </c>
    </row>
    <row r="3124" spans="1:15" hidden="1" x14ac:dyDescent="0.45">
      <c r="A3124" s="187">
        <v>2019</v>
      </c>
      <c r="B3124" t="s">
        <v>34</v>
      </c>
      <c r="C3124" t="s">
        <v>324</v>
      </c>
      <c r="D3124" t="s">
        <v>35</v>
      </c>
      <c r="E3124" t="s">
        <v>351</v>
      </c>
      <c r="F3124" t="s">
        <v>351</v>
      </c>
      <c r="G3124" t="s">
        <v>36</v>
      </c>
      <c r="H3124" t="s">
        <v>43</v>
      </c>
      <c r="I3124" s="187">
        <v>68.748695373535156</v>
      </c>
      <c r="J3124" s="187">
        <v>0</v>
      </c>
      <c r="K3124" s="187">
        <v>65.249130249023438</v>
      </c>
      <c r="L3124" s="187">
        <v>84.959808349609375</v>
      </c>
      <c r="M3124" s="187">
        <v>218.9576416015625</v>
      </c>
      <c r="N3124" s="187">
        <v>153.70849609375</v>
      </c>
      <c r="O3124" t="s">
        <v>3583</v>
      </c>
    </row>
    <row r="3125" spans="1:15" hidden="1" x14ac:dyDescent="0.45">
      <c r="A3125" s="187">
        <v>2019</v>
      </c>
      <c r="B3125" t="s">
        <v>34</v>
      </c>
      <c r="C3125" t="s">
        <v>324</v>
      </c>
      <c r="D3125" t="s">
        <v>35</v>
      </c>
      <c r="E3125" t="s">
        <v>351</v>
      </c>
      <c r="F3125" t="s">
        <v>351</v>
      </c>
      <c r="G3125" t="s">
        <v>37</v>
      </c>
      <c r="H3125" t="s">
        <v>43</v>
      </c>
      <c r="I3125" s="187">
        <v>60.689311864486562</v>
      </c>
      <c r="J3125" s="187">
        <v>0</v>
      </c>
      <c r="K3125" s="187">
        <v>57.6</v>
      </c>
      <c r="L3125" s="187">
        <v>75</v>
      </c>
      <c r="M3125" s="187">
        <v>193.289306640625</v>
      </c>
      <c r="N3125" s="187">
        <v>135.68931579589844</v>
      </c>
      <c r="O3125" t="s">
        <v>3584</v>
      </c>
    </row>
    <row r="3126" spans="1:15" hidden="1" x14ac:dyDescent="0.45">
      <c r="A3126" s="187">
        <v>2019</v>
      </c>
      <c r="B3126" t="s">
        <v>34</v>
      </c>
      <c r="C3126" t="s">
        <v>324</v>
      </c>
      <c r="D3126" t="s">
        <v>35</v>
      </c>
      <c r="E3126" t="s">
        <v>353</v>
      </c>
      <c r="F3126" t="s">
        <v>383</v>
      </c>
      <c r="G3126" t="s">
        <v>36</v>
      </c>
      <c r="H3126" t="s">
        <v>43</v>
      </c>
      <c r="I3126" s="187">
        <v>18696.234375</v>
      </c>
      <c r="J3126" s="187">
        <v>852.9964599609375</v>
      </c>
      <c r="K3126" s="187">
        <v>17495.951171875</v>
      </c>
      <c r="L3126" s="187">
        <v>26223.126953125</v>
      </c>
      <c r="M3126" s="187">
        <v>63268.3046875</v>
      </c>
      <c r="N3126" s="187">
        <v>44919.359375</v>
      </c>
      <c r="O3126" t="s">
        <v>3585</v>
      </c>
    </row>
    <row r="3127" spans="1:15" hidden="1" x14ac:dyDescent="0.45">
      <c r="A3127" s="187">
        <v>2019</v>
      </c>
      <c r="B3127" t="s">
        <v>34</v>
      </c>
      <c r="C3127" t="s">
        <v>324</v>
      </c>
      <c r="D3127" t="s">
        <v>35</v>
      </c>
      <c r="E3127" t="s">
        <v>353</v>
      </c>
      <c r="F3127" t="s">
        <v>383</v>
      </c>
      <c r="G3127" t="s">
        <v>37</v>
      </c>
      <c r="H3127" t="s">
        <v>43</v>
      </c>
      <c r="I3127" s="187">
        <v>16504.48144</v>
      </c>
      <c r="J3127" s="187">
        <v>753</v>
      </c>
      <c r="K3127" s="187">
        <v>15444.907686187171</v>
      </c>
      <c r="L3127" s="187">
        <v>23149</v>
      </c>
      <c r="M3127" s="187">
        <v>55851.390625</v>
      </c>
      <c r="N3127" s="187">
        <v>39653.48046875</v>
      </c>
      <c r="O3127" t="s">
        <v>3586</v>
      </c>
    </row>
    <row r="3128" spans="1:15" hidden="1" x14ac:dyDescent="0.45">
      <c r="A3128" s="187">
        <v>2019</v>
      </c>
      <c r="B3128" t="s">
        <v>34</v>
      </c>
      <c r="C3128" t="s">
        <v>324</v>
      </c>
      <c r="D3128" t="s">
        <v>35</v>
      </c>
      <c r="E3128" t="s">
        <v>38</v>
      </c>
      <c r="F3128" t="s">
        <v>38</v>
      </c>
      <c r="G3128" t="s">
        <v>36</v>
      </c>
      <c r="H3128" t="s">
        <v>43</v>
      </c>
      <c r="I3128" s="187">
        <v>449.37503051757813</v>
      </c>
      <c r="J3128" s="187">
        <v>104.21736145019531</v>
      </c>
      <c r="K3128" s="187">
        <v>3704.572998046875</v>
      </c>
      <c r="L3128" s="187">
        <v>4343.1455078125</v>
      </c>
      <c r="M3128" s="187">
        <v>8601.310546875</v>
      </c>
      <c r="N3128" s="187">
        <v>4792.5205078125</v>
      </c>
      <c r="O3128" t="s">
        <v>3587</v>
      </c>
    </row>
    <row r="3129" spans="1:15" hidden="1" x14ac:dyDescent="0.45">
      <c r="A3129" s="187">
        <v>2019</v>
      </c>
      <c r="B3129" t="s">
        <v>34</v>
      </c>
      <c r="C3129" t="s">
        <v>324</v>
      </c>
      <c r="D3129" t="s">
        <v>35</v>
      </c>
      <c r="E3129" t="s">
        <v>38</v>
      </c>
      <c r="F3129" t="s">
        <v>38</v>
      </c>
      <c r="G3129" t="s">
        <v>37</v>
      </c>
      <c r="H3129" t="s">
        <v>43</v>
      </c>
      <c r="I3129" s="187">
        <v>396.69496199999998</v>
      </c>
      <c r="J3129" s="187">
        <v>92</v>
      </c>
      <c r="K3129" s="187">
        <v>3270.2872567039999</v>
      </c>
      <c r="L3129" s="187">
        <v>3834</v>
      </c>
      <c r="M3129" s="187">
        <v>7592.982421875</v>
      </c>
      <c r="N3129" s="187">
        <v>4230.69482421875</v>
      </c>
      <c r="O3129" t="s">
        <v>3588</v>
      </c>
    </row>
    <row r="3130" spans="1:15" hidden="1" x14ac:dyDescent="0.45">
      <c r="A3130" s="187">
        <v>2019</v>
      </c>
      <c r="B3130" t="s">
        <v>34</v>
      </c>
      <c r="C3130" t="s">
        <v>324</v>
      </c>
      <c r="D3130" t="s">
        <v>35</v>
      </c>
      <c r="E3130" t="s">
        <v>354</v>
      </c>
      <c r="F3130" t="s">
        <v>384</v>
      </c>
      <c r="G3130" t="s">
        <v>36</v>
      </c>
      <c r="H3130" t="s">
        <v>43</v>
      </c>
      <c r="I3130" s="187">
        <v>0</v>
      </c>
      <c r="J3130" s="187">
        <v>0</v>
      </c>
      <c r="K3130" s="187">
        <v>0</v>
      </c>
      <c r="L3130" s="187">
        <v>228.82508850097656</v>
      </c>
      <c r="M3130" s="187">
        <v>228.82508850097656</v>
      </c>
      <c r="N3130" s="187">
        <v>228.82508850097656</v>
      </c>
      <c r="O3130" t="s">
        <v>3589</v>
      </c>
    </row>
    <row r="3131" spans="1:15" hidden="1" x14ac:dyDescent="0.45">
      <c r="A3131" s="187">
        <v>2019</v>
      </c>
      <c r="B3131" t="s">
        <v>34</v>
      </c>
      <c r="C3131" t="s">
        <v>324</v>
      </c>
      <c r="D3131" t="s">
        <v>35</v>
      </c>
      <c r="E3131" t="s">
        <v>354</v>
      </c>
      <c r="F3131" t="s">
        <v>384</v>
      </c>
      <c r="G3131" t="s">
        <v>37</v>
      </c>
      <c r="H3131" t="s">
        <v>43</v>
      </c>
      <c r="I3131" s="187">
        <v>0</v>
      </c>
      <c r="J3131" s="187">
        <v>0</v>
      </c>
      <c r="K3131" s="187">
        <v>0</v>
      </c>
      <c r="L3131" s="187">
        <v>202</v>
      </c>
      <c r="M3131" s="187">
        <v>202</v>
      </c>
      <c r="N3131" s="187">
        <v>202</v>
      </c>
      <c r="O3131" t="s">
        <v>3590</v>
      </c>
    </row>
    <row r="3132" spans="1:15" hidden="1" x14ac:dyDescent="0.45">
      <c r="A3132" s="187">
        <v>2019</v>
      </c>
      <c r="B3132" t="s">
        <v>34</v>
      </c>
      <c r="C3132" t="s">
        <v>324</v>
      </c>
      <c r="D3132" t="s">
        <v>35</v>
      </c>
      <c r="E3132" t="s">
        <v>354</v>
      </c>
      <c r="F3132" t="s">
        <v>385</v>
      </c>
      <c r="G3132" t="s">
        <v>36</v>
      </c>
      <c r="H3132" t="s">
        <v>43</v>
      </c>
      <c r="I3132" s="187">
        <v>119.30730438232422</v>
      </c>
      <c r="J3132" s="187">
        <v>239.020263671875</v>
      </c>
      <c r="K3132" s="187">
        <v>1975.376220703125</v>
      </c>
      <c r="L3132" s="187">
        <v>599.24981689453125</v>
      </c>
      <c r="M3132" s="187">
        <v>2932.95361328125</v>
      </c>
      <c r="N3132" s="187">
        <v>718.55712890625</v>
      </c>
      <c r="O3132" t="s">
        <v>3591</v>
      </c>
    </row>
    <row r="3133" spans="1:15" hidden="1" x14ac:dyDescent="0.45">
      <c r="A3133" s="187">
        <v>2019</v>
      </c>
      <c r="B3133" t="s">
        <v>34</v>
      </c>
      <c r="C3133" t="s">
        <v>324</v>
      </c>
      <c r="D3133" t="s">
        <v>35</v>
      </c>
      <c r="E3133" t="s">
        <v>354</v>
      </c>
      <c r="F3133" t="s">
        <v>385</v>
      </c>
      <c r="G3133" t="s">
        <v>37</v>
      </c>
      <c r="H3133" t="s">
        <v>43</v>
      </c>
      <c r="I3133" s="187">
        <v>105.32095</v>
      </c>
      <c r="J3133" s="187">
        <v>211</v>
      </c>
      <c r="K3133" s="187">
        <v>1743.8036300000001</v>
      </c>
      <c r="L3133" s="187">
        <v>529</v>
      </c>
      <c r="M3133" s="187">
        <v>2589.12451171875</v>
      </c>
      <c r="N3133" s="187">
        <v>634.3209228515625</v>
      </c>
      <c r="O3133" t="s">
        <v>3592</v>
      </c>
    </row>
    <row r="3134" spans="1:15" hidden="1" x14ac:dyDescent="0.45">
      <c r="A3134" s="187">
        <v>2019</v>
      </c>
      <c r="B3134" t="s">
        <v>34</v>
      </c>
      <c r="C3134" t="s">
        <v>324</v>
      </c>
      <c r="D3134" t="s">
        <v>35</v>
      </c>
      <c r="E3134" t="s">
        <v>354</v>
      </c>
      <c r="F3134" t="s">
        <v>386</v>
      </c>
      <c r="G3134" t="s">
        <v>36</v>
      </c>
      <c r="H3134" t="s">
        <v>43</v>
      </c>
      <c r="I3134" s="187">
        <v>0</v>
      </c>
      <c r="J3134" s="187">
        <v>97.420578002929688</v>
      </c>
      <c r="K3134" s="187">
        <v>2940.52392578125</v>
      </c>
      <c r="L3134" s="187">
        <v>203.90353393554688</v>
      </c>
      <c r="M3134" s="187">
        <v>3241.84814453125</v>
      </c>
      <c r="N3134" s="187">
        <v>203.90353393554688</v>
      </c>
      <c r="O3134" t="s">
        <v>3593</v>
      </c>
    </row>
    <row r="3135" spans="1:15" hidden="1" x14ac:dyDescent="0.45">
      <c r="A3135" s="187">
        <v>2019</v>
      </c>
      <c r="B3135" t="s">
        <v>34</v>
      </c>
      <c r="C3135" t="s">
        <v>324</v>
      </c>
      <c r="D3135" t="s">
        <v>35</v>
      </c>
      <c r="E3135" t="s">
        <v>354</v>
      </c>
      <c r="F3135" t="s">
        <v>386</v>
      </c>
      <c r="G3135" t="s">
        <v>37</v>
      </c>
      <c r="H3135" t="s">
        <v>43</v>
      </c>
      <c r="I3135" s="187">
        <v>0</v>
      </c>
      <c r="J3135" s="187">
        <v>86</v>
      </c>
      <c r="K3135" s="187">
        <v>2595.8073199999999</v>
      </c>
      <c r="L3135" s="187">
        <v>180</v>
      </c>
      <c r="M3135" s="187">
        <v>2861.807373046875</v>
      </c>
      <c r="N3135" s="187">
        <v>180</v>
      </c>
      <c r="O3135" t="s">
        <v>3594</v>
      </c>
    </row>
    <row r="3136" spans="1:15" hidden="1" x14ac:dyDescent="0.45">
      <c r="A3136" s="187">
        <v>2019</v>
      </c>
      <c r="B3136" t="s">
        <v>34</v>
      </c>
      <c r="C3136" t="s">
        <v>324</v>
      </c>
      <c r="D3136" t="s">
        <v>35</v>
      </c>
      <c r="E3136" t="s">
        <v>354</v>
      </c>
      <c r="F3136" t="s">
        <v>387</v>
      </c>
      <c r="G3136" t="s">
        <v>36</v>
      </c>
      <c r="H3136" t="s">
        <v>43</v>
      </c>
      <c r="I3136" s="187">
        <v>119.30730438232422</v>
      </c>
      <c r="J3136" s="187">
        <v>336.44082641601563</v>
      </c>
      <c r="K3136" s="187">
        <v>4915.900390625</v>
      </c>
      <c r="L3136" s="187">
        <v>1031.978515625</v>
      </c>
      <c r="M3136" s="187">
        <v>6403.626953125</v>
      </c>
      <c r="N3136" s="187">
        <v>1151.2857666015625</v>
      </c>
      <c r="O3136" t="s">
        <v>3595</v>
      </c>
    </row>
    <row r="3137" spans="1:15" hidden="1" x14ac:dyDescent="0.45">
      <c r="A3137" s="187">
        <v>2019</v>
      </c>
      <c r="B3137" t="s">
        <v>34</v>
      </c>
      <c r="C3137" t="s">
        <v>324</v>
      </c>
      <c r="D3137" t="s">
        <v>35</v>
      </c>
      <c r="E3137" t="s">
        <v>354</v>
      </c>
      <c r="F3137" t="s">
        <v>387</v>
      </c>
      <c r="G3137" t="s">
        <v>37</v>
      </c>
      <c r="H3137" t="s">
        <v>43</v>
      </c>
      <c r="I3137" s="187">
        <v>105.32095</v>
      </c>
      <c r="J3137" s="187">
        <v>297</v>
      </c>
      <c r="K3137" s="187">
        <v>4339.6109500000002</v>
      </c>
      <c r="L3137" s="187">
        <v>911</v>
      </c>
      <c r="M3137" s="187">
        <v>5652.93212890625</v>
      </c>
      <c r="N3137" s="187">
        <v>1016.3209228515625</v>
      </c>
      <c r="O3137" t="s">
        <v>3596</v>
      </c>
    </row>
    <row r="3138" spans="1:15" hidden="1" x14ac:dyDescent="0.45">
      <c r="A3138" s="187">
        <v>2019</v>
      </c>
      <c r="B3138" t="s">
        <v>34</v>
      </c>
      <c r="C3138" t="s">
        <v>324</v>
      </c>
      <c r="D3138" t="s">
        <v>35</v>
      </c>
      <c r="E3138" t="s">
        <v>17</v>
      </c>
      <c r="F3138" t="s">
        <v>17</v>
      </c>
      <c r="G3138" t="s">
        <v>36</v>
      </c>
      <c r="H3138" t="s">
        <v>43</v>
      </c>
      <c r="I3138" s="187">
        <v>6560.23779296875</v>
      </c>
      <c r="J3138" s="187">
        <v>58.905467987060547</v>
      </c>
      <c r="K3138" s="187">
        <v>1848.8018798828125</v>
      </c>
      <c r="L3138" s="187">
        <v>751.044677734375</v>
      </c>
      <c r="M3138" s="187">
        <v>9218.990234375</v>
      </c>
      <c r="N3138" s="187">
        <v>7311.2822265625</v>
      </c>
      <c r="O3138" t="s">
        <v>3597</v>
      </c>
    </row>
    <row r="3139" spans="1:15" hidden="1" x14ac:dyDescent="0.45">
      <c r="A3139" s="187">
        <v>2019</v>
      </c>
      <c r="B3139" t="s">
        <v>34</v>
      </c>
      <c r="C3139" t="s">
        <v>324</v>
      </c>
      <c r="D3139" t="s">
        <v>35</v>
      </c>
      <c r="E3139" t="s">
        <v>17</v>
      </c>
      <c r="F3139" t="s">
        <v>17</v>
      </c>
      <c r="G3139" t="s">
        <v>37</v>
      </c>
      <c r="H3139" t="s">
        <v>43</v>
      </c>
      <c r="I3139" s="187">
        <v>5791.1835199999996</v>
      </c>
      <c r="J3139" s="187">
        <v>52</v>
      </c>
      <c r="K3139" s="187">
        <v>1632.0674499999991</v>
      </c>
      <c r="L3139" s="187">
        <v>663</v>
      </c>
      <c r="M3139" s="187">
        <v>8138.2509765625</v>
      </c>
      <c r="N3139" s="187">
        <v>6454.18359375</v>
      </c>
      <c r="O3139" t="s">
        <v>3598</v>
      </c>
    </row>
    <row r="3140" spans="1:15" hidden="1" x14ac:dyDescent="0.45">
      <c r="A3140" s="187">
        <v>2019</v>
      </c>
      <c r="B3140" t="s">
        <v>34</v>
      </c>
      <c r="C3140" t="s">
        <v>324</v>
      </c>
      <c r="D3140" t="s">
        <v>35</v>
      </c>
      <c r="E3140" t="s">
        <v>45</v>
      </c>
      <c r="F3140" t="s">
        <v>45</v>
      </c>
      <c r="G3140" t="s">
        <v>36</v>
      </c>
      <c r="H3140" t="s">
        <v>43</v>
      </c>
      <c r="I3140" s="187">
        <v>1858.6470947265625</v>
      </c>
      <c r="J3140" s="187">
        <v>14.726366996765137</v>
      </c>
      <c r="K3140" s="187">
        <v>840.08624267578125</v>
      </c>
      <c r="L3140" s="187">
        <v>6861.35400390625</v>
      </c>
      <c r="M3140" s="187">
        <v>9574.8134765625</v>
      </c>
      <c r="N3140" s="187">
        <v>8720.0009765625</v>
      </c>
      <c r="O3140" t="s">
        <v>3599</v>
      </c>
    </row>
    <row r="3141" spans="1:15" hidden="1" x14ac:dyDescent="0.45">
      <c r="A3141" s="187">
        <v>2019</v>
      </c>
      <c r="B3141" t="s">
        <v>34</v>
      </c>
      <c r="C3141" t="s">
        <v>324</v>
      </c>
      <c r="D3141" t="s">
        <v>35</v>
      </c>
      <c r="E3141" t="s">
        <v>45</v>
      </c>
      <c r="F3141" t="s">
        <v>45</v>
      </c>
      <c r="G3141" t="s">
        <v>37</v>
      </c>
      <c r="H3141" t="s">
        <v>43</v>
      </c>
      <c r="I3141" s="187">
        <v>1640.758610000001</v>
      </c>
      <c r="J3141" s="187">
        <v>13</v>
      </c>
      <c r="K3141" s="187">
        <v>741.60324000000003</v>
      </c>
      <c r="L3141" s="187">
        <v>6057</v>
      </c>
      <c r="M3141" s="187">
        <v>8452.361328125</v>
      </c>
      <c r="N3141" s="187">
        <v>7697.7587890625</v>
      </c>
      <c r="O3141" t="s">
        <v>3600</v>
      </c>
    </row>
    <row r="3142" spans="1:15" hidden="1" x14ac:dyDescent="0.45">
      <c r="A3142" s="187">
        <v>2019</v>
      </c>
      <c r="B3142" t="s">
        <v>34</v>
      </c>
      <c r="C3142" t="s">
        <v>324</v>
      </c>
      <c r="D3142" t="s">
        <v>35</v>
      </c>
      <c r="E3142" t="s">
        <v>356</v>
      </c>
      <c r="F3142" t="s">
        <v>356</v>
      </c>
      <c r="G3142" t="s">
        <v>36</v>
      </c>
      <c r="H3142" t="s">
        <v>43</v>
      </c>
      <c r="I3142" s="187">
        <v>0</v>
      </c>
      <c r="J3142" s="187">
        <v>0</v>
      </c>
      <c r="K3142" s="187">
        <v>0</v>
      </c>
      <c r="L3142" s="187">
        <v>0</v>
      </c>
      <c r="M3142" s="187">
        <v>0</v>
      </c>
      <c r="N3142" s="187">
        <v>0</v>
      </c>
      <c r="O3142" t="s">
        <v>3601</v>
      </c>
    </row>
    <row r="3143" spans="1:15" hidden="1" x14ac:dyDescent="0.45">
      <c r="A3143" s="187">
        <v>2019</v>
      </c>
      <c r="B3143" t="s">
        <v>34</v>
      </c>
      <c r="C3143" t="s">
        <v>324</v>
      </c>
      <c r="D3143" t="s">
        <v>35</v>
      </c>
      <c r="E3143" t="s">
        <v>356</v>
      </c>
      <c r="F3143" t="s">
        <v>356</v>
      </c>
      <c r="G3143" t="s">
        <v>37</v>
      </c>
      <c r="H3143" t="s">
        <v>43</v>
      </c>
      <c r="I3143" s="187">
        <v>0</v>
      </c>
      <c r="J3143" s="187">
        <v>0</v>
      </c>
      <c r="K3143" s="187">
        <v>0</v>
      </c>
      <c r="L3143" s="187">
        <v>0</v>
      </c>
      <c r="M3143" s="187">
        <v>0</v>
      </c>
      <c r="N3143" s="187">
        <v>0</v>
      </c>
      <c r="O3143" t="s">
        <v>3602</v>
      </c>
    </row>
    <row r="3144" spans="1:15" hidden="1" x14ac:dyDescent="0.45">
      <c r="A3144" s="187">
        <v>2019</v>
      </c>
      <c r="B3144" t="s">
        <v>34</v>
      </c>
      <c r="C3144" t="s">
        <v>325</v>
      </c>
      <c r="D3144" t="s">
        <v>35</v>
      </c>
      <c r="E3144" t="s">
        <v>357</v>
      </c>
      <c r="F3144" t="s">
        <v>412</v>
      </c>
      <c r="G3144" t="s">
        <v>36</v>
      </c>
      <c r="H3144" t="s">
        <v>43</v>
      </c>
      <c r="I3144" s="187">
        <v>4009.010986328125</v>
      </c>
      <c r="J3144" s="187">
        <v>201.637939453125</v>
      </c>
      <c r="K3144" s="187">
        <v>1857.980712890625</v>
      </c>
      <c r="L3144" s="187">
        <v>1360.48974609375</v>
      </c>
      <c r="M3144" s="187">
        <v>7429.11962890625</v>
      </c>
      <c r="N3144" s="187">
        <v>5369.5009765625</v>
      </c>
      <c r="O3144" t="s">
        <v>3603</v>
      </c>
    </row>
    <row r="3145" spans="1:15" hidden="1" x14ac:dyDescent="0.45">
      <c r="A3145" s="187">
        <v>2019</v>
      </c>
      <c r="B3145" t="s">
        <v>34</v>
      </c>
      <c r="C3145" t="s">
        <v>325</v>
      </c>
      <c r="D3145" t="s">
        <v>35</v>
      </c>
      <c r="E3145" t="s">
        <v>357</v>
      </c>
      <c r="F3145" t="s">
        <v>412</v>
      </c>
      <c r="G3145" t="s">
        <v>37</v>
      </c>
      <c r="H3145" t="s">
        <v>43</v>
      </c>
      <c r="I3145" s="187">
        <v>3539.0361100000009</v>
      </c>
      <c r="J3145" s="187">
        <v>178</v>
      </c>
      <c r="K3145" s="187">
        <v>1640.1703199999999</v>
      </c>
      <c r="L3145" s="187">
        <v>1201</v>
      </c>
      <c r="M3145" s="187">
        <v>6558.20654296875</v>
      </c>
      <c r="N3145" s="187">
        <v>4740.0361328125</v>
      </c>
      <c r="O3145" t="s">
        <v>3604</v>
      </c>
    </row>
    <row r="3146" spans="1:15" hidden="1" x14ac:dyDescent="0.45">
      <c r="A3146" s="187">
        <v>2019</v>
      </c>
      <c r="B3146" t="s">
        <v>34</v>
      </c>
      <c r="C3146" t="s">
        <v>325</v>
      </c>
      <c r="D3146" t="s">
        <v>35</v>
      </c>
      <c r="E3146" t="s">
        <v>357</v>
      </c>
      <c r="F3146" t="s">
        <v>413</v>
      </c>
      <c r="G3146" t="s">
        <v>36</v>
      </c>
      <c r="H3146" t="s">
        <v>43</v>
      </c>
      <c r="I3146" s="187">
        <v>4009.010986328125</v>
      </c>
      <c r="J3146" s="187">
        <v>201.637939453125</v>
      </c>
      <c r="K3146" s="187">
        <v>1857.980712890625</v>
      </c>
      <c r="L3146" s="187">
        <v>1360.48974609375</v>
      </c>
      <c r="M3146" s="187">
        <v>7429.11962890625</v>
      </c>
      <c r="N3146" s="187">
        <v>5369.5009765625</v>
      </c>
      <c r="O3146" t="s">
        <v>3605</v>
      </c>
    </row>
    <row r="3147" spans="1:15" hidden="1" x14ac:dyDescent="0.45">
      <c r="A3147" s="187">
        <v>2019</v>
      </c>
      <c r="B3147" t="s">
        <v>34</v>
      </c>
      <c r="C3147" t="s">
        <v>325</v>
      </c>
      <c r="D3147" t="s">
        <v>35</v>
      </c>
      <c r="E3147" t="s">
        <v>357</v>
      </c>
      <c r="F3147" t="s">
        <v>413</v>
      </c>
      <c r="G3147" t="s">
        <v>37</v>
      </c>
      <c r="H3147" t="s">
        <v>43</v>
      </c>
      <c r="I3147" s="187">
        <v>3539.0361100000009</v>
      </c>
      <c r="J3147" s="187">
        <v>178</v>
      </c>
      <c r="K3147" s="187">
        <v>1640.1703199999999</v>
      </c>
      <c r="L3147" s="187">
        <v>1201</v>
      </c>
      <c r="M3147" s="187">
        <v>6558.20654296875</v>
      </c>
      <c r="N3147" s="187">
        <v>4740.0361328125</v>
      </c>
      <c r="O3147" t="s">
        <v>3606</v>
      </c>
    </row>
    <row r="3148" spans="1:15" hidden="1" x14ac:dyDescent="0.45">
      <c r="A3148" s="187">
        <v>2019</v>
      </c>
      <c r="B3148" t="s">
        <v>34</v>
      </c>
      <c r="C3148" t="s">
        <v>325</v>
      </c>
      <c r="D3148" t="s">
        <v>35</v>
      </c>
      <c r="E3148" t="s">
        <v>357</v>
      </c>
      <c r="F3148" t="s">
        <v>414</v>
      </c>
      <c r="G3148" t="s">
        <v>36</v>
      </c>
      <c r="H3148" t="s">
        <v>43</v>
      </c>
      <c r="I3148" s="187">
        <v>0</v>
      </c>
      <c r="J3148" s="187">
        <v>0</v>
      </c>
      <c r="K3148" s="187">
        <v>0</v>
      </c>
      <c r="L3148" s="187">
        <v>0</v>
      </c>
      <c r="M3148" s="187">
        <v>0</v>
      </c>
      <c r="N3148" s="187">
        <v>0</v>
      </c>
      <c r="O3148" t="s">
        <v>3607</v>
      </c>
    </row>
    <row r="3149" spans="1:15" hidden="1" x14ac:dyDescent="0.45">
      <c r="A3149" s="187">
        <v>2019</v>
      </c>
      <c r="B3149" t="s">
        <v>34</v>
      </c>
      <c r="C3149" t="s">
        <v>325</v>
      </c>
      <c r="D3149" t="s">
        <v>35</v>
      </c>
      <c r="E3149" t="s">
        <v>357</v>
      </c>
      <c r="F3149" t="s">
        <v>414</v>
      </c>
      <c r="G3149" t="s">
        <v>37</v>
      </c>
      <c r="H3149" t="s">
        <v>43</v>
      </c>
      <c r="I3149" s="187">
        <v>0</v>
      </c>
      <c r="J3149" s="187">
        <v>0</v>
      </c>
      <c r="K3149" s="187">
        <v>0</v>
      </c>
      <c r="L3149" s="187">
        <v>0</v>
      </c>
      <c r="M3149" s="187">
        <v>0</v>
      </c>
      <c r="N3149" s="187">
        <v>0</v>
      </c>
      <c r="O3149" t="s">
        <v>3608</v>
      </c>
    </row>
    <row r="3150" spans="1:15" hidden="1" x14ac:dyDescent="0.45">
      <c r="A3150" s="187">
        <v>2019</v>
      </c>
      <c r="B3150" t="s">
        <v>34</v>
      </c>
      <c r="C3150" t="s">
        <v>325</v>
      </c>
      <c r="D3150" t="s">
        <v>35</v>
      </c>
      <c r="E3150" t="s">
        <v>357</v>
      </c>
      <c r="F3150" t="s">
        <v>392</v>
      </c>
      <c r="G3150" t="s">
        <v>36</v>
      </c>
      <c r="H3150" t="s">
        <v>43</v>
      </c>
      <c r="I3150" s="187">
        <v>0</v>
      </c>
      <c r="J3150" s="187">
        <v>0</v>
      </c>
      <c r="K3150" s="187">
        <v>0</v>
      </c>
      <c r="L3150" s="187">
        <v>70.233444213867188</v>
      </c>
      <c r="M3150" s="187">
        <v>70.233444213867188</v>
      </c>
      <c r="N3150" s="187">
        <v>70.233444213867188</v>
      </c>
      <c r="O3150" t="s">
        <v>3609</v>
      </c>
    </row>
    <row r="3151" spans="1:15" hidden="1" x14ac:dyDescent="0.45">
      <c r="A3151" s="187">
        <v>2019</v>
      </c>
      <c r="B3151" t="s">
        <v>34</v>
      </c>
      <c r="C3151" t="s">
        <v>325</v>
      </c>
      <c r="D3151" t="s">
        <v>35</v>
      </c>
      <c r="E3151" t="s">
        <v>357</v>
      </c>
      <c r="F3151" t="s">
        <v>392</v>
      </c>
      <c r="G3151" t="s">
        <v>37</v>
      </c>
      <c r="H3151" t="s">
        <v>43</v>
      </c>
      <c r="I3151" s="187">
        <v>0</v>
      </c>
      <c r="J3151" s="187">
        <v>0</v>
      </c>
      <c r="K3151" s="187">
        <v>0</v>
      </c>
      <c r="L3151" s="187">
        <v>62</v>
      </c>
      <c r="M3151" s="187">
        <v>62</v>
      </c>
      <c r="N3151" s="187">
        <v>62</v>
      </c>
      <c r="O3151" t="s">
        <v>3610</v>
      </c>
    </row>
    <row r="3152" spans="1:15" hidden="1" x14ac:dyDescent="0.45">
      <c r="A3152" s="187">
        <v>2019</v>
      </c>
      <c r="B3152" t="s">
        <v>34</v>
      </c>
      <c r="C3152" t="s">
        <v>325</v>
      </c>
      <c r="D3152" t="s">
        <v>35</v>
      </c>
      <c r="E3152" t="s">
        <v>357</v>
      </c>
      <c r="F3152" t="s">
        <v>393</v>
      </c>
      <c r="G3152" t="s">
        <v>36</v>
      </c>
      <c r="H3152" t="s">
        <v>43</v>
      </c>
      <c r="I3152" s="187">
        <v>542.14324951171875</v>
      </c>
      <c r="J3152" s="187">
        <v>0</v>
      </c>
      <c r="K3152" s="187">
        <v>0</v>
      </c>
      <c r="L3152" s="187">
        <v>0</v>
      </c>
      <c r="M3152" s="187">
        <v>542.14324951171875</v>
      </c>
      <c r="N3152" s="187">
        <v>542.14324951171875</v>
      </c>
      <c r="O3152" t="s">
        <v>3611</v>
      </c>
    </row>
    <row r="3153" spans="1:15" hidden="1" x14ac:dyDescent="0.45">
      <c r="A3153" s="187">
        <v>2019</v>
      </c>
      <c r="B3153" t="s">
        <v>34</v>
      </c>
      <c r="C3153" t="s">
        <v>325</v>
      </c>
      <c r="D3153" t="s">
        <v>35</v>
      </c>
      <c r="E3153" t="s">
        <v>357</v>
      </c>
      <c r="F3153" t="s">
        <v>393</v>
      </c>
      <c r="G3153" t="s">
        <v>37</v>
      </c>
      <c r="H3153" t="s">
        <v>43</v>
      </c>
      <c r="I3153" s="187">
        <v>478.58796999999998</v>
      </c>
      <c r="J3153" s="187">
        <v>0</v>
      </c>
      <c r="K3153" s="187">
        <v>0</v>
      </c>
      <c r="L3153" s="187">
        <v>0</v>
      </c>
      <c r="M3153" s="187">
        <v>478.58798217773438</v>
      </c>
      <c r="N3153" s="187">
        <v>478.58798217773438</v>
      </c>
      <c r="O3153" t="s">
        <v>3612</v>
      </c>
    </row>
    <row r="3154" spans="1:15" hidden="1" x14ac:dyDescent="0.45">
      <c r="A3154" s="187">
        <v>2019</v>
      </c>
      <c r="B3154" t="s">
        <v>34</v>
      </c>
      <c r="C3154" t="s">
        <v>325</v>
      </c>
      <c r="D3154" t="s">
        <v>35</v>
      </c>
      <c r="E3154" t="s">
        <v>357</v>
      </c>
      <c r="F3154" t="s">
        <v>394</v>
      </c>
      <c r="G3154" t="s">
        <v>36</v>
      </c>
      <c r="H3154" t="s">
        <v>43</v>
      </c>
      <c r="I3154" s="187">
        <v>0</v>
      </c>
      <c r="J3154" s="187">
        <v>31.718328475952148</v>
      </c>
      <c r="K3154" s="187">
        <v>0</v>
      </c>
      <c r="L3154" s="187">
        <v>0</v>
      </c>
      <c r="M3154" s="187">
        <v>31.718328475952148</v>
      </c>
      <c r="N3154" s="187">
        <v>0</v>
      </c>
      <c r="O3154" t="s">
        <v>3613</v>
      </c>
    </row>
    <row r="3155" spans="1:15" hidden="1" x14ac:dyDescent="0.45">
      <c r="A3155" s="187">
        <v>2019</v>
      </c>
      <c r="B3155" t="s">
        <v>34</v>
      </c>
      <c r="C3155" t="s">
        <v>325</v>
      </c>
      <c r="D3155" t="s">
        <v>35</v>
      </c>
      <c r="E3155" t="s">
        <v>357</v>
      </c>
      <c r="F3155" t="s">
        <v>394</v>
      </c>
      <c r="G3155" t="s">
        <v>37</v>
      </c>
      <c r="H3155" t="s">
        <v>43</v>
      </c>
      <c r="I3155" s="187">
        <v>0</v>
      </c>
      <c r="J3155" s="187">
        <v>28</v>
      </c>
      <c r="K3155" s="187">
        <v>0</v>
      </c>
      <c r="L3155" s="187">
        <v>0</v>
      </c>
      <c r="M3155" s="187">
        <v>28</v>
      </c>
      <c r="N3155" s="187">
        <v>0</v>
      </c>
      <c r="O3155" t="s">
        <v>3614</v>
      </c>
    </row>
    <row r="3156" spans="1:15" hidden="1" x14ac:dyDescent="0.45">
      <c r="A3156" s="187">
        <v>2019</v>
      </c>
      <c r="B3156" t="s">
        <v>34</v>
      </c>
      <c r="C3156" t="s">
        <v>325</v>
      </c>
      <c r="D3156" t="s">
        <v>35</v>
      </c>
      <c r="E3156" t="s">
        <v>357</v>
      </c>
      <c r="F3156" t="s">
        <v>395</v>
      </c>
      <c r="G3156" t="s">
        <v>36</v>
      </c>
      <c r="H3156" t="s">
        <v>43</v>
      </c>
      <c r="I3156" s="187">
        <v>3.5762641429901123</v>
      </c>
      <c r="J3156" s="187">
        <v>0</v>
      </c>
      <c r="K3156" s="187">
        <v>0</v>
      </c>
      <c r="L3156" s="187">
        <v>420.26785278320313</v>
      </c>
      <c r="M3156" s="187">
        <v>423.8441162109375</v>
      </c>
      <c r="N3156" s="187">
        <v>423.8441162109375</v>
      </c>
      <c r="O3156" t="s">
        <v>3615</v>
      </c>
    </row>
    <row r="3157" spans="1:15" hidden="1" x14ac:dyDescent="0.45">
      <c r="A3157" s="187">
        <v>2019</v>
      </c>
      <c r="B3157" t="s">
        <v>34</v>
      </c>
      <c r="C3157" t="s">
        <v>325</v>
      </c>
      <c r="D3157" t="s">
        <v>35</v>
      </c>
      <c r="E3157" t="s">
        <v>357</v>
      </c>
      <c r="F3157" t="s">
        <v>395</v>
      </c>
      <c r="G3157" t="s">
        <v>37</v>
      </c>
      <c r="H3157" t="s">
        <v>43</v>
      </c>
      <c r="I3157" s="187">
        <v>3.1570200000000002</v>
      </c>
      <c r="J3157" s="187">
        <v>0</v>
      </c>
      <c r="K3157" s="187">
        <v>0</v>
      </c>
      <c r="L3157" s="187">
        <v>371</v>
      </c>
      <c r="M3157" s="187">
        <v>374.15701293945313</v>
      </c>
      <c r="N3157" s="187">
        <v>374.15701293945313</v>
      </c>
      <c r="O3157" t="s">
        <v>3616</v>
      </c>
    </row>
    <row r="3158" spans="1:15" hidden="1" x14ac:dyDescent="0.45">
      <c r="A3158" s="187">
        <v>2019</v>
      </c>
      <c r="B3158" t="s">
        <v>34</v>
      </c>
      <c r="C3158" t="s">
        <v>325</v>
      </c>
      <c r="D3158" t="s">
        <v>35</v>
      </c>
      <c r="E3158" t="s">
        <v>357</v>
      </c>
      <c r="F3158" t="s">
        <v>396</v>
      </c>
      <c r="G3158" t="s">
        <v>36</v>
      </c>
      <c r="H3158" t="s">
        <v>43</v>
      </c>
      <c r="I3158" s="187">
        <v>0</v>
      </c>
      <c r="J3158" s="187">
        <v>0</v>
      </c>
      <c r="K3158" s="187">
        <v>29.09344482421875</v>
      </c>
      <c r="L3158" s="187">
        <v>74.764633178710938</v>
      </c>
      <c r="M3158" s="187">
        <v>103.85807800292969</v>
      </c>
      <c r="N3158" s="187">
        <v>74.764633178710938</v>
      </c>
      <c r="O3158" t="s">
        <v>3617</v>
      </c>
    </row>
    <row r="3159" spans="1:15" hidden="1" x14ac:dyDescent="0.45">
      <c r="A3159" s="187">
        <v>2019</v>
      </c>
      <c r="B3159" t="s">
        <v>34</v>
      </c>
      <c r="C3159" t="s">
        <v>325</v>
      </c>
      <c r="D3159" t="s">
        <v>35</v>
      </c>
      <c r="E3159" t="s">
        <v>357</v>
      </c>
      <c r="F3159" t="s">
        <v>396</v>
      </c>
      <c r="G3159" t="s">
        <v>37</v>
      </c>
      <c r="H3159" t="s">
        <v>43</v>
      </c>
      <c r="I3159" s="187">
        <v>0</v>
      </c>
      <c r="J3159" s="187">
        <v>0</v>
      </c>
      <c r="K3159" s="187">
        <v>25.682829999999999</v>
      </c>
      <c r="L3159" s="187">
        <v>66</v>
      </c>
      <c r="M3159" s="187">
        <v>91.682830810546875</v>
      </c>
      <c r="N3159" s="187">
        <v>66</v>
      </c>
      <c r="O3159" t="s">
        <v>3618</v>
      </c>
    </row>
    <row r="3160" spans="1:15" hidden="1" x14ac:dyDescent="0.45">
      <c r="A3160" s="187">
        <v>2019</v>
      </c>
      <c r="B3160" t="s">
        <v>34</v>
      </c>
      <c r="C3160" t="s">
        <v>325</v>
      </c>
      <c r="D3160" t="s">
        <v>35</v>
      </c>
      <c r="E3160" t="s">
        <v>357</v>
      </c>
      <c r="F3160" t="s">
        <v>415</v>
      </c>
      <c r="G3160" t="s">
        <v>36</v>
      </c>
      <c r="H3160" t="s">
        <v>43</v>
      </c>
      <c r="I3160" s="187">
        <v>545.719482421875</v>
      </c>
      <c r="J3160" s="187">
        <v>31.718328475952148</v>
      </c>
      <c r="K3160" s="187">
        <v>29.09344482421875</v>
      </c>
      <c r="L3160" s="187">
        <v>565.26593017578125</v>
      </c>
      <c r="M3160" s="187">
        <v>1171.797119140625</v>
      </c>
      <c r="N3160" s="187">
        <v>1110.9853515625</v>
      </c>
      <c r="O3160" t="s">
        <v>3619</v>
      </c>
    </row>
    <row r="3161" spans="1:15" hidden="1" x14ac:dyDescent="0.45">
      <c r="A3161" s="187">
        <v>2019</v>
      </c>
      <c r="B3161" t="s">
        <v>34</v>
      </c>
      <c r="C3161" t="s">
        <v>325</v>
      </c>
      <c r="D3161" t="s">
        <v>35</v>
      </c>
      <c r="E3161" t="s">
        <v>357</v>
      </c>
      <c r="F3161" t="s">
        <v>415</v>
      </c>
      <c r="G3161" t="s">
        <v>37</v>
      </c>
      <c r="H3161" t="s">
        <v>43</v>
      </c>
      <c r="I3161" s="187">
        <v>481.74498999999997</v>
      </c>
      <c r="J3161" s="187">
        <v>28</v>
      </c>
      <c r="K3161" s="187">
        <v>25.682829999999999</v>
      </c>
      <c r="L3161" s="187">
        <v>499</v>
      </c>
      <c r="M3161" s="187">
        <v>1034.427734375</v>
      </c>
      <c r="N3161" s="187">
        <v>980.7449951171875</v>
      </c>
      <c r="O3161" t="s">
        <v>3620</v>
      </c>
    </row>
    <row r="3162" spans="1:15" hidden="1" x14ac:dyDescent="0.45">
      <c r="A3162" s="187">
        <v>2019</v>
      </c>
      <c r="B3162" t="s">
        <v>34</v>
      </c>
      <c r="C3162" t="s">
        <v>325</v>
      </c>
      <c r="D3162" t="s">
        <v>35</v>
      </c>
      <c r="E3162" t="s">
        <v>357</v>
      </c>
      <c r="F3162" t="s">
        <v>416</v>
      </c>
      <c r="G3162" t="s">
        <v>36</v>
      </c>
      <c r="H3162" t="s">
        <v>43</v>
      </c>
      <c r="I3162" s="187">
        <v>0</v>
      </c>
      <c r="J3162" s="187">
        <v>0</v>
      </c>
      <c r="K3162" s="187">
        <v>0</v>
      </c>
      <c r="L3162" s="187">
        <v>0</v>
      </c>
      <c r="M3162" s="187">
        <v>0</v>
      </c>
      <c r="N3162" s="187">
        <v>0</v>
      </c>
      <c r="O3162" t="s">
        <v>3621</v>
      </c>
    </row>
    <row r="3163" spans="1:15" hidden="1" x14ac:dyDescent="0.45">
      <c r="A3163" s="187">
        <v>2019</v>
      </c>
      <c r="B3163" t="s">
        <v>34</v>
      </c>
      <c r="C3163" t="s">
        <v>325</v>
      </c>
      <c r="D3163" t="s">
        <v>35</v>
      </c>
      <c r="E3163" t="s">
        <v>357</v>
      </c>
      <c r="F3163" t="s">
        <v>416</v>
      </c>
      <c r="G3163" t="s">
        <v>37</v>
      </c>
      <c r="H3163" t="s">
        <v>43</v>
      </c>
      <c r="I3163" s="187">
        <v>0</v>
      </c>
      <c r="J3163" s="187">
        <v>0</v>
      </c>
      <c r="K3163" s="187">
        <v>0</v>
      </c>
      <c r="L3163" s="187">
        <v>0</v>
      </c>
      <c r="M3163" s="187">
        <v>0</v>
      </c>
      <c r="N3163" s="187">
        <v>0</v>
      </c>
      <c r="O3163" t="s">
        <v>3622</v>
      </c>
    </row>
    <row r="3164" spans="1:15" hidden="1" x14ac:dyDescent="0.45">
      <c r="A3164" s="187">
        <v>2019</v>
      </c>
      <c r="B3164" t="s">
        <v>34</v>
      </c>
      <c r="C3164" t="s">
        <v>325</v>
      </c>
      <c r="D3164" t="s">
        <v>35</v>
      </c>
      <c r="E3164" t="s">
        <v>357</v>
      </c>
      <c r="F3164" t="s">
        <v>417</v>
      </c>
      <c r="G3164" t="s">
        <v>36</v>
      </c>
      <c r="H3164" t="s">
        <v>43</v>
      </c>
      <c r="I3164" s="187">
        <v>0</v>
      </c>
      <c r="J3164" s="187">
        <v>83.827011108398438</v>
      </c>
      <c r="K3164" s="187">
        <v>0</v>
      </c>
      <c r="L3164" s="187">
        <v>0</v>
      </c>
      <c r="M3164" s="187">
        <v>83.827011108398438</v>
      </c>
      <c r="N3164" s="187">
        <v>0</v>
      </c>
      <c r="O3164" t="s">
        <v>3623</v>
      </c>
    </row>
    <row r="3165" spans="1:15" hidden="1" x14ac:dyDescent="0.45">
      <c r="A3165" s="187">
        <v>2019</v>
      </c>
      <c r="B3165" t="s">
        <v>34</v>
      </c>
      <c r="C3165" t="s">
        <v>325</v>
      </c>
      <c r="D3165" t="s">
        <v>35</v>
      </c>
      <c r="E3165" t="s">
        <v>357</v>
      </c>
      <c r="F3165" t="s">
        <v>417</v>
      </c>
      <c r="G3165" t="s">
        <v>37</v>
      </c>
      <c r="H3165" t="s">
        <v>43</v>
      </c>
      <c r="I3165" s="187">
        <v>0</v>
      </c>
      <c r="J3165" s="187">
        <v>74</v>
      </c>
      <c r="K3165" s="187">
        <v>0</v>
      </c>
      <c r="L3165" s="187">
        <v>0</v>
      </c>
      <c r="M3165" s="187">
        <v>74</v>
      </c>
      <c r="N3165" s="187">
        <v>0</v>
      </c>
      <c r="O3165" t="s">
        <v>3624</v>
      </c>
    </row>
    <row r="3166" spans="1:15" hidden="1" x14ac:dyDescent="0.45">
      <c r="A3166" s="187">
        <v>2019</v>
      </c>
      <c r="B3166" t="s">
        <v>34</v>
      </c>
      <c r="C3166" t="s">
        <v>325</v>
      </c>
      <c r="D3166" t="s">
        <v>35</v>
      </c>
      <c r="E3166" t="s">
        <v>357</v>
      </c>
      <c r="F3166" t="s">
        <v>418</v>
      </c>
      <c r="G3166" t="s">
        <v>36</v>
      </c>
      <c r="H3166" t="s">
        <v>43</v>
      </c>
      <c r="I3166" s="187">
        <v>0</v>
      </c>
      <c r="J3166" s="187">
        <v>22.655948638916016</v>
      </c>
      <c r="K3166" s="187">
        <v>0</v>
      </c>
      <c r="L3166" s="187">
        <v>0</v>
      </c>
      <c r="M3166" s="187">
        <v>22.655948638916016</v>
      </c>
      <c r="N3166" s="187">
        <v>0</v>
      </c>
      <c r="O3166" t="s">
        <v>3625</v>
      </c>
    </row>
    <row r="3167" spans="1:15" hidden="1" x14ac:dyDescent="0.45">
      <c r="A3167" s="187">
        <v>2019</v>
      </c>
      <c r="B3167" t="s">
        <v>34</v>
      </c>
      <c r="C3167" t="s">
        <v>325</v>
      </c>
      <c r="D3167" t="s">
        <v>35</v>
      </c>
      <c r="E3167" t="s">
        <v>357</v>
      </c>
      <c r="F3167" t="s">
        <v>418</v>
      </c>
      <c r="G3167" t="s">
        <v>37</v>
      </c>
      <c r="H3167" t="s">
        <v>43</v>
      </c>
      <c r="I3167" s="187">
        <v>0</v>
      </c>
      <c r="J3167" s="187">
        <v>20</v>
      </c>
      <c r="K3167" s="187">
        <v>0</v>
      </c>
      <c r="L3167" s="187">
        <v>0</v>
      </c>
      <c r="M3167" s="187">
        <v>20</v>
      </c>
      <c r="N3167" s="187">
        <v>0</v>
      </c>
      <c r="O3167" t="s">
        <v>3626</v>
      </c>
    </row>
    <row r="3168" spans="1:15" hidden="1" x14ac:dyDescent="0.45">
      <c r="A3168" s="187">
        <v>2019</v>
      </c>
      <c r="B3168" t="s">
        <v>34</v>
      </c>
      <c r="C3168" t="s">
        <v>325</v>
      </c>
      <c r="D3168" t="s">
        <v>35</v>
      </c>
      <c r="E3168" t="s">
        <v>357</v>
      </c>
      <c r="F3168" t="s">
        <v>419</v>
      </c>
      <c r="G3168" t="s">
        <v>36</v>
      </c>
      <c r="H3168" t="s">
        <v>43</v>
      </c>
      <c r="I3168" s="187">
        <v>0</v>
      </c>
      <c r="J3168" s="187">
        <v>29.452733993530273</v>
      </c>
      <c r="K3168" s="187">
        <v>0</v>
      </c>
      <c r="L3168" s="187">
        <v>0</v>
      </c>
      <c r="M3168" s="187">
        <v>29.452733993530273</v>
      </c>
      <c r="N3168" s="187">
        <v>0</v>
      </c>
      <c r="O3168" t="s">
        <v>3627</v>
      </c>
    </row>
    <row r="3169" spans="1:15" hidden="1" x14ac:dyDescent="0.45">
      <c r="A3169" s="187">
        <v>2019</v>
      </c>
      <c r="B3169" t="s">
        <v>34</v>
      </c>
      <c r="C3169" t="s">
        <v>325</v>
      </c>
      <c r="D3169" t="s">
        <v>35</v>
      </c>
      <c r="E3169" t="s">
        <v>357</v>
      </c>
      <c r="F3169" t="s">
        <v>419</v>
      </c>
      <c r="G3169" t="s">
        <v>37</v>
      </c>
      <c r="H3169" t="s">
        <v>43</v>
      </c>
      <c r="I3169" s="187">
        <v>0</v>
      </c>
      <c r="J3169" s="187">
        <v>26</v>
      </c>
      <c r="K3169" s="187">
        <v>0</v>
      </c>
      <c r="L3169" s="187">
        <v>0</v>
      </c>
      <c r="M3169" s="187">
        <v>26</v>
      </c>
      <c r="N3169" s="187">
        <v>0</v>
      </c>
      <c r="O3169" t="s">
        <v>3628</v>
      </c>
    </row>
    <row r="3170" spans="1:15" hidden="1" x14ac:dyDescent="0.45">
      <c r="A3170" s="187">
        <v>2019</v>
      </c>
      <c r="B3170" t="s">
        <v>34</v>
      </c>
      <c r="C3170" t="s">
        <v>325</v>
      </c>
      <c r="D3170" t="s">
        <v>35</v>
      </c>
      <c r="E3170" t="s">
        <v>357</v>
      </c>
      <c r="F3170" t="s">
        <v>420</v>
      </c>
      <c r="G3170" t="s">
        <v>36</v>
      </c>
      <c r="H3170" t="s">
        <v>43</v>
      </c>
      <c r="I3170" s="187">
        <v>0</v>
      </c>
      <c r="J3170" s="187">
        <v>135.93569946289063</v>
      </c>
      <c r="K3170" s="187">
        <v>0</v>
      </c>
      <c r="L3170" s="187">
        <v>0</v>
      </c>
      <c r="M3170" s="187">
        <v>135.93569946289063</v>
      </c>
      <c r="N3170" s="187">
        <v>0</v>
      </c>
      <c r="O3170" t="s">
        <v>3629</v>
      </c>
    </row>
    <row r="3171" spans="1:15" hidden="1" x14ac:dyDescent="0.45">
      <c r="A3171" s="187">
        <v>2019</v>
      </c>
      <c r="B3171" t="s">
        <v>34</v>
      </c>
      <c r="C3171" t="s">
        <v>325</v>
      </c>
      <c r="D3171" t="s">
        <v>35</v>
      </c>
      <c r="E3171" t="s">
        <v>357</v>
      </c>
      <c r="F3171" t="s">
        <v>420</v>
      </c>
      <c r="G3171" t="s">
        <v>37</v>
      </c>
      <c r="H3171" t="s">
        <v>43</v>
      </c>
      <c r="I3171" s="187">
        <v>0</v>
      </c>
      <c r="J3171" s="187">
        <v>120</v>
      </c>
      <c r="K3171" s="187">
        <v>0</v>
      </c>
      <c r="L3171" s="187">
        <v>0</v>
      </c>
      <c r="M3171" s="187">
        <v>120</v>
      </c>
      <c r="N3171" s="187">
        <v>0</v>
      </c>
      <c r="O3171" t="s">
        <v>3630</v>
      </c>
    </row>
    <row r="3172" spans="1:15" hidden="1" x14ac:dyDescent="0.45">
      <c r="A3172" s="187">
        <v>2019</v>
      </c>
      <c r="B3172" t="s">
        <v>34</v>
      </c>
      <c r="C3172" t="s">
        <v>325</v>
      </c>
      <c r="D3172" t="s">
        <v>35</v>
      </c>
      <c r="E3172" t="s">
        <v>357</v>
      </c>
      <c r="F3172" t="s">
        <v>402</v>
      </c>
      <c r="G3172" t="s">
        <v>36</v>
      </c>
      <c r="H3172" t="s">
        <v>43</v>
      </c>
      <c r="I3172" s="187">
        <v>0</v>
      </c>
      <c r="J3172" s="187">
        <v>14.726366996765137</v>
      </c>
      <c r="K3172" s="187">
        <v>0</v>
      </c>
      <c r="L3172" s="187">
        <v>0</v>
      </c>
      <c r="M3172" s="187">
        <v>14.726366996765137</v>
      </c>
      <c r="N3172" s="187">
        <v>0</v>
      </c>
      <c r="O3172" t="s">
        <v>3631</v>
      </c>
    </row>
    <row r="3173" spans="1:15" hidden="1" x14ac:dyDescent="0.45">
      <c r="A3173" s="187">
        <v>2019</v>
      </c>
      <c r="B3173" t="s">
        <v>34</v>
      </c>
      <c r="C3173" t="s">
        <v>325</v>
      </c>
      <c r="D3173" t="s">
        <v>35</v>
      </c>
      <c r="E3173" t="s">
        <v>357</v>
      </c>
      <c r="F3173" t="s">
        <v>402</v>
      </c>
      <c r="G3173" t="s">
        <v>37</v>
      </c>
      <c r="H3173" t="s">
        <v>43</v>
      </c>
      <c r="I3173" s="187">
        <v>0</v>
      </c>
      <c r="J3173" s="187">
        <v>13</v>
      </c>
      <c r="K3173" s="187">
        <v>0</v>
      </c>
      <c r="L3173" s="187">
        <v>0</v>
      </c>
      <c r="M3173" s="187">
        <v>13</v>
      </c>
      <c r="N3173" s="187">
        <v>0</v>
      </c>
      <c r="O3173" t="s">
        <v>3632</v>
      </c>
    </row>
    <row r="3174" spans="1:15" hidden="1" x14ac:dyDescent="0.45">
      <c r="A3174" s="187">
        <v>2019</v>
      </c>
      <c r="B3174" t="s">
        <v>34</v>
      </c>
      <c r="C3174" t="s">
        <v>325</v>
      </c>
      <c r="D3174" t="s">
        <v>35</v>
      </c>
      <c r="E3174" t="s">
        <v>357</v>
      </c>
      <c r="F3174" t="s">
        <v>403</v>
      </c>
      <c r="G3174" t="s">
        <v>36</v>
      </c>
      <c r="H3174" t="s">
        <v>43</v>
      </c>
      <c r="I3174" s="187">
        <v>2760.21875</v>
      </c>
      <c r="J3174" s="187">
        <v>0</v>
      </c>
      <c r="K3174" s="187">
        <v>1540.406982421875</v>
      </c>
      <c r="L3174" s="187">
        <v>592.45306396484375</v>
      </c>
      <c r="M3174" s="187">
        <v>4893.0791015625</v>
      </c>
      <c r="N3174" s="187">
        <v>3352.671875</v>
      </c>
      <c r="O3174" t="s">
        <v>3633</v>
      </c>
    </row>
    <row r="3175" spans="1:15" hidden="1" x14ac:dyDescent="0.45">
      <c r="A3175" s="187">
        <v>2019</v>
      </c>
      <c r="B3175" t="s">
        <v>34</v>
      </c>
      <c r="C3175" t="s">
        <v>325</v>
      </c>
      <c r="D3175" t="s">
        <v>35</v>
      </c>
      <c r="E3175" t="s">
        <v>357</v>
      </c>
      <c r="F3175" t="s">
        <v>403</v>
      </c>
      <c r="G3175" t="s">
        <v>37</v>
      </c>
      <c r="H3175" t="s">
        <v>43</v>
      </c>
      <c r="I3175" s="187">
        <v>2436.6393700000008</v>
      </c>
      <c r="J3175" s="187">
        <v>0</v>
      </c>
      <c r="K3175" s="187">
        <v>1359.8256699999999</v>
      </c>
      <c r="L3175" s="187">
        <v>523</v>
      </c>
      <c r="M3175" s="187">
        <v>4319.46484375</v>
      </c>
      <c r="N3175" s="187">
        <v>2959.639404296875</v>
      </c>
      <c r="O3175" t="s">
        <v>3634</v>
      </c>
    </row>
    <row r="3176" spans="1:15" hidden="1" x14ac:dyDescent="0.45">
      <c r="A3176" s="187">
        <v>2019</v>
      </c>
      <c r="B3176" t="s">
        <v>34</v>
      </c>
      <c r="C3176" t="s">
        <v>325</v>
      </c>
      <c r="D3176" t="s">
        <v>35</v>
      </c>
      <c r="E3176" t="s">
        <v>357</v>
      </c>
      <c r="F3176" t="s">
        <v>405</v>
      </c>
      <c r="G3176" t="s">
        <v>36</v>
      </c>
      <c r="H3176" t="s">
        <v>43</v>
      </c>
      <c r="I3176" s="187">
        <v>0</v>
      </c>
      <c r="J3176" s="187">
        <v>16.991962432861328</v>
      </c>
      <c r="K3176" s="187">
        <v>7.7436671257019043</v>
      </c>
      <c r="L3176" s="187">
        <v>88.358200073242188</v>
      </c>
      <c r="M3176" s="187">
        <v>113.09382629394531</v>
      </c>
      <c r="N3176" s="187">
        <v>88.358200073242188</v>
      </c>
      <c r="O3176" t="s">
        <v>3635</v>
      </c>
    </row>
    <row r="3177" spans="1:15" hidden="1" x14ac:dyDescent="0.45">
      <c r="A3177" s="187">
        <v>2019</v>
      </c>
      <c r="B3177" t="s">
        <v>34</v>
      </c>
      <c r="C3177" t="s">
        <v>325</v>
      </c>
      <c r="D3177" t="s">
        <v>35</v>
      </c>
      <c r="E3177" t="s">
        <v>357</v>
      </c>
      <c r="F3177" t="s">
        <v>405</v>
      </c>
      <c r="G3177" t="s">
        <v>37</v>
      </c>
      <c r="H3177" t="s">
        <v>43</v>
      </c>
      <c r="I3177" s="187">
        <v>0</v>
      </c>
      <c r="J3177" s="187">
        <v>15</v>
      </c>
      <c r="K3177" s="187">
        <v>6.8358800000000004</v>
      </c>
      <c r="L3177" s="187">
        <v>78</v>
      </c>
      <c r="M3177" s="187">
        <v>99.83587646484375</v>
      </c>
      <c r="N3177" s="187">
        <v>78</v>
      </c>
      <c r="O3177" t="s">
        <v>3636</v>
      </c>
    </row>
    <row r="3178" spans="1:15" hidden="1" x14ac:dyDescent="0.45">
      <c r="A3178" s="187">
        <v>2019</v>
      </c>
      <c r="B3178" t="s">
        <v>34</v>
      </c>
      <c r="C3178" t="s">
        <v>325</v>
      </c>
      <c r="D3178" t="s">
        <v>35</v>
      </c>
      <c r="E3178" t="s">
        <v>357</v>
      </c>
      <c r="F3178" t="s">
        <v>406</v>
      </c>
      <c r="G3178" t="s">
        <v>36</v>
      </c>
      <c r="H3178" t="s">
        <v>43</v>
      </c>
      <c r="I3178" s="187">
        <v>0</v>
      </c>
      <c r="J3178" s="187">
        <v>0</v>
      </c>
      <c r="K3178" s="187">
        <v>0</v>
      </c>
      <c r="L3178" s="187">
        <v>0</v>
      </c>
      <c r="M3178" s="187">
        <v>0</v>
      </c>
      <c r="N3178" s="187">
        <v>0</v>
      </c>
      <c r="O3178" t="s">
        <v>3637</v>
      </c>
    </row>
    <row r="3179" spans="1:15" hidden="1" x14ac:dyDescent="0.45">
      <c r="A3179" s="187">
        <v>2019</v>
      </c>
      <c r="B3179" t="s">
        <v>34</v>
      </c>
      <c r="C3179" t="s">
        <v>325</v>
      </c>
      <c r="D3179" t="s">
        <v>35</v>
      </c>
      <c r="E3179" t="s">
        <v>357</v>
      </c>
      <c r="F3179" t="s">
        <v>406</v>
      </c>
      <c r="G3179" t="s">
        <v>37</v>
      </c>
      <c r="H3179" t="s">
        <v>43</v>
      </c>
      <c r="I3179" s="187">
        <v>0</v>
      </c>
      <c r="J3179" s="187">
        <v>0</v>
      </c>
      <c r="K3179" s="187">
        <v>0</v>
      </c>
      <c r="L3179" s="187">
        <v>0</v>
      </c>
      <c r="M3179" s="187">
        <v>0</v>
      </c>
      <c r="N3179" s="187">
        <v>0</v>
      </c>
      <c r="O3179" t="s">
        <v>3638</v>
      </c>
    </row>
    <row r="3180" spans="1:15" hidden="1" x14ac:dyDescent="0.45">
      <c r="A3180" s="187">
        <v>2019</v>
      </c>
      <c r="B3180" t="s">
        <v>34</v>
      </c>
      <c r="C3180" t="s">
        <v>325</v>
      </c>
      <c r="D3180" t="s">
        <v>35</v>
      </c>
      <c r="E3180" t="s">
        <v>357</v>
      </c>
      <c r="F3180" t="s">
        <v>421</v>
      </c>
      <c r="G3180" t="s">
        <v>36</v>
      </c>
      <c r="H3180" t="s">
        <v>43</v>
      </c>
      <c r="I3180" s="187">
        <v>0</v>
      </c>
      <c r="J3180" s="187">
        <v>2.2655949592590332</v>
      </c>
      <c r="K3180" s="187">
        <v>0</v>
      </c>
      <c r="L3180" s="187">
        <v>83.827011108398438</v>
      </c>
      <c r="M3180" s="187">
        <v>86.092605590820313</v>
      </c>
      <c r="N3180" s="187">
        <v>83.827011108398438</v>
      </c>
      <c r="O3180" t="s">
        <v>3639</v>
      </c>
    </row>
    <row r="3181" spans="1:15" hidden="1" x14ac:dyDescent="0.45">
      <c r="A3181" s="187">
        <v>2019</v>
      </c>
      <c r="B3181" t="s">
        <v>34</v>
      </c>
      <c r="C3181" t="s">
        <v>325</v>
      </c>
      <c r="D3181" t="s">
        <v>35</v>
      </c>
      <c r="E3181" t="s">
        <v>357</v>
      </c>
      <c r="F3181" t="s">
        <v>421</v>
      </c>
      <c r="G3181" t="s">
        <v>37</v>
      </c>
      <c r="H3181" t="s">
        <v>43</v>
      </c>
      <c r="I3181" s="187">
        <v>0</v>
      </c>
      <c r="J3181" s="187">
        <v>2</v>
      </c>
      <c r="K3181" s="187">
        <v>0</v>
      </c>
      <c r="L3181" s="187">
        <v>74</v>
      </c>
      <c r="M3181" s="187">
        <v>76</v>
      </c>
      <c r="N3181" s="187">
        <v>74</v>
      </c>
      <c r="O3181" t="s">
        <v>3640</v>
      </c>
    </row>
    <row r="3182" spans="1:15" hidden="1" x14ac:dyDescent="0.45">
      <c r="A3182" s="187">
        <v>2019</v>
      </c>
      <c r="B3182" t="s">
        <v>34</v>
      </c>
      <c r="C3182" t="s">
        <v>325</v>
      </c>
      <c r="D3182" t="s">
        <v>35</v>
      </c>
      <c r="E3182" t="s">
        <v>357</v>
      </c>
      <c r="F3182" t="s">
        <v>422</v>
      </c>
      <c r="G3182" t="s">
        <v>36</v>
      </c>
      <c r="H3182" t="s">
        <v>43</v>
      </c>
      <c r="I3182" s="187">
        <v>2760.21875</v>
      </c>
      <c r="J3182" s="187">
        <v>33.983924865722656</v>
      </c>
      <c r="K3182" s="187">
        <v>1548.1507568359375</v>
      </c>
      <c r="L3182" s="187">
        <v>764.63824462890625</v>
      </c>
      <c r="M3182" s="187">
        <v>5106.99169921875</v>
      </c>
      <c r="N3182" s="187">
        <v>3524.85693359375</v>
      </c>
      <c r="O3182" t="s">
        <v>3641</v>
      </c>
    </row>
    <row r="3183" spans="1:15" hidden="1" x14ac:dyDescent="0.45">
      <c r="A3183" s="187">
        <v>2019</v>
      </c>
      <c r="B3183" t="s">
        <v>34</v>
      </c>
      <c r="C3183" t="s">
        <v>325</v>
      </c>
      <c r="D3183" t="s">
        <v>35</v>
      </c>
      <c r="E3183" t="s">
        <v>357</v>
      </c>
      <c r="F3183" t="s">
        <v>422</v>
      </c>
      <c r="G3183" t="s">
        <v>37</v>
      </c>
      <c r="H3183" t="s">
        <v>43</v>
      </c>
      <c r="I3183" s="187">
        <v>2436.6393700000008</v>
      </c>
      <c r="J3183" s="187">
        <v>30</v>
      </c>
      <c r="K3183" s="187">
        <v>1366.66155</v>
      </c>
      <c r="L3183" s="187">
        <v>675</v>
      </c>
      <c r="M3183" s="187">
        <v>4508.30078125</v>
      </c>
      <c r="N3183" s="187">
        <v>3111.639404296875</v>
      </c>
      <c r="O3183" t="s">
        <v>3642</v>
      </c>
    </row>
    <row r="3184" spans="1:15" hidden="1" x14ac:dyDescent="0.45">
      <c r="A3184" s="187">
        <v>2019</v>
      </c>
      <c r="B3184" t="s">
        <v>34</v>
      </c>
      <c r="C3184" t="s">
        <v>325</v>
      </c>
      <c r="D3184" t="s">
        <v>35</v>
      </c>
      <c r="E3184" t="s">
        <v>357</v>
      </c>
      <c r="F3184" t="s">
        <v>423</v>
      </c>
      <c r="G3184" t="s">
        <v>36</v>
      </c>
      <c r="H3184" t="s">
        <v>43</v>
      </c>
      <c r="I3184" s="187">
        <v>15.700662612915039</v>
      </c>
      <c r="J3184" s="187">
        <v>0</v>
      </c>
      <c r="K3184" s="187">
        <v>280.73660278320313</v>
      </c>
      <c r="L3184" s="187">
        <v>30.585531234741211</v>
      </c>
      <c r="M3184" s="187">
        <v>327.02279663085938</v>
      </c>
      <c r="N3184" s="187">
        <v>46.28619384765625</v>
      </c>
      <c r="O3184" t="s">
        <v>3643</v>
      </c>
    </row>
    <row r="3185" spans="1:15" hidden="1" x14ac:dyDescent="0.45">
      <c r="A3185" s="187">
        <v>2019</v>
      </c>
      <c r="B3185" t="s">
        <v>34</v>
      </c>
      <c r="C3185" t="s">
        <v>325</v>
      </c>
      <c r="D3185" t="s">
        <v>35</v>
      </c>
      <c r="E3185" t="s">
        <v>357</v>
      </c>
      <c r="F3185" t="s">
        <v>423</v>
      </c>
      <c r="G3185" t="s">
        <v>37</v>
      </c>
      <c r="H3185" t="s">
        <v>43</v>
      </c>
      <c r="I3185" s="187">
        <v>13.86008</v>
      </c>
      <c r="J3185" s="187">
        <v>0</v>
      </c>
      <c r="K3185" s="187">
        <v>247.82594</v>
      </c>
      <c r="L3185" s="187">
        <v>27</v>
      </c>
      <c r="M3185" s="187">
        <v>288.68600463867188</v>
      </c>
      <c r="N3185" s="187">
        <v>40.860080718994141</v>
      </c>
      <c r="O3185" t="s">
        <v>3644</v>
      </c>
    </row>
    <row r="3186" spans="1:15" hidden="1" x14ac:dyDescent="0.45">
      <c r="A3186" s="187">
        <v>2019</v>
      </c>
      <c r="B3186" t="s">
        <v>34</v>
      </c>
      <c r="C3186" t="s">
        <v>325</v>
      </c>
      <c r="D3186" t="s">
        <v>35</v>
      </c>
      <c r="E3186" t="s">
        <v>357</v>
      </c>
      <c r="F3186" t="s">
        <v>424</v>
      </c>
      <c r="G3186" t="s">
        <v>36</v>
      </c>
      <c r="H3186" t="s">
        <v>43</v>
      </c>
      <c r="I3186" s="187">
        <v>0</v>
      </c>
      <c r="J3186" s="187">
        <v>0</v>
      </c>
      <c r="K3186" s="187">
        <v>0</v>
      </c>
      <c r="L3186" s="187">
        <v>0</v>
      </c>
      <c r="M3186" s="187">
        <v>0</v>
      </c>
      <c r="N3186" s="187">
        <v>0</v>
      </c>
      <c r="O3186" t="s">
        <v>3645</v>
      </c>
    </row>
    <row r="3187" spans="1:15" hidden="1" x14ac:dyDescent="0.45">
      <c r="A3187" s="187">
        <v>2019</v>
      </c>
      <c r="B3187" t="s">
        <v>34</v>
      </c>
      <c r="C3187" t="s">
        <v>325</v>
      </c>
      <c r="D3187" t="s">
        <v>35</v>
      </c>
      <c r="E3187" t="s">
        <v>357</v>
      </c>
      <c r="F3187" t="s">
        <v>424</v>
      </c>
      <c r="G3187" t="s">
        <v>37</v>
      </c>
      <c r="H3187" t="s">
        <v>43</v>
      </c>
      <c r="I3187" s="187">
        <v>0</v>
      </c>
      <c r="J3187" s="187">
        <v>0</v>
      </c>
      <c r="K3187" s="187">
        <v>0</v>
      </c>
      <c r="L3187" s="187">
        <v>0</v>
      </c>
      <c r="M3187" s="187">
        <v>0</v>
      </c>
      <c r="N3187" s="187">
        <v>0</v>
      </c>
      <c r="O3187" t="s">
        <v>3646</v>
      </c>
    </row>
    <row r="3188" spans="1:15" hidden="1" x14ac:dyDescent="0.45">
      <c r="A3188" s="187">
        <v>2019</v>
      </c>
      <c r="B3188" t="s">
        <v>34</v>
      </c>
      <c r="C3188" t="s">
        <v>325</v>
      </c>
      <c r="D3188" t="s">
        <v>35</v>
      </c>
      <c r="E3188" t="s">
        <v>357</v>
      </c>
      <c r="F3188" t="s">
        <v>446</v>
      </c>
      <c r="G3188" t="s">
        <v>36</v>
      </c>
      <c r="H3188" t="s">
        <v>43</v>
      </c>
      <c r="I3188" s="187">
        <v>687.3720703125</v>
      </c>
      <c r="J3188" s="187">
        <v>0</v>
      </c>
      <c r="K3188" s="187">
        <v>0</v>
      </c>
      <c r="L3188" s="187">
        <v>0</v>
      </c>
      <c r="M3188" s="187">
        <v>687.3720703125</v>
      </c>
      <c r="N3188" s="187">
        <v>687.3720703125</v>
      </c>
      <c r="O3188" t="s">
        <v>3647</v>
      </c>
    </row>
    <row r="3189" spans="1:15" hidden="1" x14ac:dyDescent="0.45">
      <c r="A3189" s="187">
        <v>2019</v>
      </c>
      <c r="B3189" t="s">
        <v>34</v>
      </c>
      <c r="C3189" t="s">
        <v>325</v>
      </c>
      <c r="D3189" t="s">
        <v>35</v>
      </c>
      <c r="E3189" t="s">
        <v>357</v>
      </c>
      <c r="F3189" t="s">
        <v>446</v>
      </c>
      <c r="G3189" t="s">
        <v>37</v>
      </c>
      <c r="H3189" t="s">
        <v>43</v>
      </c>
      <c r="I3189" s="187">
        <v>606.79167000000007</v>
      </c>
      <c r="J3189" s="187">
        <v>0</v>
      </c>
      <c r="K3189" s="187">
        <v>0</v>
      </c>
      <c r="L3189" s="187">
        <v>0</v>
      </c>
      <c r="M3189" s="187">
        <v>606.79168701171875</v>
      </c>
      <c r="N3189" s="187">
        <v>606.79168701171875</v>
      </c>
      <c r="O3189" t="s">
        <v>3648</v>
      </c>
    </row>
    <row r="3190" spans="1:15" hidden="1" x14ac:dyDescent="0.45">
      <c r="A3190" s="187">
        <v>2019</v>
      </c>
      <c r="B3190" t="s">
        <v>34</v>
      </c>
      <c r="C3190" t="s">
        <v>325</v>
      </c>
      <c r="D3190" t="s">
        <v>35</v>
      </c>
      <c r="E3190" t="s">
        <v>357</v>
      </c>
      <c r="F3190" t="s">
        <v>426</v>
      </c>
      <c r="G3190" t="s">
        <v>36</v>
      </c>
      <c r="H3190" t="s">
        <v>43</v>
      </c>
      <c r="I3190" s="187">
        <v>703.07269287109375</v>
      </c>
      <c r="J3190" s="187">
        <v>0</v>
      </c>
      <c r="K3190" s="187">
        <v>280.73660278320313</v>
      </c>
      <c r="L3190" s="187">
        <v>30.585531234741211</v>
      </c>
      <c r="M3190" s="187">
        <v>1014.3948364257813</v>
      </c>
      <c r="N3190" s="187">
        <v>733.658203125</v>
      </c>
      <c r="O3190" t="s">
        <v>3649</v>
      </c>
    </row>
    <row r="3191" spans="1:15" hidden="1" x14ac:dyDescent="0.45">
      <c r="A3191" s="187">
        <v>2019</v>
      </c>
      <c r="B3191" t="s">
        <v>34</v>
      </c>
      <c r="C3191" t="s">
        <v>325</v>
      </c>
      <c r="D3191" t="s">
        <v>35</v>
      </c>
      <c r="E3191" t="s">
        <v>357</v>
      </c>
      <c r="F3191" t="s">
        <v>426</v>
      </c>
      <c r="G3191" t="s">
        <v>37</v>
      </c>
      <c r="H3191" t="s">
        <v>43</v>
      </c>
      <c r="I3191" s="187">
        <v>620.65175000000011</v>
      </c>
      <c r="J3191" s="187">
        <v>0</v>
      </c>
      <c r="K3191" s="187">
        <v>247.82594</v>
      </c>
      <c r="L3191" s="187">
        <v>27</v>
      </c>
      <c r="M3191" s="187">
        <v>895.4776611328125</v>
      </c>
      <c r="N3191" s="187">
        <v>647.6517333984375</v>
      </c>
      <c r="O3191" t="s">
        <v>3650</v>
      </c>
    </row>
    <row r="3192" spans="1:15" hidden="1" x14ac:dyDescent="0.45">
      <c r="A3192" s="187">
        <v>2019</v>
      </c>
      <c r="B3192" t="s">
        <v>34</v>
      </c>
      <c r="C3192" t="s">
        <v>325</v>
      </c>
      <c r="D3192" t="s">
        <v>35</v>
      </c>
      <c r="E3192" t="s">
        <v>358</v>
      </c>
      <c r="F3192" t="s">
        <v>427</v>
      </c>
      <c r="G3192" t="s">
        <v>36</v>
      </c>
      <c r="H3192" t="s">
        <v>43</v>
      </c>
      <c r="I3192" s="187">
        <v>662.53216552734375</v>
      </c>
      <c r="J3192" s="187">
        <v>0</v>
      </c>
      <c r="K3192" s="187">
        <v>183.29557800292969</v>
      </c>
      <c r="L3192" s="187">
        <v>0</v>
      </c>
      <c r="M3192" s="187">
        <v>845.8277587890625</v>
      </c>
      <c r="N3192" s="187">
        <v>662.53216552734375</v>
      </c>
      <c r="O3192" t="s">
        <v>3651</v>
      </c>
    </row>
    <row r="3193" spans="1:15" hidden="1" x14ac:dyDescent="0.45">
      <c r="A3193" s="187">
        <v>2019</v>
      </c>
      <c r="B3193" t="s">
        <v>34</v>
      </c>
      <c r="C3193" t="s">
        <v>325</v>
      </c>
      <c r="D3193" t="s">
        <v>35</v>
      </c>
      <c r="E3193" t="s">
        <v>358</v>
      </c>
      <c r="F3193" t="s">
        <v>427</v>
      </c>
      <c r="G3193" t="s">
        <v>37</v>
      </c>
      <c r="H3193" t="s">
        <v>43</v>
      </c>
      <c r="I3193" s="187">
        <v>584.86375999999996</v>
      </c>
      <c r="J3193" s="187">
        <v>0</v>
      </c>
      <c r="K3193" s="187">
        <v>161.80790999999999</v>
      </c>
      <c r="L3193" s="187">
        <v>0</v>
      </c>
      <c r="M3193" s="187">
        <v>746.67169189453125</v>
      </c>
      <c r="N3193" s="187">
        <v>584.86376953125</v>
      </c>
      <c r="O3193" t="s">
        <v>3652</v>
      </c>
    </row>
    <row r="3194" spans="1:15" hidden="1" x14ac:dyDescent="0.45">
      <c r="A3194" s="187">
        <v>2019</v>
      </c>
      <c r="B3194" t="s">
        <v>34</v>
      </c>
      <c r="C3194" t="s">
        <v>325</v>
      </c>
      <c r="D3194" t="s">
        <v>35</v>
      </c>
      <c r="E3194" t="s">
        <v>358</v>
      </c>
      <c r="F3194" t="s">
        <v>392</v>
      </c>
      <c r="G3194" t="s">
        <v>36</v>
      </c>
      <c r="H3194" t="s">
        <v>43</v>
      </c>
      <c r="I3194" s="187">
        <v>0</v>
      </c>
      <c r="J3194" s="187">
        <v>0</v>
      </c>
      <c r="K3194" s="187">
        <v>0</v>
      </c>
      <c r="L3194" s="187">
        <v>79.295822143554688</v>
      </c>
      <c r="M3194" s="187">
        <v>79.295822143554688</v>
      </c>
      <c r="N3194" s="187">
        <v>79.295822143554688</v>
      </c>
      <c r="O3194" t="s">
        <v>3653</v>
      </c>
    </row>
    <row r="3195" spans="1:15" hidden="1" x14ac:dyDescent="0.45">
      <c r="A3195" s="187">
        <v>2019</v>
      </c>
      <c r="B3195" t="s">
        <v>34</v>
      </c>
      <c r="C3195" t="s">
        <v>325</v>
      </c>
      <c r="D3195" t="s">
        <v>35</v>
      </c>
      <c r="E3195" t="s">
        <v>358</v>
      </c>
      <c r="F3195" t="s">
        <v>392</v>
      </c>
      <c r="G3195" t="s">
        <v>37</v>
      </c>
      <c r="H3195" t="s">
        <v>43</v>
      </c>
      <c r="I3195" s="187">
        <v>0</v>
      </c>
      <c r="J3195" s="187">
        <v>0</v>
      </c>
      <c r="K3195" s="187">
        <v>0</v>
      </c>
      <c r="L3195" s="187">
        <v>70</v>
      </c>
      <c r="M3195" s="187">
        <v>70</v>
      </c>
      <c r="N3195" s="187">
        <v>70</v>
      </c>
      <c r="O3195" t="s">
        <v>3654</v>
      </c>
    </row>
    <row r="3196" spans="1:15" hidden="1" x14ac:dyDescent="0.45">
      <c r="A3196" s="187">
        <v>2019</v>
      </c>
      <c r="B3196" t="s">
        <v>34</v>
      </c>
      <c r="C3196" t="s">
        <v>325</v>
      </c>
      <c r="D3196" t="s">
        <v>35</v>
      </c>
      <c r="E3196" t="s">
        <v>358</v>
      </c>
      <c r="F3196" t="s">
        <v>393</v>
      </c>
      <c r="G3196" t="s">
        <v>36</v>
      </c>
      <c r="H3196" t="s">
        <v>43</v>
      </c>
      <c r="I3196" s="187">
        <v>1366.2861328125</v>
      </c>
      <c r="J3196" s="187">
        <v>0</v>
      </c>
      <c r="K3196" s="187">
        <v>0</v>
      </c>
      <c r="L3196" s="187">
        <v>0</v>
      </c>
      <c r="M3196" s="187">
        <v>1366.2861328125</v>
      </c>
      <c r="N3196" s="187">
        <v>1366.2861328125</v>
      </c>
      <c r="O3196" t="s">
        <v>3655</v>
      </c>
    </row>
    <row r="3197" spans="1:15" hidden="1" x14ac:dyDescent="0.45">
      <c r="A3197" s="187">
        <v>2019</v>
      </c>
      <c r="B3197" t="s">
        <v>34</v>
      </c>
      <c r="C3197" t="s">
        <v>325</v>
      </c>
      <c r="D3197" t="s">
        <v>35</v>
      </c>
      <c r="E3197" t="s">
        <v>358</v>
      </c>
      <c r="F3197" t="s">
        <v>393</v>
      </c>
      <c r="G3197" t="s">
        <v>37</v>
      </c>
      <c r="H3197" t="s">
        <v>43</v>
      </c>
      <c r="I3197" s="187">
        <v>1206.1169</v>
      </c>
      <c r="J3197" s="187">
        <v>0</v>
      </c>
      <c r="K3197" s="187">
        <v>0</v>
      </c>
      <c r="L3197" s="187">
        <v>0</v>
      </c>
      <c r="M3197" s="187">
        <v>1206.116943359375</v>
      </c>
      <c r="N3197" s="187">
        <v>1206.116943359375</v>
      </c>
      <c r="O3197" t="s">
        <v>3656</v>
      </c>
    </row>
    <row r="3198" spans="1:15" hidden="1" x14ac:dyDescent="0.45">
      <c r="A3198" s="187">
        <v>2019</v>
      </c>
      <c r="B3198" t="s">
        <v>34</v>
      </c>
      <c r="C3198" t="s">
        <v>325</v>
      </c>
      <c r="D3198" t="s">
        <v>35</v>
      </c>
      <c r="E3198" t="s">
        <v>358</v>
      </c>
      <c r="F3198" t="s">
        <v>394</v>
      </c>
      <c r="G3198" t="s">
        <v>36</v>
      </c>
      <c r="H3198" t="s">
        <v>43</v>
      </c>
      <c r="I3198" s="187">
        <v>0</v>
      </c>
      <c r="J3198" s="187">
        <v>0</v>
      </c>
      <c r="K3198" s="187">
        <v>0</v>
      </c>
      <c r="L3198" s="187">
        <v>0</v>
      </c>
      <c r="M3198" s="187">
        <v>0</v>
      </c>
      <c r="N3198" s="187">
        <v>0</v>
      </c>
      <c r="O3198" t="s">
        <v>3657</v>
      </c>
    </row>
    <row r="3199" spans="1:15" hidden="1" x14ac:dyDescent="0.45">
      <c r="A3199" s="187">
        <v>2019</v>
      </c>
      <c r="B3199" t="s">
        <v>34</v>
      </c>
      <c r="C3199" t="s">
        <v>325</v>
      </c>
      <c r="D3199" t="s">
        <v>35</v>
      </c>
      <c r="E3199" t="s">
        <v>358</v>
      </c>
      <c r="F3199" t="s">
        <v>394</v>
      </c>
      <c r="G3199" t="s">
        <v>37</v>
      </c>
      <c r="H3199" t="s">
        <v>43</v>
      </c>
      <c r="I3199" s="187">
        <v>0</v>
      </c>
      <c r="J3199" s="187">
        <v>0</v>
      </c>
      <c r="K3199" s="187">
        <v>0</v>
      </c>
      <c r="L3199" s="187">
        <v>0</v>
      </c>
      <c r="M3199" s="187">
        <v>0</v>
      </c>
      <c r="N3199" s="187">
        <v>0</v>
      </c>
      <c r="O3199" t="s">
        <v>3658</v>
      </c>
    </row>
    <row r="3200" spans="1:15" hidden="1" x14ac:dyDescent="0.45">
      <c r="A3200" s="187">
        <v>2019</v>
      </c>
      <c r="B3200" t="s">
        <v>34</v>
      </c>
      <c r="C3200" t="s">
        <v>325</v>
      </c>
      <c r="D3200" t="s">
        <v>35</v>
      </c>
      <c r="E3200" t="s">
        <v>358</v>
      </c>
      <c r="F3200" t="s">
        <v>395</v>
      </c>
      <c r="G3200" t="s">
        <v>36</v>
      </c>
      <c r="H3200" t="s">
        <v>43</v>
      </c>
      <c r="I3200" s="187">
        <v>0</v>
      </c>
      <c r="J3200" s="187">
        <v>0</v>
      </c>
      <c r="K3200" s="187">
        <v>0</v>
      </c>
      <c r="L3200" s="187">
        <v>0</v>
      </c>
      <c r="M3200" s="187">
        <v>0</v>
      </c>
      <c r="N3200" s="187">
        <v>0</v>
      </c>
      <c r="O3200" t="s">
        <v>3659</v>
      </c>
    </row>
    <row r="3201" spans="1:15" hidden="1" x14ac:dyDescent="0.45">
      <c r="A3201" s="187">
        <v>2019</v>
      </c>
      <c r="B3201" t="s">
        <v>34</v>
      </c>
      <c r="C3201" t="s">
        <v>325</v>
      </c>
      <c r="D3201" t="s">
        <v>35</v>
      </c>
      <c r="E3201" t="s">
        <v>358</v>
      </c>
      <c r="F3201" t="s">
        <v>395</v>
      </c>
      <c r="G3201" t="s">
        <v>37</v>
      </c>
      <c r="H3201" t="s">
        <v>43</v>
      </c>
      <c r="I3201" s="187">
        <v>0</v>
      </c>
      <c r="J3201" s="187">
        <v>0</v>
      </c>
      <c r="K3201" s="187">
        <v>0</v>
      </c>
      <c r="L3201" s="187">
        <v>0</v>
      </c>
      <c r="M3201" s="187">
        <v>0</v>
      </c>
      <c r="N3201" s="187">
        <v>0</v>
      </c>
      <c r="O3201" t="s">
        <v>3660</v>
      </c>
    </row>
    <row r="3202" spans="1:15" hidden="1" x14ac:dyDescent="0.45">
      <c r="A3202" s="187">
        <v>2019</v>
      </c>
      <c r="B3202" t="s">
        <v>34</v>
      </c>
      <c r="C3202" t="s">
        <v>325</v>
      </c>
      <c r="D3202" t="s">
        <v>35</v>
      </c>
      <c r="E3202" t="s">
        <v>358</v>
      </c>
      <c r="F3202" t="s">
        <v>396</v>
      </c>
      <c r="G3202" t="s">
        <v>36</v>
      </c>
      <c r="H3202" t="s">
        <v>43</v>
      </c>
      <c r="I3202" s="187">
        <v>0</v>
      </c>
      <c r="J3202" s="187">
        <v>0</v>
      </c>
      <c r="K3202" s="187">
        <v>172.68167114257813</v>
      </c>
      <c r="L3202" s="187">
        <v>408.93988037109375</v>
      </c>
      <c r="M3202" s="187">
        <v>581.62158203125</v>
      </c>
      <c r="N3202" s="187">
        <v>408.93988037109375</v>
      </c>
      <c r="O3202" t="s">
        <v>3661</v>
      </c>
    </row>
    <row r="3203" spans="1:15" hidden="1" x14ac:dyDescent="0.45">
      <c r="A3203" s="187">
        <v>2019</v>
      </c>
      <c r="B3203" t="s">
        <v>34</v>
      </c>
      <c r="C3203" t="s">
        <v>325</v>
      </c>
      <c r="D3203" t="s">
        <v>35</v>
      </c>
      <c r="E3203" t="s">
        <v>358</v>
      </c>
      <c r="F3203" t="s">
        <v>396</v>
      </c>
      <c r="G3203" t="s">
        <v>37</v>
      </c>
      <c r="H3203" t="s">
        <v>43</v>
      </c>
      <c r="I3203" s="187">
        <v>0</v>
      </c>
      <c r="J3203" s="187">
        <v>0</v>
      </c>
      <c r="K3203" s="187">
        <v>152.43826000000001</v>
      </c>
      <c r="L3203" s="187">
        <v>361</v>
      </c>
      <c r="M3203" s="187">
        <v>513.438232421875</v>
      </c>
      <c r="N3203" s="187">
        <v>361</v>
      </c>
      <c r="O3203" t="s">
        <v>3662</v>
      </c>
    </row>
    <row r="3204" spans="1:15" hidden="1" x14ac:dyDescent="0.45">
      <c r="A3204" s="187">
        <v>2019</v>
      </c>
      <c r="B3204" t="s">
        <v>34</v>
      </c>
      <c r="C3204" t="s">
        <v>325</v>
      </c>
      <c r="D3204" t="s">
        <v>35</v>
      </c>
      <c r="E3204" t="s">
        <v>358</v>
      </c>
      <c r="F3204" t="s">
        <v>415</v>
      </c>
      <c r="G3204" t="s">
        <v>36</v>
      </c>
      <c r="H3204" t="s">
        <v>43</v>
      </c>
      <c r="I3204" s="187">
        <v>1366.2861328125</v>
      </c>
      <c r="J3204" s="187">
        <v>0</v>
      </c>
      <c r="K3204" s="187">
        <v>172.68167114257813</v>
      </c>
      <c r="L3204" s="187">
        <v>488.23568725585938</v>
      </c>
      <c r="M3204" s="187">
        <v>2027.2034912109375</v>
      </c>
      <c r="N3204" s="187">
        <v>1854.5218505859375</v>
      </c>
      <c r="O3204" t="s">
        <v>3663</v>
      </c>
    </row>
    <row r="3205" spans="1:15" hidden="1" x14ac:dyDescent="0.45">
      <c r="A3205" s="187">
        <v>2019</v>
      </c>
      <c r="B3205" t="s">
        <v>34</v>
      </c>
      <c r="C3205" t="s">
        <v>325</v>
      </c>
      <c r="D3205" t="s">
        <v>35</v>
      </c>
      <c r="E3205" t="s">
        <v>358</v>
      </c>
      <c r="F3205" t="s">
        <v>415</v>
      </c>
      <c r="G3205" t="s">
        <v>37</v>
      </c>
      <c r="H3205" t="s">
        <v>43</v>
      </c>
      <c r="I3205" s="187">
        <v>1206.1169</v>
      </c>
      <c r="J3205" s="187">
        <v>0</v>
      </c>
      <c r="K3205" s="187">
        <v>152.43826000000001</v>
      </c>
      <c r="L3205" s="187">
        <v>431</v>
      </c>
      <c r="M3205" s="187">
        <v>1789.55517578125</v>
      </c>
      <c r="N3205" s="187">
        <v>1637.116943359375</v>
      </c>
      <c r="O3205" t="s">
        <v>3664</v>
      </c>
    </row>
    <row r="3206" spans="1:15" hidden="1" x14ac:dyDescent="0.45">
      <c r="A3206" s="187">
        <v>2019</v>
      </c>
      <c r="B3206" t="s">
        <v>34</v>
      </c>
      <c r="C3206" t="s">
        <v>325</v>
      </c>
      <c r="D3206" t="s">
        <v>35</v>
      </c>
      <c r="E3206" t="s">
        <v>358</v>
      </c>
      <c r="F3206" t="s">
        <v>416</v>
      </c>
      <c r="G3206" t="s">
        <v>36</v>
      </c>
      <c r="H3206" t="s">
        <v>43</v>
      </c>
      <c r="I3206" s="187">
        <v>0</v>
      </c>
      <c r="J3206" s="187">
        <v>0</v>
      </c>
      <c r="K3206" s="187">
        <v>41.673908233642578</v>
      </c>
      <c r="L3206" s="187">
        <v>0</v>
      </c>
      <c r="M3206" s="187">
        <v>41.673908233642578</v>
      </c>
      <c r="N3206" s="187">
        <v>0</v>
      </c>
      <c r="O3206" t="s">
        <v>3665</v>
      </c>
    </row>
    <row r="3207" spans="1:15" hidden="1" x14ac:dyDescent="0.45">
      <c r="A3207" s="187">
        <v>2019</v>
      </c>
      <c r="B3207" t="s">
        <v>34</v>
      </c>
      <c r="C3207" t="s">
        <v>325</v>
      </c>
      <c r="D3207" t="s">
        <v>35</v>
      </c>
      <c r="E3207" t="s">
        <v>358</v>
      </c>
      <c r="F3207" t="s">
        <v>416</v>
      </c>
      <c r="G3207" t="s">
        <v>37</v>
      </c>
      <c r="H3207" t="s">
        <v>43</v>
      </c>
      <c r="I3207" s="187">
        <v>0</v>
      </c>
      <c r="J3207" s="187">
        <v>0</v>
      </c>
      <c r="K3207" s="187">
        <v>36.788490000000003</v>
      </c>
      <c r="L3207" s="187">
        <v>0</v>
      </c>
      <c r="M3207" s="187">
        <v>36.788490295410156</v>
      </c>
      <c r="N3207" s="187">
        <v>0</v>
      </c>
      <c r="O3207" t="s">
        <v>3666</v>
      </c>
    </row>
    <row r="3208" spans="1:15" hidden="1" x14ac:dyDescent="0.45">
      <c r="A3208" s="187">
        <v>2019</v>
      </c>
      <c r="B3208" t="s">
        <v>34</v>
      </c>
      <c r="C3208" t="s">
        <v>325</v>
      </c>
      <c r="D3208" t="s">
        <v>35</v>
      </c>
      <c r="E3208" t="s">
        <v>358</v>
      </c>
      <c r="F3208" t="s">
        <v>417</v>
      </c>
      <c r="G3208" t="s">
        <v>36</v>
      </c>
      <c r="H3208" t="s">
        <v>43</v>
      </c>
      <c r="I3208" s="187">
        <v>0</v>
      </c>
      <c r="J3208" s="187">
        <v>38.515113830566406</v>
      </c>
      <c r="K3208" s="187">
        <v>0</v>
      </c>
      <c r="L3208" s="187">
        <v>0</v>
      </c>
      <c r="M3208" s="187">
        <v>38.515113830566406</v>
      </c>
      <c r="N3208" s="187">
        <v>0</v>
      </c>
      <c r="O3208" t="s">
        <v>3667</v>
      </c>
    </row>
    <row r="3209" spans="1:15" hidden="1" x14ac:dyDescent="0.45">
      <c r="A3209" s="187">
        <v>2019</v>
      </c>
      <c r="B3209" t="s">
        <v>34</v>
      </c>
      <c r="C3209" t="s">
        <v>325</v>
      </c>
      <c r="D3209" t="s">
        <v>35</v>
      </c>
      <c r="E3209" t="s">
        <v>358</v>
      </c>
      <c r="F3209" t="s">
        <v>417</v>
      </c>
      <c r="G3209" t="s">
        <v>37</v>
      </c>
      <c r="H3209" t="s">
        <v>43</v>
      </c>
      <c r="I3209" s="187">
        <v>0</v>
      </c>
      <c r="J3209" s="187">
        <v>34</v>
      </c>
      <c r="K3209" s="187">
        <v>0</v>
      </c>
      <c r="L3209" s="187">
        <v>0</v>
      </c>
      <c r="M3209" s="187">
        <v>34</v>
      </c>
      <c r="N3209" s="187">
        <v>0</v>
      </c>
      <c r="O3209" t="s">
        <v>3668</v>
      </c>
    </row>
    <row r="3210" spans="1:15" hidden="1" x14ac:dyDescent="0.45">
      <c r="A3210" s="187">
        <v>2019</v>
      </c>
      <c r="B3210" t="s">
        <v>34</v>
      </c>
      <c r="C3210" t="s">
        <v>325</v>
      </c>
      <c r="D3210" t="s">
        <v>35</v>
      </c>
      <c r="E3210" t="s">
        <v>358</v>
      </c>
      <c r="F3210" t="s">
        <v>418</v>
      </c>
      <c r="G3210" t="s">
        <v>36</v>
      </c>
      <c r="H3210" t="s">
        <v>43</v>
      </c>
      <c r="I3210" s="187">
        <v>0</v>
      </c>
      <c r="J3210" s="187">
        <v>2.2655949592590332</v>
      </c>
      <c r="K3210" s="187">
        <v>3.1614336967468262</v>
      </c>
      <c r="L3210" s="187">
        <v>0</v>
      </c>
      <c r="M3210" s="187">
        <v>5.4270286560058594</v>
      </c>
      <c r="N3210" s="187">
        <v>0</v>
      </c>
      <c r="O3210" t="s">
        <v>3669</v>
      </c>
    </row>
    <row r="3211" spans="1:15" hidden="1" x14ac:dyDescent="0.45">
      <c r="A3211" s="187">
        <v>2019</v>
      </c>
      <c r="B3211" t="s">
        <v>34</v>
      </c>
      <c r="C3211" t="s">
        <v>325</v>
      </c>
      <c r="D3211" t="s">
        <v>35</v>
      </c>
      <c r="E3211" t="s">
        <v>358</v>
      </c>
      <c r="F3211" t="s">
        <v>418</v>
      </c>
      <c r="G3211" t="s">
        <v>37</v>
      </c>
      <c r="H3211" t="s">
        <v>43</v>
      </c>
      <c r="I3211" s="187">
        <v>0</v>
      </c>
      <c r="J3211" s="187">
        <v>2</v>
      </c>
      <c r="K3211" s="187">
        <v>2.7908200000000001</v>
      </c>
      <c r="L3211" s="187">
        <v>0</v>
      </c>
      <c r="M3211" s="187">
        <v>4.7908201217651367</v>
      </c>
      <c r="N3211" s="187">
        <v>0</v>
      </c>
      <c r="O3211" t="s">
        <v>3670</v>
      </c>
    </row>
    <row r="3212" spans="1:15" hidden="1" x14ac:dyDescent="0.45">
      <c r="A3212" s="187">
        <v>2019</v>
      </c>
      <c r="B3212" t="s">
        <v>34</v>
      </c>
      <c r="C3212" t="s">
        <v>325</v>
      </c>
      <c r="D3212" t="s">
        <v>35</v>
      </c>
      <c r="E3212" t="s">
        <v>358</v>
      </c>
      <c r="F3212" t="s">
        <v>419</v>
      </c>
      <c r="G3212" t="s">
        <v>36</v>
      </c>
      <c r="H3212" t="s">
        <v>43</v>
      </c>
      <c r="I3212" s="187">
        <v>0</v>
      </c>
      <c r="J3212" s="187">
        <v>0</v>
      </c>
      <c r="K3212" s="187">
        <v>0</v>
      </c>
      <c r="L3212" s="187">
        <v>0</v>
      </c>
      <c r="M3212" s="187">
        <v>0</v>
      </c>
      <c r="N3212" s="187">
        <v>0</v>
      </c>
      <c r="O3212" t="s">
        <v>3671</v>
      </c>
    </row>
    <row r="3213" spans="1:15" hidden="1" x14ac:dyDescent="0.45">
      <c r="A3213" s="187">
        <v>2019</v>
      </c>
      <c r="B3213" t="s">
        <v>34</v>
      </c>
      <c r="C3213" t="s">
        <v>325</v>
      </c>
      <c r="D3213" t="s">
        <v>35</v>
      </c>
      <c r="E3213" t="s">
        <v>358</v>
      </c>
      <c r="F3213" t="s">
        <v>419</v>
      </c>
      <c r="G3213" t="s">
        <v>37</v>
      </c>
      <c r="H3213" t="s">
        <v>43</v>
      </c>
      <c r="I3213" s="187">
        <v>0</v>
      </c>
      <c r="J3213" s="187">
        <v>0</v>
      </c>
      <c r="K3213" s="187">
        <v>0</v>
      </c>
      <c r="L3213" s="187">
        <v>0</v>
      </c>
      <c r="M3213" s="187">
        <v>0</v>
      </c>
      <c r="N3213" s="187">
        <v>0</v>
      </c>
      <c r="O3213" t="s">
        <v>3672</v>
      </c>
    </row>
    <row r="3214" spans="1:15" hidden="1" x14ac:dyDescent="0.45">
      <c r="A3214" s="187">
        <v>2019</v>
      </c>
      <c r="B3214" t="s">
        <v>34</v>
      </c>
      <c r="C3214" t="s">
        <v>325</v>
      </c>
      <c r="D3214" t="s">
        <v>35</v>
      </c>
      <c r="E3214" t="s">
        <v>358</v>
      </c>
      <c r="F3214" t="s">
        <v>420</v>
      </c>
      <c r="G3214" t="s">
        <v>36</v>
      </c>
      <c r="H3214" t="s">
        <v>43</v>
      </c>
      <c r="I3214" s="187">
        <v>0</v>
      </c>
      <c r="J3214" s="187">
        <v>40.780708312988281</v>
      </c>
      <c r="K3214" s="187">
        <v>44.835342407226563</v>
      </c>
      <c r="L3214" s="187">
        <v>0</v>
      </c>
      <c r="M3214" s="187">
        <v>85.616050720214844</v>
      </c>
      <c r="N3214" s="187">
        <v>0</v>
      </c>
      <c r="O3214" t="s">
        <v>3673</v>
      </c>
    </row>
    <row r="3215" spans="1:15" hidden="1" x14ac:dyDescent="0.45">
      <c r="A3215" s="187">
        <v>2019</v>
      </c>
      <c r="B3215" t="s">
        <v>34</v>
      </c>
      <c r="C3215" t="s">
        <v>325</v>
      </c>
      <c r="D3215" t="s">
        <v>35</v>
      </c>
      <c r="E3215" t="s">
        <v>358</v>
      </c>
      <c r="F3215" t="s">
        <v>420</v>
      </c>
      <c r="G3215" t="s">
        <v>37</v>
      </c>
      <c r="H3215" t="s">
        <v>43</v>
      </c>
      <c r="I3215" s="187">
        <v>0</v>
      </c>
      <c r="J3215" s="187">
        <v>36</v>
      </c>
      <c r="K3215" s="187">
        <v>39.579310000000007</v>
      </c>
      <c r="L3215" s="187">
        <v>0</v>
      </c>
      <c r="M3215" s="187">
        <v>75.579307556152344</v>
      </c>
      <c r="N3215" s="187">
        <v>0</v>
      </c>
      <c r="O3215" t="s">
        <v>3674</v>
      </c>
    </row>
    <row r="3216" spans="1:15" hidden="1" x14ac:dyDescent="0.45">
      <c r="A3216" s="187">
        <v>2019</v>
      </c>
      <c r="B3216" t="s">
        <v>34</v>
      </c>
      <c r="C3216" t="s">
        <v>325</v>
      </c>
      <c r="D3216" t="s">
        <v>35</v>
      </c>
      <c r="E3216" t="s">
        <v>358</v>
      </c>
      <c r="F3216" t="s">
        <v>402</v>
      </c>
      <c r="G3216" t="s">
        <v>36</v>
      </c>
      <c r="H3216" t="s">
        <v>43</v>
      </c>
      <c r="I3216" s="187">
        <v>0</v>
      </c>
      <c r="J3216" s="187">
        <v>0</v>
      </c>
      <c r="K3216" s="187">
        <v>0</v>
      </c>
      <c r="L3216" s="187">
        <v>0</v>
      </c>
      <c r="M3216" s="187">
        <v>0</v>
      </c>
      <c r="N3216" s="187">
        <v>0</v>
      </c>
      <c r="O3216" t="s">
        <v>3675</v>
      </c>
    </row>
    <row r="3217" spans="1:15" hidden="1" x14ac:dyDescent="0.45">
      <c r="A3217" s="187">
        <v>2019</v>
      </c>
      <c r="B3217" t="s">
        <v>34</v>
      </c>
      <c r="C3217" t="s">
        <v>325</v>
      </c>
      <c r="D3217" t="s">
        <v>35</v>
      </c>
      <c r="E3217" t="s">
        <v>358</v>
      </c>
      <c r="F3217" t="s">
        <v>402</v>
      </c>
      <c r="G3217" t="s">
        <v>37</v>
      </c>
      <c r="H3217" t="s">
        <v>43</v>
      </c>
      <c r="I3217" s="187">
        <v>0</v>
      </c>
      <c r="J3217" s="187">
        <v>0</v>
      </c>
      <c r="K3217" s="187">
        <v>0</v>
      </c>
      <c r="L3217" s="187">
        <v>0</v>
      </c>
      <c r="M3217" s="187">
        <v>0</v>
      </c>
      <c r="N3217" s="187">
        <v>0</v>
      </c>
      <c r="O3217" t="s">
        <v>3676</v>
      </c>
    </row>
    <row r="3218" spans="1:15" hidden="1" x14ac:dyDescent="0.45">
      <c r="A3218" s="187">
        <v>2019</v>
      </c>
      <c r="B3218" t="s">
        <v>34</v>
      </c>
      <c r="C3218" t="s">
        <v>325</v>
      </c>
      <c r="D3218" t="s">
        <v>35</v>
      </c>
      <c r="E3218" t="s">
        <v>358</v>
      </c>
      <c r="F3218" t="s">
        <v>403</v>
      </c>
      <c r="G3218" t="s">
        <v>36</v>
      </c>
      <c r="H3218" t="s">
        <v>43</v>
      </c>
      <c r="I3218" s="187">
        <v>4954.17626953125</v>
      </c>
      <c r="J3218" s="187">
        <v>18.124759674072266</v>
      </c>
      <c r="K3218" s="187">
        <v>1631.2847900390625</v>
      </c>
      <c r="L3218" s="187">
        <v>262.80899047851563</v>
      </c>
      <c r="M3218" s="187">
        <v>6866.39501953125</v>
      </c>
      <c r="N3218" s="187">
        <v>5216.9853515625</v>
      </c>
      <c r="O3218" t="s">
        <v>3677</v>
      </c>
    </row>
    <row r="3219" spans="1:15" hidden="1" x14ac:dyDescent="0.45">
      <c r="A3219" s="187">
        <v>2019</v>
      </c>
      <c r="B3219" t="s">
        <v>34</v>
      </c>
      <c r="C3219" t="s">
        <v>325</v>
      </c>
      <c r="D3219" t="s">
        <v>35</v>
      </c>
      <c r="E3219" t="s">
        <v>358</v>
      </c>
      <c r="F3219" t="s">
        <v>403</v>
      </c>
      <c r="G3219" t="s">
        <v>37</v>
      </c>
      <c r="H3219" t="s">
        <v>43</v>
      </c>
      <c r="I3219" s="187">
        <v>4373.4000499999993</v>
      </c>
      <c r="J3219" s="187">
        <v>16</v>
      </c>
      <c r="K3219" s="187">
        <v>1440.0498799999989</v>
      </c>
      <c r="L3219" s="187">
        <v>232</v>
      </c>
      <c r="M3219" s="187">
        <v>6061.44970703125</v>
      </c>
      <c r="N3219" s="187">
        <v>4605.39990234375</v>
      </c>
      <c r="O3219" t="s">
        <v>3678</v>
      </c>
    </row>
    <row r="3220" spans="1:15" hidden="1" x14ac:dyDescent="0.45">
      <c r="A3220" s="187">
        <v>2019</v>
      </c>
      <c r="B3220" t="s">
        <v>34</v>
      </c>
      <c r="C3220" t="s">
        <v>325</v>
      </c>
      <c r="D3220" t="s">
        <v>35</v>
      </c>
      <c r="E3220" t="s">
        <v>358</v>
      </c>
      <c r="F3220" t="s">
        <v>405</v>
      </c>
      <c r="G3220" t="s">
        <v>36</v>
      </c>
      <c r="H3220" t="s">
        <v>43</v>
      </c>
      <c r="I3220" s="187">
        <v>0</v>
      </c>
      <c r="J3220" s="187">
        <v>0</v>
      </c>
      <c r="K3220" s="187">
        <v>0</v>
      </c>
      <c r="L3220" s="187">
        <v>0</v>
      </c>
      <c r="M3220" s="187">
        <v>0</v>
      </c>
      <c r="N3220" s="187">
        <v>0</v>
      </c>
      <c r="O3220" t="s">
        <v>3679</v>
      </c>
    </row>
    <row r="3221" spans="1:15" hidden="1" x14ac:dyDescent="0.45">
      <c r="A3221" s="187">
        <v>2019</v>
      </c>
      <c r="B3221" t="s">
        <v>34</v>
      </c>
      <c r="C3221" t="s">
        <v>325</v>
      </c>
      <c r="D3221" t="s">
        <v>35</v>
      </c>
      <c r="E3221" t="s">
        <v>358</v>
      </c>
      <c r="F3221" t="s">
        <v>405</v>
      </c>
      <c r="G3221" t="s">
        <v>37</v>
      </c>
      <c r="H3221" t="s">
        <v>43</v>
      </c>
      <c r="I3221" s="187">
        <v>0</v>
      </c>
      <c r="J3221" s="187">
        <v>0</v>
      </c>
      <c r="K3221" s="187">
        <v>0</v>
      </c>
      <c r="L3221" s="187">
        <v>0</v>
      </c>
      <c r="M3221" s="187">
        <v>0</v>
      </c>
      <c r="N3221" s="187">
        <v>0</v>
      </c>
      <c r="O3221" t="s">
        <v>3680</v>
      </c>
    </row>
    <row r="3222" spans="1:15" hidden="1" x14ac:dyDescent="0.45">
      <c r="A3222" s="187">
        <v>2019</v>
      </c>
      <c r="B3222" t="s">
        <v>34</v>
      </c>
      <c r="C3222" t="s">
        <v>325</v>
      </c>
      <c r="D3222" t="s">
        <v>35</v>
      </c>
      <c r="E3222" t="s">
        <v>358</v>
      </c>
      <c r="F3222" t="s">
        <v>406</v>
      </c>
      <c r="G3222" t="s">
        <v>36</v>
      </c>
      <c r="H3222" t="s">
        <v>43</v>
      </c>
      <c r="I3222" s="187">
        <v>0</v>
      </c>
      <c r="J3222" s="187">
        <v>0</v>
      </c>
      <c r="K3222" s="187">
        <v>0</v>
      </c>
      <c r="L3222" s="187">
        <v>0</v>
      </c>
      <c r="M3222" s="187">
        <v>0</v>
      </c>
      <c r="N3222" s="187">
        <v>0</v>
      </c>
      <c r="O3222" t="s">
        <v>3681</v>
      </c>
    </row>
    <row r="3223" spans="1:15" hidden="1" x14ac:dyDescent="0.45">
      <c r="A3223" s="187">
        <v>2019</v>
      </c>
      <c r="B3223" t="s">
        <v>34</v>
      </c>
      <c r="C3223" t="s">
        <v>325</v>
      </c>
      <c r="D3223" t="s">
        <v>35</v>
      </c>
      <c r="E3223" t="s">
        <v>358</v>
      </c>
      <c r="F3223" t="s">
        <v>406</v>
      </c>
      <c r="G3223" t="s">
        <v>37</v>
      </c>
      <c r="H3223" t="s">
        <v>43</v>
      </c>
      <c r="I3223" s="187">
        <v>0</v>
      </c>
      <c r="J3223" s="187">
        <v>0</v>
      </c>
      <c r="K3223" s="187">
        <v>0</v>
      </c>
      <c r="L3223" s="187">
        <v>0</v>
      </c>
      <c r="M3223" s="187">
        <v>0</v>
      </c>
      <c r="N3223" s="187">
        <v>0</v>
      </c>
      <c r="O3223" t="s">
        <v>3682</v>
      </c>
    </row>
    <row r="3224" spans="1:15" hidden="1" x14ac:dyDescent="0.45">
      <c r="A3224" s="187">
        <v>2019</v>
      </c>
      <c r="B3224" t="s">
        <v>34</v>
      </c>
      <c r="C3224" t="s">
        <v>325</v>
      </c>
      <c r="D3224" t="s">
        <v>35</v>
      </c>
      <c r="E3224" t="s">
        <v>358</v>
      </c>
      <c r="F3224" t="s">
        <v>421</v>
      </c>
      <c r="G3224" t="s">
        <v>36</v>
      </c>
      <c r="H3224" t="s">
        <v>43</v>
      </c>
      <c r="I3224" s="187">
        <v>0</v>
      </c>
      <c r="J3224" s="187">
        <v>0</v>
      </c>
      <c r="K3224" s="187">
        <v>0</v>
      </c>
      <c r="L3224" s="187">
        <v>0</v>
      </c>
      <c r="M3224" s="187">
        <v>0</v>
      </c>
      <c r="N3224" s="187">
        <v>0</v>
      </c>
      <c r="O3224" t="s">
        <v>3683</v>
      </c>
    </row>
    <row r="3225" spans="1:15" hidden="1" x14ac:dyDescent="0.45">
      <c r="A3225" s="187">
        <v>2019</v>
      </c>
      <c r="B3225" t="s">
        <v>34</v>
      </c>
      <c r="C3225" t="s">
        <v>325</v>
      </c>
      <c r="D3225" t="s">
        <v>35</v>
      </c>
      <c r="E3225" t="s">
        <v>358</v>
      </c>
      <c r="F3225" t="s">
        <v>421</v>
      </c>
      <c r="G3225" t="s">
        <v>37</v>
      </c>
      <c r="H3225" t="s">
        <v>43</v>
      </c>
      <c r="I3225" s="187">
        <v>0</v>
      </c>
      <c r="J3225" s="187">
        <v>0</v>
      </c>
      <c r="K3225" s="187">
        <v>0</v>
      </c>
      <c r="L3225" s="187">
        <v>0</v>
      </c>
      <c r="M3225" s="187">
        <v>0</v>
      </c>
      <c r="N3225" s="187">
        <v>0</v>
      </c>
      <c r="O3225" t="s">
        <v>3684</v>
      </c>
    </row>
    <row r="3226" spans="1:15" hidden="1" x14ac:dyDescent="0.45">
      <c r="A3226" s="187">
        <v>2019</v>
      </c>
      <c r="B3226" t="s">
        <v>34</v>
      </c>
      <c r="C3226" t="s">
        <v>325</v>
      </c>
      <c r="D3226" t="s">
        <v>35</v>
      </c>
      <c r="E3226" t="s">
        <v>358</v>
      </c>
      <c r="F3226" t="s">
        <v>422</v>
      </c>
      <c r="G3226" t="s">
        <v>36</v>
      </c>
      <c r="H3226" t="s">
        <v>43</v>
      </c>
      <c r="I3226" s="187">
        <v>4954.17626953125</v>
      </c>
      <c r="J3226" s="187">
        <v>18.124759674072266</v>
      </c>
      <c r="K3226" s="187">
        <v>1631.2847900390625</v>
      </c>
      <c r="L3226" s="187">
        <v>262.80899047851563</v>
      </c>
      <c r="M3226" s="187">
        <v>6866.39501953125</v>
      </c>
      <c r="N3226" s="187">
        <v>5216.9853515625</v>
      </c>
      <c r="O3226" t="s">
        <v>3685</v>
      </c>
    </row>
    <row r="3227" spans="1:15" hidden="1" x14ac:dyDescent="0.45">
      <c r="A3227" s="187">
        <v>2019</v>
      </c>
      <c r="B3227" t="s">
        <v>34</v>
      </c>
      <c r="C3227" t="s">
        <v>325</v>
      </c>
      <c r="D3227" t="s">
        <v>35</v>
      </c>
      <c r="E3227" t="s">
        <v>358</v>
      </c>
      <c r="F3227" t="s">
        <v>422</v>
      </c>
      <c r="G3227" t="s">
        <v>37</v>
      </c>
      <c r="H3227" t="s">
        <v>43</v>
      </c>
      <c r="I3227" s="187">
        <v>4373.4000499999993</v>
      </c>
      <c r="J3227" s="187">
        <v>16</v>
      </c>
      <c r="K3227" s="187">
        <v>1440.0498799999989</v>
      </c>
      <c r="L3227" s="187">
        <v>232</v>
      </c>
      <c r="M3227" s="187">
        <v>6061.44970703125</v>
      </c>
      <c r="N3227" s="187">
        <v>4605.39990234375</v>
      </c>
      <c r="O3227" t="s">
        <v>3686</v>
      </c>
    </row>
    <row r="3228" spans="1:15" hidden="1" x14ac:dyDescent="0.45">
      <c r="A3228" s="187">
        <v>2019</v>
      </c>
      <c r="B3228" t="s">
        <v>34</v>
      </c>
      <c r="C3228" t="s">
        <v>325</v>
      </c>
      <c r="D3228" t="s">
        <v>35</v>
      </c>
      <c r="E3228" t="s">
        <v>358</v>
      </c>
      <c r="F3228" t="s">
        <v>423</v>
      </c>
      <c r="G3228" t="s">
        <v>36</v>
      </c>
      <c r="H3228" t="s">
        <v>43</v>
      </c>
      <c r="I3228" s="187">
        <v>0</v>
      </c>
      <c r="J3228" s="187">
        <v>0</v>
      </c>
      <c r="K3228" s="187">
        <v>0</v>
      </c>
      <c r="L3228" s="187">
        <v>0</v>
      </c>
      <c r="M3228" s="187">
        <v>0</v>
      </c>
      <c r="N3228" s="187">
        <v>0</v>
      </c>
      <c r="O3228" t="s">
        <v>3687</v>
      </c>
    </row>
    <row r="3229" spans="1:15" hidden="1" x14ac:dyDescent="0.45">
      <c r="A3229" s="187">
        <v>2019</v>
      </c>
      <c r="B3229" t="s">
        <v>34</v>
      </c>
      <c r="C3229" t="s">
        <v>325</v>
      </c>
      <c r="D3229" t="s">
        <v>35</v>
      </c>
      <c r="E3229" t="s">
        <v>358</v>
      </c>
      <c r="F3229" t="s">
        <v>423</v>
      </c>
      <c r="G3229" t="s">
        <v>37</v>
      </c>
      <c r="H3229" t="s">
        <v>43</v>
      </c>
      <c r="I3229" s="187">
        <v>0</v>
      </c>
      <c r="J3229" s="187">
        <v>0</v>
      </c>
      <c r="K3229" s="187">
        <v>0</v>
      </c>
      <c r="L3229" s="187">
        <v>0</v>
      </c>
      <c r="M3229" s="187">
        <v>0</v>
      </c>
      <c r="N3229" s="187">
        <v>0</v>
      </c>
      <c r="O3229" t="s">
        <v>3688</v>
      </c>
    </row>
    <row r="3230" spans="1:15" hidden="1" x14ac:dyDescent="0.45">
      <c r="A3230" s="187">
        <v>2019</v>
      </c>
      <c r="B3230" t="s">
        <v>34</v>
      </c>
      <c r="C3230" t="s">
        <v>325</v>
      </c>
      <c r="D3230" t="s">
        <v>35</v>
      </c>
      <c r="E3230" t="s">
        <v>358</v>
      </c>
      <c r="F3230" t="s">
        <v>424</v>
      </c>
      <c r="G3230" t="s">
        <v>36</v>
      </c>
      <c r="H3230" t="s">
        <v>43</v>
      </c>
      <c r="I3230" s="187">
        <v>0</v>
      </c>
      <c r="J3230" s="187">
        <v>0</v>
      </c>
      <c r="K3230" s="187">
        <v>0</v>
      </c>
      <c r="L3230" s="187">
        <v>0</v>
      </c>
      <c r="M3230" s="187">
        <v>0</v>
      </c>
      <c r="N3230" s="187">
        <v>0</v>
      </c>
      <c r="O3230" t="s">
        <v>3689</v>
      </c>
    </row>
    <row r="3231" spans="1:15" hidden="1" x14ac:dyDescent="0.45">
      <c r="A3231" s="187">
        <v>2019</v>
      </c>
      <c r="B3231" t="s">
        <v>34</v>
      </c>
      <c r="C3231" t="s">
        <v>325</v>
      </c>
      <c r="D3231" t="s">
        <v>35</v>
      </c>
      <c r="E3231" t="s">
        <v>358</v>
      </c>
      <c r="F3231" t="s">
        <v>424</v>
      </c>
      <c r="G3231" t="s">
        <v>37</v>
      </c>
      <c r="H3231" t="s">
        <v>43</v>
      </c>
      <c r="I3231" s="187">
        <v>0</v>
      </c>
      <c r="J3231" s="187">
        <v>0</v>
      </c>
      <c r="K3231" s="187">
        <v>0</v>
      </c>
      <c r="L3231" s="187">
        <v>0</v>
      </c>
      <c r="M3231" s="187">
        <v>0</v>
      </c>
      <c r="N3231" s="187">
        <v>0</v>
      </c>
      <c r="O3231" t="s">
        <v>3690</v>
      </c>
    </row>
    <row r="3232" spans="1:15" hidden="1" x14ac:dyDescent="0.45">
      <c r="A3232" s="187">
        <v>2019</v>
      </c>
      <c r="B3232" t="s">
        <v>34</v>
      </c>
      <c r="C3232" t="s">
        <v>325</v>
      </c>
      <c r="D3232" t="s">
        <v>35</v>
      </c>
      <c r="E3232" t="s">
        <v>358</v>
      </c>
      <c r="F3232" t="s">
        <v>446</v>
      </c>
      <c r="G3232" t="s">
        <v>36</v>
      </c>
      <c r="H3232" t="s">
        <v>43</v>
      </c>
      <c r="I3232" s="187">
        <v>239.77534484863281</v>
      </c>
      <c r="J3232" s="187">
        <v>0</v>
      </c>
      <c r="K3232" s="187">
        <v>0</v>
      </c>
      <c r="L3232" s="187">
        <v>0</v>
      </c>
      <c r="M3232" s="187">
        <v>239.77534484863281</v>
      </c>
      <c r="N3232" s="187">
        <v>239.77534484863281</v>
      </c>
      <c r="O3232" t="s">
        <v>3691</v>
      </c>
    </row>
    <row r="3233" spans="1:15" hidden="1" x14ac:dyDescent="0.45">
      <c r="A3233" s="187">
        <v>2019</v>
      </c>
      <c r="B3233" t="s">
        <v>34</v>
      </c>
      <c r="C3233" t="s">
        <v>325</v>
      </c>
      <c r="D3233" t="s">
        <v>35</v>
      </c>
      <c r="E3233" t="s">
        <v>358</v>
      </c>
      <c r="F3233" t="s">
        <v>446</v>
      </c>
      <c r="G3233" t="s">
        <v>37</v>
      </c>
      <c r="H3233" t="s">
        <v>43</v>
      </c>
      <c r="I3233" s="187">
        <v>211.66657000000001</v>
      </c>
      <c r="J3233" s="187">
        <v>0</v>
      </c>
      <c r="K3233" s="187">
        <v>0</v>
      </c>
      <c r="L3233" s="187">
        <v>0</v>
      </c>
      <c r="M3233" s="187">
        <v>211.66656494140625</v>
      </c>
      <c r="N3233" s="187">
        <v>211.66656494140625</v>
      </c>
      <c r="O3233" t="s">
        <v>3692</v>
      </c>
    </row>
    <row r="3234" spans="1:15" hidden="1" x14ac:dyDescent="0.45">
      <c r="A3234" s="187">
        <v>2019</v>
      </c>
      <c r="B3234" t="s">
        <v>34</v>
      </c>
      <c r="C3234" t="s">
        <v>325</v>
      </c>
      <c r="D3234" t="s">
        <v>35</v>
      </c>
      <c r="E3234" t="s">
        <v>358</v>
      </c>
      <c r="F3234" t="s">
        <v>426</v>
      </c>
      <c r="G3234" t="s">
        <v>36</v>
      </c>
      <c r="H3234" t="s">
        <v>43</v>
      </c>
      <c r="I3234" s="187">
        <v>239.77534484863281</v>
      </c>
      <c r="J3234" s="187">
        <v>0</v>
      </c>
      <c r="K3234" s="187">
        <v>0</v>
      </c>
      <c r="L3234" s="187">
        <v>0</v>
      </c>
      <c r="M3234" s="187">
        <v>239.77534484863281</v>
      </c>
      <c r="N3234" s="187">
        <v>239.77534484863281</v>
      </c>
      <c r="O3234" t="s">
        <v>3693</v>
      </c>
    </row>
    <row r="3235" spans="1:15" hidden="1" x14ac:dyDescent="0.45">
      <c r="A3235" s="187">
        <v>2019</v>
      </c>
      <c r="B3235" t="s">
        <v>34</v>
      </c>
      <c r="C3235" t="s">
        <v>325</v>
      </c>
      <c r="D3235" t="s">
        <v>35</v>
      </c>
      <c r="E3235" t="s">
        <v>358</v>
      </c>
      <c r="F3235" t="s">
        <v>426</v>
      </c>
      <c r="G3235" t="s">
        <v>37</v>
      </c>
      <c r="H3235" t="s">
        <v>43</v>
      </c>
      <c r="I3235" s="187">
        <v>211.66657000000001</v>
      </c>
      <c r="J3235" s="187">
        <v>0</v>
      </c>
      <c r="K3235" s="187">
        <v>0</v>
      </c>
      <c r="L3235" s="187">
        <v>0</v>
      </c>
      <c r="M3235" s="187">
        <v>211.66656494140625</v>
      </c>
      <c r="N3235" s="187">
        <v>211.66656494140625</v>
      </c>
      <c r="O3235" t="s">
        <v>3694</v>
      </c>
    </row>
    <row r="3236" spans="1:15" hidden="1" x14ac:dyDescent="0.45">
      <c r="A3236" s="187">
        <v>2019</v>
      </c>
      <c r="B3236" t="s">
        <v>34</v>
      </c>
      <c r="C3236" t="s">
        <v>325</v>
      </c>
      <c r="D3236" t="s">
        <v>35</v>
      </c>
      <c r="E3236" t="s">
        <v>358</v>
      </c>
      <c r="F3236" t="s">
        <v>428</v>
      </c>
      <c r="G3236" t="s">
        <v>36</v>
      </c>
      <c r="H3236" t="s">
        <v>43</v>
      </c>
      <c r="I3236" s="187">
        <v>6560.23779296875</v>
      </c>
      <c r="J3236" s="187">
        <v>58.905467987060547</v>
      </c>
      <c r="K3236" s="187">
        <v>1848.8018798828125</v>
      </c>
      <c r="L3236" s="187">
        <v>751.044677734375</v>
      </c>
      <c r="M3236" s="187">
        <v>9218.990234375</v>
      </c>
      <c r="N3236" s="187">
        <v>7311.2822265625</v>
      </c>
      <c r="O3236" t="s">
        <v>3695</v>
      </c>
    </row>
    <row r="3237" spans="1:15" hidden="1" x14ac:dyDescent="0.45">
      <c r="A3237" s="187">
        <v>2019</v>
      </c>
      <c r="B3237" t="s">
        <v>34</v>
      </c>
      <c r="C3237" t="s">
        <v>325</v>
      </c>
      <c r="D3237" t="s">
        <v>35</v>
      </c>
      <c r="E3237" t="s">
        <v>358</v>
      </c>
      <c r="F3237" t="s">
        <v>428</v>
      </c>
      <c r="G3237" t="s">
        <v>37</v>
      </c>
      <c r="H3237" t="s">
        <v>43</v>
      </c>
      <c r="I3237" s="187">
        <v>5791.1835199999996</v>
      </c>
      <c r="J3237" s="187">
        <v>52</v>
      </c>
      <c r="K3237" s="187">
        <v>1632.0674499999991</v>
      </c>
      <c r="L3237" s="187">
        <v>663</v>
      </c>
      <c r="M3237" s="187">
        <v>8138.2509765625</v>
      </c>
      <c r="N3237" s="187">
        <v>6454.18359375</v>
      </c>
      <c r="O3237" t="s">
        <v>3696</v>
      </c>
    </row>
    <row r="3238" spans="1:15" hidden="1" x14ac:dyDescent="0.45">
      <c r="A3238" s="187">
        <v>2019</v>
      </c>
      <c r="B3238" t="s">
        <v>34</v>
      </c>
      <c r="C3238" t="s">
        <v>325</v>
      </c>
      <c r="D3238" t="s">
        <v>35</v>
      </c>
      <c r="E3238" t="s">
        <v>358</v>
      </c>
      <c r="F3238" t="s">
        <v>429</v>
      </c>
      <c r="G3238" t="s">
        <v>36</v>
      </c>
      <c r="H3238" t="s">
        <v>43</v>
      </c>
      <c r="I3238" s="187">
        <v>5897.70556640625</v>
      </c>
      <c r="J3238" s="187">
        <v>58.905467987060547</v>
      </c>
      <c r="K3238" s="187">
        <v>1665.5062255859375</v>
      </c>
      <c r="L3238" s="187">
        <v>751.044677734375</v>
      </c>
      <c r="M3238" s="187">
        <v>8373.162109375</v>
      </c>
      <c r="N3238" s="187">
        <v>6648.75</v>
      </c>
      <c r="O3238" t="s">
        <v>3697</v>
      </c>
    </row>
    <row r="3239" spans="1:15" hidden="1" x14ac:dyDescent="0.45">
      <c r="A3239" s="187">
        <v>2019</v>
      </c>
      <c r="B3239" t="s">
        <v>34</v>
      </c>
      <c r="C3239" t="s">
        <v>325</v>
      </c>
      <c r="D3239" t="s">
        <v>35</v>
      </c>
      <c r="E3239" t="s">
        <v>358</v>
      </c>
      <c r="F3239" t="s">
        <v>429</v>
      </c>
      <c r="G3239" t="s">
        <v>37</v>
      </c>
      <c r="H3239" t="s">
        <v>43</v>
      </c>
      <c r="I3239" s="187">
        <v>5206.3197599999994</v>
      </c>
      <c r="J3239" s="187">
        <v>52</v>
      </c>
      <c r="K3239" s="187">
        <v>1470.2595399999991</v>
      </c>
      <c r="L3239" s="187">
        <v>663</v>
      </c>
      <c r="M3239" s="187">
        <v>7391.57958984375</v>
      </c>
      <c r="N3239" s="187">
        <v>5869.31982421875</v>
      </c>
      <c r="O3239" t="s">
        <v>3698</v>
      </c>
    </row>
    <row r="3240" spans="1:15" hidden="1" x14ac:dyDescent="0.45">
      <c r="A3240" s="187">
        <v>2019</v>
      </c>
      <c r="B3240" t="s">
        <v>34</v>
      </c>
      <c r="C3240" t="s">
        <v>326</v>
      </c>
      <c r="D3240" t="s">
        <v>337</v>
      </c>
      <c r="E3240" t="s">
        <v>155</v>
      </c>
      <c r="F3240" t="s">
        <v>155</v>
      </c>
      <c r="G3240" t="s">
        <v>453</v>
      </c>
      <c r="H3240" t="s">
        <v>455</v>
      </c>
      <c r="I3240" s="187">
        <v>4801</v>
      </c>
      <c r="J3240" s="187">
        <v>674</v>
      </c>
      <c r="K3240" s="187">
        <v>6052.6710999999996</v>
      </c>
      <c r="L3240" s="187">
        <v>6733.304000000001</v>
      </c>
      <c r="M3240" s="187">
        <v>18260.974609375</v>
      </c>
      <c r="N3240" s="187">
        <v>11534.3037109375</v>
      </c>
      <c r="O3240" t="s">
        <v>3699</v>
      </c>
    </row>
    <row r="3241" spans="1:15" hidden="1" x14ac:dyDescent="0.45">
      <c r="A3241" s="187">
        <v>2019</v>
      </c>
      <c r="B3241" t="s">
        <v>34</v>
      </c>
      <c r="C3241" t="s">
        <v>327</v>
      </c>
      <c r="D3241" t="s">
        <v>337</v>
      </c>
      <c r="E3241" t="s">
        <v>359</v>
      </c>
      <c r="F3241" t="s">
        <v>430</v>
      </c>
      <c r="G3241" t="s">
        <v>453</v>
      </c>
      <c r="H3241" t="s">
        <v>456</v>
      </c>
      <c r="I3241" s="187">
        <v>64443</v>
      </c>
      <c r="J3241" s="187">
        <v>10062</v>
      </c>
      <c r="K3241" s="187">
        <v>110163</v>
      </c>
      <c r="L3241" s="187">
        <v>111642</v>
      </c>
      <c r="M3241" s="187">
        <v>296310</v>
      </c>
      <c r="N3241" s="187">
        <v>176085</v>
      </c>
      <c r="O3241" t="s">
        <v>3700</v>
      </c>
    </row>
    <row r="3242" spans="1:15" hidden="1" x14ac:dyDescent="0.45">
      <c r="A3242" s="187">
        <v>2019</v>
      </c>
      <c r="B3242" t="s">
        <v>34</v>
      </c>
      <c r="C3242" t="s">
        <v>327</v>
      </c>
      <c r="D3242" t="s">
        <v>337</v>
      </c>
      <c r="E3242" t="s">
        <v>360</v>
      </c>
      <c r="F3242" t="s">
        <v>151</v>
      </c>
      <c r="G3242" t="s">
        <v>453</v>
      </c>
      <c r="H3242" t="s">
        <v>457</v>
      </c>
      <c r="I3242" s="187">
        <v>28247.998027397261</v>
      </c>
      <c r="J3242" s="187">
        <v>3510.8299287671239</v>
      </c>
      <c r="K3242" s="187">
        <v>24283.38775068492</v>
      </c>
      <c r="L3242" s="187">
        <v>39540.209482191793</v>
      </c>
      <c r="M3242" s="187">
        <v>95582.421875</v>
      </c>
      <c r="N3242" s="187">
        <v>67788.2109375</v>
      </c>
      <c r="O3242" t="s">
        <v>3701</v>
      </c>
    </row>
    <row r="3243" spans="1:15" hidden="1" x14ac:dyDescent="0.45">
      <c r="A3243" s="187">
        <v>2019</v>
      </c>
      <c r="B3243" t="s">
        <v>34</v>
      </c>
      <c r="C3243" t="s">
        <v>327</v>
      </c>
      <c r="D3243" t="s">
        <v>337</v>
      </c>
      <c r="E3243" t="s">
        <v>360</v>
      </c>
      <c r="F3243" t="s">
        <v>6</v>
      </c>
      <c r="G3243" t="s">
        <v>453</v>
      </c>
      <c r="H3243" t="s">
        <v>454</v>
      </c>
      <c r="I3243" s="187">
        <v>0.80011252998109283</v>
      </c>
      <c r="J3243" s="187">
        <v>0.85159338503837456</v>
      </c>
      <c r="K3243" s="187">
        <v>0.73685201749706464</v>
      </c>
      <c r="L3243" s="187">
        <v>0.79849926007045691</v>
      </c>
      <c r="M3243" s="187">
        <v>0.7967643141746521</v>
      </c>
      <c r="N3243" s="187">
        <v>1.5986118316650391</v>
      </c>
      <c r="O3243" t="s">
        <v>3702</v>
      </c>
    </row>
    <row r="3244" spans="1:15" hidden="1" x14ac:dyDescent="0.45">
      <c r="A3244" s="187">
        <v>2019</v>
      </c>
      <c r="B3244" t="s">
        <v>34</v>
      </c>
      <c r="C3244" t="s">
        <v>327</v>
      </c>
      <c r="D3244" t="s">
        <v>337</v>
      </c>
      <c r="E3244" t="s">
        <v>360</v>
      </c>
      <c r="F3244" t="s">
        <v>152</v>
      </c>
      <c r="G3244" t="s">
        <v>453</v>
      </c>
      <c r="H3244" t="s">
        <v>457</v>
      </c>
      <c r="I3244" s="187">
        <v>39303.150999999998</v>
      </c>
      <c r="J3244" s="187">
        <v>5050.0723917610594</v>
      </c>
      <c r="K3244" s="187">
        <v>40027.702999999987</v>
      </c>
      <c r="L3244" s="187">
        <v>60659.595999999998</v>
      </c>
      <c r="M3244" s="187">
        <v>145040.53125</v>
      </c>
      <c r="N3244" s="187">
        <v>99962.75</v>
      </c>
      <c r="O3244" t="s">
        <v>3703</v>
      </c>
    </row>
    <row r="3245" spans="1:15" hidden="1" x14ac:dyDescent="0.45">
      <c r="A3245" s="187">
        <v>2019</v>
      </c>
      <c r="B3245" t="s">
        <v>34</v>
      </c>
      <c r="C3245" t="s">
        <v>327</v>
      </c>
      <c r="D3245" t="s">
        <v>337</v>
      </c>
      <c r="E3245" t="s">
        <v>360</v>
      </c>
      <c r="F3245" t="s">
        <v>153</v>
      </c>
      <c r="G3245" t="s">
        <v>453</v>
      </c>
      <c r="H3245" t="s">
        <v>458</v>
      </c>
      <c r="I3245" s="187">
        <v>1073861.3729999999</v>
      </c>
      <c r="J3245" s="187">
        <v>125397.573</v>
      </c>
      <c r="K3245" s="187">
        <v>1002398.98</v>
      </c>
      <c r="L3245" s="187">
        <v>1506177.19</v>
      </c>
      <c r="M3245" s="187">
        <v>3707835.25</v>
      </c>
      <c r="N3245" s="187">
        <v>2580038.5</v>
      </c>
      <c r="O3245" t="s">
        <v>3704</v>
      </c>
    </row>
    <row r="3246" spans="1:15" hidden="1" x14ac:dyDescent="0.45">
      <c r="A3246" s="187">
        <v>2019</v>
      </c>
      <c r="B3246" t="s">
        <v>34</v>
      </c>
      <c r="C3246" t="s">
        <v>327</v>
      </c>
      <c r="D3246" t="s">
        <v>337</v>
      </c>
      <c r="E3246" t="s">
        <v>360</v>
      </c>
      <c r="F3246" t="s">
        <v>432</v>
      </c>
      <c r="G3246" t="s">
        <v>453</v>
      </c>
      <c r="H3246" t="s">
        <v>456</v>
      </c>
      <c r="I3246" s="187">
        <v>0</v>
      </c>
      <c r="J3246" s="187">
        <v>0</v>
      </c>
      <c r="K3246" s="187">
        <v>0</v>
      </c>
      <c r="L3246" s="187">
        <v>0</v>
      </c>
      <c r="M3246" s="187">
        <v>0</v>
      </c>
      <c r="N3246" s="187">
        <v>0</v>
      </c>
      <c r="O3246" t="s">
        <v>3705</v>
      </c>
    </row>
    <row r="3247" spans="1:15" hidden="1" x14ac:dyDescent="0.45">
      <c r="A3247" s="187">
        <v>2019</v>
      </c>
      <c r="B3247" t="s">
        <v>34</v>
      </c>
      <c r="C3247" t="s">
        <v>327</v>
      </c>
      <c r="D3247" t="s">
        <v>337</v>
      </c>
      <c r="E3247" t="s">
        <v>360</v>
      </c>
      <c r="F3247" t="s">
        <v>154</v>
      </c>
      <c r="G3247" t="s">
        <v>453</v>
      </c>
      <c r="H3247" t="s">
        <v>459</v>
      </c>
      <c r="I3247" s="187">
        <v>10310519.279999999</v>
      </c>
      <c r="J3247" s="187">
        <v>1281452.9240000001</v>
      </c>
      <c r="K3247" s="187">
        <v>8863436.5289999954</v>
      </c>
      <c r="L3247" s="187">
        <v>14432176.460999999</v>
      </c>
      <c r="M3247" s="187">
        <v>34887584</v>
      </c>
      <c r="N3247" s="187">
        <v>24742696</v>
      </c>
      <c r="O3247" t="s">
        <v>3706</v>
      </c>
    </row>
    <row r="3248" spans="1:15" hidden="1" x14ac:dyDescent="0.45">
      <c r="A3248" s="187">
        <v>2019</v>
      </c>
      <c r="B3248" t="s">
        <v>314</v>
      </c>
      <c r="C3248" t="s">
        <v>328</v>
      </c>
      <c r="D3248" t="s">
        <v>39</v>
      </c>
      <c r="E3248" t="s">
        <v>349</v>
      </c>
      <c r="F3248" t="s">
        <v>349</v>
      </c>
      <c r="G3248" t="s">
        <v>36</v>
      </c>
      <c r="H3248" t="s">
        <v>43</v>
      </c>
      <c r="I3248" s="187">
        <v>0</v>
      </c>
      <c r="J3248" s="187">
        <v>22.192551404189587</v>
      </c>
      <c r="K3248" s="187">
        <v>2904.3996609762003</v>
      </c>
      <c r="L3248" s="187">
        <v>0</v>
      </c>
      <c r="M3248" s="187">
        <v>2926.59228515625</v>
      </c>
      <c r="N3248" s="187">
        <v>0</v>
      </c>
      <c r="O3248" t="s">
        <v>3710</v>
      </c>
    </row>
    <row r="3249" spans="1:15" hidden="1" x14ac:dyDescent="0.45">
      <c r="A3249" s="187">
        <v>2019</v>
      </c>
      <c r="B3249" t="s">
        <v>312</v>
      </c>
      <c r="C3249" t="s">
        <v>328</v>
      </c>
      <c r="D3249" t="s">
        <v>39</v>
      </c>
      <c r="E3249" t="s">
        <v>349</v>
      </c>
      <c r="F3249" t="s">
        <v>349</v>
      </c>
      <c r="G3249" t="s">
        <v>36</v>
      </c>
      <c r="H3249" t="s">
        <v>43</v>
      </c>
      <c r="I3249" s="187">
        <v>0</v>
      </c>
      <c r="J3249" s="187">
        <v>0</v>
      </c>
      <c r="K3249" s="187">
        <v>3472.1521544628617</v>
      </c>
      <c r="L3249" s="187">
        <v>0</v>
      </c>
      <c r="M3249" s="187">
        <v>3472.152099609375</v>
      </c>
      <c r="N3249" s="187">
        <v>0</v>
      </c>
      <c r="O3249" t="s">
        <v>3709</v>
      </c>
    </row>
    <row r="3250" spans="1:15" hidden="1" x14ac:dyDescent="0.45">
      <c r="A3250" s="187">
        <v>2019</v>
      </c>
      <c r="B3250" t="s">
        <v>313</v>
      </c>
      <c r="C3250" t="s">
        <v>328</v>
      </c>
      <c r="D3250" t="s">
        <v>39</v>
      </c>
      <c r="E3250" t="s">
        <v>349</v>
      </c>
      <c r="F3250" t="s">
        <v>349</v>
      </c>
      <c r="G3250" t="s">
        <v>36</v>
      </c>
      <c r="H3250" t="s">
        <v>43</v>
      </c>
      <c r="I3250" s="187">
        <v>0</v>
      </c>
      <c r="J3250" s="187">
        <v>0</v>
      </c>
      <c r="K3250" s="187">
        <v>2977.8941755637079</v>
      </c>
      <c r="L3250" s="187">
        <v>0</v>
      </c>
      <c r="M3250" s="187">
        <v>2977.894287109375</v>
      </c>
      <c r="N3250" s="187">
        <v>0</v>
      </c>
      <c r="O3250" t="s">
        <v>3707</v>
      </c>
    </row>
    <row r="3251" spans="1:15" hidden="1" x14ac:dyDescent="0.45">
      <c r="A3251" s="187">
        <v>2019</v>
      </c>
      <c r="B3251" t="s">
        <v>315</v>
      </c>
      <c r="C3251" t="s">
        <v>328</v>
      </c>
      <c r="D3251" t="s">
        <v>39</v>
      </c>
      <c r="E3251" t="s">
        <v>349</v>
      </c>
      <c r="F3251" t="s">
        <v>349</v>
      </c>
      <c r="G3251" t="s">
        <v>36</v>
      </c>
      <c r="H3251" t="s">
        <v>43</v>
      </c>
      <c r="I3251" s="187">
        <v>0</v>
      </c>
      <c r="J3251" s="187">
        <v>21.603009729083823</v>
      </c>
      <c r="K3251" s="187">
        <v>2248.1717226521591</v>
      </c>
      <c r="L3251" s="187">
        <v>0</v>
      </c>
      <c r="M3251" s="187">
        <v>2269.774658203125</v>
      </c>
      <c r="N3251" s="187">
        <v>0</v>
      </c>
      <c r="O3251" t="s">
        <v>3713</v>
      </c>
    </row>
    <row r="3252" spans="1:15" hidden="1" x14ac:dyDescent="0.45">
      <c r="A3252" s="187">
        <v>2019</v>
      </c>
      <c r="B3252" t="s">
        <v>311</v>
      </c>
      <c r="C3252" t="s">
        <v>328</v>
      </c>
      <c r="D3252" t="s">
        <v>39</v>
      </c>
      <c r="E3252" t="s">
        <v>349</v>
      </c>
      <c r="F3252" t="s">
        <v>349</v>
      </c>
      <c r="G3252" t="s">
        <v>36</v>
      </c>
      <c r="H3252" t="s">
        <v>43</v>
      </c>
      <c r="I3252" s="187"/>
      <c r="J3252" s="187">
        <v>0</v>
      </c>
      <c r="K3252" s="187">
        <v>2782.9405617528464</v>
      </c>
      <c r="L3252" s="187">
        <v>0</v>
      </c>
      <c r="M3252" s="187">
        <v>2782.940673828125</v>
      </c>
      <c r="N3252" s="187">
        <v>0</v>
      </c>
      <c r="O3252" t="s">
        <v>3711</v>
      </c>
    </row>
    <row r="3253" spans="1:15" hidden="1" x14ac:dyDescent="0.45">
      <c r="A3253" s="187">
        <v>2019</v>
      </c>
      <c r="B3253" t="s">
        <v>309</v>
      </c>
      <c r="C3253" t="s">
        <v>328</v>
      </c>
      <c r="D3253" t="s">
        <v>39</v>
      </c>
      <c r="E3253" t="s">
        <v>349</v>
      </c>
      <c r="F3253" t="s">
        <v>349</v>
      </c>
      <c r="G3253" t="s">
        <v>36</v>
      </c>
      <c r="H3253" t="s">
        <v>43</v>
      </c>
      <c r="I3253" s="187"/>
      <c r="J3253" s="187">
        <v>0</v>
      </c>
      <c r="K3253" s="187">
        <v>3375.0348746968129</v>
      </c>
      <c r="L3253" s="187">
        <v>0</v>
      </c>
      <c r="M3253" s="187">
        <v>3375.034912109375</v>
      </c>
      <c r="N3253" s="187">
        <v>0</v>
      </c>
      <c r="O3253" t="s">
        <v>3712</v>
      </c>
    </row>
    <row r="3254" spans="1:15" hidden="1" x14ac:dyDescent="0.45">
      <c r="A3254" s="187">
        <v>2019</v>
      </c>
      <c r="B3254" t="s">
        <v>310</v>
      </c>
      <c r="C3254" t="s">
        <v>328</v>
      </c>
      <c r="D3254" t="s">
        <v>39</v>
      </c>
      <c r="E3254" t="s">
        <v>349</v>
      </c>
      <c r="F3254" t="s">
        <v>349</v>
      </c>
      <c r="G3254" t="s">
        <v>36</v>
      </c>
      <c r="H3254" t="s">
        <v>43</v>
      </c>
      <c r="I3254" s="187"/>
      <c r="J3254" s="187">
        <v>0</v>
      </c>
      <c r="K3254" s="187">
        <v>3543.6149595384968</v>
      </c>
      <c r="L3254" s="187">
        <v>0</v>
      </c>
      <c r="M3254" s="187">
        <v>3543.614990234375</v>
      </c>
      <c r="N3254" s="187">
        <v>0</v>
      </c>
      <c r="O3254" t="s">
        <v>3708</v>
      </c>
    </row>
    <row r="3255" spans="1:15" hidden="1" x14ac:dyDescent="0.45">
      <c r="A3255" s="187">
        <v>2019</v>
      </c>
      <c r="B3255" t="s">
        <v>315</v>
      </c>
      <c r="C3255" t="s">
        <v>328</v>
      </c>
      <c r="D3255" t="s">
        <v>39</v>
      </c>
      <c r="E3255" t="s">
        <v>349</v>
      </c>
      <c r="F3255" t="s">
        <v>349</v>
      </c>
      <c r="G3255" t="s">
        <v>37</v>
      </c>
      <c r="H3255" t="s">
        <v>43</v>
      </c>
      <c r="I3255" s="187">
        <v>0</v>
      </c>
      <c r="J3255" s="187">
        <v>20</v>
      </c>
      <c r="K3255" s="187">
        <v>2081.3504699999999</v>
      </c>
      <c r="L3255" s="187">
        <v>0</v>
      </c>
      <c r="M3255" s="187">
        <v>2101.3505859375</v>
      </c>
      <c r="N3255" s="187">
        <v>0</v>
      </c>
      <c r="O3255" t="s">
        <v>3720</v>
      </c>
    </row>
    <row r="3256" spans="1:15" hidden="1" x14ac:dyDescent="0.45">
      <c r="A3256" s="187">
        <v>2019</v>
      </c>
      <c r="B3256" t="s">
        <v>309</v>
      </c>
      <c r="C3256" t="s">
        <v>328</v>
      </c>
      <c r="D3256" t="s">
        <v>39</v>
      </c>
      <c r="E3256" t="s">
        <v>349</v>
      </c>
      <c r="F3256" t="s">
        <v>349</v>
      </c>
      <c r="G3256" t="s">
        <v>37</v>
      </c>
      <c r="H3256" t="s">
        <v>43</v>
      </c>
      <c r="I3256" s="187"/>
      <c r="J3256" s="187">
        <v>0</v>
      </c>
      <c r="K3256" s="187">
        <v>3240.6421159996662</v>
      </c>
      <c r="L3256" s="187">
        <v>0</v>
      </c>
      <c r="M3256" s="187">
        <v>3240.64208984375</v>
      </c>
      <c r="N3256" s="187">
        <v>0</v>
      </c>
      <c r="O3256" t="s">
        <v>3717</v>
      </c>
    </row>
    <row r="3257" spans="1:15" hidden="1" x14ac:dyDescent="0.45">
      <c r="A3257" s="187">
        <v>2019</v>
      </c>
      <c r="B3257" t="s">
        <v>312</v>
      </c>
      <c r="C3257" t="s">
        <v>328</v>
      </c>
      <c r="D3257" t="s">
        <v>39</v>
      </c>
      <c r="E3257" t="s">
        <v>349</v>
      </c>
      <c r="F3257" t="s">
        <v>349</v>
      </c>
      <c r="G3257" t="s">
        <v>37</v>
      </c>
      <c r="H3257" t="s">
        <v>43</v>
      </c>
      <c r="I3257" s="187">
        <v>0</v>
      </c>
      <c r="J3257" s="187">
        <v>0</v>
      </c>
      <c r="K3257" s="187">
        <v>3167.3026871205238</v>
      </c>
      <c r="L3257" s="187">
        <v>0</v>
      </c>
      <c r="M3257" s="187">
        <v>3167.302734375</v>
      </c>
      <c r="N3257" s="187">
        <v>0</v>
      </c>
      <c r="O3257" t="s">
        <v>3714</v>
      </c>
    </row>
    <row r="3258" spans="1:15" hidden="1" x14ac:dyDescent="0.45">
      <c r="A3258" s="187">
        <v>2019</v>
      </c>
      <c r="B3258" t="s">
        <v>314</v>
      </c>
      <c r="C3258" t="s">
        <v>328</v>
      </c>
      <c r="D3258" t="s">
        <v>39</v>
      </c>
      <c r="E3258" t="s">
        <v>349</v>
      </c>
      <c r="F3258" t="s">
        <v>349</v>
      </c>
      <c r="G3258" t="s">
        <v>37</v>
      </c>
      <c r="H3258" t="s">
        <v>43</v>
      </c>
      <c r="I3258" s="187">
        <v>0</v>
      </c>
      <c r="J3258" s="187">
        <v>20</v>
      </c>
      <c r="K3258" s="187">
        <v>2673.1789781820389</v>
      </c>
      <c r="L3258" s="187">
        <v>0</v>
      </c>
      <c r="M3258" s="187">
        <v>2693.178955078125</v>
      </c>
      <c r="N3258" s="187">
        <v>0</v>
      </c>
      <c r="O3258" t="s">
        <v>3715</v>
      </c>
    </row>
    <row r="3259" spans="1:15" hidden="1" x14ac:dyDescent="0.45">
      <c r="A3259" s="187">
        <v>2019</v>
      </c>
      <c r="B3259" t="s">
        <v>310</v>
      </c>
      <c r="C3259" t="s">
        <v>328</v>
      </c>
      <c r="D3259" t="s">
        <v>39</v>
      </c>
      <c r="E3259" t="s">
        <v>349</v>
      </c>
      <c r="F3259" t="s">
        <v>349</v>
      </c>
      <c r="G3259" t="s">
        <v>37</v>
      </c>
      <c r="H3259" t="s">
        <v>43</v>
      </c>
      <c r="I3259" s="187"/>
      <c r="J3259" s="187">
        <v>0</v>
      </c>
      <c r="K3259" s="187">
        <v>3360.3755388870609</v>
      </c>
      <c r="L3259" s="187">
        <v>0</v>
      </c>
      <c r="M3259" s="187">
        <v>3360.37548828125</v>
      </c>
      <c r="N3259" s="187">
        <v>0</v>
      </c>
      <c r="O3259" t="s">
        <v>3718</v>
      </c>
    </row>
    <row r="3260" spans="1:15" hidden="1" x14ac:dyDescent="0.45">
      <c r="A3260" s="187">
        <v>2019</v>
      </c>
      <c r="B3260" t="s">
        <v>313</v>
      </c>
      <c r="C3260" t="s">
        <v>328</v>
      </c>
      <c r="D3260" t="s">
        <v>39</v>
      </c>
      <c r="E3260" t="s">
        <v>349</v>
      </c>
      <c r="F3260" t="s">
        <v>349</v>
      </c>
      <c r="G3260" t="s">
        <v>37</v>
      </c>
      <c r="H3260" t="s">
        <v>43</v>
      </c>
      <c r="I3260" s="187">
        <v>0</v>
      </c>
      <c r="J3260" s="187">
        <v>0</v>
      </c>
      <c r="K3260" s="187">
        <v>2704.4211513399341</v>
      </c>
      <c r="L3260" s="187">
        <v>0</v>
      </c>
      <c r="M3260" s="187">
        <v>2704.421142578125</v>
      </c>
      <c r="N3260" s="187">
        <v>0</v>
      </c>
      <c r="O3260" t="s">
        <v>3716</v>
      </c>
    </row>
    <row r="3261" spans="1:15" hidden="1" x14ac:dyDescent="0.45">
      <c r="A3261" s="187">
        <v>2019</v>
      </c>
      <c r="B3261" t="s">
        <v>311</v>
      </c>
      <c r="C3261" t="s">
        <v>328</v>
      </c>
      <c r="D3261" t="s">
        <v>39</v>
      </c>
      <c r="E3261" t="s">
        <v>349</v>
      </c>
      <c r="F3261" t="s">
        <v>349</v>
      </c>
      <c r="G3261" t="s">
        <v>37</v>
      </c>
      <c r="H3261" t="s">
        <v>43</v>
      </c>
      <c r="I3261" s="187"/>
      <c r="J3261" s="187">
        <v>0</v>
      </c>
      <c r="K3261" s="187">
        <v>2566.688996273218</v>
      </c>
      <c r="L3261" s="187">
        <v>0</v>
      </c>
      <c r="M3261" s="187">
        <v>2566.68896484375</v>
      </c>
      <c r="N3261" s="187">
        <v>0</v>
      </c>
      <c r="O3261" t="s">
        <v>3719</v>
      </c>
    </row>
    <row r="3262" spans="1:15" hidden="1" x14ac:dyDescent="0.45">
      <c r="A3262" s="187">
        <v>2019</v>
      </c>
      <c r="B3262" t="s">
        <v>314</v>
      </c>
      <c r="C3262" t="s">
        <v>328</v>
      </c>
      <c r="D3262" t="s">
        <v>39</v>
      </c>
      <c r="E3262" t="s">
        <v>21</v>
      </c>
      <c r="F3262" t="s">
        <v>21</v>
      </c>
      <c r="G3262" t="s">
        <v>36</v>
      </c>
      <c r="H3262" t="s">
        <v>43</v>
      </c>
      <c r="I3262" s="187">
        <v>1958.4926614197309</v>
      </c>
      <c r="J3262" s="187">
        <v>909.89460757177301</v>
      </c>
      <c r="K3262" s="187">
        <v>7156.737008548429</v>
      </c>
      <c r="L3262" s="187">
        <v>5066.5594855764821</v>
      </c>
      <c r="M3262" s="187">
        <v>15091.68359375</v>
      </c>
      <c r="N3262" s="187">
        <v>7025.05224609375</v>
      </c>
      <c r="O3262" t="s">
        <v>3721</v>
      </c>
    </row>
    <row r="3263" spans="1:15" hidden="1" x14ac:dyDescent="0.45">
      <c r="A3263" s="187">
        <v>2019</v>
      </c>
      <c r="B3263" t="s">
        <v>312</v>
      </c>
      <c r="C3263" t="s">
        <v>328</v>
      </c>
      <c r="D3263" t="s">
        <v>39</v>
      </c>
      <c r="E3263" t="s">
        <v>21</v>
      </c>
      <c r="F3263" t="s">
        <v>21</v>
      </c>
      <c r="G3263" t="s">
        <v>36</v>
      </c>
      <c r="H3263" t="s">
        <v>43</v>
      </c>
      <c r="I3263" s="187">
        <v>1901.6232069035862</v>
      </c>
      <c r="J3263" s="187">
        <v>887.21672074134676</v>
      </c>
      <c r="K3263" s="187">
        <v>7740.5620243079857</v>
      </c>
      <c r="L3263" s="187">
        <v>5028.7211779535683</v>
      </c>
      <c r="M3263" s="187">
        <v>15558.123046875</v>
      </c>
      <c r="N3263" s="187">
        <v>6930.34423828125</v>
      </c>
      <c r="O3263" t="s">
        <v>3724</v>
      </c>
    </row>
    <row r="3264" spans="1:15" hidden="1" x14ac:dyDescent="0.45">
      <c r="A3264" s="187">
        <v>2019</v>
      </c>
      <c r="B3264" t="s">
        <v>311</v>
      </c>
      <c r="C3264" t="s">
        <v>328</v>
      </c>
      <c r="D3264" t="s">
        <v>39</v>
      </c>
      <c r="E3264" t="s">
        <v>21</v>
      </c>
      <c r="F3264" t="s">
        <v>21</v>
      </c>
      <c r="G3264" t="s">
        <v>36</v>
      </c>
      <c r="H3264" t="s">
        <v>43</v>
      </c>
      <c r="I3264" s="187"/>
      <c r="J3264" s="187">
        <v>891.27375513324205</v>
      </c>
      <c r="K3264" s="187">
        <v>7609.7609054240656</v>
      </c>
      <c r="L3264" s="187">
        <v>647.77543510337591</v>
      </c>
      <c r="M3264" s="187">
        <v>9148.8095703125</v>
      </c>
      <c r="N3264" s="187">
        <v>647.77545166015625</v>
      </c>
      <c r="O3264" t="s">
        <v>3723</v>
      </c>
    </row>
    <row r="3265" spans="1:15" hidden="1" x14ac:dyDescent="0.45">
      <c r="A3265" s="187">
        <v>2019</v>
      </c>
      <c r="B3265" t="s">
        <v>310</v>
      </c>
      <c r="C3265" t="s">
        <v>328</v>
      </c>
      <c r="D3265" t="s">
        <v>39</v>
      </c>
      <c r="E3265" t="s">
        <v>21</v>
      </c>
      <c r="F3265" t="s">
        <v>21</v>
      </c>
      <c r="G3265" t="s">
        <v>36</v>
      </c>
      <c r="H3265" t="s">
        <v>43</v>
      </c>
      <c r="I3265" s="187"/>
      <c r="J3265" s="187">
        <v>1039.1238095670417</v>
      </c>
      <c r="K3265" s="187">
        <v>7565.3524208074805</v>
      </c>
      <c r="L3265" s="187">
        <v>9421.6878950891751</v>
      </c>
      <c r="M3265" s="187">
        <v>18026.1640625</v>
      </c>
      <c r="N3265" s="187">
        <v>9421.6875</v>
      </c>
      <c r="O3265" t="s">
        <v>3726</v>
      </c>
    </row>
    <row r="3266" spans="1:15" hidden="1" x14ac:dyDescent="0.45">
      <c r="A3266" s="187">
        <v>2019</v>
      </c>
      <c r="B3266" t="s">
        <v>315</v>
      </c>
      <c r="C3266" t="s">
        <v>328</v>
      </c>
      <c r="D3266" t="s">
        <v>39</v>
      </c>
      <c r="E3266" t="s">
        <v>21</v>
      </c>
      <c r="F3266" t="s">
        <v>21</v>
      </c>
      <c r="G3266" t="s">
        <v>36</v>
      </c>
      <c r="H3266" t="s">
        <v>43</v>
      </c>
      <c r="I3266" s="187">
        <v>3416.5159886546066</v>
      </c>
      <c r="J3266" s="187">
        <v>939.73092321514628</v>
      </c>
      <c r="K3266" s="187">
        <v>6978.278006725026</v>
      </c>
      <c r="L3266" s="187">
        <v>5191.2032378988424</v>
      </c>
      <c r="M3266" s="187">
        <v>16525.728515625</v>
      </c>
      <c r="N3266" s="187">
        <v>8607.71875</v>
      </c>
      <c r="O3266" t="s">
        <v>3725</v>
      </c>
    </row>
    <row r="3267" spans="1:15" hidden="1" x14ac:dyDescent="0.45">
      <c r="A3267" s="187">
        <v>2019</v>
      </c>
      <c r="B3267" t="s">
        <v>313</v>
      </c>
      <c r="C3267" t="s">
        <v>328</v>
      </c>
      <c r="D3267" t="s">
        <v>39</v>
      </c>
      <c r="E3267" t="s">
        <v>21</v>
      </c>
      <c r="F3267" t="s">
        <v>21</v>
      </c>
      <c r="G3267" t="s">
        <v>36</v>
      </c>
      <c r="H3267" t="s">
        <v>43</v>
      </c>
      <c r="I3267" s="187">
        <v>1940.0044612941792</v>
      </c>
      <c r="J3267" s="187">
        <v>912.85735991632748</v>
      </c>
      <c r="K3267" s="187">
        <v>7403.7992016587605</v>
      </c>
      <c r="L3267" s="187">
        <v>5323.0994800120843</v>
      </c>
      <c r="M3267" s="187">
        <v>15579.7607421875</v>
      </c>
      <c r="N3267" s="187">
        <v>7263.10400390625</v>
      </c>
      <c r="O3267" t="s">
        <v>3722</v>
      </c>
    </row>
    <row r="3268" spans="1:15" hidden="1" x14ac:dyDescent="0.45">
      <c r="A3268" s="187">
        <v>2019</v>
      </c>
      <c r="B3268" t="s">
        <v>309</v>
      </c>
      <c r="C3268" t="s">
        <v>328</v>
      </c>
      <c r="D3268" t="s">
        <v>39</v>
      </c>
      <c r="E3268" t="s">
        <v>21</v>
      </c>
      <c r="F3268" t="s">
        <v>21</v>
      </c>
      <c r="G3268" t="s">
        <v>36</v>
      </c>
      <c r="H3268" t="s">
        <v>43</v>
      </c>
      <c r="I3268" s="187"/>
      <c r="J3268" s="187">
        <v>1033.8771229798922</v>
      </c>
      <c r="K3268" s="187">
        <v>7665.0441529025547</v>
      </c>
      <c r="L3268" s="187">
        <v>10187.50118991592</v>
      </c>
      <c r="M3268" s="187">
        <v>18886.421875</v>
      </c>
      <c r="N3268" s="187">
        <v>10187.5009765625</v>
      </c>
      <c r="O3268" t="s">
        <v>3727</v>
      </c>
    </row>
    <row r="3269" spans="1:15" hidden="1" x14ac:dyDescent="0.45">
      <c r="A3269" s="187">
        <v>2019</v>
      </c>
      <c r="B3269" t="s">
        <v>313</v>
      </c>
      <c r="C3269" t="s">
        <v>328</v>
      </c>
      <c r="D3269" t="s">
        <v>39</v>
      </c>
      <c r="E3269" t="s">
        <v>21</v>
      </c>
      <c r="F3269" t="s">
        <v>21</v>
      </c>
      <c r="G3269" t="s">
        <v>37</v>
      </c>
      <c r="H3269" t="s">
        <v>43</v>
      </c>
      <c r="I3269" s="187">
        <v>1764.8565625152</v>
      </c>
      <c r="J3269" s="187">
        <v>832</v>
      </c>
      <c r="K3269" s="187">
        <v>6723.875994501841</v>
      </c>
      <c r="L3269" s="187">
        <v>4852</v>
      </c>
      <c r="M3269" s="187">
        <v>14172.732421875</v>
      </c>
      <c r="N3269" s="187">
        <v>6616.8564453125</v>
      </c>
      <c r="O3269" t="s">
        <v>3729</v>
      </c>
    </row>
    <row r="3270" spans="1:15" hidden="1" x14ac:dyDescent="0.45">
      <c r="A3270" s="187">
        <v>2019</v>
      </c>
      <c r="B3270" t="s">
        <v>311</v>
      </c>
      <c r="C3270" t="s">
        <v>328</v>
      </c>
      <c r="D3270" t="s">
        <v>39</v>
      </c>
      <c r="E3270" t="s">
        <v>21</v>
      </c>
      <c r="F3270" t="s">
        <v>21</v>
      </c>
      <c r="G3270" t="s">
        <v>37</v>
      </c>
      <c r="H3270" t="s">
        <v>43</v>
      </c>
      <c r="I3270" s="187"/>
      <c r="J3270" s="187">
        <v>829</v>
      </c>
      <c r="K3270" s="187">
        <v>7018.4357685023006</v>
      </c>
      <c r="L3270" s="187">
        <v>621</v>
      </c>
      <c r="M3270" s="187">
        <v>8468.435546875</v>
      </c>
      <c r="N3270" s="187">
        <v>621</v>
      </c>
      <c r="O3270" t="s">
        <v>3728</v>
      </c>
    </row>
    <row r="3271" spans="1:15" hidden="1" x14ac:dyDescent="0.45">
      <c r="A3271" s="187">
        <v>2019</v>
      </c>
      <c r="B3271" t="s">
        <v>309</v>
      </c>
      <c r="C3271" t="s">
        <v>328</v>
      </c>
      <c r="D3271" t="s">
        <v>39</v>
      </c>
      <c r="E3271" t="s">
        <v>21</v>
      </c>
      <c r="F3271" t="s">
        <v>21</v>
      </c>
      <c r="G3271" t="s">
        <v>37</v>
      </c>
      <c r="H3271" t="s">
        <v>43</v>
      </c>
      <c r="I3271" s="187"/>
      <c r="J3271" s="187">
        <v>975.02440000000001</v>
      </c>
      <c r="K3271" s="187">
        <v>7359.8246611079539</v>
      </c>
      <c r="L3271" s="187">
        <v>10171</v>
      </c>
      <c r="M3271" s="187">
        <v>18505.84765625</v>
      </c>
      <c r="N3271" s="187">
        <v>10171</v>
      </c>
      <c r="O3271" t="s">
        <v>3731</v>
      </c>
    </row>
    <row r="3272" spans="1:15" hidden="1" x14ac:dyDescent="0.45">
      <c r="A3272" s="187">
        <v>2019</v>
      </c>
      <c r="B3272" t="s">
        <v>315</v>
      </c>
      <c r="C3272" t="s">
        <v>328</v>
      </c>
      <c r="D3272" t="s">
        <v>39</v>
      </c>
      <c r="E3272" t="s">
        <v>21</v>
      </c>
      <c r="F3272" t="s">
        <v>21</v>
      </c>
      <c r="G3272" t="s">
        <v>37</v>
      </c>
      <c r="H3272" t="s">
        <v>43</v>
      </c>
      <c r="I3272" s="187">
        <v>3163</v>
      </c>
      <c r="J3272" s="187">
        <v>870</v>
      </c>
      <c r="K3272" s="187">
        <v>6460.4683275499992</v>
      </c>
      <c r="L3272" s="187">
        <v>4806</v>
      </c>
      <c r="M3272" s="187">
        <v>15299.46875</v>
      </c>
      <c r="N3272" s="187">
        <v>7969</v>
      </c>
      <c r="O3272" t="s">
        <v>3734</v>
      </c>
    </row>
    <row r="3273" spans="1:15" hidden="1" x14ac:dyDescent="0.45">
      <c r="A3273" s="187">
        <v>2019</v>
      </c>
      <c r="B3273" t="s">
        <v>314</v>
      </c>
      <c r="C3273" t="s">
        <v>328</v>
      </c>
      <c r="D3273" t="s">
        <v>39</v>
      </c>
      <c r="E3273" t="s">
        <v>21</v>
      </c>
      <c r="F3273" t="s">
        <v>21</v>
      </c>
      <c r="G3273" t="s">
        <v>37</v>
      </c>
      <c r="H3273" t="s">
        <v>43</v>
      </c>
      <c r="I3273" s="187">
        <v>1800.8295000000001</v>
      </c>
      <c r="J3273" s="187">
        <v>836</v>
      </c>
      <c r="K3273" s="187">
        <v>6586.9856620210649</v>
      </c>
      <c r="L3273" s="187">
        <v>4725</v>
      </c>
      <c r="M3273" s="187">
        <v>13948.8154296875</v>
      </c>
      <c r="N3273" s="187">
        <v>6525.82958984375</v>
      </c>
      <c r="O3273" t="s">
        <v>3732</v>
      </c>
    </row>
    <row r="3274" spans="1:15" hidden="1" x14ac:dyDescent="0.45">
      <c r="A3274" s="187">
        <v>2019</v>
      </c>
      <c r="B3274" t="s">
        <v>310</v>
      </c>
      <c r="C3274" t="s">
        <v>328</v>
      </c>
      <c r="D3274" t="s">
        <v>39</v>
      </c>
      <c r="E3274" t="s">
        <v>21</v>
      </c>
      <c r="F3274" t="s">
        <v>21</v>
      </c>
      <c r="G3274" t="s">
        <v>37</v>
      </c>
      <c r="H3274" t="s">
        <v>43</v>
      </c>
      <c r="I3274" s="187"/>
      <c r="J3274" s="187">
        <v>985</v>
      </c>
      <c r="K3274" s="187">
        <v>7174.1499875743739</v>
      </c>
      <c r="L3274" s="187">
        <v>9213</v>
      </c>
      <c r="M3274" s="187">
        <v>17372.150390625</v>
      </c>
      <c r="N3274" s="187">
        <v>9213</v>
      </c>
      <c r="O3274" t="s">
        <v>3733</v>
      </c>
    </row>
    <row r="3275" spans="1:15" hidden="1" x14ac:dyDescent="0.45">
      <c r="A3275" s="187">
        <v>2019</v>
      </c>
      <c r="B3275" t="s">
        <v>312</v>
      </c>
      <c r="C3275" t="s">
        <v>328</v>
      </c>
      <c r="D3275" t="s">
        <v>39</v>
      </c>
      <c r="E3275" t="s">
        <v>21</v>
      </c>
      <c r="F3275" t="s">
        <v>21</v>
      </c>
      <c r="G3275" t="s">
        <v>37</v>
      </c>
      <c r="H3275" t="s">
        <v>43</v>
      </c>
      <c r="I3275" s="187">
        <v>1710.574003610101</v>
      </c>
      <c r="J3275" s="187">
        <v>812</v>
      </c>
      <c r="K3275" s="187">
        <v>7060.9529216344145</v>
      </c>
      <c r="L3275" s="187">
        <v>4576</v>
      </c>
      <c r="M3275" s="187">
        <v>14159.52734375</v>
      </c>
      <c r="N3275" s="187">
        <v>6286.57421875</v>
      </c>
      <c r="O3275" t="s">
        <v>3730</v>
      </c>
    </row>
    <row r="3276" spans="1:15" hidden="1" x14ac:dyDescent="0.45">
      <c r="A3276" s="187">
        <v>2019</v>
      </c>
      <c r="B3276" t="s">
        <v>313</v>
      </c>
      <c r="C3276" t="s">
        <v>328</v>
      </c>
      <c r="D3276" t="s">
        <v>39</v>
      </c>
      <c r="E3276" t="s">
        <v>352</v>
      </c>
      <c r="F3276" t="s">
        <v>433</v>
      </c>
      <c r="G3276" t="s">
        <v>36</v>
      </c>
      <c r="H3276" t="s">
        <v>43</v>
      </c>
      <c r="I3276" s="187"/>
      <c r="J3276" s="187">
        <v>182.5714719832655</v>
      </c>
      <c r="K3276" s="187">
        <v>141.34226932264457</v>
      </c>
      <c r="L3276" s="187">
        <v>260.16434757615332</v>
      </c>
      <c r="M3276" s="187">
        <v>584.07806396484375</v>
      </c>
      <c r="N3276" s="187">
        <v>260.16433715820313</v>
      </c>
      <c r="O3276" t="s">
        <v>3741</v>
      </c>
    </row>
    <row r="3277" spans="1:15" hidden="1" x14ac:dyDescent="0.45">
      <c r="A3277" s="187">
        <v>2019</v>
      </c>
      <c r="B3277" t="s">
        <v>309</v>
      </c>
      <c r="C3277" t="s">
        <v>328</v>
      </c>
      <c r="D3277" t="s">
        <v>39</v>
      </c>
      <c r="E3277" t="s">
        <v>352</v>
      </c>
      <c r="F3277" t="s">
        <v>433</v>
      </c>
      <c r="G3277" t="s">
        <v>36</v>
      </c>
      <c r="H3277" t="s">
        <v>43</v>
      </c>
      <c r="I3277" s="187"/>
      <c r="J3277" s="187">
        <v>185.812017494082</v>
      </c>
      <c r="K3277" s="187">
        <v>414.57061286065436</v>
      </c>
      <c r="L3277" s="187">
        <v>315.64220920469057</v>
      </c>
      <c r="M3277" s="187">
        <v>916.02484130859375</v>
      </c>
      <c r="N3277" s="187">
        <v>315.6422119140625</v>
      </c>
      <c r="O3277" t="s">
        <v>3735</v>
      </c>
    </row>
    <row r="3278" spans="1:15" hidden="1" x14ac:dyDescent="0.45">
      <c r="A3278" s="187">
        <v>2019</v>
      </c>
      <c r="B3278" t="s">
        <v>312</v>
      </c>
      <c r="C3278" t="s">
        <v>328</v>
      </c>
      <c r="D3278" t="s">
        <v>39</v>
      </c>
      <c r="E3278" t="s">
        <v>352</v>
      </c>
      <c r="F3278" t="s">
        <v>433</v>
      </c>
      <c r="G3278" t="s">
        <v>36</v>
      </c>
      <c r="H3278" t="s">
        <v>43</v>
      </c>
      <c r="I3278" s="187"/>
      <c r="J3278" s="187">
        <v>197.15927127585482</v>
      </c>
      <c r="K3278" s="187">
        <v>144.64879877257908</v>
      </c>
      <c r="L3278" s="187">
        <v>218.03495882271005</v>
      </c>
      <c r="M3278" s="187">
        <v>559.843017578125</v>
      </c>
      <c r="N3278" s="187">
        <v>218.03495788574219</v>
      </c>
      <c r="O3278" t="s">
        <v>3740</v>
      </c>
    </row>
    <row r="3279" spans="1:15" hidden="1" x14ac:dyDescent="0.45">
      <c r="A3279" s="187">
        <v>2019</v>
      </c>
      <c r="B3279" t="s">
        <v>311</v>
      </c>
      <c r="C3279" t="s">
        <v>328</v>
      </c>
      <c r="D3279" t="s">
        <v>39</v>
      </c>
      <c r="E3279" t="s">
        <v>352</v>
      </c>
      <c r="F3279" t="s">
        <v>433</v>
      </c>
      <c r="G3279" t="s">
        <v>36</v>
      </c>
      <c r="H3279" t="s">
        <v>43</v>
      </c>
      <c r="I3279" s="187"/>
      <c r="J3279" s="187">
        <v>233.0127464400633</v>
      </c>
      <c r="K3279" s="187">
        <v>156.56126433307853</v>
      </c>
      <c r="L3279" s="187">
        <v>259.80921228067058</v>
      </c>
      <c r="M3279" s="187">
        <v>649.38323974609375</v>
      </c>
      <c r="N3279" s="187">
        <v>259.8092041015625</v>
      </c>
      <c r="O3279" t="s">
        <v>3738</v>
      </c>
    </row>
    <row r="3280" spans="1:15" hidden="1" x14ac:dyDescent="0.45">
      <c r="A3280" s="187">
        <v>2019</v>
      </c>
      <c r="B3280" t="s">
        <v>310</v>
      </c>
      <c r="C3280" t="s">
        <v>328</v>
      </c>
      <c r="D3280" t="s">
        <v>39</v>
      </c>
      <c r="E3280" t="s">
        <v>352</v>
      </c>
      <c r="F3280" t="s">
        <v>433</v>
      </c>
      <c r="G3280" t="s">
        <v>36</v>
      </c>
      <c r="H3280" t="s">
        <v>43</v>
      </c>
      <c r="I3280" s="187"/>
      <c r="J3280" s="187">
        <v>251.32294012954995</v>
      </c>
      <c r="K3280" s="187">
        <v>410.08890165697073</v>
      </c>
      <c r="L3280" s="187">
        <v>310.93907941609439</v>
      </c>
      <c r="M3280" s="187">
        <v>972.3509521484375</v>
      </c>
      <c r="N3280" s="187">
        <v>310.9390869140625</v>
      </c>
      <c r="O3280" t="s">
        <v>3736</v>
      </c>
    </row>
    <row r="3281" spans="1:15" hidden="1" x14ac:dyDescent="0.45">
      <c r="A3281" s="187">
        <v>2019</v>
      </c>
      <c r="B3281" t="s">
        <v>314</v>
      </c>
      <c r="C3281" t="s">
        <v>328</v>
      </c>
      <c r="D3281" t="s">
        <v>39</v>
      </c>
      <c r="E3281" t="s">
        <v>352</v>
      </c>
      <c r="F3281" t="s">
        <v>433</v>
      </c>
      <c r="G3281" t="s">
        <v>36</v>
      </c>
      <c r="H3281" t="s">
        <v>43</v>
      </c>
      <c r="I3281" s="187">
        <v>0</v>
      </c>
      <c r="J3281" s="187">
        <v>210.82923833980107</v>
      </c>
      <c r="K3281" s="187">
        <v>102.81587140046993</v>
      </c>
      <c r="L3281" s="187">
        <v>83.222067765710946</v>
      </c>
      <c r="M3281" s="187">
        <v>396.8671875</v>
      </c>
      <c r="N3281" s="187">
        <v>83.222068786621094</v>
      </c>
      <c r="O3281" t="s">
        <v>3737</v>
      </c>
    </row>
    <row r="3282" spans="1:15" hidden="1" x14ac:dyDescent="0.45">
      <c r="A3282" s="187">
        <v>2019</v>
      </c>
      <c r="B3282" t="s">
        <v>315</v>
      </c>
      <c r="C3282" t="s">
        <v>328</v>
      </c>
      <c r="D3282" t="s">
        <v>39</v>
      </c>
      <c r="E3282" t="s">
        <v>352</v>
      </c>
      <c r="F3282" t="s">
        <v>433</v>
      </c>
      <c r="G3282" t="s">
        <v>36</v>
      </c>
      <c r="H3282" t="s">
        <v>43</v>
      </c>
      <c r="I3282" s="187">
        <v>0</v>
      </c>
      <c r="J3282" s="187">
        <v>194.4270875617544</v>
      </c>
      <c r="K3282" s="187">
        <v>102.2426833784161</v>
      </c>
      <c r="L3282" s="187">
        <v>228.9919031282885</v>
      </c>
      <c r="M3282" s="187">
        <v>525.66168212890625</v>
      </c>
      <c r="N3282" s="187">
        <v>228.99189758300781</v>
      </c>
      <c r="O3282" t="s">
        <v>3739</v>
      </c>
    </row>
    <row r="3283" spans="1:15" hidden="1" x14ac:dyDescent="0.45">
      <c r="A3283" s="187">
        <v>2019</v>
      </c>
      <c r="B3283" t="s">
        <v>309</v>
      </c>
      <c r="C3283" t="s">
        <v>328</v>
      </c>
      <c r="D3283" t="s">
        <v>39</v>
      </c>
      <c r="E3283" t="s">
        <v>352</v>
      </c>
      <c r="F3283" t="s">
        <v>361</v>
      </c>
      <c r="G3283" t="s">
        <v>36</v>
      </c>
      <c r="H3283" t="s">
        <v>43</v>
      </c>
      <c r="I3283" s="187"/>
      <c r="J3283" s="187"/>
      <c r="K3283" s="187">
        <v>0</v>
      </c>
      <c r="L3283" s="187"/>
      <c r="M3283" s="187">
        <v>0</v>
      </c>
      <c r="N3283" s="187">
        <v>0</v>
      </c>
      <c r="O3283" t="s">
        <v>3748</v>
      </c>
    </row>
    <row r="3284" spans="1:15" hidden="1" x14ac:dyDescent="0.45">
      <c r="A3284" s="187">
        <v>2019</v>
      </c>
      <c r="B3284" t="s">
        <v>313</v>
      </c>
      <c r="C3284" t="s">
        <v>328</v>
      </c>
      <c r="D3284" t="s">
        <v>39</v>
      </c>
      <c r="E3284" t="s">
        <v>352</v>
      </c>
      <c r="F3284" t="s">
        <v>361</v>
      </c>
      <c r="G3284" t="s">
        <v>36</v>
      </c>
      <c r="H3284" t="s">
        <v>43</v>
      </c>
      <c r="I3284" s="187"/>
      <c r="J3284" s="187">
        <v>0</v>
      </c>
      <c r="K3284" s="187">
        <v>0</v>
      </c>
      <c r="L3284" s="187">
        <v>0</v>
      </c>
      <c r="M3284" s="187">
        <v>0</v>
      </c>
      <c r="N3284" s="187">
        <v>0</v>
      </c>
      <c r="O3284" t="s">
        <v>3744</v>
      </c>
    </row>
    <row r="3285" spans="1:15" hidden="1" x14ac:dyDescent="0.45">
      <c r="A3285" s="187">
        <v>2019</v>
      </c>
      <c r="B3285" t="s">
        <v>310</v>
      </c>
      <c r="C3285" t="s">
        <v>328</v>
      </c>
      <c r="D3285" t="s">
        <v>39</v>
      </c>
      <c r="E3285" t="s">
        <v>352</v>
      </c>
      <c r="F3285" t="s">
        <v>361</v>
      </c>
      <c r="G3285" t="s">
        <v>36</v>
      </c>
      <c r="H3285" t="s">
        <v>43</v>
      </c>
      <c r="I3285" s="187"/>
      <c r="J3285" s="187">
        <v>0</v>
      </c>
      <c r="K3285" s="187">
        <v>0</v>
      </c>
      <c r="L3285" s="187"/>
      <c r="M3285" s="187">
        <v>0</v>
      </c>
      <c r="N3285" s="187">
        <v>0</v>
      </c>
      <c r="O3285" t="s">
        <v>3743</v>
      </c>
    </row>
    <row r="3286" spans="1:15" hidden="1" x14ac:dyDescent="0.45">
      <c r="A3286" s="187">
        <v>2019</v>
      </c>
      <c r="B3286" t="s">
        <v>312</v>
      </c>
      <c r="C3286" t="s">
        <v>328</v>
      </c>
      <c r="D3286" t="s">
        <v>39</v>
      </c>
      <c r="E3286" t="s">
        <v>352</v>
      </c>
      <c r="F3286" t="s">
        <v>361</v>
      </c>
      <c r="G3286" t="s">
        <v>36</v>
      </c>
      <c r="H3286" t="s">
        <v>43</v>
      </c>
      <c r="I3286" s="187"/>
      <c r="J3286" s="187"/>
      <c r="K3286" s="187">
        <v>0</v>
      </c>
      <c r="L3286" s="187"/>
      <c r="M3286" s="187">
        <v>0</v>
      </c>
      <c r="N3286" s="187">
        <v>0</v>
      </c>
      <c r="O3286" t="s">
        <v>3742</v>
      </c>
    </row>
    <row r="3287" spans="1:15" hidden="1" x14ac:dyDescent="0.45">
      <c r="A3287" s="187">
        <v>2019</v>
      </c>
      <c r="B3287" t="s">
        <v>315</v>
      </c>
      <c r="C3287" t="s">
        <v>328</v>
      </c>
      <c r="D3287" t="s">
        <v>39</v>
      </c>
      <c r="E3287" t="s">
        <v>352</v>
      </c>
      <c r="F3287" t="s">
        <v>361</v>
      </c>
      <c r="G3287" t="s">
        <v>36</v>
      </c>
      <c r="H3287" t="s">
        <v>43</v>
      </c>
      <c r="I3287" s="187"/>
      <c r="J3287" s="187">
        <v>0</v>
      </c>
      <c r="K3287" s="187">
        <v>0</v>
      </c>
      <c r="L3287" s="187">
        <v>0</v>
      </c>
      <c r="M3287" s="187">
        <v>0</v>
      </c>
      <c r="N3287" s="187">
        <v>0</v>
      </c>
      <c r="O3287" t="s">
        <v>3747</v>
      </c>
    </row>
    <row r="3288" spans="1:15" hidden="1" x14ac:dyDescent="0.45">
      <c r="A3288" s="187">
        <v>2019</v>
      </c>
      <c r="B3288" t="s">
        <v>314</v>
      </c>
      <c r="C3288" t="s">
        <v>328</v>
      </c>
      <c r="D3288" t="s">
        <v>39</v>
      </c>
      <c r="E3288" t="s">
        <v>352</v>
      </c>
      <c r="F3288" t="s">
        <v>361</v>
      </c>
      <c r="G3288" t="s">
        <v>36</v>
      </c>
      <c r="H3288" t="s">
        <v>43</v>
      </c>
      <c r="I3288" s="187"/>
      <c r="J3288" s="187">
        <v>0</v>
      </c>
      <c r="K3288" s="187"/>
      <c r="L3288" s="187">
        <v>0</v>
      </c>
      <c r="M3288" s="187">
        <v>0</v>
      </c>
      <c r="N3288" s="187">
        <v>0</v>
      </c>
      <c r="O3288" t="s">
        <v>3746</v>
      </c>
    </row>
    <row r="3289" spans="1:15" hidden="1" x14ac:dyDescent="0.45">
      <c r="A3289" s="187">
        <v>2019</v>
      </c>
      <c r="B3289" t="s">
        <v>311</v>
      </c>
      <c r="C3289" t="s">
        <v>328</v>
      </c>
      <c r="D3289" t="s">
        <v>39</v>
      </c>
      <c r="E3289" t="s">
        <v>352</v>
      </c>
      <c r="F3289" t="s">
        <v>361</v>
      </c>
      <c r="G3289" t="s">
        <v>36</v>
      </c>
      <c r="H3289" t="s">
        <v>43</v>
      </c>
      <c r="I3289" s="187"/>
      <c r="J3289" s="187"/>
      <c r="K3289" s="187">
        <v>0</v>
      </c>
      <c r="L3289" s="187">
        <v>0</v>
      </c>
      <c r="M3289" s="187">
        <v>0</v>
      </c>
      <c r="N3289" s="187">
        <v>0</v>
      </c>
      <c r="O3289" t="s">
        <v>3745</v>
      </c>
    </row>
    <row r="3290" spans="1:15" hidden="1" x14ac:dyDescent="0.45">
      <c r="A3290" s="187">
        <v>2019</v>
      </c>
      <c r="B3290" t="s">
        <v>312</v>
      </c>
      <c r="C3290" t="s">
        <v>328</v>
      </c>
      <c r="D3290" t="s">
        <v>39</v>
      </c>
      <c r="E3290" t="s">
        <v>40</v>
      </c>
      <c r="F3290" t="s">
        <v>40</v>
      </c>
      <c r="G3290" t="s">
        <v>36</v>
      </c>
      <c r="H3290" t="s">
        <v>43</v>
      </c>
      <c r="I3290" s="187">
        <v>4771.8878087367357</v>
      </c>
      <c r="J3290" s="187">
        <v>168.16526079411148</v>
      </c>
      <c r="K3290" s="187">
        <v>6335.8543307841874</v>
      </c>
      <c r="L3290" s="187">
        <v>5120.3422510758774</v>
      </c>
      <c r="M3290" s="187">
        <v>16396.25</v>
      </c>
      <c r="N3290" s="187">
        <v>9892.2294921875</v>
      </c>
      <c r="O3290" t="s">
        <v>3749</v>
      </c>
    </row>
    <row r="3291" spans="1:15" hidden="1" x14ac:dyDescent="0.45">
      <c r="A3291" s="187">
        <v>2019</v>
      </c>
      <c r="B3291" t="s">
        <v>313</v>
      </c>
      <c r="C3291" t="s">
        <v>328</v>
      </c>
      <c r="D3291" t="s">
        <v>39</v>
      </c>
      <c r="E3291" t="s">
        <v>40</v>
      </c>
      <c r="F3291" t="s">
        <v>40</v>
      </c>
      <c r="G3291" t="s">
        <v>36</v>
      </c>
      <c r="H3291" t="s">
        <v>43</v>
      </c>
      <c r="I3291" s="187">
        <v>5438.3522859883205</v>
      </c>
      <c r="J3291" s="187">
        <v>136.92860398744912</v>
      </c>
      <c r="K3291" s="187">
        <v>6151.3426612403664</v>
      </c>
      <c r="L3291" s="187">
        <v>5149.6565816279826</v>
      </c>
      <c r="M3291" s="187">
        <v>16876.279296875</v>
      </c>
      <c r="N3291" s="187">
        <v>10588.0087890625</v>
      </c>
      <c r="O3291" t="s">
        <v>3755</v>
      </c>
    </row>
    <row r="3292" spans="1:15" hidden="1" x14ac:dyDescent="0.45">
      <c r="A3292" s="187">
        <v>2019</v>
      </c>
      <c r="B3292" t="s">
        <v>310</v>
      </c>
      <c r="C3292" t="s">
        <v>328</v>
      </c>
      <c r="D3292" t="s">
        <v>39</v>
      </c>
      <c r="E3292" t="s">
        <v>40</v>
      </c>
      <c r="F3292" t="s">
        <v>40</v>
      </c>
      <c r="G3292" t="s">
        <v>36</v>
      </c>
      <c r="H3292" t="s">
        <v>43</v>
      </c>
      <c r="I3292" s="187"/>
      <c r="J3292" s="187">
        <v>140.27326890951625</v>
      </c>
      <c r="K3292" s="187">
        <v>6129.5625244795729</v>
      </c>
      <c r="L3292" s="187">
        <v>9828.4803749267721</v>
      </c>
      <c r="M3292" s="187">
        <v>16098.31640625</v>
      </c>
      <c r="N3292" s="187">
        <v>9828.48046875</v>
      </c>
      <c r="O3292" t="s">
        <v>3754</v>
      </c>
    </row>
    <row r="3293" spans="1:15" hidden="1" x14ac:dyDescent="0.45">
      <c r="A3293" s="187">
        <v>2019</v>
      </c>
      <c r="B3293" t="s">
        <v>314</v>
      </c>
      <c r="C3293" t="s">
        <v>328</v>
      </c>
      <c r="D3293" t="s">
        <v>39</v>
      </c>
      <c r="E3293" t="s">
        <v>40</v>
      </c>
      <c r="F3293" t="s">
        <v>40</v>
      </c>
      <c r="G3293" t="s">
        <v>36</v>
      </c>
      <c r="H3293" t="s">
        <v>43</v>
      </c>
      <c r="I3293" s="187">
        <v>5489.3275898262937</v>
      </c>
      <c r="J3293" s="187">
        <v>160.89599768037451</v>
      </c>
      <c r="K3293" s="187">
        <v>6290.1136085866856</v>
      </c>
      <c r="L3293" s="187">
        <v>5184.1800080186867</v>
      </c>
      <c r="M3293" s="187">
        <v>17124.517578125</v>
      </c>
      <c r="N3293" s="187">
        <v>10673.5078125</v>
      </c>
      <c r="O3293" t="s">
        <v>3750</v>
      </c>
    </row>
    <row r="3294" spans="1:15" hidden="1" x14ac:dyDescent="0.45">
      <c r="A3294" s="187">
        <v>2019</v>
      </c>
      <c r="B3294" t="s">
        <v>311</v>
      </c>
      <c r="C3294" t="s">
        <v>328</v>
      </c>
      <c r="D3294" t="s">
        <v>39</v>
      </c>
      <c r="E3294" t="s">
        <v>40</v>
      </c>
      <c r="F3294" t="s">
        <v>40</v>
      </c>
      <c r="G3294" t="s">
        <v>36</v>
      </c>
      <c r="H3294" t="s">
        <v>43</v>
      </c>
      <c r="I3294" s="187"/>
      <c r="J3294" s="187">
        <v>168.93424116904589</v>
      </c>
      <c r="K3294" s="187">
        <v>6128.9149414496651</v>
      </c>
      <c r="L3294" s="187">
        <v>9601.2902170628076</v>
      </c>
      <c r="M3294" s="187">
        <v>15899.1396484375</v>
      </c>
      <c r="N3294" s="187">
        <v>9601.2900390625</v>
      </c>
      <c r="O3294" t="s">
        <v>3753</v>
      </c>
    </row>
    <row r="3295" spans="1:15" hidden="1" x14ac:dyDescent="0.45">
      <c r="A3295" s="187">
        <v>2019</v>
      </c>
      <c r="B3295" t="s">
        <v>309</v>
      </c>
      <c r="C3295" t="s">
        <v>328</v>
      </c>
      <c r="D3295" t="s">
        <v>39</v>
      </c>
      <c r="E3295" t="s">
        <v>40</v>
      </c>
      <c r="F3295" t="s">
        <v>40</v>
      </c>
      <c r="G3295" t="s">
        <v>36</v>
      </c>
      <c r="H3295" t="s">
        <v>43</v>
      </c>
      <c r="I3295" s="187"/>
      <c r="J3295" s="187">
        <v>624.13780235191655</v>
      </c>
      <c r="K3295" s="187">
        <v>6015.7835791092048</v>
      </c>
      <c r="L3295" s="187">
        <v>10286.362712044182</v>
      </c>
      <c r="M3295" s="187">
        <v>16926.283203125</v>
      </c>
      <c r="N3295" s="187">
        <v>10286.3623046875</v>
      </c>
      <c r="O3295" t="s">
        <v>3751</v>
      </c>
    </row>
    <row r="3296" spans="1:15" hidden="1" x14ac:dyDescent="0.45">
      <c r="A3296" s="187">
        <v>2019</v>
      </c>
      <c r="B3296" t="s">
        <v>315</v>
      </c>
      <c r="C3296" t="s">
        <v>328</v>
      </c>
      <c r="D3296" t="s">
        <v>39</v>
      </c>
      <c r="E3296" t="s">
        <v>40</v>
      </c>
      <c r="F3296" t="s">
        <v>40</v>
      </c>
      <c r="G3296" t="s">
        <v>36</v>
      </c>
      <c r="H3296" t="s">
        <v>43</v>
      </c>
      <c r="I3296" s="187">
        <v>4142.3771155518225</v>
      </c>
      <c r="J3296" s="187">
        <v>172.82407783267058</v>
      </c>
      <c r="K3296" s="187">
        <v>6218.0330245186415</v>
      </c>
      <c r="L3296" s="187">
        <v>5532.5307916183665</v>
      </c>
      <c r="M3296" s="187">
        <v>16065.765625</v>
      </c>
      <c r="N3296" s="187">
        <v>9674.908203125</v>
      </c>
      <c r="O3296" t="s">
        <v>3752</v>
      </c>
    </row>
    <row r="3297" spans="1:15" hidden="1" x14ac:dyDescent="0.45">
      <c r="A3297" s="187">
        <v>2019</v>
      </c>
      <c r="B3297" t="s">
        <v>315</v>
      </c>
      <c r="C3297" t="s">
        <v>328</v>
      </c>
      <c r="D3297" t="s">
        <v>39</v>
      </c>
      <c r="E3297" t="s">
        <v>40</v>
      </c>
      <c r="F3297" t="s">
        <v>40</v>
      </c>
      <c r="G3297" t="s">
        <v>37</v>
      </c>
      <c r="H3297" t="s">
        <v>43</v>
      </c>
      <c r="I3297" s="187">
        <v>3835</v>
      </c>
      <c r="J3297" s="187">
        <v>160</v>
      </c>
      <c r="K3297" s="187">
        <v>5756.6358600000003</v>
      </c>
      <c r="L3297" s="187">
        <v>5122</v>
      </c>
      <c r="M3297" s="187">
        <v>14873.6357421875</v>
      </c>
      <c r="N3297" s="187">
        <v>8957</v>
      </c>
      <c r="O3297" t="s">
        <v>3760</v>
      </c>
    </row>
    <row r="3298" spans="1:15" hidden="1" x14ac:dyDescent="0.45">
      <c r="A3298" s="187">
        <v>2019</v>
      </c>
      <c r="B3298" t="s">
        <v>309</v>
      </c>
      <c r="C3298" t="s">
        <v>328</v>
      </c>
      <c r="D3298" t="s">
        <v>39</v>
      </c>
      <c r="E3298" t="s">
        <v>40</v>
      </c>
      <c r="F3298" t="s">
        <v>40</v>
      </c>
      <c r="G3298" t="s">
        <v>37</v>
      </c>
      <c r="H3298" t="s">
        <v>43</v>
      </c>
      <c r="I3298" s="187"/>
      <c r="J3298" s="187">
        <v>588.60919999999987</v>
      </c>
      <c r="K3298" s="187">
        <v>5776.2370911653979</v>
      </c>
      <c r="L3298" s="187">
        <v>10270</v>
      </c>
      <c r="M3298" s="187">
        <v>16634.845703125</v>
      </c>
      <c r="N3298" s="187">
        <v>10270</v>
      </c>
      <c r="O3298" t="s">
        <v>3762</v>
      </c>
    </row>
    <row r="3299" spans="1:15" hidden="1" x14ac:dyDescent="0.45">
      <c r="A3299" s="187">
        <v>2019</v>
      </c>
      <c r="B3299" t="s">
        <v>312</v>
      </c>
      <c r="C3299" t="s">
        <v>328</v>
      </c>
      <c r="D3299" t="s">
        <v>39</v>
      </c>
      <c r="E3299" t="s">
        <v>40</v>
      </c>
      <c r="F3299" t="s">
        <v>40</v>
      </c>
      <c r="G3299" t="s">
        <v>37</v>
      </c>
      <c r="H3299" t="s">
        <v>43</v>
      </c>
      <c r="I3299" s="187">
        <v>4292.4735058636052</v>
      </c>
      <c r="J3299" s="187">
        <v>154</v>
      </c>
      <c r="K3299" s="187">
        <v>5779.5763418096521</v>
      </c>
      <c r="L3299" s="187">
        <v>4659</v>
      </c>
      <c r="M3299" s="187">
        <v>14885.0498046875</v>
      </c>
      <c r="N3299" s="187">
        <v>8951.4736328125</v>
      </c>
      <c r="O3299" t="s">
        <v>3761</v>
      </c>
    </row>
    <row r="3300" spans="1:15" hidden="1" x14ac:dyDescent="0.45">
      <c r="A3300" s="187">
        <v>2019</v>
      </c>
      <c r="B3300" t="s">
        <v>314</v>
      </c>
      <c r="C3300" t="s">
        <v>328</v>
      </c>
      <c r="D3300" t="s">
        <v>39</v>
      </c>
      <c r="E3300" t="s">
        <v>40</v>
      </c>
      <c r="F3300" t="s">
        <v>40</v>
      </c>
      <c r="G3300" t="s">
        <v>37</v>
      </c>
      <c r="H3300" t="s">
        <v>43</v>
      </c>
      <c r="I3300" s="187">
        <v>5047.4241000000002</v>
      </c>
      <c r="J3300" s="187">
        <v>148</v>
      </c>
      <c r="K3300" s="187">
        <v>5789.3545763598959</v>
      </c>
      <c r="L3300" s="187">
        <v>4835</v>
      </c>
      <c r="M3300" s="187">
        <v>15819.779296875</v>
      </c>
      <c r="N3300" s="187">
        <v>9882.423828125</v>
      </c>
      <c r="O3300" t="s">
        <v>3758</v>
      </c>
    </row>
    <row r="3301" spans="1:15" hidden="1" x14ac:dyDescent="0.45">
      <c r="A3301" s="187">
        <v>2019</v>
      </c>
      <c r="B3301" t="s">
        <v>313</v>
      </c>
      <c r="C3301" t="s">
        <v>328</v>
      </c>
      <c r="D3301" t="s">
        <v>39</v>
      </c>
      <c r="E3301" t="s">
        <v>40</v>
      </c>
      <c r="F3301" t="s">
        <v>40</v>
      </c>
      <c r="G3301" t="s">
        <v>37</v>
      </c>
      <c r="H3301" t="s">
        <v>43</v>
      </c>
      <c r="I3301" s="187">
        <v>4947.3657987328816</v>
      </c>
      <c r="J3301" s="187">
        <v>125</v>
      </c>
      <c r="K3301" s="187">
        <v>5586.4380066659032</v>
      </c>
      <c r="L3301" s="187">
        <v>4694</v>
      </c>
      <c r="M3301" s="187">
        <v>15352.8037109375</v>
      </c>
      <c r="N3301" s="187">
        <v>9641.365234375</v>
      </c>
      <c r="O3301" t="s">
        <v>3759</v>
      </c>
    </row>
    <row r="3302" spans="1:15" hidden="1" x14ac:dyDescent="0.45">
      <c r="A3302" s="187">
        <v>2019</v>
      </c>
      <c r="B3302" t="s">
        <v>311</v>
      </c>
      <c r="C3302" t="s">
        <v>328</v>
      </c>
      <c r="D3302" t="s">
        <v>39</v>
      </c>
      <c r="E3302" t="s">
        <v>40</v>
      </c>
      <c r="F3302" t="s">
        <v>40</v>
      </c>
      <c r="G3302" t="s">
        <v>37</v>
      </c>
      <c r="H3302" t="s">
        <v>43</v>
      </c>
      <c r="I3302" s="187"/>
      <c r="J3302" s="187">
        <v>157</v>
      </c>
      <c r="K3302" s="187">
        <v>5652.6606265011706</v>
      </c>
      <c r="L3302" s="187">
        <v>9198</v>
      </c>
      <c r="M3302" s="187">
        <v>15007.66015625</v>
      </c>
      <c r="N3302" s="187">
        <v>9198</v>
      </c>
      <c r="O3302" t="s">
        <v>3756</v>
      </c>
    </row>
    <row r="3303" spans="1:15" hidden="1" x14ac:dyDescent="0.45">
      <c r="A3303" s="187">
        <v>2019</v>
      </c>
      <c r="B3303" t="s">
        <v>310</v>
      </c>
      <c r="C3303" t="s">
        <v>328</v>
      </c>
      <c r="D3303" t="s">
        <v>39</v>
      </c>
      <c r="E3303" t="s">
        <v>40</v>
      </c>
      <c r="F3303" t="s">
        <v>40</v>
      </c>
      <c r="G3303" t="s">
        <v>37</v>
      </c>
      <c r="H3303" t="s">
        <v>43</v>
      </c>
      <c r="I3303" s="187"/>
      <c r="J3303" s="187">
        <v>133</v>
      </c>
      <c r="K3303" s="187">
        <v>5812.6044185180099</v>
      </c>
      <c r="L3303" s="187">
        <v>9610</v>
      </c>
      <c r="M3303" s="187">
        <v>15555.6044921875</v>
      </c>
      <c r="N3303" s="187">
        <v>9610</v>
      </c>
      <c r="O3303" t="s">
        <v>3757</v>
      </c>
    </row>
    <row r="3304" spans="1:15" hidden="1" x14ac:dyDescent="0.45">
      <c r="A3304" s="187">
        <v>2019</v>
      </c>
      <c r="B3304" t="s">
        <v>310</v>
      </c>
      <c r="C3304" t="s">
        <v>328</v>
      </c>
      <c r="D3304" t="s">
        <v>39</v>
      </c>
      <c r="E3304" t="s">
        <v>41</v>
      </c>
      <c r="F3304" t="s">
        <v>41</v>
      </c>
      <c r="G3304" t="s">
        <v>36</v>
      </c>
      <c r="H3304" t="s">
        <v>43</v>
      </c>
      <c r="I3304" s="187"/>
      <c r="J3304" s="187">
        <v>1810.6267885693817</v>
      </c>
      <c r="K3304" s="187">
        <v>11774.939415554512</v>
      </c>
      <c r="L3304" s="187">
        <v>14030.833722674362</v>
      </c>
      <c r="M3304" s="187">
        <v>27616.400390625</v>
      </c>
      <c r="N3304" s="187">
        <v>14030.833984375</v>
      </c>
      <c r="O3304" t="s">
        <v>3763</v>
      </c>
    </row>
    <row r="3305" spans="1:15" hidden="1" x14ac:dyDescent="0.45">
      <c r="A3305" s="187">
        <v>2019</v>
      </c>
      <c r="B3305" t="s">
        <v>313</v>
      </c>
      <c r="C3305" t="s">
        <v>328</v>
      </c>
      <c r="D3305" t="s">
        <v>39</v>
      </c>
      <c r="E3305" t="s">
        <v>41</v>
      </c>
      <c r="F3305" t="s">
        <v>41</v>
      </c>
      <c r="G3305" t="s">
        <v>36</v>
      </c>
      <c r="H3305" t="s">
        <v>43</v>
      </c>
      <c r="I3305" s="187">
        <v>3717.2418910284773</v>
      </c>
      <c r="J3305" s="187">
        <v>1688.7861158452058</v>
      </c>
      <c r="K3305" s="187">
        <v>12472.786090992297</v>
      </c>
      <c r="L3305" s="187">
        <v>8283.0394695407758</v>
      </c>
      <c r="M3305" s="187">
        <v>26161.853515625</v>
      </c>
      <c r="N3305" s="187">
        <v>12000.28125</v>
      </c>
      <c r="O3305" t="s">
        <v>3765</v>
      </c>
    </row>
    <row r="3306" spans="1:15" hidden="1" x14ac:dyDescent="0.45">
      <c r="A3306" s="187">
        <v>2019</v>
      </c>
      <c r="B3306" t="s">
        <v>315</v>
      </c>
      <c r="C3306" t="s">
        <v>328</v>
      </c>
      <c r="D3306" t="s">
        <v>39</v>
      </c>
      <c r="E3306" t="s">
        <v>41</v>
      </c>
      <c r="F3306" t="s">
        <v>41</v>
      </c>
      <c r="G3306" t="s">
        <v>36</v>
      </c>
      <c r="H3306" t="s">
        <v>43</v>
      </c>
      <c r="I3306" s="187">
        <v>4854.196286125135</v>
      </c>
      <c r="J3306" s="187">
        <v>1695.8362637330799</v>
      </c>
      <c r="K3306" s="187">
        <v>11616.781252854749</v>
      </c>
      <c r="L3306" s="187">
        <v>7887.2588520885038</v>
      </c>
      <c r="M3306" s="187">
        <v>26054.07421875</v>
      </c>
      <c r="N3306" s="187">
        <v>12741.455078125</v>
      </c>
      <c r="O3306" t="s">
        <v>3764</v>
      </c>
    </row>
    <row r="3307" spans="1:15" hidden="1" x14ac:dyDescent="0.45">
      <c r="A3307" s="187">
        <v>2019</v>
      </c>
      <c r="B3307" t="s">
        <v>311</v>
      </c>
      <c r="C3307" t="s">
        <v>328</v>
      </c>
      <c r="D3307" t="s">
        <v>39</v>
      </c>
      <c r="E3307" t="s">
        <v>41</v>
      </c>
      <c r="F3307" t="s">
        <v>41</v>
      </c>
      <c r="G3307" t="s">
        <v>36</v>
      </c>
      <c r="H3307" t="s">
        <v>43</v>
      </c>
      <c r="I3307" s="187"/>
      <c r="J3307" s="187">
        <v>1683.5170930294573</v>
      </c>
      <c r="K3307" s="187">
        <v>12096.169186169447</v>
      </c>
      <c r="L3307" s="187">
        <v>12276.276546194735</v>
      </c>
      <c r="M3307" s="187">
        <v>26055.962890625</v>
      </c>
      <c r="N3307" s="187">
        <v>12276.2763671875</v>
      </c>
      <c r="O3307" t="s">
        <v>3767</v>
      </c>
    </row>
    <row r="3308" spans="1:15" hidden="1" x14ac:dyDescent="0.45">
      <c r="A3308" s="187">
        <v>2019</v>
      </c>
      <c r="B3308" t="s">
        <v>312</v>
      </c>
      <c r="C3308" t="s">
        <v>328</v>
      </c>
      <c r="D3308" t="s">
        <v>39</v>
      </c>
      <c r="E3308" t="s">
        <v>41</v>
      </c>
      <c r="F3308" t="s">
        <v>41</v>
      </c>
      <c r="G3308" t="s">
        <v>36</v>
      </c>
      <c r="H3308" t="s">
        <v>43</v>
      </c>
      <c r="I3308" s="187">
        <v>3454.5372982724912</v>
      </c>
      <c r="J3308" s="187">
        <v>1675.8538058447662</v>
      </c>
      <c r="K3308" s="187">
        <v>12537.494389446265</v>
      </c>
      <c r="L3308" s="187">
        <v>8532.3574045674359</v>
      </c>
      <c r="M3308" s="187">
        <v>26200.2421875</v>
      </c>
      <c r="N3308" s="187">
        <v>11986.89453125</v>
      </c>
      <c r="O3308" t="s">
        <v>3766</v>
      </c>
    </row>
    <row r="3309" spans="1:15" hidden="1" x14ac:dyDescent="0.45">
      <c r="A3309" s="187">
        <v>2019</v>
      </c>
      <c r="B3309" t="s">
        <v>309</v>
      </c>
      <c r="C3309" t="s">
        <v>328</v>
      </c>
      <c r="D3309" t="s">
        <v>39</v>
      </c>
      <c r="E3309" t="s">
        <v>41</v>
      </c>
      <c r="F3309" t="s">
        <v>41</v>
      </c>
      <c r="G3309" t="s">
        <v>36</v>
      </c>
      <c r="H3309" t="s">
        <v>43</v>
      </c>
      <c r="I3309" s="187"/>
      <c r="J3309" s="187">
        <v>1057.6991765047746</v>
      </c>
      <c r="K3309" s="187">
        <v>12799.358144706463</v>
      </c>
      <c r="L3309" s="187">
        <v>15305.669389736884</v>
      </c>
      <c r="M3309" s="187">
        <v>29162.7265625</v>
      </c>
      <c r="N3309" s="187">
        <v>15305.6689453125</v>
      </c>
      <c r="O3309" t="s">
        <v>3768</v>
      </c>
    </row>
    <row r="3310" spans="1:15" hidden="1" x14ac:dyDescent="0.45">
      <c r="A3310" s="187">
        <v>2019</v>
      </c>
      <c r="B3310" t="s">
        <v>314</v>
      </c>
      <c r="C3310" t="s">
        <v>328</v>
      </c>
      <c r="D3310" t="s">
        <v>39</v>
      </c>
      <c r="E3310" t="s">
        <v>41</v>
      </c>
      <c r="F3310" t="s">
        <v>41</v>
      </c>
      <c r="G3310" t="s">
        <v>36</v>
      </c>
      <c r="H3310" t="s">
        <v>43</v>
      </c>
      <c r="I3310" s="187">
        <v>3752.7604424484589</v>
      </c>
      <c r="J3310" s="187">
        <v>1675.5376310163138</v>
      </c>
      <c r="K3310" s="187">
        <v>12313.274153101267</v>
      </c>
      <c r="L3310" s="187">
        <v>7767.3929914663549</v>
      </c>
      <c r="M3310" s="187">
        <v>25508.96484375</v>
      </c>
      <c r="N3310" s="187">
        <v>11520.1533203125</v>
      </c>
      <c r="O3310" t="s">
        <v>3769</v>
      </c>
    </row>
    <row r="3311" spans="1:15" hidden="1" x14ac:dyDescent="0.45">
      <c r="A3311" s="187">
        <v>2019</v>
      </c>
      <c r="B3311" t="s">
        <v>312</v>
      </c>
      <c r="C3311" t="s">
        <v>328</v>
      </c>
      <c r="D3311" t="s">
        <v>39</v>
      </c>
      <c r="E3311" t="s">
        <v>41</v>
      </c>
      <c r="F3311" t="s">
        <v>41</v>
      </c>
      <c r="G3311" t="s">
        <v>37</v>
      </c>
      <c r="H3311" t="s">
        <v>43</v>
      </c>
      <c r="I3311" s="187">
        <v>3107.472434851285</v>
      </c>
      <c r="J3311" s="187">
        <v>1534</v>
      </c>
      <c r="K3311" s="187">
        <v>11436.722212306029</v>
      </c>
      <c r="L3311" s="187">
        <v>7764</v>
      </c>
      <c r="M3311" s="187">
        <v>23842.1953125</v>
      </c>
      <c r="N3311" s="187">
        <v>10871.47265625</v>
      </c>
      <c r="O3311" t="s">
        <v>3774</v>
      </c>
    </row>
    <row r="3312" spans="1:15" hidden="1" x14ac:dyDescent="0.45">
      <c r="A3312" s="187">
        <v>2019</v>
      </c>
      <c r="B3312" t="s">
        <v>315</v>
      </c>
      <c r="C3312" t="s">
        <v>328</v>
      </c>
      <c r="D3312" t="s">
        <v>39</v>
      </c>
      <c r="E3312" t="s">
        <v>41</v>
      </c>
      <c r="F3312" t="s">
        <v>41</v>
      </c>
      <c r="G3312" t="s">
        <v>37</v>
      </c>
      <c r="H3312" t="s">
        <v>43</v>
      </c>
      <c r="I3312" s="187">
        <v>4494</v>
      </c>
      <c r="J3312" s="187">
        <v>1570</v>
      </c>
      <c r="K3312" s="187">
        <v>10754.780374157999</v>
      </c>
      <c r="L3312" s="187">
        <v>7302</v>
      </c>
      <c r="M3312" s="187">
        <v>24120.78125</v>
      </c>
      <c r="N3312" s="187">
        <v>11796</v>
      </c>
      <c r="O3312" t="s">
        <v>3773</v>
      </c>
    </row>
    <row r="3313" spans="1:15" hidden="1" x14ac:dyDescent="0.45">
      <c r="A3313" s="187">
        <v>2019</v>
      </c>
      <c r="B3313" t="s">
        <v>313</v>
      </c>
      <c r="C3313" t="s">
        <v>328</v>
      </c>
      <c r="D3313" t="s">
        <v>39</v>
      </c>
      <c r="E3313" t="s">
        <v>41</v>
      </c>
      <c r="F3313" t="s">
        <v>41</v>
      </c>
      <c r="G3313" t="s">
        <v>37</v>
      </c>
      <c r="H3313" t="s">
        <v>43</v>
      </c>
      <c r="I3313" s="187">
        <v>3381.6410615167197</v>
      </c>
      <c r="J3313" s="187">
        <v>1539</v>
      </c>
      <c r="K3313" s="187">
        <v>11327.355685576969</v>
      </c>
      <c r="L3313" s="187">
        <v>7550</v>
      </c>
      <c r="M3313" s="187">
        <v>23797.99609375</v>
      </c>
      <c r="N3313" s="187">
        <v>10931.640625</v>
      </c>
      <c r="O3313" t="s">
        <v>3775</v>
      </c>
    </row>
    <row r="3314" spans="1:15" hidden="1" x14ac:dyDescent="0.45">
      <c r="A3314" s="187">
        <v>2019</v>
      </c>
      <c r="B3314" t="s">
        <v>309</v>
      </c>
      <c r="C3314" t="s">
        <v>328</v>
      </c>
      <c r="D3314" t="s">
        <v>39</v>
      </c>
      <c r="E3314" t="s">
        <v>41</v>
      </c>
      <c r="F3314" t="s">
        <v>41</v>
      </c>
      <c r="G3314" t="s">
        <v>37</v>
      </c>
      <c r="H3314" t="s">
        <v>43</v>
      </c>
      <c r="I3314" s="187"/>
      <c r="J3314" s="187">
        <v>997.49040000000002</v>
      </c>
      <c r="K3314" s="187">
        <v>12289.69198880506</v>
      </c>
      <c r="L3314" s="187">
        <v>15281</v>
      </c>
      <c r="M3314" s="187">
        <v>28568.18359375</v>
      </c>
      <c r="N3314" s="187">
        <v>15281</v>
      </c>
      <c r="O3314" t="s">
        <v>3776</v>
      </c>
    </row>
    <row r="3315" spans="1:15" hidden="1" x14ac:dyDescent="0.45">
      <c r="A3315" s="187">
        <v>2019</v>
      </c>
      <c r="B3315" t="s">
        <v>311</v>
      </c>
      <c r="C3315" t="s">
        <v>328</v>
      </c>
      <c r="D3315" t="s">
        <v>39</v>
      </c>
      <c r="E3315" t="s">
        <v>41</v>
      </c>
      <c r="F3315" t="s">
        <v>41</v>
      </c>
      <c r="G3315" t="s">
        <v>37</v>
      </c>
      <c r="H3315" t="s">
        <v>43</v>
      </c>
      <c r="I3315" s="187"/>
      <c r="J3315" s="187">
        <v>1566</v>
      </c>
      <c r="K3315" s="187">
        <v>11156.222584806181</v>
      </c>
      <c r="L3315" s="187">
        <v>11762</v>
      </c>
      <c r="M3315" s="187">
        <v>24484.22265625</v>
      </c>
      <c r="N3315" s="187">
        <v>11762</v>
      </c>
      <c r="O3315" t="s">
        <v>3771</v>
      </c>
    </row>
    <row r="3316" spans="1:15" hidden="1" x14ac:dyDescent="0.45">
      <c r="A3316" s="187">
        <v>2019</v>
      </c>
      <c r="B3316" t="s">
        <v>310</v>
      </c>
      <c r="C3316" t="s">
        <v>328</v>
      </c>
      <c r="D3316" t="s">
        <v>39</v>
      </c>
      <c r="E3316" t="s">
        <v>41</v>
      </c>
      <c r="F3316" t="s">
        <v>41</v>
      </c>
      <c r="G3316" t="s">
        <v>37</v>
      </c>
      <c r="H3316" t="s">
        <v>43</v>
      </c>
      <c r="I3316" s="187"/>
      <c r="J3316" s="187">
        <v>1716</v>
      </c>
      <c r="K3316" s="187">
        <v>11166.060318545349</v>
      </c>
      <c r="L3316" s="187">
        <v>13720</v>
      </c>
      <c r="M3316" s="187">
        <v>26602.060546875</v>
      </c>
      <c r="N3316" s="187">
        <v>13720</v>
      </c>
      <c r="O3316" t="s">
        <v>3770</v>
      </c>
    </row>
    <row r="3317" spans="1:15" hidden="1" x14ac:dyDescent="0.45">
      <c r="A3317" s="187">
        <v>2019</v>
      </c>
      <c r="B3317" t="s">
        <v>314</v>
      </c>
      <c r="C3317" t="s">
        <v>328</v>
      </c>
      <c r="D3317" t="s">
        <v>39</v>
      </c>
      <c r="E3317" t="s">
        <v>41</v>
      </c>
      <c r="F3317" t="s">
        <v>41</v>
      </c>
      <c r="G3317" t="s">
        <v>37</v>
      </c>
      <c r="H3317" t="s">
        <v>43</v>
      </c>
      <c r="I3317" s="187">
        <v>3450.6545999999998</v>
      </c>
      <c r="J3317" s="187">
        <v>1540</v>
      </c>
      <c r="K3317" s="187">
        <v>11333.008353127019</v>
      </c>
      <c r="L3317" s="187">
        <v>7244</v>
      </c>
      <c r="M3317" s="187">
        <v>23567.6640625</v>
      </c>
      <c r="N3317" s="187">
        <v>10694.654296875</v>
      </c>
      <c r="O3317" t="s">
        <v>3772</v>
      </c>
    </row>
    <row r="3318" spans="1:15" hidden="1" x14ac:dyDescent="0.45">
      <c r="A3318" s="187">
        <v>2019</v>
      </c>
      <c r="B3318" t="s">
        <v>310</v>
      </c>
      <c r="C3318" t="s">
        <v>328</v>
      </c>
      <c r="D3318" t="s">
        <v>39</v>
      </c>
      <c r="E3318" t="s">
        <v>361</v>
      </c>
      <c r="F3318" t="s">
        <v>361</v>
      </c>
      <c r="G3318" t="s">
        <v>36</v>
      </c>
      <c r="H3318" t="s">
        <v>43</v>
      </c>
      <c r="I3318" s="187"/>
      <c r="J3318" s="187"/>
      <c r="K3318" s="187"/>
      <c r="L3318" s="187"/>
      <c r="M3318" s="187">
        <v>0</v>
      </c>
      <c r="N3318" s="187">
        <v>0</v>
      </c>
      <c r="O3318" t="s">
        <v>3777</v>
      </c>
    </row>
    <row r="3319" spans="1:15" hidden="1" x14ac:dyDescent="0.45">
      <c r="A3319" s="187">
        <v>2019</v>
      </c>
      <c r="B3319" t="s">
        <v>315</v>
      </c>
      <c r="C3319" t="s">
        <v>328</v>
      </c>
      <c r="D3319" t="s">
        <v>39</v>
      </c>
      <c r="E3319" t="s">
        <v>361</v>
      </c>
      <c r="F3319" t="s">
        <v>361</v>
      </c>
      <c r="G3319" t="s">
        <v>36</v>
      </c>
      <c r="H3319" t="s">
        <v>43</v>
      </c>
      <c r="I3319" s="187">
        <v>0</v>
      </c>
      <c r="J3319" s="187"/>
      <c r="K3319" s="187"/>
      <c r="L3319" s="187"/>
      <c r="M3319" s="187">
        <v>0</v>
      </c>
      <c r="N3319" s="187">
        <v>0</v>
      </c>
      <c r="O3319" t="s">
        <v>3778</v>
      </c>
    </row>
    <row r="3320" spans="1:15" hidden="1" x14ac:dyDescent="0.45">
      <c r="A3320" s="187">
        <v>2019</v>
      </c>
      <c r="B3320" t="s">
        <v>309</v>
      </c>
      <c r="C3320" t="s">
        <v>328</v>
      </c>
      <c r="D3320" t="s">
        <v>39</v>
      </c>
      <c r="E3320" t="s">
        <v>361</v>
      </c>
      <c r="F3320" t="s">
        <v>361</v>
      </c>
      <c r="G3320" t="s">
        <v>36</v>
      </c>
      <c r="H3320" t="s">
        <v>43</v>
      </c>
      <c r="I3320" s="187"/>
      <c r="J3320" s="187">
        <v>0</v>
      </c>
      <c r="K3320" s="187"/>
      <c r="L3320" s="187">
        <v>0</v>
      </c>
      <c r="M3320" s="187">
        <v>0</v>
      </c>
      <c r="N3320" s="187">
        <v>0</v>
      </c>
      <c r="O3320" t="s">
        <v>3781</v>
      </c>
    </row>
    <row r="3321" spans="1:15" hidden="1" x14ac:dyDescent="0.45">
      <c r="A3321" s="187">
        <v>2019</v>
      </c>
      <c r="B3321" t="s">
        <v>313</v>
      </c>
      <c r="C3321" t="s">
        <v>328</v>
      </c>
      <c r="D3321" t="s">
        <v>39</v>
      </c>
      <c r="E3321" t="s">
        <v>361</v>
      </c>
      <c r="F3321" t="s">
        <v>361</v>
      </c>
      <c r="G3321" t="s">
        <v>36</v>
      </c>
      <c r="H3321" t="s">
        <v>43</v>
      </c>
      <c r="I3321" s="187"/>
      <c r="J3321" s="187"/>
      <c r="K3321" s="187"/>
      <c r="L3321" s="187"/>
      <c r="M3321" s="187">
        <v>0</v>
      </c>
      <c r="N3321" s="187">
        <v>0</v>
      </c>
      <c r="O3321" t="s">
        <v>3779</v>
      </c>
    </row>
    <row r="3322" spans="1:15" hidden="1" x14ac:dyDescent="0.45">
      <c r="A3322" s="187">
        <v>2019</v>
      </c>
      <c r="B3322" t="s">
        <v>311</v>
      </c>
      <c r="C3322" t="s">
        <v>328</v>
      </c>
      <c r="D3322" t="s">
        <v>39</v>
      </c>
      <c r="E3322" t="s">
        <v>361</v>
      </c>
      <c r="F3322" t="s">
        <v>361</v>
      </c>
      <c r="G3322" t="s">
        <v>36</v>
      </c>
      <c r="H3322" t="s">
        <v>43</v>
      </c>
      <c r="I3322" s="187"/>
      <c r="J3322" s="187">
        <v>0</v>
      </c>
      <c r="K3322" s="187"/>
      <c r="L3322" s="187"/>
      <c r="M3322" s="187">
        <v>0</v>
      </c>
      <c r="N3322" s="187">
        <v>0</v>
      </c>
      <c r="O3322" t="s">
        <v>3782</v>
      </c>
    </row>
    <row r="3323" spans="1:15" hidden="1" x14ac:dyDescent="0.45">
      <c r="A3323" s="187">
        <v>2019</v>
      </c>
      <c r="B3323" t="s">
        <v>314</v>
      </c>
      <c r="C3323" t="s">
        <v>328</v>
      </c>
      <c r="D3323" t="s">
        <v>39</v>
      </c>
      <c r="E3323" t="s">
        <v>361</v>
      </c>
      <c r="F3323" t="s">
        <v>361</v>
      </c>
      <c r="G3323" t="s">
        <v>36</v>
      </c>
      <c r="H3323" t="s">
        <v>43</v>
      </c>
      <c r="I3323" s="187">
        <v>0</v>
      </c>
      <c r="J3323" s="187"/>
      <c r="K3323" s="187">
        <v>0</v>
      </c>
      <c r="L3323" s="187"/>
      <c r="M3323" s="187">
        <v>0</v>
      </c>
      <c r="N3323" s="187">
        <v>0</v>
      </c>
      <c r="O3323" t="s">
        <v>3783</v>
      </c>
    </row>
    <row r="3324" spans="1:15" hidden="1" x14ac:dyDescent="0.45">
      <c r="A3324" s="187">
        <v>2019</v>
      </c>
      <c r="B3324" t="s">
        <v>312</v>
      </c>
      <c r="C3324" t="s">
        <v>328</v>
      </c>
      <c r="D3324" t="s">
        <v>39</v>
      </c>
      <c r="E3324" t="s">
        <v>361</v>
      </c>
      <c r="F3324" t="s">
        <v>361</v>
      </c>
      <c r="G3324" t="s">
        <v>36</v>
      </c>
      <c r="H3324" t="s">
        <v>43</v>
      </c>
      <c r="I3324" s="187"/>
      <c r="J3324" s="187">
        <v>0</v>
      </c>
      <c r="K3324" s="187"/>
      <c r="L3324" s="187"/>
      <c r="M3324" s="187">
        <v>0</v>
      </c>
      <c r="N3324" s="187">
        <v>0</v>
      </c>
      <c r="O3324" t="s">
        <v>3780</v>
      </c>
    </row>
    <row r="3325" spans="1:15" hidden="1" x14ac:dyDescent="0.45">
      <c r="A3325" s="187">
        <v>2019</v>
      </c>
      <c r="B3325" t="s">
        <v>309</v>
      </c>
      <c r="C3325" t="s">
        <v>328</v>
      </c>
      <c r="D3325" t="s">
        <v>39</v>
      </c>
      <c r="E3325" t="s">
        <v>362</v>
      </c>
      <c r="F3325" t="s">
        <v>362</v>
      </c>
      <c r="G3325" t="s">
        <v>36</v>
      </c>
      <c r="H3325" t="s">
        <v>43</v>
      </c>
      <c r="I3325" s="187"/>
      <c r="J3325" s="187">
        <v>612.22677558947532</v>
      </c>
      <c r="K3325" s="187">
        <v>2223.4716653589658</v>
      </c>
      <c r="L3325" s="187">
        <v>5505.2765696003016</v>
      </c>
      <c r="M3325" s="187">
        <v>8340.974609375</v>
      </c>
      <c r="N3325" s="187">
        <v>5505.2763671875</v>
      </c>
      <c r="O3325" t="s">
        <v>3785</v>
      </c>
    </row>
    <row r="3326" spans="1:15" hidden="1" x14ac:dyDescent="0.45">
      <c r="A3326" s="187">
        <v>2019</v>
      </c>
      <c r="B3326" t="s">
        <v>314</v>
      </c>
      <c r="C3326" t="s">
        <v>328</v>
      </c>
      <c r="D3326" t="s">
        <v>39</v>
      </c>
      <c r="E3326" t="s">
        <v>362</v>
      </c>
      <c r="F3326" t="s">
        <v>362</v>
      </c>
      <c r="G3326" t="s">
        <v>36</v>
      </c>
      <c r="H3326" t="s">
        <v>43</v>
      </c>
      <c r="I3326" s="187">
        <v>2124.9367969511527</v>
      </c>
      <c r="J3326" s="187">
        <v>83.222067765710946</v>
      </c>
      <c r="K3326" s="187">
        <v>2940.7160577098489</v>
      </c>
      <c r="L3326" s="187">
        <v>2848.4139727277334</v>
      </c>
      <c r="M3326" s="187">
        <v>7997.2890625</v>
      </c>
      <c r="N3326" s="187">
        <v>4973.3505859375</v>
      </c>
      <c r="O3326" t="s">
        <v>3786</v>
      </c>
    </row>
    <row r="3327" spans="1:15" hidden="1" x14ac:dyDescent="0.45">
      <c r="A3327" s="187">
        <v>2019</v>
      </c>
      <c r="B3327" t="s">
        <v>312</v>
      </c>
      <c r="C3327" t="s">
        <v>328</v>
      </c>
      <c r="D3327" t="s">
        <v>39</v>
      </c>
      <c r="E3327" t="s">
        <v>362</v>
      </c>
      <c r="F3327" t="s">
        <v>362</v>
      </c>
      <c r="G3327" t="s">
        <v>36</v>
      </c>
      <c r="H3327" t="s">
        <v>43</v>
      </c>
      <c r="I3327" s="187">
        <v>2138.6365734535739</v>
      </c>
      <c r="J3327" s="187">
        <v>98.57963563792741</v>
      </c>
      <c r="K3327" s="187">
        <v>2385.3729880700012</v>
      </c>
      <c r="L3327" s="187">
        <v>2850.691110565007</v>
      </c>
      <c r="M3327" s="187">
        <v>7473.27978515625</v>
      </c>
      <c r="N3327" s="187">
        <v>4989.32763671875</v>
      </c>
      <c r="O3327" t="s">
        <v>3784</v>
      </c>
    </row>
    <row r="3328" spans="1:15" hidden="1" x14ac:dyDescent="0.45">
      <c r="A3328" s="187">
        <v>2019</v>
      </c>
      <c r="B3328" t="s">
        <v>315</v>
      </c>
      <c r="C3328" t="s">
        <v>328</v>
      </c>
      <c r="D3328" t="s">
        <v>39</v>
      </c>
      <c r="E3328" t="s">
        <v>362</v>
      </c>
      <c r="F3328" t="s">
        <v>362</v>
      </c>
      <c r="G3328" t="s">
        <v>36</v>
      </c>
      <c r="H3328" t="s">
        <v>43</v>
      </c>
      <c r="I3328" s="187">
        <v>967.81483586295519</v>
      </c>
      <c r="J3328" s="187">
        <v>113.41580107769006</v>
      </c>
      <c r="K3328" s="187">
        <v>3338.1491049884694</v>
      </c>
      <c r="L3328" s="187">
        <v>3158.3600223920548</v>
      </c>
      <c r="M3328" s="187">
        <v>7577.73974609375</v>
      </c>
      <c r="N3328" s="187">
        <v>4126.1748046875</v>
      </c>
      <c r="O3328" t="s">
        <v>3790</v>
      </c>
    </row>
    <row r="3329" spans="1:15" hidden="1" x14ac:dyDescent="0.45">
      <c r="A3329" s="187">
        <v>2019</v>
      </c>
      <c r="B3329" t="s">
        <v>313</v>
      </c>
      <c r="C3329" t="s">
        <v>328</v>
      </c>
      <c r="D3329" t="s">
        <v>39</v>
      </c>
      <c r="E3329" t="s">
        <v>362</v>
      </c>
      <c r="F3329" t="s">
        <v>362</v>
      </c>
      <c r="G3329" t="s">
        <v>36</v>
      </c>
      <c r="H3329" t="s">
        <v>43</v>
      </c>
      <c r="I3329" s="187">
        <v>2105.2772863070304</v>
      </c>
      <c r="J3329" s="187">
        <v>79.875018992678648</v>
      </c>
      <c r="K3329" s="187">
        <v>2749.7974284367588</v>
      </c>
      <c r="L3329" s="187">
        <v>2799.048879843439</v>
      </c>
      <c r="M3329" s="187">
        <v>7733.99853515625</v>
      </c>
      <c r="N3329" s="187">
        <v>4904.326171875</v>
      </c>
      <c r="O3329" t="s">
        <v>3788</v>
      </c>
    </row>
    <row r="3330" spans="1:15" hidden="1" x14ac:dyDescent="0.45">
      <c r="A3330" s="187">
        <v>2019</v>
      </c>
      <c r="B3330" t="s">
        <v>311</v>
      </c>
      <c r="C3330" t="s">
        <v>328</v>
      </c>
      <c r="D3330" t="s">
        <v>39</v>
      </c>
      <c r="E3330" t="s">
        <v>362</v>
      </c>
      <c r="F3330" t="s">
        <v>362</v>
      </c>
      <c r="G3330" t="s">
        <v>36</v>
      </c>
      <c r="H3330" t="s">
        <v>43</v>
      </c>
      <c r="I3330" s="187"/>
      <c r="J3330" s="187">
        <v>99.030417237026896</v>
      </c>
      <c r="K3330" s="187">
        <v>2905.7766417265971</v>
      </c>
      <c r="L3330" s="187">
        <v>5043.5608966951695</v>
      </c>
      <c r="M3330" s="187">
        <v>8048.3681640625</v>
      </c>
      <c r="N3330" s="187">
        <v>5043.56103515625</v>
      </c>
      <c r="O3330" t="s">
        <v>3789</v>
      </c>
    </row>
    <row r="3331" spans="1:15" hidden="1" x14ac:dyDescent="0.45">
      <c r="A3331" s="187">
        <v>2019</v>
      </c>
      <c r="B3331" t="s">
        <v>310</v>
      </c>
      <c r="C3331" t="s">
        <v>328</v>
      </c>
      <c r="D3331" t="s">
        <v>39</v>
      </c>
      <c r="E3331" t="s">
        <v>362</v>
      </c>
      <c r="F3331" t="s">
        <v>362</v>
      </c>
      <c r="G3331" t="s">
        <v>36</v>
      </c>
      <c r="H3331" t="s">
        <v>43</v>
      </c>
      <c r="I3331" s="187"/>
      <c r="J3331" s="187">
        <v>93.515512606344174</v>
      </c>
      <c r="K3331" s="187">
        <v>2167.9603339880855</v>
      </c>
      <c r="L3331" s="187">
        <v>5378.3109187723694</v>
      </c>
      <c r="M3331" s="187">
        <v>7639.78662109375</v>
      </c>
      <c r="N3331" s="187">
        <v>5378.31103515625</v>
      </c>
      <c r="O3331" t="s">
        <v>3787</v>
      </c>
    </row>
    <row r="3332" spans="1:15" hidden="1" x14ac:dyDescent="0.45">
      <c r="A3332" s="187">
        <v>2019</v>
      </c>
      <c r="B3332" t="s">
        <v>314</v>
      </c>
      <c r="C3332" t="s">
        <v>328</v>
      </c>
      <c r="D3332" t="s">
        <v>39</v>
      </c>
      <c r="E3332" t="s">
        <v>362</v>
      </c>
      <c r="F3332" t="s">
        <v>362</v>
      </c>
      <c r="G3332" t="s">
        <v>37</v>
      </c>
      <c r="H3332" t="s">
        <v>43</v>
      </c>
      <c r="I3332" s="187">
        <v>1953.8744999999999</v>
      </c>
      <c r="J3332" s="187">
        <v>77</v>
      </c>
      <c r="K3332" s="187">
        <v>2706.6042087438268</v>
      </c>
      <c r="L3332" s="187">
        <v>2657</v>
      </c>
      <c r="M3332" s="187">
        <v>7394.478515625</v>
      </c>
      <c r="N3332" s="187">
        <v>4610.87451171875</v>
      </c>
      <c r="O3332" t="s">
        <v>3796</v>
      </c>
    </row>
    <row r="3333" spans="1:15" hidden="1" x14ac:dyDescent="0.45">
      <c r="A3333" s="187">
        <v>2019</v>
      </c>
      <c r="B3333" t="s">
        <v>311</v>
      </c>
      <c r="C3333" t="s">
        <v>328</v>
      </c>
      <c r="D3333" t="s">
        <v>39</v>
      </c>
      <c r="E3333" t="s">
        <v>362</v>
      </c>
      <c r="F3333" t="s">
        <v>362</v>
      </c>
      <c r="G3333" t="s">
        <v>37</v>
      </c>
      <c r="H3333" t="s">
        <v>43</v>
      </c>
      <c r="I3333" s="187"/>
      <c r="J3333" s="187">
        <v>92</v>
      </c>
      <c r="K3333" s="187">
        <v>2679.979958770592</v>
      </c>
      <c r="L3333" s="187">
        <v>4832</v>
      </c>
      <c r="M3333" s="187">
        <v>7603.97998046875</v>
      </c>
      <c r="N3333" s="187">
        <v>4832</v>
      </c>
      <c r="O3333" t="s">
        <v>3797</v>
      </c>
    </row>
    <row r="3334" spans="1:15" hidden="1" x14ac:dyDescent="0.45">
      <c r="A3334" s="187">
        <v>2019</v>
      </c>
      <c r="B3334" t="s">
        <v>315</v>
      </c>
      <c r="C3334" t="s">
        <v>328</v>
      </c>
      <c r="D3334" t="s">
        <v>39</v>
      </c>
      <c r="E3334" t="s">
        <v>362</v>
      </c>
      <c r="F3334" t="s">
        <v>362</v>
      </c>
      <c r="G3334" t="s">
        <v>37</v>
      </c>
      <c r="H3334" t="s">
        <v>43</v>
      </c>
      <c r="I3334" s="187">
        <v>896</v>
      </c>
      <c r="J3334" s="187">
        <v>105</v>
      </c>
      <c r="K3334" s="187">
        <v>3090.4481799999999</v>
      </c>
      <c r="L3334" s="187">
        <v>2924</v>
      </c>
      <c r="M3334" s="187">
        <v>7015.4482421875</v>
      </c>
      <c r="N3334" s="187">
        <v>3820</v>
      </c>
      <c r="O3334" t="s">
        <v>3794</v>
      </c>
    </row>
    <row r="3335" spans="1:15" hidden="1" x14ac:dyDescent="0.45">
      <c r="A3335" s="187">
        <v>2019</v>
      </c>
      <c r="B3335" t="s">
        <v>309</v>
      </c>
      <c r="C3335" t="s">
        <v>328</v>
      </c>
      <c r="D3335" t="s">
        <v>39</v>
      </c>
      <c r="E3335" t="s">
        <v>362</v>
      </c>
      <c r="F3335" t="s">
        <v>362</v>
      </c>
      <c r="G3335" t="s">
        <v>37</v>
      </c>
      <c r="H3335" t="s">
        <v>43</v>
      </c>
      <c r="I3335" s="187"/>
      <c r="J3335" s="187">
        <v>577.37619999999993</v>
      </c>
      <c r="K3335" s="187">
        <v>2134.9337680966819</v>
      </c>
      <c r="L3335" s="187">
        <v>5497</v>
      </c>
      <c r="M3335" s="187">
        <v>8209.310546875</v>
      </c>
      <c r="N3335" s="187">
        <v>5497</v>
      </c>
      <c r="O3335" t="s">
        <v>3793</v>
      </c>
    </row>
    <row r="3336" spans="1:15" hidden="1" x14ac:dyDescent="0.45">
      <c r="A3336" s="187">
        <v>2019</v>
      </c>
      <c r="B3336" t="s">
        <v>312</v>
      </c>
      <c r="C3336" t="s">
        <v>328</v>
      </c>
      <c r="D3336" t="s">
        <v>39</v>
      </c>
      <c r="E3336" t="s">
        <v>362</v>
      </c>
      <c r="F3336" t="s">
        <v>362</v>
      </c>
      <c r="G3336" t="s">
        <v>37</v>
      </c>
      <c r="H3336" t="s">
        <v>43</v>
      </c>
      <c r="I3336" s="187">
        <v>1923.7754947660069</v>
      </c>
      <c r="J3336" s="187">
        <v>90</v>
      </c>
      <c r="K3336" s="187">
        <v>2175.9410126045041</v>
      </c>
      <c r="L3336" s="187">
        <v>2594</v>
      </c>
      <c r="M3336" s="187">
        <v>6783.71630859375</v>
      </c>
      <c r="N3336" s="187">
        <v>4517.775390625</v>
      </c>
      <c r="O3336" t="s">
        <v>3795</v>
      </c>
    </row>
    <row r="3337" spans="1:15" hidden="1" x14ac:dyDescent="0.45">
      <c r="A3337" s="187">
        <v>2019</v>
      </c>
      <c r="B3337" t="s">
        <v>310</v>
      </c>
      <c r="C3337" t="s">
        <v>328</v>
      </c>
      <c r="D3337" t="s">
        <v>39</v>
      </c>
      <c r="E3337" t="s">
        <v>362</v>
      </c>
      <c r="F3337" t="s">
        <v>362</v>
      </c>
      <c r="G3337" t="s">
        <v>37</v>
      </c>
      <c r="H3337" t="s">
        <v>43</v>
      </c>
      <c r="I3337" s="187"/>
      <c r="J3337" s="187">
        <v>89</v>
      </c>
      <c r="K3337" s="187">
        <v>2055.8556611804602</v>
      </c>
      <c r="L3337" s="187">
        <v>5259</v>
      </c>
      <c r="M3337" s="187">
        <v>7403.85546875</v>
      </c>
      <c r="N3337" s="187">
        <v>5259</v>
      </c>
      <c r="O3337" t="s">
        <v>3792</v>
      </c>
    </row>
    <row r="3338" spans="1:15" hidden="1" x14ac:dyDescent="0.45">
      <c r="A3338" s="187">
        <v>2019</v>
      </c>
      <c r="B3338" t="s">
        <v>313</v>
      </c>
      <c r="C3338" t="s">
        <v>328</v>
      </c>
      <c r="D3338" t="s">
        <v>39</v>
      </c>
      <c r="E3338" t="s">
        <v>362</v>
      </c>
      <c r="F3338" t="s">
        <v>362</v>
      </c>
      <c r="G3338" t="s">
        <v>37</v>
      </c>
      <c r="H3338" t="s">
        <v>43</v>
      </c>
      <c r="I3338" s="187">
        <v>1915.2081909000001</v>
      </c>
      <c r="J3338" s="187">
        <v>73</v>
      </c>
      <c r="K3338" s="187">
        <v>2497.2715244176861</v>
      </c>
      <c r="L3338" s="187">
        <v>2551</v>
      </c>
      <c r="M3338" s="187">
        <v>7036.4794921875</v>
      </c>
      <c r="N3338" s="187">
        <v>4466.2080078125</v>
      </c>
      <c r="O3338" t="s">
        <v>3791</v>
      </c>
    </row>
    <row r="3339" spans="1:15" hidden="1" x14ac:dyDescent="0.45">
      <c r="A3339" s="187">
        <v>2019</v>
      </c>
      <c r="B3339" t="s">
        <v>315</v>
      </c>
      <c r="C3339" t="s">
        <v>328</v>
      </c>
      <c r="D3339" t="s">
        <v>39</v>
      </c>
      <c r="E3339" t="s">
        <v>363</v>
      </c>
      <c r="F3339" t="s">
        <v>363</v>
      </c>
      <c r="G3339" t="s">
        <v>36</v>
      </c>
      <c r="H3339" t="s">
        <v>43</v>
      </c>
      <c r="I3339" s="187">
        <v>3174.5622796888674</v>
      </c>
      <c r="J3339" s="187">
        <v>37.80526702589669</v>
      </c>
      <c r="K3339" s="187">
        <v>631.71219687801181</v>
      </c>
      <c r="L3339" s="187">
        <v>2374.1707692263121</v>
      </c>
      <c r="M3339" s="187">
        <v>6218.25048828125</v>
      </c>
      <c r="N3339" s="187">
        <v>5548.73291015625</v>
      </c>
      <c r="O3339" t="s">
        <v>3801</v>
      </c>
    </row>
    <row r="3340" spans="1:15" hidden="1" x14ac:dyDescent="0.45">
      <c r="A3340" s="187">
        <v>2019</v>
      </c>
      <c r="B3340" t="s">
        <v>312</v>
      </c>
      <c r="C3340" t="s">
        <v>328</v>
      </c>
      <c r="D3340" t="s">
        <v>39</v>
      </c>
      <c r="E3340" t="s">
        <v>363</v>
      </c>
      <c r="F3340" t="s">
        <v>363</v>
      </c>
      <c r="G3340" t="s">
        <v>36</v>
      </c>
      <c r="H3340" t="s">
        <v>43</v>
      </c>
      <c r="I3340" s="187">
        <v>2633.2512352831613</v>
      </c>
      <c r="J3340" s="187">
        <v>69.585625156184065</v>
      </c>
      <c r="K3340" s="187">
        <v>478.32918825132424</v>
      </c>
      <c r="L3340" s="187">
        <v>2269.6511405108699</v>
      </c>
      <c r="M3340" s="187">
        <v>5450.8173828125</v>
      </c>
      <c r="N3340" s="187">
        <v>4902.90234375</v>
      </c>
      <c r="O3340" t="s">
        <v>3804</v>
      </c>
    </row>
    <row r="3341" spans="1:15" hidden="1" x14ac:dyDescent="0.45">
      <c r="A3341" s="187">
        <v>2019</v>
      </c>
      <c r="B3341" t="s">
        <v>310</v>
      </c>
      <c r="C3341" t="s">
        <v>328</v>
      </c>
      <c r="D3341" t="s">
        <v>39</v>
      </c>
      <c r="E3341" t="s">
        <v>363</v>
      </c>
      <c r="F3341" t="s">
        <v>363</v>
      </c>
      <c r="G3341" t="s">
        <v>36</v>
      </c>
      <c r="H3341" t="s">
        <v>43</v>
      </c>
      <c r="I3341" s="187"/>
      <c r="J3341" s="187">
        <v>46.757756303172087</v>
      </c>
      <c r="K3341" s="187">
        <v>417.98723095299255</v>
      </c>
      <c r="L3341" s="187">
        <v>4450.1694561544027</v>
      </c>
      <c r="M3341" s="187">
        <v>4914.91455078125</v>
      </c>
      <c r="N3341" s="187">
        <v>4450.16943359375</v>
      </c>
      <c r="O3341" t="s">
        <v>3803</v>
      </c>
    </row>
    <row r="3342" spans="1:15" hidden="1" x14ac:dyDescent="0.45">
      <c r="A3342" s="187">
        <v>2019</v>
      </c>
      <c r="B3342" t="s">
        <v>314</v>
      </c>
      <c r="C3342" t="s">
        <v>328</v>
      </c>
      <c r="D3342" t="s">
        <v>39</v>
      </c>
      <c r="E3342" t="s">
        <v>363</v>
      </c>
      <c r="F3342" t="s">
        <v>363</v>
      </c>
      <c r="G3342" t="s">
        <v>36</v>
      </c>
      <c r="H3342" t="s">
        <v>43</v>
      </c>
      <c r="I3342" s="187">
        <v>3364.390792875141</v>
      </c>
      <c r="J3342" s="187">
        <v>55.481378510473967</v>
      </c>
      <c r="K3342" s="187">
        <v>444.99788990063684</v>
      </c>
      <c r="L3342" s="187">
        <v>2335.7660352909538</v>
      </c>
      <c r="M3342" s="187">
        <v>6200.63623046875</v>
      </c>
      <c r="N3342" s="187">
        <v>5700.15673828125</v>
      </c>
      <c r="O3342" t="s">
        <v>3799</v>
      </c>
    </row>
    <row r="3343" spans="1:15" hidden="1" x14ac:dyDescent="0.45">
      <c r="A3343" s="187">
        <v>2019</v>
      </c>
      <c r="B3343" t="s">
        <v>313</v>
      </c>
      <c r="C3343" t="s">
        <v>328</v>
      </c>
      <c r="D3343" t="s">
        <v>39</v>
      </c>
      <c r="E3343" t="s">
        <v>363</v>
      </c>
      <c r="F3343" t="s">
        <v>363</v>
      </c>
      <c r="G3343" t="s">
        <v>36</v>
      </c>
      <c r="H3343" t="s">
        <v>43</v>
      </c>
      <c r="I3343" s="187">
        <v>3333.0749996812901</v>
      </c>
      <c r="J3343" s="187">
        <v>57.053584994770468</v>
      </c>
      <c r="K3343" s="187">
        <v>423.65105723989893</v>
      </c>
      <c r="L3343" s="187">
        <v>2350.6077017845432</v>
      </c>
      <c r="M3343" s="187">
        <v>6164.38720703125</v>
      </c>
      <c r="N3343" s="187">
        <v>5683.6826171875</v>
      </c>
      <c r="O3343" t="s">
        <v>3800</v>
      </c>
    </row>
    <row r="3344" spans="1:15" hidden="1" x14ac:dyDescent="0.45">
      <c r="A3344" s="187">
        <v>2019</v>
      </c>
      <c r="B3344" t="s">
        <v>309</v>
      </c>
      <c r="C3344" t="s">
        <v>328</v>
      </c>
      <c r="D3344" t="s">
        <v>39</v>
      </c>
      <c r="E3344" t="s">
        <v>363</v>
      </c>
      <c r="F3344" t="s">
        <v>363</v>
      </c>
      <c r="G3344" t="s">
        <v>36</v>
      </c>
      <c r="H3344" t="s">
        <v>43</v>
      </c>
      <c r="I3344" s="187"/>
      <c r="J3344" s="187">
        <v>11.911026762441155</v>
      </c>
      <c r="K3344" s="187">
        <v>417.27703905342429</v>
      </c>
      <c r="L3344" s="187">
        <v>4781.0861424438799</v>
      </c>
      <c r="M3344" s="187">
        <v>5210.2744140625</v>
      </c>
      <c r="N3344" s="187">
        <v>4781.0859375</v>
      </c>
      <c r="O3344" t="s">
        <v>3798</v>
      </c>
    </row>
    <row r="3345" spans="1:15" hidden="1" x14ac:dyDescent="0.45">
      <c r="A3345" s="187">
        <v>2019</v>
      </c>
      <c r="B3345" t="s">
        <v>311</v>
      </c>
      <c r="C3345" t="s">
        <v>328</v>
      </c>
      <c r="D3345" t="s">
        <v>39</v>
      </c>
      <c r="E3345" t="s">
        <v>363</v>
      </c>
      <c r="F3345" t="s">
        <v>363</v>
      </c>
      <c r="G3345" t="s">
        <v>36</v>
      </c>
      <c r="H3345" t="s">
        <v>43</v>
      </c>
      <c r="I3345" s="187"/>
      <c r="J3345" s="187">
        <v>69.90382393201898</v>
      </c>
      <c r="K3345" s="187">
        <v>440.19773797022117</v>
      </c>
      <c r="L3345" s="187">
        <v>4557.7293203676381</v>
      </c>
      <c r="M3345" s="187">
        <v>5067.8310546875</v>
      </c>
      <c r="N3345" s="187">
        <v>4557.7294921875</v>
      </c>
      <c r="O3345" t="s">
        <v>3802</v>
      </c>
    </row>
    <row r="3346" spans="1:15" hidden="1" x14ac:dyDescent="0.45">
      <c r="A3346" s="187">
        <v>2019</v>
      </c>
      <c r="B3346" t="s">
        <v>314</v>
      </c>
      <c r="C3346" t="s">
        <v>328</v>
      </c>
      <c r="D3346" t="s">
        <v>39</v>
      </c>
      <c r="E3346" t="s">
        <v>363</v>
      </c>
      <c r="F3346" t="s">
        <v>363</v>
      </c>
      <c r="G3346" t="s">
        <v>37</v>
      </c>
      <c r="H3346" t="s">
        <v>43</v>
      </c>
      <c r="I3346" s="187">
        <v>3093.5495999999998</v>
      </c>
      <c r="J3346" s="187">
        <v>51</v>
      </c>
      <c r="K3346" s="187">
        <v>409.57138943402992</v>
      </c>
      <c r="L3346" s="187">
        <v>2178</v>
      </c>
      <c r="M3346" s="187">
        <v>5732.12109375</v>
      </c>
      <c r="N3346" s="187">
        <v>5271.5498046875</v>
      </c>
      <c r="O3346" t="s">
        <v>3806</v>
      </c>
    </row>
    <row r="3347" spans="1:15" hidden="1" x14ac:dyDescent="0.45">
      <c r="A3347" s="187">
        <v>2019</v>
      </c>
      <c r="B3347" t="s">
        <v>309</v>
      </c>
      <c r="C3347" t="s">
        <v>328</v>
      </c>
      <c r="D3347" t="s">
        <v>39</v>
      </c>
      <c r="E3347" t="s">
        <v>363</v>
      </c>
      <c r="F3347" t="s">
        <v>363</v>
      </c>
      <c r="G3347" t="s">
        <v>37</v>
      </c>
      <c r="H3347" t="s">
        <v>43</v>
      </c>
      <c r="I3347" s="187"/>
      <c r="J3347" s="187">
        <v>11.233000000000001</v>
      </c>
      <c r="K3347" s="187">
        <v>400.66120706904968</v>
      </c>
      <c r="L3347" s="187">
        <v>4773</v>
      </c>
      <c r="M3347" s="187">
        <v>5184.89404296875</v>
      </c>
      <c r="N3347" s="187">
        <v>4773</v>
      </c>
      <c r="O3347" t="s">
        <v>3807</v>
      </c>
    </row>
    <row r="3348" spans="1:15" hidden="1" x14ac:dyDescent="0.45">
      <c r="A3348" s="187">
        <v>2019</v>
      </c>
      <c r="B3348" t="s">
        <v>313</v>
      </c>
      <c r="C3348" t="s">
        <v>328</v>
      </c>
      <c r="D3348" t="s">
        <v>39</v>
      </c>
      <c r="E3348" t="s">
        <v>363</v>
      </c>
      <c r="F3348" t="s">
        <v>363</v>
      </c>
      <c r="G3348" t="s">
        <v>37</v>
      </c>
      <c r="H3348" t="s">
        <v>43</v>
      </c>
      <c r="I3348" s="187">
        <v>3032.1576078328803</v>
      </c>
      <c r="J3348" s="187">
        <v>52</v>
      </c>
      <c r="K3348" s="187">
        <v>384.74533090828322</v>
      </c>
      <c r="L3348" s="187">
        <v>2143</v>
      </c>
      <c r="M3348" s="187">
        <v>5611.9033203125</v>
      </c>
      <c r="N3348" s="187">
        <v>5175.15771484375</v>
      </c>
      <c r="O3348" t="s">
        <v>3805</v>
      </c>
    </row>
    <row r="3349" spans="1:15" hidden="1" x14ac:dyDescent="0.45">
      <c r="A3349" s="187">
        <v>2019</v>
      </c>
      <c r="B3349" t="s">
        <v>315</v>
      </c>
      <c r="C3349" t="s">
        <v>328</v>
      </c>
      <c r="D3349" t="s">
        <v>39</v>
      </c>
      <c r="E3349" t="s">
        <v>363</v>
      </c>
      <c r="F3349" t="s">
        <v>363</v>
      </c>
      <c r="G3349" t="s">
        <v>37</v>
      </c>
      <c r="H3349" t="s">
        <v>43</v>
      </c>
      <c r="I3349" s="187">
        <v>2939</v>
      </c>
      <c r="J3349" s="187">
        <v>35</v>
      </c>
      <c r="K3349" s="187">
        <v>584.83720999999991</v>
      </c>
      <c r="L3349" s="187">
        <v>2198</v>
      </c>
      <c r="M3349" s="187">
        <v>5756.8369140625</v>
      </c>
      <c r="N3349" s="187">
        <v>5137</v>
      </c>
      <c r="O3349" t="s">
        <v>3809</v>
      </c>
    </row>
    <row r="3350" spans="1:15" hidden="1" x14ac:dyDescent="0.45">
      <c r="A3350" s="187">
        <v>2019</v>
      </c>
      <c r="B3350" t="s">
        <v>310</v>
      </c>
      <c r="C3350" t="s">
        <v>328</v>
      </c>
      <c r="D3350" t="s">
        <v>39</v>
      </c>
      <c r="E3350" t="s">
        <v>363</v>
      </c>
      <c r="F3350" t="s">
        <v>363</v>
      </c>
      <c r="G3350" t="s">
        <v>37</v>
      </c>
      <c r="H3350" t="s">
        <v>43</v>
      </c>
      <c r="I3350" s="187"/>
      <c r="J3350" s="187">
        <v>44</v>
      </c>
      <c r="K3350" s="187">
        <v>396.37321845048888</v>
      </c>
      <c r="L3350" s="187">
        <v>4351</v>
      </c>
      <c r="M3350" s="187">
        <v>4791.373046875</v>
      </c>
      <c r="N3350" s="187">
        <v>4351</v>
      </c>
      <c r="O3350" t="s">
        <v>3808</v>
      </c>
    </row>
    <row r="3351" spans="1:15" hidden="1" x14ac:dyDescent="0.45">
      <c r="A3351" s="187">
        <v>2019</v>
      </c>
      <c r="B3351" t="s">
        <v>312</v>
      </c>
      <c r="C3351" t="s">
        <v>328</v>
      </c>
      <c r="D3351" t="s">
        <v>39</v>
      </c>
      <c r="E3351" t="s">
        <v>363</v>
      </c>
      <c r="F3351" t="s">
        <v>363</v>
      </c>
      <c r="G3351" t="s">
        <v>37</v>
      </c>
      <c r="H3351" t="s">
        <v>43</v>
      </c>
      <c r="I3351" s="187">
        <v>2368.6980110975992</v>
      </c>
      <c r="J3351" s="187">
        <v>64</v>
      </c>
      <c r="K3351" s="187">
        <v>436.3326420846235</v>
      </c>
      <c r="L3351" s="187">
        <v>2065</v>
      </c>
      <c r="M3351" s="187">
        <v>4934.03076171875</v>
      </c>
      <c r="N3351" s="187">
        <v>4433.6982421875</v>
      </c>
      <c r="O3351" t="s">
        <v>3810</v>
      </c>
    </row>
    <row r="3352" spans="1:15" hidden="1" x14ac:dyDescent="0.45">
      <c r="A3352" s="187">
        <v>2019</v>
      </c>
      <c r="B3352" t="s">
        <v>311</v>
      </c>
      <c r="C3352" t="s">
        <v>328</v>
      </c>
      <c r="D3352" t="s">
        <v>39</v>
      </c>
      <c r="E3352" t="s">
        <v>363</v>
      </c>
      <c r="F3352" t="s">
        <v>363</v>
      </c>
      <c r="G3352" t="s">
        <v>37</v>
      </c>
      <c r="H3352" t="s">
        <v>43</v>
      </c>
      <c r="I3352" s="187"/>
      <c r="J3352" s="187">
        <v>65</v>
      </c>
      <c r="K3352" s="187">
        <v>405.99167145736197</v>
      </c>
      <c r="L3352" s="187">
        <v>4366</v>
      </c>
      <c r="M3352" s="187">
        <v>4836.99169921875</v>
      </c>
      <c r="N3352" s="187">
        <v>4366</v>
      </c>
      <c r="O3352" t="s">
        <v>3811</v>
      </c>
    </row>
    <row r="3353" spans="1:15" hidden="1" x14ac:dyDescent="0.45">
      <c r="A3353" s="187">
        <v>2019</v>
      </c>
      <c r="B3353" t="s">
        <v>312</v>
      </c>
      <c r="C3353" t="s">
        <v>328</v>
      </c>
      <c r="D3353" t="s">
        <v>39</v>
      </c>
      <c r="E3353" t="s">
        <v>364</v>
      </c>
      <c r="F3353" t="s">
        <v>364</v>
      </c>
      <c r="G3353" t="s">
        <v>36</v>
      </c>
      <c r="H3353" t="s">
        <v>43</v>
      </c>
      <c r="I3353" s="187">
        <v>1552.9140913689048</v>
      </c>
      <c r="J3353" s="187">
        <v>788.63708510341928</v>
      </c>
      <c r="K3353" s="187">
        <v>4796.9323651382756</v>
      </c>
      <c r="L3353" s="187">
        <v>3503.6362266138672</v>
      </c>
      <c r="M3353" s="187">
        <v>10642.119140625</v>
      </c>
      <c r="N3353" s="187">
        <v>5056.55029296875</v>
      </c>
      <c r="O3353" t="s">
        <v>3812</v>
      </c>
    </row>
    <row r="3354" spans="1:15" hidden="1" x14ac:dyDescent="0.45">
      <c r="A3354" s="187">
        <v>2019</v>
      </c>
      <c r="B3354" t="s">
        <v>313</v>
      </c>
      <c r="C3354" t="s">
        <v>328</v>
      </c>
      <c r="D3354" t="s">
        <v>39</v>
      </c>
      <c r="E3354" t="s">
        <v>364</v>
      </c>
      <c r="F3354" t="s">
        <v>364</v>
      </c>
      <c r="G3354" t="s">
        <v>36</v>
      </c>
      <c r="H3354" t="s">
        <v>43</v>
      </c>
      <c r="I3354" s="187">
        <v>1777.2374297342985</v>
      </c>
      <c r="J3354" s="187">
        <v>775.92875592887833</v>
      </c>
      <c r="K3354" s="187">
        <v>5068.9868893335397</v>
      </c>
      <c r="L3354" s="187">
        <v>2959.939989528692</v>
      </c>
      <c r="M3354" s="187">
        <v>10582.09375</v>
      </c>
      <c r="N3354" s="187">
        <v>4737.17724609375</v>
      </c>
      <c r="O3354" t="s">
        <v>3816</v>
      </c>
    </row>
    <row r="3355" spans="1:15" hidden="1" x14ac:dyDescent="0.45">
      <c r="A3355" s="187">
        <v>2019</v>
      </c>
      <c r="B3355" t="s">
        <v>310</v>
      </c>
      <c r="C3355" t="s">
        <v>328</v>
      </c>
      <c r="D3355" t="s">
        <v>39</v>
      </c>
      <c r="E3355" t="s">
        <v>364</v>
      </c>
      <c r="F3355" t="s">
        <v>364</v>
      </c>
      <c r="G3355" t="s">
        <v>36</v>
      </c>
      <c r="H3355" t="s">
        <v>43</v>
      </c>
      <c r="I3355" s="187"/>
      <c r="J3355" s="187">
        <v>771.50297900233943</v>
      </c>
      <c r="K3355" s="187">
        <v>4209.5869947470337</v>
      </c>
      <c r="L3355" s="187">
        <v>4609.1458275851883</v>
      </c>
      <c r="M3355" s="187">
        <v>9590.2353515625</v>
      </c>
      <c r="N3355" s="187">
        <v>4609.14599609375</v>
      </c>
      <c r="O3355" t="s">
        <v>3815</v>
      </c>
    </row>
    <row r="3356" spans="1:15" hidden="1" x14ac:dyDescent="0.45">
      <c r="A3356" s="187">
        <v>2019</v>
      </c>
      <c r="B3356" t="s">
        <v>309</v>
      </c>
      <c r="C3356" t="s">
        <v>328</v>
      </c>
      <c r="D3356" t="s">
        <v>39</v>
      </c>
      <c r="E3356" t="s">
        <v>364</v>
      </c>
      <c r="F3356" t="s">
        <v>364</v>
      </c>
      <c r="G3356" t="s">
        <v>36</v>
      </c>
      <c r="H3356" t="s">
        <v>43</v>
      </c>
      <c r="I3356" s="187"/>
      <c r="J3356" s="187">
        <v>23.82205352488231</v>
      </c>
      <c r="K3356" s="187">
        <v>5134.3139918039096</v>
      </c>
      <c r="L3356" s="187">
        <v>5118.1681998209642</v>
      </c>
      <c r="M3356" s="187">
        <v>10276.3046875</v>
      </c>
      <c r="N3356" s="187">
        <v>5118.16796875</v>
      </c>
      <c r="O3356" t="s">
        <v>3814</v>
      </c>
    </row>
    <row r="3357" spans="1:15" hidden="1" x14ac:dyDescent="0.45">
      <c r="A3357" s="187">
        <v>2019</v>
      </c>
      <c r="B3357" t="s">
        <v>311</v>
      </c>
      <c r="C3357" t="s">
        <v>328</v>
      </c>
      <c r="D3357" t="s">
        <v>39</v>
      </c>
      <c r="E3357" t="s">
        <v>364</v>
      </c>
      <c r="F3357" t="s">
        <v>364</v>
      </c>
      <c r="G3357" t="s">
        <v>36</v>
      </c>
      <c r="H3357" t="s">
        <v>43</v>
      </c>
      <c r="I3357" s="187"/>
      <c r="J3357" s="187">
        <v>792.24333789621517</v>
      </c>
      <c r="K3357" s="187">
        <v>4486.4082807453833</v>
      </c>
      <c r="L3357" s="187">
        <v>11628.501111091358</v>
      </c>
      <c r="M3357" s="187">
        <v>16907.15234375</v>
      </c>
      <c r="N3357" s="187">
        <v>11628.5009765625</v>
      </c>
      <c r="O3357" t="s">
        <v>3817</v>
      </c>
    </row>
    <row r="3358" spans="1:15" hidden="1" x14ac:dyDescent="0.45">
      <c r="A3358" s="187">
        <v>2019</v>
      </c>
      <c r="B3358" t="s">
        <v>314</v>
      </c>
      <c r="C3358" t="s">
        <v>328</v>
      </c>
      <c r="D3358" t="s">
        <v>39</v>
      </c>
      <c r="E3358" t="s">
        <v>364</v>
      </c>
      <c r="F3358" t="s">
        <v>364</v>
      </c>
      <c r="G3358" t="s">
        <v>36</v>
      </c>
      <c r="H3358" t="s">
        <v>43</v>
      </c>
      <c r="I3358" s="187">
        <v>1794.267781028728</v>
      </c>
      <c r="J3358" s="187">
        <v>765.64302344454075</v>
      </c>
      <c r="K3358" s="187">
        <v>5156.5371445528399</v>
      </c>
      <c r="L3358" s="187">
        <v>2700.8335058898724</v>
      </c>
      <c r="M3358" s="187">
        <v>10417.2822265625</v>
      </c>
      <c r="N3358" s="187">
        <v>4495.1015625</v>
      </c>
      <c r="O3358" t="s">
        <v>3818</v>
      </c>
    </row>
    <row r="3359" spans="1:15" hidden="1" x14ac:dyDescent="0.45">
      <c r="A3359" s="187">
        <v>2019</v>
      </c>
      <c r="B3359" t="s">
        <v>315</v>
      </c>
      <c r="C3359" t="s">
        <v>328</v>
      </c>
      <c r="D3359" t="s">
        <v>39</v>
      </c>
      <c r="E3359" t="s">
        <v>364</v>
      </c>
      <c r="F3359" t="s">
        <v>364</v>
      </c>
      <c r="G3359" t="s">
        <v>36</v>
      </c>
      <c r="H3359" t="s">
        <v>43</v>
      </c>
      <c r="I3359" s="187">
        <v>1437.6802974705283</v>
      </c>
      <c r="J3359" s="187">
        <v>756.10534051793377</v>
      </c>
      <c r="K3359" s="187">
        <v>4638.5032461297242</v>
      </c>
      <c r="L3359" s="187">
        <v>2696.0556141896609</v>
      </c>
      <c r="M3359" s="187">
        <v>9528.3447265625</v>
      </c>
      <c r="N3359" s="187">
        <v>4133.73583984375</v>
      </c>
      <c r="O3359" t="s">
        <v>3813</v>
      </c>
    </row>
    <row r="3360" spans="1:15" hidden="1" x14ac:dyDescent="0.45">
      <c r="A3360" s="187">
        <v>2019</v>
      </c>
      <c r="B3360" t="s">
        <v>315</v>
      </c>
      <c r="C3360" t="s">
        <v>328</v>
      </c>
      <c r="D3360" t="s">
        <v>39</v>
      </c>
      <c r="E3360" t="s">
        <v>364</v>
      </c>
      <c r="F3360" t="s">
        <v>364</v>
      </c>
      <c r="G3360" t="s">
        <v>37</v>
      </c>
      <c r="H3360" t="s">
        <v>43</v>
      </c>
      <c r="I3360" s="187">
        <v>1331</v>
      </c>
      <c r="J3360" s="187">
        <v>700</v>
      </c>
      <c r="K3360" s="187">
        <v>4294.3120466079999</v>
      </c>
      <c r="L3360" s="187">
        <v>2496</v>
      </c>
      <c r="M3360" s="187">
        <v>8821.3125</v>
      </c>
      <c r="N3360" s="187">
        <v>3827</v>
      </c>
      <c r="O3360" t="s">
        <v>3820</v>
      </c>
    </row>
    <row r="3361" spans="1:15" hidden="1" x14ac:dyDescent="0.45">
      <c r="A3361" s="187">
        <v>2019</v>
      </c>
      <c r="B3361" t="s">
        <v>312</v>
      </c>
      <c r="C3361" t="s">
        <v>328</v>
      </c>
      <c r="D3361" t="s">
        <v>39</v>
      </c>
      <c r="E3361" t="s">
        <v>364</v>
      </c>
      <c r="F3361" t="s">
        <v>364</v>
      </c>
      <c r="G3361" t="s">
        <v>37</v>
      </c>
      <c r="H3361" t="s">
        <v>43</v>
      </c>
      <c r="I3361" s="187">
        <v>1396.898431241184</v>
      </c>
      <c r="J3361" s="187">
        <v>722</v>
      </c>
      <c r="K3361" s="187">
        <v>4375.7692906716138</v>
      </c>
      <c r="L3361" s="187">
        <v>3188</v>
      </c>
      <c r="M3361" s="187">
        <v>9682.66796875</v>
      </c>
      <c r="N3361" s="187">
        <v>4584.8984375</v>
      </c>
      <c r="O3361" t="s">
        <v>3821</v>
      </c>
    </row>
    <row r="3362" spans="1:15" hidden="1" x14ac:dyDescent="0.45">
      <c r="A3362" s="187">
        <v>2019</v>
      </c>
      <c r="B3362" t="s">
        <v>313</v>
      </c>
      <c r="C3362" t="s">
        <v>328</v>
      </c>
      <c r="D3362" t="s">
        <v>39</v>
      </c>
      <c r="E3362" t="s">
        <v>364</v>
      </c>
      <c r="F3362" t="s">
        <v>364</v>
      </c>
      <c r="G3362" t="s">
        <v>37</v>
      </c>
      <c r="H3362" t="s">
        <v>43</v>
      </c>
      <c r="I3362" s="187">
        <v>1616.7844990015201</v>
      </c>
      <c r="J3362" s="187">
        <v>707</v>
      </c>
      <c r="K3362" s="187">
        <v>4603.4796910751284</v>
      </c>
      <c r="L3362" s="187">
        <v>2698</v>
      </c>
      <c r="M3362" s="187">
        <v>9625.263671875</v>
      </c>
      <c r="N3362" s="187">
        <v>4314.78466796875</v>
      </c>
      <c r="O3362" t="s">
        <v>3825</v>
      </c>
    </row>
    <row r="3363" spans="1:15" hidden="1" x14ac:dyDescent="0.45">
      <c r="A3363" s="187">
        <v>2019</v>
      </c>
      <c r="B3363" t="s">
        <v>310</v>
      </c>
      <c r="C3363" t="s">
        <v>328</v>
      </c>
      <c r="D3363" t="s">
        <v>39</v>
      </c>
      <c r="E3363" t="s">
        <v>364</v>
      </c>
      <c r="F3363" t="s">
        <v>364</v>
      </c>
      <c r="G3363" t="s">
        <v>37</v>
      </c>
      <c r="H3363" t="s">
        <v>43</v>
      </c>
      <c r="I3363" s="187"/>
      <c r="J3363" s="187">
        <v>731</v>
      </c>
      <c r="K3363" s="187">
        <v>3991.910330970979</v>
      </c>
      <c r="L3363" s="187">
        <v>4507</v>
      </c>
      <c r="M3363" s="187">
        <v>9229.91015625</v>
      </c>
      <c r="N3363" s="187">
        <v>4507</v>
      </c>
      <c r="O3363" t="s">
        <v>3822</v>
      </c>
    </row>
    <row r="3364" spans="1:15" hidden="1" x14ac:dyDescent="0.45">
      <c r="A3364" s="187">
        <v>2019</v>
      </c>
      <c r="B3364" t="s">
        <v>314</v>
      </c>
      <c r="C3364" t="s">
        <v>328</v>
      </c>
      <c r="D3364" t="s">
        <v>39</v>
      </c>
      <c r="E3364" t="s">
        <v>364</v>
      </c>
      <c r="F3364" t="s">
        <v>364</v>
      </c>
      <c r="G3364" t="s">
        <v>37</v>
      </c>
      <c r="H3364" t="s">
        <v>43</v>
      </c>
      <c r="I3364" s="187">
        <v>1649.8251</v>
      </c>
      <c r="J3364" s="187">
        <v>704</v>
      </c>
      <c r="K3364" s="187">
        <v>4746.0226911059553</v>
      </c>
      <c r="L3364" s="187">
        <v>2519</v>
      </c>
      <c r="M3364" s="187">
        <v>9618.84765625</v>
      </c>
      <c r="N3364" s="187">
        <v>4168.8251953125</v>
      </c>
      <c r="O3364" t="s">
        <v>3819</v>
      </c>
    </row>
    <row r="3365" spans="1:15" hidden="1" x14ac:dyDescent="0.45">
      <c r="A3365" s="187">
        <v>2019</v>
      </c>
      <c r="B3365" t="s">
        <v>309</v>
      </c>
      <c r="C3365" t="s">
        <v>328</v>
      </c>
      <c r="D3365" t="s">
        <v>39</v>
      </c>
      <c r="E3365" t="s">
        <v>364</v>
      </c>
      <c r="F3365" t="s">
        <v>364</v>
      </c>
      <c r="G3365" t="s">
        <v>37</v>
      </c>
      <c r="H3365" t="s">
        <v>43</v>
      </c>
      <c r="I3365" s="187"/>
      <c r="J3365" s="187">
        <v>22.466000000000001</v>
      </c>
      <c r="K3365" s="187">
        <v>4929.8673276971049</v>
      </c>
      <c r="L3365" s="187">
        <v>5110</v>
      </c>
      <c r="M3365" s="187">
        <v>10062.333984375</v>
      </c>
      <c r="N3365" s="187">
        <v>5110</v>
      </c>
      <c r="O3365" t="s">
        <v>3823</v>
      </c>
    </row>
    <row r="3366" spans="1:15" hidden="1" x14ac:dyDescent="0.45">
      <c r="A3366" s="187">
        <v>2019</v>
      </c>
      <c r="B3366" t="s">
        <v>311</v>
      </c>
      <c r="C3366" t="s">
        <v>328</v>
      </c>
      <c r="D3366" t="s">
        <v>39</v>
      </c>
      <c r="E3366" t="s">
        <v>364</v>
      </c>
      <c r="F3366" t="s">
        <v>364</v>
      </c>
      <c r="G3366" t="s">
        <v>37</v>
      </c>
      <c r="H3366" t="s">
        <v>43</v>
      </c>
      <c r="I3366" s="187"/>
      <c r="J3366" s="187">
        <v>737</v>
      </c>
      <c r="K3366" s="187">
        <v>4137.7868163038738</v>
      </c>
      <c r="L3366" s="187">
        <v>11141</v>
      </c>
      <c r="M3366" s="187">
        <v>16015.787109375</v>
      </c>
      <c r="N3366" s="187">
        <v>11141</v>
      </c>
      <c r="O3366" t="s">
        <v>3824</v>
      </c>
    </row>
    <row r="3367" spans="1:15" hidden="1" x14ac:dyDescent="0.45">
      <c r="A3367" s="187">
        <v>2019</v>
      </c>
      <c r="B3367" t="s">
        <v>312</v>
      </c>
      <c r="C3367" t="s">
        <v>328</v>
      </c>
      <c r="D3367" t="s">
        <v>39</v>
      </c>
      <c r="E3367" t="s">
        <v>365</v>
      </c>
      <c r="F3367" t="s">
        <v>375</v>
      </c>
      <c r="G3367" t="s">
        <v>36</v>
      </c>
      <c r="H3367" t="s">
        <v>43</v>
      </c>
      <c r="I3367" s="187">
        <v>8226.4251070092268</v>
      </c>
      <c r="J3367" s="187">
        <v>1844.0190666388776</v>
      </c>
      <c r="K3367" s="187">
        <v>18873.348720230457</v>
      </c>
      <c r="L3367" s="187">
        <v>13652.699655643313</v>
      </c>
      <c r="M3367" s="187">
        <v>42596.4921875</v>
      </c>
      <c r="N3367" s="187">
        <v>21879.125</v>
      </c>
      <c r="O3367" t="s">
        <v>3826</v>
      </c>
    </row>
    <row r="3368" spans="1:15" hidden="1" x14ac:dyDescent="0.45">
      <c r="A3368" s="187">
        <v>2019</v>
      </c>
      <c r="B3368" t="s">
        <v>311</v>
      </c>
      <c r="C3368" t="s">
        <v>328</v>
      </c>
      <c r="D3368" t="s">
        <v>39</v>
      </c>
      <c r="E3368" t="s">
        <v>365</v>
      </c>
      <c r="F3368" t="s">
        <v>375</v>
      </c>
      <c r="G3368" t="s">
        <v>36</v>
      </c>
      <c r="H3368" t="s">
        <v>43</v>
      </c>
      <c r="I3368" s="187"/>
      <c r="J3368" s="187">
        <v>1852.4513341985032</v>
      </c>
      <c r="K3368" s="187">
        <v>18225.084127619113</v>
      </c>
      <c r="L3368" s="187">
        <v>21877.566763257542</v>
      </c>
      <c r="M3368" s="187">
        <v>41955.1015625</v>
      </c>
      <c r="N3368" s="187">
        <v>21877.56640625</v>
      </c>
      <c r="O3368" t="s">
        <v>3827</v>
      </c>
    </row>
    <row r="3369" spans="1:15" hidden="1" x14ac:dyDescent="0.45">
      <c r="A3369" s="187">
        <v>2019</v>
      </c>
      <c r="B3369" t="s">
        <v>313</v>
      </c>
      <c r="C3369" t="s">
        <v>328</v>
      </c>
      <c r="D3369" t="s">
        <v>39</v>
      </c>
      <c r="E3369" t="s">
        <v>365</v>
      </c>
      <c r="F3369" t="s">
        <v>375</v>
      </c>
      <c r="G3369" t="s">
        <v>36</v>
      </c>
      <c r="H3369" t="s">
        <v>43</v>
      </c>
      <c r="I3369" s="187">
        <v>9155.5941770167992</v>
      </c>
      <c r="J3369" s="187">
        <v>1825.714719832655</v>
      </c>
      <c r="K3369" s="187">
        <v>18624.128752232667</v>
      </c>
      <c r="L3369" s="187">
        <v>13432.696051168759</v>
      </c>
      <c r="M3369" s="187">
        <v>43038.1328125</v>
      </c>
      <c r="N3369" s="187">
        <v>22588.2890625</v>
      </c>
      <c r="O3369" t="s">
        <v>3832</v>
      </c>
    </row>
    <row r="3370" spans="1:15" hidden="1" x14ac:dyDescent="0.45">
      <c r="A3370" s="187">
        <v>2019</v>
      </c>
      <c r="B3370" t="s">
        <v>315</v>
      </c>
      <c r="C3370" t="s">
        <v>328</v>
      </c>
      <c r="D3370" t="s">
        <v>39</v>
      </c>
      <c r="E3370" t="s">
        <v>365</v>
      </c>
      <c r="F3370" t="s">
        <v>375</v>
      </c>
      <c r="G3370" t="s">
        <v>36</v>
      </c>
      <c r="H3370" t="s">
        <v>43</v>
      </c>
      <c r="I3370" s="187">
        <v>8996.5734016769584</v>
      </c>
      <c r="J3370" s="187">
        <v>1868.6603415657505</v>
      </c>
      <c r="K3370" s="187">
        <v>17834.814277373393</v>
      </c>
      <c r="L3370" s="187">
        <v>13419.78964370687</v>
      </c>
      <c r="M3370" s="187">
        <v>42119.8359375</v>
      </c>
      <c r="N3370" s="187">
        <v>22416.36328125</v>
      </c>
      <c r="O3370" t="s">
        <v>3829</v>
      </c>
    </row>
    <row r="3371" spans="1:15" hidden="1" x14ac:dyDescent="0.45">
      <c r="A3371" s="187">
        <v>2019</v>
      </c>
      <c r="B3371" t="s">
        <v>310</v>
      </c>
      <c r="C3371" t="s">
        <v>328</v>
      </c>
      <c r="D3371" t="s">
        <v>39</v>
      </c>
      <c r="E3371" t="s">
        <v>365</v>
      </c>
      <c r="F3371" t="s">
        <v>375</v>
      </c>
      <c r="G3371" t="s">
        <v>36</v>
      </c>
      <c r="H3371" t="s">
        <v>43</v>
      </c>
      <c r="I3371" s="187"/>
      <c r="J3371" s="187">
        <v>1950.9000574788979</v>
      </c>
      <c r="K3371" s="187">
        <v>17904.501940034083</v>
      </c>
      <c r="L3371" s="187">
        <v>23859.314097601135</v>
      </c>
      <c r="M3371" s="187">
        <v>43714.71484375</v>
      </c>
      <c r="N3371" s="187">
        <v>23859.314453125</v>
      </c>
      <c r="O3371" t="s">
        <v>3828</v>
      </c>
    </row>
    <row r="3372" spans="1:15" hidden="1" x14ac:dyDescent="0.45">
      <c r="A3372" s="187">
        <v>2019</v>
      </c>
      <c r="B3372" t="s">
        <v>314</v>
      </c>
      <c r="C3372" t="s">
        <v>328</v>
      </c>
      <c r="D3372" t="s">
        <v>39</v>
      </c>
      <c r="E3372" t="s">
        <v>365</v>
      </c>
      <c r="F3372" t="s">
        <v>375</v>
      </c>
      <c r="G3372" t="s">
        <v>36</v>
      </c>
      <c r="H3372" t="s">
        <v>43</v>
      </c>
      <c r="I3372" s="187">
        <v>9242.0880322747525</v>
      </c>
      <c r="J3372" s="187">
        <v>1836.4336286966882</v>
      </c>
      <c r="K3372" s="187">
        <v>18603.387761687958</v>
      </c>
      <c r="L3372" s="187">
        <v>12951.572999485043</v>
      </c>
      <c r="M3372" s="187">
        <v>42633.484375</v>
      </c>
      <c r="N3372" s="187">
        <v>22193.66015625</v>
      </c>
      <c r="O3372" t="s">
        <v>3831</v>
      </c>
    </row>
    <row r="3373" spans="1:15" hidden="1" x14ac:dyDescent="0.45">
      <c r="A3373" s="187">
        <v>2019</v>
      </c>
      <c r="B3373" t="s">
        <v>309</v>
      </c>
      <c r="C3373" t="s">
        <v>328</v>
      </c>
      <c r="D3373" t="s">
        <v>39</v>
      </c>
      <c r="E3373" t="s">
        <v>365</v>
      </c>
      <c r="F3373" t="s">
        <v>375</v>
      </c>
      <c r="G3373" t="s">
        <v>36</v>
      </c>
      <c r="H3373" t="s">
        <v>43</v>
      </c>
      <c r="I3373" s="187"/>
      <c r="J3373" s="187">
        <v>1681.8369788566911</v>
      </c>
      <c r="K3373" s="187">
        <v>18815.141723815668</v>
      </c>
      <c r="L3373" s="187">
        <v>25592.032101781064</v>
      </c>
      <c r="M3373" s="187">
        <v>46089.01171875</v>
      </c>
      <c r="N3373" s="187">
        <v>25592.03125</v>
      </c>
      <c r="O3373" t="s">
        <v>3830</v>
      </c>
    </row>
    <row r="3374" spans="1:15" hidden="1" x14ac:dyDescent="0.45">
      <c r="A3374" s="187">
        <v>2019</v>
      </c>
      <c r="B3374" t="s">
        <v>310</v>
      </c>
      <c r="C3374" t="s">
        <v>328</v>
      </c>
      <c r="D3374" t="s">
        <v>39</v>
      </c>
      <c r="E3374" t="s">
        <v>365</v>
      </c>
      <c r="F3374" t="s">
        <v>375</v>
      </c>
      <c r="G3374" t="s">
        <v>37</v>
      </c>
      <c r="H3374" t="s">
        <v>43</v>
      </c>
      <c r="I3374" s="187"/>
      <c r="J3374" s="187">
        <v>1849</v>
      </c>
      <c r="K3374" s="187">
        <v>16978.664737063358</v>
      </c>
      <c r="L3374" s="187">
        <v>23330</v>
      </c>
      <c r="M3374" s="187">
        <v>42157.6640625</v>
      </c>
      <c r="N3374" s="187">
        <v>23330</v>
      </c>
      <c r="O3374" t="s">
        <v>3835</v>
      </c>
    </row>
    <row r="3375" spans="1:15" hidden="1" x14ac:dyDescent="0.45">
      <c r="A3375" s="187">
        <v>2019</v>
      </c>
      <c r="B3375" t="s">
        <v>311</v>
      </c>
      <c r="C3375" t="s">
        <v>328</v>
      </c>
      <c r="D3375" t="s">
        <v>39</v>
      </c>
      <c r="E3375" t="s">
        <v>365</v>
      </c>
      <c r="F3375" t="s">
        <v>375</v>
      </c>
      <c r="G3375" t="s">
        <v>37</v>
      </c>
      <c r="H3375" t="s">
        <v>43</v>
      </c>
      <c r="I3375" s="187"/>
      <c r="J3375" s="187">
        <v>1723</v>
      </c>
      <c r="K3375" s="187">
        <v>16808.88321130734</v>
      </c>
      <c r="L3375" s="187">
        <v>20960</v>
      </c>
      <c r="M3375" s="187">
        <v>39491.8828125</v>
      </c>
      <c r="N3375" s="187">
        <v>20960</v>
      </c>
      <c r="O3375" t="s">
        <v>3836</v>
      </c>
    </row>
    <row r="3376" spans="1:15" hidden="1" x14ac:dyDescent="0.45">
      <c r="A3376" s="187">
        <v>2019</v>
      </c>
      <c r="B3376" t="s">
        <v>315</v>
      </c>
      <c r="C3376" t="s">
        <v>328</v>
      </c>
      <c r="D3376" t="s">
        <v>39</v>
      </c>
      <c r="E3376" t="s">
        <v>365</v>
      </c>
      <c r="F3376" t="s">
        <v>375</v>
      </c>
      <c r="G3376" t="s">
        <v>37</v>
      </c>
      <c r="H3376" t="s">
        <v>43</v>
      </c>
      <c r="I3376" s="187">
        <v>8329</v>
      </c>
      <c r="J3376" s="187">
        <v>1730</v>
      </c>
      <c r="K3376" s="187">
        <v>16511.416234158001</v>
      </c>
      <c r="L3376" s="187">
        <v>12424</v>
      </c>
      <c r="M3376" s="187">
        <v>38994.4140625</v>
      </c>
      <c r="N3376" s="187">
        <v>20753</v>
      </c>
      <c r="O3376" t="s">
        <v>3839</v>
      </c>
    </row>
    <row r="3377" spans="1:15" hidden="1" x14ac:dyDescent="0.45">
      <c r="A3377" s="187">
        <v>2019</v>
      </c>
      <c r="B3377" t="s">
        <v>309</v>
      </c>
      <c r="C3377" t="s">
        <v>328</v>
      </c>
      <c r="D3377" t="s">
        <v>39</v>
      </c>
      <c r="E3377" t="s">
        <v>365</v>
      </c>
      <c r="F3377" t="s">
        <v>375</v>
      </c>
      <c r="G3377" t="s">
        <v>37</v>
      </c>
      <c r="H3377" t="s">
        <v>43</v>
      </c>
      <c r="I3377" s="187"/>
      <c r="J3377" s="187">
        <v>1586.0996</v>
      </c>
      <c r="K3377" s="187">
        <v>18065.92907997045</v>
      </c>
      <c r="L3377" s="187">
        <v>25551</v>
      </c>
      <c r="M3377" s="187">
        <v>45203.03125</v>
      </c>
      <c r="N3377" s="187">
        <v>25551</v>
      </c>
      <c r="O3377" t="s">
        <v>3837</v>
      </c>
    </row>
    <row r="3378" spans="1:15" hidden="1" x14ac:dyDescent="0.45">
      <c r="A3378" s="187">
        <v>2019</v>
      </c>
      <c r="B3378" t="s">
        <v>314</v>
      </c>
      <c r="C3378" t="s">
        <v>328</v>
      </c>
      <c r="D3378" t="s">
        <v>39</v>
      </c>
      <c r="E3378" t="s">
        <v>365</v>
      </c>
      <c r="F3378" t="s">
        <v>375</v>
      </c>
      <c r="G3378" t="s">
        <v>37</v>
      </c>
      <c r="H3378" t="s">
        <v>43</v>
      </c>
      <c r="I3378" s="187">
        <v>8498.0787</v>
      </c>
      <c r="J3378" s="187">
        <v>1688</v>
      </c>
      <c r="K3378" s="187">
        <v>17122.362929486921</v>
      </c>
      <c r="L3378" s="187">
        <v>12079</v>
      </c>
      <c r="M3378" s="187">
        <v>39387.44140625</v>
      </c>
      <c r="N3378" s="187">
        <v>20577.078125</v>
      </c>
      <c r="O3378" t="s">
        <v>3834</v>
      </c>
    </row>
    <row r="3379" spans="1:15" hidden="1" x14ac:dyDescent="0.45">
      <c r="A3379" s="187">
        <v>2019</v>
      </c>
      <c r="B3379" t="s">
        <v>312</v>
      </c>
      <c r="C3379" t="s">
        <v>328</v>
      </c>
      <c r="D3379" t="s">
        <v>39</v>
      </c>
      <c r="E3379" t="s">
        <v>365</v>
      </c>
      <c r="F3379" t="s">
        <v>375</v>
      </c>
      <c r="G3379" t="s">
        <v>37</v>
      </c>
      <c r="H3379" t="s">
        <v>43</v>
      </c>
      <c r="I3379" s="187">
        <v>7399.9459407148897</v>
      </c>
      <c r="J3379" s="187">
        <v>1688</v>
      </c>
      <c r="K3379" s="187">
        <v>17216.298554115681</v>
      </c>
      <c r="L3379" s="187">
        <v>12423</v>
      </c>
      <c r="M3379" s="187">
        <v>38727.2421875</v>
      </c>
      <c r="N3379" s="187">
        <v>19822.9453125</v>
      </c>
      <c r="O3379" t="s">
        <v>3833</v>
      </c>
    </row>
    <row r="3380" spans="1:15" hidden="1" x14ac:dyDescent="0.45">
      <c r="A3380" s="187">
        <v>2019</v>
      </c>
      <c r="B3380" t="s">
        <v>313</v>
      </c>
      <c r="C3380" t="s">
        <v>328</v>
      </c>
      <c r="D3380" t="s">
        <v>39</v>
      </c>
      <c r="E3380" t="s">
        <v>365</v>
      </c>
      <c r="F3380" t="s">
        <v>375</v>
      </c>
      <c r="G3380" t="s">
        <v>37</v>
      </c>
      <c r="H3380" t="s">
        <v>43</v>
      </c>
      <c r="I3380" s="187">
        <v>8329.0068602496012</v>
      </c>
      <c r="J3380" s="187">
        <v>1664</v>
      </c>
      <c r="K3380" s="187">
        <v>16913.793692242871</v>
      </c>
      <c r="L3380" s="187">
        <v>12244</v>
      </c>
      <c r="M3380" s="187">
        <v>39150.80078125</v>
      </c>
      <c r="N3380" s="187">
        <v>20573.0078125</v>
      </c>
      <c r="O3380" t="s">
        <v>3838</v>
      </c>
    </row>
    <row r="3381" spans="1:15" hidden="1" x14ac:dyDescent="0.45">
      <c r="A3381" s="187">
        <v>2019</v>
      </c>
      <c r="B3381" t="s">
        <v>34</v>
      </c>
      <c r="C3381" t="s">
        <v>329</v>
      </c>
      <c r="D3381" t="s">
        <v>39</v>
      </c>
      <c r="E3381" t="s">
        <v>349</v>
      </c>
      <c r="F3381" t="s">
        <v>349</v>
      </c>
      <c r="G3381" t="s">
        <v>36</v>
      </c>
      <c r="H3381" t="s">
        <v>43</v>
      </c>
      <c r="I3381" s="187">
        <v>0</v>
      </c>
      <c r="J3381" s="187">
        <v>17.282407760620117</v>
      </c>
      <c r="K3381" s="187">
        <v>2594.315673828125</v>
      </c>
      <c r="L3381" s="187">
        <v>0</v>
      </c>
      <c r="M3381" s="187">
        <v>2611.59814453125</v>
      </c>
      <c r="N3381" s="187">
        <v>0</v>
      </c>
      <c r="O3381" t="s">
        <v>3840</v>
      </c>
    </row>
    <row r="3382" spans="1:15" hidden="1" x14ac:dyDescent="0.45">
      <c r="A3382" s="187">
        <v>2019</v>
      </c>
      <c r="B3382" t="s">
        <v>34</v>
      </c>
      <c r="C3382" t="s">
        <v>329</v>
      </c>
      <c r="D3382" t="s">
        <v>39</v>
      </c>
      <c r="E3382" t="s">
        <v>349</v>
      </c>
      <c r="F3382" t="s">
        <v>349</v>
      </c>
      <c r="G3382" t="s">
        <v>37</v>
      </c>
      <c r="H3382" t="s">
        <v>43</v>
      </c>
      <c r="I3382" s="187">
        <v>0</v>
      </c>
      <c r="J3382" s="187">
        <v>16</v>
      </c>
      <c r="K3382" s="187">
        <v>2401.8095499999999</v>
      </c>
      <c r="L3382" s="187">
        <v>0</v>
      </c>
      <c r="M3382" s="187">
        <v>2417.8095703125</v>
      </c>
      <c r="N3382" s="187">
        <v>0</v>
      </c>
      <c r="O3382" t="s">
        <v>3841</v>
      </c>
    </row>
    <row r="3383" spans="1:15" hidden="1" x14ac:dyDescent="0.45">
      <c r="A3383" s="187">
        <v>2019</v>
      </c>
      <c r="B3383" t="s">
        <v>34</v>
      </c>
      <c r="C3383" t="s">
        <v>329</v>
      </c>
      <c r="D3383" t="s">
        <v>39</v>
      </c>
      <c r="E3383" t="s">
        <v>21</v>
      </c>
      <c r="F3383" t="s">
        <v>21</v>
      </c>
      <c r="G3383" t="s">
        <v>36</v>
      </c>
      <c r="H3383" t="s">
        <v>43</v>
      </c>
      <c r="I3383" s="187">
        <v>2499.88232421875</v>
      </c>
      <c r="J3383" s="187">
        <v>927.8492431640625</v>
      </c>
      <c r="K3383" s="187">
        <v>6455.59423828125</v>
      </c>
      <c r="L3383" s="187">
        <v>5260.3330078125</v>
      </c>
      <c r="M3383" s="187">
        <v>15143.6591796875</v>
      </c>
      <c r="N3383" s="187">
        <v>7760.21533203125</v>
      </c>
      <c r="O3383" t="s">
        <v>3842</v>
      </c>
    </row>
    <row r="3384" spans="1:15" hidden="1" x14ac:dyDescent="0.45">
      <c r="A3384" s="187">
        <v>2019</v>
      </c>
      <c r="B3384" t="s">
        <v>34</v>
      </c>
      <c r="C3384" t="s">
        <v>329</v>
      </c>
      <c r="D3384" t="s">
        <v>39</v>
      </c>
      <c r="E3384" t="s">
        <v>21</v>
      </c>
      <c r="F3384" t="s">
        <v>21</v>
      </c>
      <c r="G3384" t="s">
        <v>37</v>
      </c>
      <c r="H3384" t="s">
        <v>43</v>
      </c>
      <c r="I3384" s="187">
        <v>2314.3833531187101</v>
      </c>
      <c r="J3384" s="187">
        <v>859</v>
      </c>
      <c r="K3384" s="187">
        <v>5976.5692255927706</v>
      </c>
      <c r="L3384" s="187">
        <v>4870</v>
      </c>
      <c r="M3384" s="187">
        <v>14019.9521484375</v>
      </c>
      <c r="N3384" s="187">
        <v>7184.38330078125</v>
      </c>
      <c r="O3384" t="s">
        <v>3843</v>
      </c>
    </row>
    <row r="3385" spans="1:15" hidden="1" x14ac:dyDescent="0.45">
      <c r="A3385" s="187">
        <v>2019</v>
      </c>
      <c r="B3385" t="s">
        <v>34</v>
      </c>
      <c r="C3385" t="s">
        <v>329</v>
      </c>
      <c r="D3385" t="s">
        <v>39</v>
      </c>
      <c r="E3385" t="s">
        <v>40</v>
      </c>
      <c r="F3385" t="s">
        <v>40</v>
      </c>
      <c r="G3385" t="s">
        <v>36</v>
      </c>
      <c r="H3385" t="s">
        <v>43</v>
      </c>
      <c r="I3385" s="187">
        <v>3699.516357421875</v>
      </c>
      <c r="J3385" s="187">
        <v>192.26678466796875</v>
      </c>
      <c r="K3385" s="187">
        <v>6478.8818359375</v>
      </c>
      <c r="L3385" s="187">
        <v>5589.77880859375</v>
      </c>
      <c r="M3385" s="187">
        <v>15960.443359375</v>
      </c>
      <c r="N3385" s="187">
        <v>9289.294921875</v>
      </c>
      <c r="O3385" t="s">
        <v>3844</v>
      </c>
    </row>
    <row r="3386" spans="1:15" hidden="1" x14ac:dyDescent="0.45">
      <c r="A3386" s="187">
        <v>2019</v>
      </c>
      <c r="B3386" t="s">
        <v>34</v>
      </c>
      <c r="C3386" t="s">
        <v>329</v>
      </c>
      <c r="D3386" t="s">
        <v>39</v>
      </c>
      <c r="E3386" t="s">
        <v>40</v>
      </c>
      <c r="F3386" t="s">
        <v>40</v>
      </c>
      <c r="G3386" t="s">
        <v>37</v>
      </c>
      <c r="H3386" t="s">
        <v>43</v>
      </c>
      <c r="I3386" s="187">
        <v>3425.0007900000001</v>
      </c>
      <c r="J3386" s="187">
        <v>178</v>
      </c>
      <c r="K3386" s="187">
        <v>5998.1289200000001</v>
      </c>
      <c r="L3386" s="187">
        <v>5175</v>
      </c>
      <c r="M3386" s="187">
        <v>14776.1298828125</v>
      </c>
      <c r="N3386" s="187">
        <v>8600.0009765625</v>
      </c>
      <c r="O3386" t="s">
        <v>3845</v>
      </c>
    </row>
    <row r="3387" spans="1:15" hidden="1" x14ac:dyDescent="0.45">
      <c r="A3387" s="187">
        <v>2019</v>
      </c>
      <c r="B3387" t="s">
        <v>34</v>
      </c>
      <c r="C3387" t="s">
        <v>329</v>
      </c>
      <c r="D3387" t="s">
        <v>39</v>
      </c>
      <c r="E3387" t="s">
        <v>41</v>
      </c>
      <c r="F3387" t="s">
        <v>41</v>
      </c>
      <c r="G3387" t="s">
        <v>36</v>
      </c>
      <c r="H3387" t="s">
        <v>43</v>
      </c>
      <c r="I3387" s="187">
        <v>3860.786376953125</v>
      </c>
      <c r="J3387" s="187">
        <v>1716.359130859375</v>
      </c>
      <c r="K3387" s="187">
        <v>10869.2275390625</v>
      </c>
      <c r="L3387" s="187">
        <v>8481.341796875</v>
      </c>
      <c r="M3387" s="187">
        <v>24927.71484375</v>
      </c>
      <c r="N3387" s="187">
        <v>12342.1279296875</v>
      </c>
      <c r="O3387" t="s">
        <v>3846</v>
      </c>
    </row>
    <row r="3388" spans="1:15" hidden="1" x14ac:dyDescent="0.45">
      <c r="A3388" s="187">
        <v>2019</v>
      </c>
      <c r="B3388" t="s">
        <v>34</v>
      </c>
      <c r="C3388" t="s">
        <v>329</v>
      </c>
      <c r="D3388" t="s">
        <v>39</v>
      </c>
      <c r="E3388" t="s">
        <v>41</v>
      </c>
      <c r="F3388" t="s">
        <v>41</v>
      </c>
      <c r="G3388" t="s">
        <v>37</v>
      </c>
      <c r="H3388" t="s">
        <v>43</v>
      </c>
      <c r="I3388" s="187">
        <v>3574.30426311871</v>
      </c>
      <c r="J3388" s="187">
        <v>1589</v>
      </c>
      <c r="K3388" s="187">
        <v>10062.69718627777</v>
      </c>
      <c r="L3388" s="187">
        <v>7852</v>
      </c>
      <c r="M3388" s="187">
        <v>23078</v>
      </c>
      <c r="N3388" s="187">
        <v>11426.3046875</v>
      </c>
      <c r="O3388" t="s">
        <v>3847</v>
      </c>
    </row>
    <row r="3389" spans="1:15" hidden="1" x14ac:dyDescent="0.45">
      <c r="A3389" s="187">
        <v>2019</v>
      </c>
      <c r="B3389" t="s">
        <v>34</v>
      </c>
      <c r="C3389" t="s">
        <v>329</v>
      </c>
      <c r="D3389" t="s">
        <v>39</v>
      </c>
      <c r="E3389" t="s">
        <v>362</v>
      </c>
      <c r="F3389" t="s">
        <v>362</v>
      </c>
      <c r="G3389" t="s">
        <v>36</v>
      </c>
      <c r="H3389" t="s">
        <v>43</v>
      </c>
      <c r="I3389" s="187">
        <v>777.7061767578125</v>
      </c>
      <c r="J3389" s="187">
        <v>124.21730804443359</v>
      </c>
      <c r="K3389" s="187">
        <v>3298.103515625</v>
      </c>
      <c r="L3389" s="187">
        <v>3213.44775390625</v>
      </c>
      <c r="M3389" s="187">
        <v>7413.474609375</v>
      </c>
      <c r="N3389" s="187">
        <v>3991.15380859375</v>
      </c>
      <c r="O3389" t="s">
        <v>3848</v>
      </c>
    </row>
    <row r="3390" spans="1:15" hidden="1" x14ac:dyDescent="0.45">
      <c r="A3390" s="187">
        <v>2019</v>
      </c>
      <c r="B3390" t="s">
        <v>34</v>
      </c>
      <c r="C3390" t="s">
        <v>329</v>
      </c>
      <c r="D3390" t="s">
        <v>39</v>
      </c>
      <c r="E3390" t="s">
        <v>362</v>
      </c>
      <c r="F3390" t="s">
        <v>362</v>
      </c>
      <c r="G3390" t="s">
        <v>37</v>
      </c>
      <c r="H3390" t="s">
        <v>43</v>
      </c>
      <c r="I3390" s="187">
        <v>719.99801000000002</v>
      </c>
      <c r="J3390" s="187">
        <v>115</v>
      </c>
      <c r="K3390" s="187">
        <v>3053.374080000001</v>
      </c>
      <c r="L3390" s="187">
        <v>2975</v>
      </c>
      <c r="M3390" s="187">
        <v>6863.3720703125</v>
      </c>
      <c r="N3390" s="187">
        <v>3694.998046875</v>
      </c>
      <c r="O3390" t="s">
        <v>3849</v>
      </c>
    </row>
    <row r="3391" spans="1:15" hidden="1" x14ac:dyDescent="0.45">
      <c r="A3391" s="187">
        <v>2019</v>
      </c>
      <c r="B3391" t="s">
        <v>34</v>
      </c>
      <c r="C3391" t="s">
        <v>329</v>
      </c>
      <c r="D3391" t="s">
        <v>39</v>
      </c>
      <c r="E3391" t="s">
        <v>363</v>
      </c>
      <c r="F3391" t="s">
        <v>363</v>
      </c>
      <c r="G3391" t="s">
        <v>36</v>
      </c>
      <c r="H3391" t="s">
        <v>43</v>
      </c>
      <c r="I3391" s="187">
        <v>2921.81005859375</v>
      </c>
      <c r="J3391" s="187">
        <v>50.767074584960938</v>
      </c>
      <c r="K3391" s="187">
        <v>586.462646484375</v>
      </c>
      <c r="L3391" s="187">
        <v>2376.3310546875</v>
      </c>
      <c r="M3391" s="187">
        <v>5935.37109375</v>
      </c>
      <c r="N3391" s="187">
        <v>5298.14111328125</v>
      </c>
      <c r="O3391" t="s">
        <v>3850</v>
      </c>
    </row>
    <row r="3392" spans="1:15" hidden="1" x14ac:dyDescent="0.45">
      <c r="A3392" s="187">
        <v>2019</v>
      </c>
      <c r="B3392" t="s">
        <v>34</v>
      </c>
      <c r="C3392" t="s">
        <v>329</v>
      </c>
      <c r="D3392" t="s">
        <v>39</v>
      </c>
      <c r="E3392" t="s">
        <v>363</v>
      </c>
      <c r="F3392" t="s">
        <v>363</v>
      </c>
      <c r="G3392" t="s">
        <v>37</v>
      </c>
      <c r="H3392" t="s">
        <v>43</v>
      </c>
      <c r="I3392" s="187">
        <v>2705.0027799999998</v>
      </c>
      <c r="J3392" s="187">
        <v>47</v>
      </c>
      <c r="K3392" s="187">
        <v>542.94528999999989</v>
      </c>
      <c r="L3392" s="187">
        <v>2200</v>
      </c>
      <c r="M3392" s="187">
        <v>5494.9482421875</v>
      </c>
      <c r="N3392" s="187">
        <v>4905.0029296875</v>
      </c>
      <c r="O3392" t="s">
        <v>3851</v>
      </c>
    </row>
    <row r="3393" spans="1:15" hidden="1" x14ac:dyDescent="0.45">
      <c r="A3393" s="187">
        <v>2019</v>
      </c>
      <c r="B3393" t="s">
        <v>34</v>
      </c>
      <c r="C3393" t="s">
        <v>329</v>
      </c>
      <c r="D3393" t="s">
        <v>39</v>
      </c>
      <c r="E3393" t="s">
        <v>364</v>
      </c>
      <c r="F3393" t="s">
        <v>364</v>
      </c>
      <c r="G3393" t="s">
        <v>36</v>
      </c>
      <c r="H3393" t="s">
        <v>43</v>
      </c>
      <c r="I3393" s="187">
        <v>1360.9041748046875</v>
      </c>
      <c r="J3393" s="187">
        <v>788.50982666015625</v>
      </c>
      <c r="K3393" s="187">
        <v>4413.63330078125</v>
      </c>
      <c r="L3393" s="187">
        <v>3221.0087890625</v>
      </c>
      <c r="M3393" s="187">
        <v>9784.056640625</v>
      </c>
      <c r="N3393" s="187">
        <v>4581.9130859375</v>
      </c>
      <c r="O3393" t="s">
        <v>3852</v>
      </c>
    </row>
    <row r="3394" spans="1:15" hidden="1" x14ac:dyDescent="0.45">
      <c r="A3394" s="187">
        <v>2019</v>
      </c>
      <c r="B3394" t="s">
        <v>34</v>
      </c>
      <c r="C3394" t="s">
        <v>329</v>
      </c>
      <c r="D3394" t="s">
        <v>39</v>
      </c>
      <c r="E3394" t="s">
        <v>364</v>
      </c>
      <c r="F3394" t="s">
        <v>364</v>
      </c>
      <c r="G3394" t="s">
        <v>37</v>
      </c>
      <c r="H3394" t="s">
        <v>43</v>
      </c>
      <c r="I3394" s="187">
        <v>1259.920910000001</v>
      </c>
      <c r="J3394" s="187">
        <v>730</v>
      </c>
      <c r="K3394" s="187">
        <v>4086.1279606849989</v>
      </c>
      <c r="L3394" s="187">
        <v>2982</v>
      </c>
      <c r="M3394" s="187">
        <v>9058.048828125</v>
      </c>
      <c r="N3394" s="187">
        <v>4241.9208984375</v>
      </c>
      <c r="O3394" t="s">
        <v>3853</v>
      </c>
    </row>
    <row r="3395" spans="1:15" hidden="1" x14ac:dyDescent="0.45">
      <c r="A3395" s="187">
        <v>2019</v>
      </c>
      <c r="B3395" t="s">
        <v>34</v>
      </c>
      <c r="C3395" t="s">
        <v>329</v>
      </c>
      <c r="D3395" t="s">
        <v>39</v>
      </c>
      <c r="E3395" t="s">
        <v>365</v>
      </c>
      <c r="F3395" t="s">
        <v>375</v>
      </c>
      <c r="G3395" t="s">
        <v>36</v>
      </c>
      <c r="H3395" t="s">
        <v>43</v>
      </c>
      <c r="I3395" s="187">
        <v>7560.302734375</v>
      </c>
      <c r="J3395" s="187">
        <v>1908.6258544921875</v>
      </c>
      <c r="K3395" s="187">
        <v>17348.109375</v>
      </c>
      <c r="L3395" s="187">
        <v>14071.1201171875</v>
      </c>
      <c r="M3395" s="187">
        <v>40888.16015625</v>
      </c>
      <c r="N3395" s="187">
        <v>21631.421875</v>
      </c>
      <c r="O3395" t="s">
        <v>3854</v>
      </c>
    </row>
    <row r="3396" spans="1:15" hidden="1" x14ac:dyDescent="0.45">
      <c r="A3396" s="187">
        <v>2019</v>
      </c>
      <c r="B3396" t="s">
        <v>34</v>
      </c>
      <c r="C3396" t="s">
        <v>329</v>
      </c>
      <c r="D3396" t="s">
        <v>39</v>
      </c>
      <c r="E3396" t="s">
        <v>365</v>
      </c>
      <c r="F3396" t="s">
        <v>375</v>
      </c>
      <c r="G3396" t="s">
        <v>37</v>
      </c>
      <c r="H3396" t="s">
        <v>43</v>
      </c>
      <c r="I3396" s="187">
        <v>6999.30505311871</v>
      </c>
      <c r="J3396" s="187">
        <v>1767</v>
      </c>
      <c r="K3396" s="187">
        <v>16060.826106277769</v>
      </c>
      <c r="L3396" s="187">
        <v>13027</v>
      </c>
      <c r="M3396" s="187">
        <v>37854.1328125</v>
      </c>
      <c r="N3396" s="187">
        <v>20026.3046875</v>
      </c>
      <c r="O3396" t="s">
        <v>3855</v>
      </c>
    </row>
    <row r="3397" spans="1:15" hidden="1" x14ac:dyDescent="0.45">
      <c r="A3397" s="187">
        <v>2019</v>
      </c>
      <c r="B3397" t="s">
        <v>34</v>
      </c>
      <c r="C3397" t="s">
        <v>320</v>
      </c>
      <c r="D3397" t="s">
        <v>336</v>
      </c>
      <c r="E3397" t="s">
        <v>102</v>
      </c>
      <c r="F3397" t="s">
        <v>19</v>
      </c>
      <c r="G3397" t="s">
        <v>36</v>
      </c>
      <c r="H3397" t="s">
        <v>43</v>
      </c>
      <c r="I3397" s="187">
        <v>1255.263916015625</v>
      </c>
      <c r="J3397" s="187">
        <v>0</v>
      </c>
      <c r="K3397" s="187">
        <v>0</v>
      </c>
      <c r="L3397" s="187">
        <v>0</v>
      </c>
      <c r="M3397" s="187">
        <v>1255.263916015625</v>
      </c>
      <c r="N3397" s="187">
        <v>1255.263916015625</v>
      </c>
      <c r="O3397" t="s">
        <v>3856</v>
      </c>
    </row>
    <row r="3398" spans="1:15" hidden="1" x14ac:dyDescent="0.45">
      <c r="A3398" s="187">
        <v>2019</v>
      </c>
      <c r="B3398" t="s">
        <v>34</v>
      </c>
      <c r="C3398" t="s">
        <v>320</v>
      </c>
      <c r="D3398" t="s">
        <v>336</v>
      </c>
      <c r="E3398" t="s">
        <v>102</v>
      </c>
      <c r="F3398" t="s">
        <v>19</v>
      </c>
      <c r="G3398" t="s">
        <v>37</v>
      </c>
      <c r="H3398" t="s">
        <v>43</v>
      </c>
      <c r="I3398" s="187">
        <v>1153.1961669921875</v>
      </c>
      <c r="J3398" s="187">
        <v>0</v>
      </c>
      <c r="K3398" s="187">
        <v>0</v>
      </c>
      <c r="L3398" s="187">
        <v>0</v>
      </c>
      <c r="M3398" s="187">
        <v>1153.1961669921875</v>
      </c>
      <c r="N3398" s="187">
        <v>1153.1961669921875</v>
      </c>
      <c r="O3398" t="s">
        <v>3857</v>
      </c>
    </row>
    <row r="3399" spans="1:15" hidden="1" x14ac:dyDescent="0.45">
      <c r="A3399" s="187">
        <v>2019</v>
      </c>
      <c r="B3399" t="s">
        <v>34</v>
      </c>
      <c r="C3399" t="s">
        <v>320</v>
      </c>
      <c r="D3399" t="s">
        <v>336</v>
      </c>
      <c r="E3399" t="s">
        <v>102</v>
      </c>
      <c r="F3399" t="s">
        <v>450</v>
      </c>
      <c r="G3399" t="s">
        <v>36</v>
      </c>
      <c r="H3399" t="s">
        <v>43</v>
      </c>
      <c r="I3399" s="187">
        <v>3852.27099609375</v>
      </c>
      <c r="J3399" s="187">
        <v>60.956478118896484</v>
      </c>
      <c r="K3399" s="187">
        <v>0</v>
      </c>
      <c r="L3399" s="187">
        <v>0</v>
      </c>
      <c r="M3399" s="187">
        <v>3913.2275390625</v>
      </c>
      <c r="N3399" s="187">
        <v>3852.27099609375</v>
      </c>
      <c r="O3399" t="s">
        <v>3858</v>
      </c>
    </row>
    <row r="3400" spans="1:15" hidden="1" x14ac:dyDescent="0.45">
      <c r="A3400" s="187">
        <v>2019</v>
      </c>
      <c r="B3400" t="s">
        <v>34</v>
      </c>
      <c r="C3400" t="s">
        <v>320</v>
      </c>
      <c r="D3400" t="s">
        <v>336</v>
      </c>
      <c r="E3400" t="s">
        <v>102</v>
      </c>
      <c r="F3400" t="s">
        <v>450</v>
      </c>
      <c r="G3400" t="s">
        <v>37</v>
      </c>
      <c r="H3400" t="s">
        <v>43</v>
      </c>
      <c r="I3400" s="187">
        <v>3539.0361328125</v>
      </c>
      <c r="J3400" s="187">
        <v>56</v>
      </c>
      <c r="K3400" s="187">
        <v>0</v>
      </c>
      <c r="L3400" s="187">
        <v>0</v>
      </c>
      <c r="M3400" s="187">
        <v>3595.0361328125</v>
      </c>
      <c r="N3400" s="187">
        <v>3539.0361328125</v>
      </c>
      <c r="O3400" t="s">
        <v>3859</v>
      </c>
    </row>
    <row r="3401" spans="1:15" hidden="1" x14ac:dyDescent="0.45">
      <c r="A3401" s="187">
        <v>2019</v>
      </c>
      <c r="B3401" t="s">
        <v>34</v>
      </c>
      <c r="C3401" t="s">
        <v>320</v>
      </c>
      <c r="D3401" t="s">
        <v>336</v>
      </c>
      <c r="E3401" t="s">
        <v>102</v>
      </c>
      <c r="F3401" t="s">
        <v>451</v>
      </c>
      <c r="G3401" t="s">
        <v>36</v>
      </c>
      <c r="H3401" t="s">
        <v>43</v>
      </c>
      <c r="I3401" s="187">
        <v>0</v>
      </c>
      <c r="J3401" s="187">
        <v>0</v>
      </c>
      <c r="K3401" s="187">
        <v>0</v>
      </c>
      <c r="L3401" s="187">
        <v>0</v>
      </c>
      <c r="M3401" s="187">
        <v>0</v>
      </c>
      <c r="N3401" s="187">
        <v>0</v>
      </c>
      <c r="O3401" t="s">
        <v>3860</v>
      </c>
    </row>
    <row r="3402" spans="1:15" hidden="1" x14ac:dyDescent="0.45">
      <c r="A3402" s="187">
        <v>2019</v>
      </c>
      <c r="B3402" t="s">
        <v>34</v>
      </c>
      <c r="C3402" t="s">
        <v>320</v>
      </c>
      <c r="D3402" t="s">
        <v>336</v>
      </c>
      <c r="E3402" t="s">
        <v>102</v>
      </c>
      <c r="F3402" t="s">
        <v>451</v>
      </c>
      <c r="G3402" t="s">
        <v>37</v>
      </c>
      <c r="H3402" t="s">
        <v>43</v>
      </c>
      <c r="I3402" s="187">
        <v>0</v>
      </c>
      <c r="J3402" s="187">
        <v>0</v>
      </c>
      <c r="K3402" s="187">
        <v>0</v>
      </c>
      <c r="L3402" s="187">
        <v>0</v>
      </c>
      <c r="M3402" s="187">
        <v>0</v>
      </c>
      <c r="N3402" s="187">
        <v>0</v>
      </c>
      <c r="O3402" t="s">
        <v>3861</v>
      </c>
    </row>
    <row r="3403" spans="1:15" hidden="1" x14ac:dyDescent="0.45">
      <c r="A3403" s="187">
        <v>2019</v>
      </c>
      <c r="B3403" t="s">
        <v>34</v>
      </c>
      <c r="C3403" t="s">
        <v>320</v>
      </c>
      <c r="D3403" t="s">
        <v>336</v>
      </c>
      <c r="E3403" t="s">
        <v>102</v>
      </c>
      <c r="F3403" t="s">
        <v>21</v>
      </c>
      <c r="G3403" t="s">
        <v>36</v>
      </c>
      <c r="H3403" t="s">
        <v>43</v>
      </c>
      <c r="I3403" s="187">
        <v>0</v>
      </c>
      <c r="J3403" s="187">
        <v>313.49044799804688</v>
      </c>
      <c r="K3403" s="187">
        <v>0</v>
      </c>
      <c r="L3403" s="187">
        <v>0</v>
      </c>
      <c r="M3403" s="187">
        <v>313.49044799804688</v>
      </c>
      <c r="N3403" s="187">
        <v>0</v>
      </c>
      <c r="O3403" t="s">
        <v>3862</v>
      </c>
    </row>
    <row r="3404" spans="1:15" hidden="1" x14ac:dyDescent="0.45">
      <c r="A3404" s="187">
        <v>2019</v>
      </c>
      <c r="B3404" t="s">
        <v>34</v>
      </c>
      <c r="C3404" t="s">
        <v>320</v>
      </c>
      <c r="D3404" t="s">
        <v>336</v>
      </c>
      <c r="E3404" t="s">
        <v>102</v>
      </c>
      <c r="F3404" t="s">
        <v>21</v>
      </c>
      <c r="G3404" t="s">
        <v>37</v>
      </c>
      <c r="H3404" t="s">
        <v>43</v>
      </c>
      <c r="I3404" s="187">
        <v>0</v>
      </c>
      <c r="J3404" s="187">
        <v>288</v>
      </c>
      <c r="K3404" s="187">
        <v>0</v>
      </c>
      <c r="L3404" s="187">
        <v>0</v>
      </c>
      <c r="M3404" s="187">
        <v>288</v>
      </c>
      <c r="N3404" s="187">
        <v>0</v>
      </c>
      <c r="O3404" t="s">
        <v>3863</v>
      </c>
    </row>
    <row r="3405" spans="1:15" hidden="1" x14ac:dyDescent="0.45">
      <c r="A3405" s="187">
        <v>2019</v>
      </c>
      <c r="B3405" t="s">
        <v>34</v>
      </c>
      <c r="C3405" t="s">
        <v>320</v>
      </c>
      <c r="D3405" t="s">
        <v>336</v>
      </c>
      <c r="E3405" t="s">
        <v>102</v>
      </c>
      <c r="F3405" t="s">
        <v>14</v>
      </c>
      <c r="G3405" t="s">
        <v>36</v>
      </c>
      <c r="H3405" t="s">
        <v>43</v>
      </c>
      <c r="I3405" s="187">
        <v>18890.736328125</v>
      </c>
      <c r="J3405" s="187">
        <v>101.95176696777344</v>
      </c>
      <c r="K3405" s="187">
        <v>0</v>
      </c>
      <c r="L3405" s="187">
        <v>0</v>
      </c>
      <c r="M3405" s="187">
        <v>18992.6875</v>
      </c>
      <c r="N3405" s="187">
        <v>18890.736328125</v>
      </c>
      <c r="O3405" t="s">
        <v>3864</v>
      </c>
    </row>
    <row r="3406" spans="1:15" hidden="1" x14ac:dyDescent="0.45">
      <c r="A3406" s="187">
        <v>2019</v>
      </c>
      <c r="B3406" t="s">
        <v>34</v>
      </c>
      <c r="C3406" t="s">
        <v>320</v>
      </c>
      <c r="D3406" t="s">
        <v>336</v>
      </c>
      <c r="E3406" t="s">
        <v>102</v>
      </c>
      <c r="F3406" t="s">
        <v>14</v>
      </c>
      <c r="G3406" t="s">
        <v>37</v>
      </c>
      <c r="H3406" t="s">
        <v>43</v>
      </c>
      <c r="I3406" s="187">
        <v>16676.181640625</v>
      </c>
      <c r="J3406" s="187">
        <v>90</v>
      </c>
      <c r="K3406" s="187">
        <v>0</v>
      </c>
      <c r="L3406" s="187">
        <v>0</v>
      </c>
      <c r="M3406" s="187">
        <v>16766.181640625</v>
      </c>
      <c r="N3406" s="187">
        <v>16676.181640625</v>
      </c>
      <c r="O3406" t="s">
        <v>3865</v>
      </c>
    </row>
    <row r="3407" spans="1:15" hidden="1" x14ac:dyDescent="0.45">
      <c r="A3407" s="187">
        <v>2019</v>
      </c>
      <c r="B3407" t="s">
        <v>34</v>
      </c>
      <c r="C3407" t="s">
        <v>320</v>
      </c>
      <c r="D3407" t="s">
        <v>336</v>
      </c>
      <c r="E3407" t="s">
        <v>102</v>
      </c>
      <c r="F3407" t="s">
        <v>16</v>
      </c>
      <c r="G3407" t="s">
        <v>36</v>
      </c>
      <c r="H3407" t="s">
        <v>43</v>
      </c>
      <c r="I3407" s="187">
        <v>6439.33837890625</v>
      </c>
      <c r="J3407" s="187">
        <v>0</v>
      </c>
      <c r="K3407" s="187">
        <v>0</v>
      </c>
      <c r="L3407" s="187">
        <v>0</v>
      </c>
      <c r="M3407" s="187">
        <v>6439.33837890625</v>
      </c>
      <c r="N3407" s="187">
        <v>6439.33837890625</v>
      </c>
      <c r="O3407" t="s">
        <v>3866</v>
      </c>
    </row>
    <row r="3408" spans="1:15" hidden="1" x14ac:dyDescent="0.45">
      <c r="A3408" s="187">
        <v>2019</v>
      </c>
      <c r="B3408" t="s">
        <v>34</v>
      </c>
      <c r="C3408" t="s">
        <v>320</v>
      </c>
      <c r="D3408" t="s">
        <v>336</v>
      </c>
      <c r="E3408" t="s">
        <v>102</v>
      </c>
      <c r="F3408" t="s">
        <v>16</v>
      </c>
      <c r="G3408" t="s">
        <v>37</v>
      </c>
      <c r="H3408" t="s">
        <v>43</v>
      </c>
      <c r="I3408" s="187">
        <v>5915.74462890625</v>
      </c>
      <c r="J3408" s="187">
        <v>0</v>
      </c>
      <c r="K3408" s="187">
        <v>0</v>
      </c>
      <c r="L3408" s="187">
        <v>0</v>
      </c>
      <c r="M3408" s="187">
        <v>5915.74462890625</v>
      </c>
      <c r="N3408" s="187">
        <v>5915.74462890625</v>
      </c>
      <c r="O3408" t="s">
        <v>3867</v>
      </c>
    </row>
    <row r="3409" spans="1:15" hidden="1" x14ac:dyDescent="0.45">
      <c r="A3409" s="187">
        <v>2019</v>
      </c>
      <c r="B3409" t="s">
        <v>34</v>
      </c>
      <c r="C3409" t="s">
        <v>320</v>
      </c>
      <c r="D3409" t="s">
        <v>336</v>
      </c>
      <c r="E3409" t="s">
        <v>102</v>
      </c>
      <c r="F3409" t="s">
        <v>351</v>
      </c>
      <c r="G3409" t="s">
        <v>36</v>
      </c>
      <c r="H3409" t="s">
        <v>43</v>
      </c>
      <c r="I3409" s="187">
        <v>0</v>
      </c>
      <c r="J3409" s="187">
        <v>0</v>
      </c>
      <c r="K3409" s="187">
        <v>0</v>
      </c>
      <c r="L3409" s="187">
        <v>0</v>
      </c>
      <c r="M3409" s="187">
        <v>0</v>
      </c>
      <c r="N3409" s="187">
        <v>0</v>
      </c>
      <c r="O3409" t="s">
        <v>3868</v>
      </c>
    </row>
    <row r="3410" spans="1:15" hidden="1" x14ac:dyDescent="0.45">
      <c r="A3410" s="187">
        <v>2019</v>
      </c>
      <c r="B3410" t="s">
        <v>34</v>
      </c>
      <c r="C3410" t="s">
        <v>320</v>
      </c>
      <c r="D3410" t="s">
        <v>336</v>
      </c>
      <c r="E3410" t="s">
        <v>102</v>
      </c>
      <c r="F3410" t="s">
        <v>351</v>
      </c>
      <c r="G3410" t="s">
        <v>37</v>
      </c>
      <c r="H3410" t="s">
        <v>43</v>
      </c>
      <c r="I3410" s="187">
        <v>0</v>
      </c>
      <c r="J3410" s="187">
        <v>0</v>
      </c>
      <c r="K3410" s="187">
        <v>0</v>
      </c>
      <c r="L3410" s="187">
        <v>0</v>
      </c>
      <c r="M3410" s="187">
        <v>0</v>
      </c>
      <c r="N3410" s="187">
        <v>0</v>
      </c>
      <c r="O3410" t="s">
        <v>3869</v>
      </c>
    </row>
    <row r="3411" spans="1:15" hidden="1" x14ac:dyDescent="0.45">
      <c r="A3411" s="187">
        <v>2019</v>
      </c>
      <c r="B3411" t="s">
        <v>34</v>
      </c>
      <c r="C3411" t="s">
        <v>320</v>
      </c>
      <c r="D3411" t="s">
        <v>336</v>
      </c>
      <c r="E3411" t="s">
        <v>102</v>
      </c>
      <c r="F3411" t="s">
        <v>382</v>
      </c>
      <c r="G3411" t="s">
        <v>36</v>
      </c>
      <c r="H3411" t="s">
        <v>43</v>
      </c>
      <c r="I3411" s="187">
        <v>18152.166015625</v>
      </c>
      <c r="J3411" s="187">
        <v>104.49681854248047</v>
      </c>
      <c r="K3411" s="187">
        <v>0</v>
      </c>
      <c r="L3411" s="187">
        <v>0</v>
      </c>
      <c r="M3411" s="187">
        <v>18256.662109375</v>
      </c>
      <c r="N3411" s="187">
        <v>18152.166015625</v>
      </c>
      <c r="O3411" t="s">
        <v>3870</v>
      </c>
    </row>
    <row r="3412" spans="1:15" hidden="1" x14ac:dyDescent="0.45">
      <c r="A3412" s="187">
        <v>2019</v>
      </c>
      <c r="B3412" t="s">
        <v>34</v>
      </c>
      <c r="C3412" t="s">
        <v>320</v>
      </c>
      <c r="D3412" t="s">
        <v>336</v>
      </c>
      <c r="E3412" t="s">
        <v>102</v>
      </c>
      <c r="F3412" t="s">
        <v>382</v>
      </c>
      <c r="G3412" t="s">
        <v>37</v>
      </c>
      <c r="H3412" t="s">
        <v>43</v>
      </c>
      <c r="I3412" s="187">
        <v>16676.181640625</v>
      </c>
      <c r="J3412" s="187">
        <v>96</v>
      </c>
      <c r="K3412" s="187">
        <v>0</v>
      </c>
      <c r="L3412" s="187">
        <v>0</v>
      </c>
      <c r="M3412" s="187">
        <v>16772.181640625</v>
      </c>
      <c r="N3412" s="187">
        <v>16676.181640625</v>
      </c>
      <c r="O3412" t="s">
        <v>3871</v>
      </c>
    </row>
    <row r="3413" spans="1:15" hidden="1" x14ac:dyDescent="0.45">
      <c r="A3413" s="187">
        <v>2019</v>
      </c>
      <c r="B3413" t="s">
        <v>34</v>
      </c>
      <c r="C3413" t="s">
        <v>320</v>
      </c>
      <c r="D3413" t="s">
        <v>336</v>
      </c>
      <c r="E3413" t="s">
        <v>102</v>
      </c>
      <c r="F3413" t="s">
        <v>384</v>
      </c>
      <c r="G3413" t="s">
        <v>36</v>
      </c>
      <c r="H3413" t="s">
        <v>43</v>
      </c>
      <c r="I3413" s="187">
        <v>0</v>
      </c>
      <c r="J3413" s="187">
        <v>0</v>
      </c>
      <c r="K3413" s="187">
        <v>0</v>
      </c>
      <c r="L3413" s="187">
        <v>0</v>
      </c>
      <c r="M3413" s="187">
        <v>0</v>
      </c>
      <c r="N3413" s="187">
        <v>0</v>
      </c>
      <c r="O3413" t="s">
        <v>3872</v>
      </c>
    </row>
    <row r="3414" spans="1:15" hidden="1" x14ac:dyDescent="0.45">
      <c r="A3414" s="187">
        <v>2019</v>
      </c>
      <c r="B3414" t="s">
        <v>34</v>
      </c>
      <c r="C3414" t="s">
        <v>320</v>
      </c>
      <c r="D3414" t="s">
        <v>336</v>
      </c>
      <c r="E3414" t="s">
        <v>102</v>
      </c>
      <c r="F3414" t="s">
        <v>384</v>
      </c>
      <c r="G3414" t="s">
        <v>37</v>
      </c>
      <c r="H3414" t="s">
        <v>43</v>
      </c>
      <c r="I3414" s="187">
        <v>0</v>
      </c>
      <c r="J3414" s="187">
        <v>0</v>
      </c>
      <c r="K3414" s="187">
        <v>0</v>
      </c>
      <c r="L3414" s="187">
        <v>0</v>
      </c>
      <c r="M3414" s="187">
        <v>0</v>
      </c>
      <c r="N3414" s="187">
        <v>0</v>
      </c>
      <c r="O3414" t="s">
        <v>3873</v>
      </c>
    </row>
    <row r="3415" spans="1:15" hidden="1" x14ac:dyDescent="0.45">
      <c r="A3415" s="187">
        <v>2019</v>
      </c>
      <c r="B3415" t="s">
        <v>34</v>
      </c>
      <c r="C3415" t="s">
        <v>320</v>
      </c>
      <c r="D3415" t="s">
        <v>336</v>
      </c>
      <c r="E3415" t="s">
        <v>102</v>
      </c>
      <c r="F3415" t="s">
        <v>374</v>
      </c>
      <c r="G3415" t="s">
        <v>36</v>
      </c>
      <c r="H3415" t="s">
        <v>43</v>
      </c>
      <c r="I3415" s="187">
        <v>0</v>
      </c>
      <c r="J3415" s="187">
        <v>0</v>
      </c>
      <c r="K3415" s="187">
        <v>0</v>
      </c>
      <c r="L3415" s="187">
        <v>0</v>
      </c>
      <c r="M3415" s="187">
        <v>0</v>
      </c>
      <c r="N3415" s="187">
        <v>0</v>
      </c>
      <c r="O3415" t="s">
        <v>3874</v>
      </c>
    </row>
    <row r="3416" spans="1:15" hidden="1" x14ac:dyDescent="0.45">
      <c r="A3416" s="187">
        <v>2019</v>
      </c>
      <c r="B3416" t="s">
        <v>34</v>
      </c>
      <c r="C3416" t="s">
        <v>320</v>
      </c>
      <c r="D3416" t="s">
        <v>336</v>
      </c>
      <c r="E3416" t="s">
        <v>102</v>
      </c>
      <c r="F3416" t="s">
        <v>374</v>
      </c>
      <c r="G3416" t="s">
        <v>37</v>
      </c>
      <c r="H3416" t="s">
        <v>43</v>
      </c>
      <c r="I3416" s="187">
        <v>0</v>
      </c>
      <c r="J3416" s="187">
        <v>0</v>
      </c>
      <c r="K3416" s="187">
        <v>0</v>
      </c>
      <c r="L3416" s="187">
        <v>0</v>
      </c>
      <c r="M3416" s="187">
        <v>0</v>
      </c>
      <c r="N3416" s="187">
        <v>0</v>
      </c>
      <c r="O3416" t="s">
        <v>3875</v>
      </c>
    </row>
    <row r="3417" spans="1:15" hidden="1" x14ac:dyDescent="0.45">
      <c r="A3417" s="187">
        <v>2019</v>
      </c>
      <c r="B3417" t="s">
        <v>34</v>
      </c>
      <c r="C3417" t="s">
        <v>320</v>
      </c>
      <c r="D3417" t="s">
        <v>336</v>
      </c>
      <c r="E3417" t="s">
        <v>102</v>
      </c>
      <c r="F3417" t="s">
        <v>40</v>
      </c>
      <c r="G3417" t="s">
        <v>36</v>
      </c>
      <c r="H3417" t="s">
        <v>43</v>
      </c>
      <c r="I3417" s="187">
        <v>3728.142578125</v>
      </c>
      <c r="J3417" s="187">
        <v>0</v>
      </c>
      <c r="K3417" s="187">
        <v>0</v>
      </c>
      <c r="L3417" s="187">
        <v>0</v>
      </c>
      <c r="M3417" s="187">
        <v>3728.142578125</v>
      </c>
      <c r="N3417" s="187">
        <v>3728.142578125</v>
      </c>
      <c r="O3417" t="s">
        <v>3876</v>
      </c>
    </row>
    <row r="3418" spans="1:15" hidden="1" x14ac:dyDescent="0.45">
      <c r="A3418" s="187">
        <v>2019</v>
      </c>
      <c r="B3418" t="s">
        <v>34</v>
      </c>
      <c r="C3418" t="s">
        <v>320</v>
      </c>
      <c r="D3418" t="s">
        <v>336</v>
      </c>
      <c r="E3418" t="s">
        <v>102</v>
      </c>
      <c r="F3418" t="s">
        <v>40</v>
      </c>
      <c r="G3418" t="s">
        <v>37</v>
      </c>
      <c r="H3418" t="s">
        <v>43</v>
      </c>
      <c r="I3418" s="187">
        <v>3425.000732421875</v>
      </c>
      <c r="J3418" s="187">
        <v>0</v>
      </c>
      <c r="K3418" s="187">
        <v>0</v>
      </c>
      <c r="L3418" s="187">
        <v>0</v>
      </c>
      <c r="M3418" s="187">
        <v>3425.000732421875</v>
      </c>
      <c r="N3418" s="187">
        <v>3425.000732421875</v>
      </c>
      <c r="O3418" t="s">
        <v>3877</v>
      </c>
    </row>
    <row r="3419" spans="1:15" hidden="1" x14ac:dyDescent="0.45">
      <c r="A3419" s="187">
        <v>2019</v>
      </c>
      <c r="B3419" t="s">
        <v>34</v>
      </c>
      <c r="C3419" t="s">
        <v>320</v>
      </c>
      <c r="D3419" t="s">
        <v>336</v>
      </c>
      <c r="E3419" t="s">
        <v>102</v>
      </c>
      <c r="F3419" t="s">
        <v>38</v>
      </c>
      <c r="G3419" t="s">
        <v>36</v>
      </c>
      <c r="H3419" t="s">
        <v>43</v>
      </c>
      <c r="I3419" s="187">
        <v>186.89750671386719</v>
      </c>
      <c r="J3419" s="187">
        <v>1.0885086059570313</v>
      </c>
      <c r="K3419" s="187">
        <v>0</v>
      </c>
      <c r="L3419" s="187">
        <v>0</v>
      </c>
      <c r="M3419" s="187">
        <v>187.98602294921875</v>
      </c>
      <c r="N3419" s="187">
        <v>186.89750671386719</v>
      </c>
      <c r="O3419" t="s">
        <v>3878</v>
      </c>
    </row>
    <row r="3420" spans="1:15" hidden="1" x14ac:dyDescent="0.45">
      <c r="A3420" s="187">
        <v>2019</v>
      </c>
      <c r="B3420" t="s">
        <v>34</v>
      </c>
      <c r="C3420" t="s">
        <v>320</v>
      </c>
      <c r="D3420" t="s">
        <v>336</v>
      </c>
      <c r="E3420" t="s">
        <v>102</v>
      </c>
      <c r="F3420" t="s">
        <v>38</v>
      </c>
      <c r="G3420" t="s">
        <v>37</v>
      </c>
      <c r="H3420" t="s">
        <v>43</v>
      </c>
      <c r="I3420" s="187">
        <v>171.70054626464844</v>
      </c>
      <c r="J3420" s="187">
        <v>1</v>
      </c>
      <c r="K3420" s="187">
        <v>0</v>
      </c>
      <c r="L3420" s="187">
        <v>0</v>
      </c>
      <c r="M3420" s="187">
        <v>172.70054626464844</v>
      </c>
      <c r="N3420" s="187">
        <v>171.70054626464844</v>
      </c>
      <c r="O3420" t="s">
        <v>3879</v>
      </c>
    </row>
    <row r="3421" spans="1:15" hidden="1" x14ac:dyDescent="0.45">
      <c r="A3421" s="187">
        <v>2019</v>
      </c>
      <c r="B3421" t="s">
        <v>34</v>
      </c>
      <c r="C3421" t="s">
        <v>320</v>
      </c>
      <c r="D3421" t="s">
        <v>336</v>
      </c>
      <c r="E3421" t="s">
        <v>102</v>
      </c>
      <c r="F3421" t="s">
        <v>375</v>
      </c>
      <c r="G3421" t="s">
        <v>36</v>
      </c>
      <c r="H3421" t="s">
        <v>43</v>
      </c>
      <c r="I3421" s="187">
        <v>5167.8642578125</v>
      </c>
      <c r="J3421" s="187">
        <v>311.08334350585938</v>
      </c>
      <c r="K3421" s="187">
        <v>0</v>
      </c>
      <c r="L3421" s="187">
        <v>68.049484252929688</v>
      </c>
      <c r="M3421" s="187">
        <v>5546.9970703125</v>
      </c>
      <c r="N3421" s="187">
        <v>5235.91357421875</v>
      </c>
      <c r="O3421" t="s">
        <v>3880</v>
      </c>
    </row>
    <row r="3422" spans="1:15" hidden="1" x14ac:dyDescent="0.45">
      <c r="A3422" s="187">
        <v>2019</v>
      </c>
      <c r="B3422" t="s">
        <v>34</v>
      </c>
      <c r="C3422" t="s">
        <v>320</v>
      </c>
      <c r="D3422" t="s">
        <v>336</v>
      </c>
      <c r="E3422" t="s">
        <v>102</v>
      </c>
      <c r="F3422" t="s">
        <v>375</v>
      </c>
      <c r="G3422" t="s">
        <v>37</v>
      </c>
      <c r="H3422" t="s">
        <v>43</v>
      </c>
      <c r="I3422" s="187">
        <v>4784.39306640625</v>
      </c>
      <c r="J3422" s="187">
        <v>288</v>
      </c>
      <c r="K3422" s="187">
        <v>0</v>
      </c>
      <c r="L3422" s="187">
        <v>63</v>
      </c>
      <c r="M3422" s="187">
        <v>5135.39306640625</v>
      </c>
      <c r="N3422" s="187">
        <v>4847.39306640625</v>
      </c>
      <c r="O3422" t="s">
        <v>3881</v>
      </c>
    </row>
    <row r="3423" spans="1:15" hidden="1" x14ac:dyDescent="0.45">
      <c r="A3423" s="187">
        <v>2019</v>
      </c>
      <c r="B3423" t="s">
        <v>34</v>
      </c>
      <c r="C3423" t="s">
        <v>320</v>
      </c>
      <c r="D3423" t="s">
        <v>336</v>
      </c>
      <c r="E3423" t="s">
        <v>102</v>
      </c>
      <c r="F3423" t="s">
        <v>376</v>
      </c>
      <c r="G3423" t="s">
        <v>36</v>
      </c>
      <c r="H3423" t="s">
        <v>43</v>
      </c>
      <c r="I3423" s="187">
        <v>0</v>
      </c>
      <c r="J3423" s="187">
        <v>0</v>
      </c>
      <c r="K3423" s="187">
        <v>0</v>
      </c>
      <c r="L3423" s="187">
        <v>0</v>
      </c>
      <c r="M3423" s="187">
        <v>0</v>
      </c>
      <c r="N3423" s="187">
        <v>0</v>
      </c>
      <c r="O3423" t="s">
        <v>3882</v>
      </c>
    </row>
    <row r="3424" spans="1:15" hidden="1" x14ac:dyDescent="0.45">
      <c r="A3424" s="187">
        <v>2019</v>
      </c>
      <c r="B3424" t="s">
        <v>34</v>
      </c>
      <c r="C3424" t="s">
        <v>320</v>
      </c>
      <c r="D3424" t="s">
        <v>336</v>
      </c>
      <c r="E3424" t="s">
        <v>102</v>
      </c>
      <c r="F3424" t="s">
        <v>376</v>
      </c>
      <c r="G3424" t="s">
        <v>37</v>
      </c>
      <c r="H3424" t="s">
        <v>43</v>
      </c>
      <c r="I3424" s="187">
        <v>0</v>
      </c>
      <c r="J3424" s="187">
        <v>0</v>
      </c>
      <c r="K3424" s="187">
        <v>0</v>
      </c>
      <c r="L3424" s="187">
        <v>0</v>
      </c>
      <c r="M3424" s="187">
        <v>0</v>
      </c>
      <c r="N3424" s="187">
        <v>0</v>
      </c>
      <c r="O3424" t="s">
        <v>3883</v>
      </c>
    </row>
    <row r="3425" spans="1:15" hidden="1" x14ac:dyDescent="0.45">
      <c r="A3425" s="187">
        <v>2019</v>
      </c>
      <c r="B3425" t="s">
        <v>34</v>
      </c>
      <c r="C3425" t="s">
        <v>320</v>
      </c>
      <c r="D3425" t="s">
        <v>336</v>
      </c>
      <c r="E3425" t="s">
        <v>102</v>
      </c>
      <c r="F3425" t="s">
        <v>385</v>
      </c>
      <c r="G3425" t="s">
        <v>36</v>
      </c>
      <c r="H3425" t="s">
        <v>43</v>
      </c>
      <c r="I3425" s="187">
        <v>0</v>
      </c>
      <c r="J3425" s="187">
        <v>0</v>
      </c>
      <c r="K3425" s="187">
        <v>0</v>
      </c>
      <c r="L3425" s="187">
        <v>0</v>
      </c>
      <c r="M3425" s="187">
        <v>0</v>
      </c>
      <c r="N3425" s="187">
        <v>0</v>
      </c>
      <c r="O3425" t="s">
        <v>3884</v>
      </c>
    </row>
    <row r="3426" spans="1:15" hidden="1" x14ac:dyDescent="0.45">
      <c r="A3426" s="187">
        <v>2019</v>
      </c>
      <c r="B3426" t="s">
        <v>34</v>
      </c>
      <c r="C3426" t="s">
        <v>320</v>
      </c>
      <c r="D3426" t="s">
        <v>336</v>
      </c>
      <c r="E3426" t="s">
        <v>102</v>
      </c>
      <c r="F3426" t="s">
        <v>385</v>
      </c>
      <c r="G3426" t="s">
        <v>37</v>
      </c>
      <c r="H3426" t="s">
        <v>43</v>
      </c>
      <c r="I3426" s="187">
        <v>0</v>
      </c>
      <c r="J3426" s="187">
        <v>0</v>
      </c>
      <c r="K3426" s="187">
        <v>0</v>
      </c>
      <c r="L3426" s="187">
        <v>0</v>
      </c>
      <c r="M3426" s="187">
        <v>0</v>
      </c>
      <c r="N3426" s="187">
        <v>0</v>
      </c>
      <c r="O3426" t="s">
        <v>3885</v>
      </c>
    </row>
    <row r="3427" spans="1:15" hidden="1" x14ac:dyDescent="0.45">
      <c r="A3427" s="187">
        <v>2019</v>
      </c>
      <c r="B3427" t="s">
        <v>34</v>
      </c>
      <c r="C3427" t="s">
        <v>320</v>
      </c>
      <c r="D3427" t="s">
        <v>336</v>
      </c>
      <c r="E3427" t="s">
        <v>102</v>
      </c>
      <c r="F3427" t="s">
        <v>386</v>
      </c>
      <c r="G3427" t="s">
        <v>36</v>
      </c>
      <c r="H3427" t="s">
        <v>43</v>
      </c>
      <c r="I3427" s="187">
        <v>114.64276123046875</v>
      </c>
      <c r="J3427" s="187">
        <v>42.451831817626953</v>
      </c>
      <c r="K3427" s="187">
        <v>0</v>
      </c>
      <c r="L3427" s="187">
        <v>0</v>
      </c>
      <c r="M3427" s="187">
        <v>157.09458923339844</v>
      </c>
      <c r="N3427" s="187">
        <v>114.64276123046875</v>
      </c>
      <c r="O3427" t="s">
        <v>3886</v>
      </c>
    </row>
    <row r="3428" spans="1:15" hidden="1" x14ac:dyDescent="0.45">
      <c r="A3428" s="187">
        <v>2019</v>
      </c>
      <c r="B3428" t="s">
        <v>34</v>
      </c>
      <c r="C3428" t="s">
        <v>320</v>
      </c>
      <c r="D3428" t="s">
        <v>336</v>
      </c>
      <c r="E3428" t="s">
        <v>102</v>
      </c>
      <c r="F3428" t="s">
        <v>386</v>
      </c>
      <c r="G3428" t="s">
        <v>37</v>
      </c>
      <c r="H3428" t="s">
        <v>43</v>
      </c>
      <c r="I3428" s="187">
        <v>105.32095336914063</v>
      </c>
      <c r="J3428" s="187">
        <v>39</v>
      </c>
      <c r="K3428" s="187">
        <v>0</v>
      </c>
      <c r="L3428" s="187">
        <v>0</v>
      </c>
      <c r="M3428" s="187">
        <v>144.32095336914063</v>
      </c>
      <c r="N3428" s="187">
        <v>105.32095336914063</v>
      </c>
      <c r="O3428" t="s">
        <v>3887</v>
      </c>
    </row>
    <row r="3429" spans="1:15" hidden="1" x14ac:dyDescent="0.45">
      <c r="A3429" s="187">
        <v>2019</v>
      </c>
      <c r="B3429" t="s">
        <v>34</v>
      </c>
      <c r="C3429" t="s">
        <v>320</v>
      </c>
      <c r="D3429" t="s">
        <v>336</v>
      </c>
      <c r="E3429" t="s">
        <v>102</v>
      </c>
      <c r="F3429" t="s">
        <v>362</v>
      </c>
      <c r="G3429" t="s">
        <v>36</v>
      </c>
      <c r="H3429" t="s">
        <v>43</v>
      </c>
      <c r="I3429" s="187">
        <v>783.72393798828125</v>
      </c>
      <c r="J3429" s="187">
        <v>0</v>
      </c>
      <c r="K3429" s="187">
        <v>0</v>
      </c>
      <c r="L3429" s="187">
        <v>0</v>
      </c>
      <c r="M3429" s="187">
        <v>783.72393798828125</v>
      </c>
      <c r="N3429" s="187">
        <v>783.72393798828125</v>
      </c>
      <c r="O3429" t="s">
        <v>3888</v>
      </c>
    </row>
    <row r="3430" spans="1:15" hidden="1" x14ac:dyDescent="0.45">
      <c r="A3430" s="187">
        <v>2019</v>
      </c>
      <c r="B3430" t="s">
        <v>34</v>
      </c>
      <c r="C3430" t="s">
        <v>320</v>
      </c>
      <c r="D3430" t="s">
        <v>336</v>
      </c>
      <c r="E3430" t="s">
        <v>102</v>
      </c>
      <c r="F3430" t="s">
        <v>362</v>
      </c>
      <c r="G3430" t="s">
        <v>37</v>
      </c>
      <c r="H3430" t="s">
        <v>43</v>
      </c>
      <c r="I3430" s="187">
        <v>719.99798583984375</v>
      </c>
      <c r="J3430" s="187">
        <v>0</v>
      </c>
      <c r="K3430" s="187">
        <v>0</v>
      </c>
      <c r="L3430" s="187">
        <v>0</v>
      </c>
      <c r="M3430" s="187">
        <v>719.99798583984375</v>
      </c>
      <c r="N3430" s="187">
        <v>719.99798583984375</v>
      </c>
      <c r="O3430" t="s">
        <v>3889</v>
      </c>
    </row>
    <row r="3431" spans="1:15" hidden="1" x14ac:dyDescent="0.45">
      <c r="A3431" s="187">
        <v>2019</v>
      </c>
      <c r="B3431" t="s">
        <v>34</v>
      </c>
      <c r="C3431" t="s">
        <v>320</v>
      </c>
      <c r="D3431" t="s">
        <v>336</v>
      </c>
      <c r="E3431" t="s">
        <v>102</v>
      </c>
      <c r="F3431" t="s">
        <v>363</v>
      </c>
      <c r="G3431" t="s">
        <v>36</v>
      </c>
      <c r="H3431" t="s">
        <v>43</v>
      </c>
      <c r="I3431" s="187">
        <v>2944.41845703125</v>
      </c>
      <c r="J3431" s="187">
        <v>0</v>
      </c>
      <c r="K3431" s="187">
        <v>0</v>
      </c>
      <c r="L3431" s="187">
        <v>0</v>
      </c>
      <c r="M3431" s="187">
        <v>2944.41845703125</v>
      </c>
      <c r="N3431" s="187">
        <v>2944.41845703125</v>
      </c>
      <c r="O3431" t="s">
        <v>3890</v>
      </c>
    </row>
    <row r="3432" spans="1:15" hidden="1" x14ac:dyDescent="0.45">
      <c r="A3432" s="187">
        <v>2019</v>
      </c>
      <c r="B3432" t="s">
        <v>34</v>
      </c>
      <c r="C3432" t="s">
        <v>320</v>
      </c>
      <c r="D3432" t="s">
        <v>336</v>
      </c>
      <c r="E3432" t="s">
        <v>102</v>
      </c>
      <c r="F3432" t="s">
        <v>363</v>
      </c>
      <c r="G3432" t="s">
        <v>37</v>
      </c>
      <c r="H3432" t="s">
        <v>43</v>
      </c>
      <c r="I3432" s="187">
        <v>2705.002685546875</v>
      </c>
      <c r="J3432" s="187">
        <v>0</v>
      </c>
      <c r="K3432" s="187">
        <v>0</v>
      </c>
      <c r="L3432" s="187">
        <v>0</v>
      </c>
      <c r="M3432" s="187">
        <v>2705.002685546875</v>
      </c>
      <c r="N3432" s="187">
        <v>2705.002685546875</v>
      </c>
      <c r="O3432" t="s">
        <v>3891</v>
      </c>
    </row>
    <row r="3433" spans="1:15" hidden="1" x14ac:dyDescent="0.45">
      <c r="A3433" s="187">
        <v>2019</v>
      </c>
      <c r="B3433" t="s">
        <v>34</v>
      </c>
      <c r="C3433" t="s">
        <v>320</v>
      </c>
      <c r="D3433" t="s">
        <v>336</v>
      </c>
      <c r="E3433" t="s">
        <v>102</v>
      </c>
      <c r="F3433" t="s">
        <v>17</v>
      </c>
      <c r="G3433" t="s">
        <v>36</v>
      </c>
      <c r="H3433" t="s">
        <v>43</v>
      </c>
      <c r="I3433" s="187">
        <v>6303.7529296875</v>
      </c>
      <c r="J3433" s="187">
        <v>0</v>
      </c>
      <c r="K3433" s="187">
        <v>0</v>
      </c>
      <c r="L3433" s="187">
        <v>0</v>
      </c>
      <c r="M3433" s="187">
        <v>6303.7529296875</v>
      </c>
      <c r="N3433" s="187">
        <v>6303.7529296875</v>
      </c>
      <c r="O3433" t="s">
        <v>3892</v>
      </c>
    </row>
    <row r="3434" spans="1:15" hidden="1" x14ac:dyDescent="0.45">
      <c r="A3434" s="187">
        <v>2019</v>
      </c>
      <c r="B3434" t="s">
        <v>34</v>
      </c>
      <c r="C3434" t="s">
        <v>320</v>
      </c>
      <c r="D3434" t="s">
        <v>336</v>
      </c>
      <c r="E3434" t="s">
        <v>102</v>
      </c>
      <c r="F3434" t="s">
        <v>17</v>
      </c>
      <c r="G3434" t="s">
        <v>37</v>
      </c>
      <c r="H3434" t="s">
        <v>43</v>
      </c>
      <c r="I3434" s="187">
        <v>5791.18359375</v>
      </c>
      <c r="J3434" s="187">
        <v>0</v>
      </c>
      <c r="K3434" s="187">
        <v>0</v>
      </c>
      <c r="L3434" s="187">
        <v>0</v>
      </c>
      <c r="M3434" s="187">
        <v>5791.18359375</v>
      </c>
      <c r="N3434" s="187">
        <v>5791.18359375</v>
      </c>
      <c r="O3434" t="s">
        <v>3893</v>
      </c>
    </row>
    <row r="3435" spans="1:15" hidden="1" x14ac:dyDescent="0.45">
      <c r="A3435" s="187">
        <v>2019</v>
      </c>
      <c r="B3435" t="s">
        <v>34</v>
      </c>
      <c r="C3435" t="s">
        <v>320</v>
      </c>
      <c r="D3435" t="s">
        <v>336</v>
      </c>
      <c r="E3435" t="s">
        <v>102</v>
      </c>
      <c r="F3435" t="s">
        <v>364</v>
      </c>
      <c r="G3435" t="s">
        <v>36</v>
      </c>
      <c r="H3435" t="s">
        <v>43</v>
      </c>
      <c r="I3435" s="187">
        <v>1479.7100830078125</v>
      </c>
      <c r="J3435" s="187">
        <v>0</v>
      </c>
      <c r="K3435" s="187">
        <v>0</v>
      </c>
      <c r="L3435" s="187">
        <v>68.576042175292969</v>
      </c>
      <c r="M3435" s="187">
        <v>1548.2861328125</v>
      </c>
      <c r="N3435" s="187">
        <v>1548.2861328125</v>
      </c>
      <c r="O3435" t="s">
        <v>3894</v>
      </c>
    </row>
    <row r="3436" spans="1:15" hidden="1" x14ac:dyDescent="0.45">
      <c r="A3436" s="187">
        <v>2019</v>
      </c>
      <c r="B3436" t="s">
        <v>34</v>
      </c>
      <c r="C3436" t="s">
        <v>320</v>
      </c>
      <c r="D3436" t="s">
        <v>336</v>
      </c>
      <c r="E3436" t="s">
        <v>102</v>
      </c>
      <c r="F3436" t="s">
        <v>364</v>
      </c>
      <c r="G3436" t="s">
        <v>37</v>
      </c>
      <c r="H3436" t="s">
        <v>43</v>
      </c>
      <c r="I3436" s="187">
        <v>1359.3922119140625</v>
      </c>
      <c r="J3436" s="187">
        <v>0</v>
      </c>
      <c r="K3436" s="187">
        <v>0</v>
      </c>
      <c r="L3436" s="187">
        <v>63</v>
      </c>
      <c r="M3436" s="187">
        <v>1422.3922119140625</v>
      </c>
      <c r="N3436" s="187">
        <v>1422.3922119140625</v>
      </c>
      <c r="O3436" t="s">
        <v>3895</v>
      </c>
    </row>
    <row r="3437" spans="1:15" hidden="1" x14ac:dyDescent="0.45">
      <c r="A3437" s="187">
        <v>2019</v>
      </c>
      <c r="B3437" t="s">
        <v>34</v>
      </c>
      <c r="C3437" t="s">
        <v>320</v>
      </c>
      <c r="D3437" t="s">
        <v>336</v>
      </c>
      <c r="E3437" t="s">
        <v>102</v>
      </c>
      <c r="F3437" t="s">
        <v>452</v>
      </c>
      <c r="G3437" t="s">
        <v>36</v>
      </c>
      <c r="H3437" t="s">
        <v>43</v>
      </c>
      <c r="I3437" s="187">
        <v>23360.017578125</v>
      </c>
      <c r="J3437" s="187">
        <v>411.45623779296875</v>
      </c>
      <c r="K3437" s="187">
        <v>0</v>
      </c>
      <c r="L3437" s="187">
        <v>68.576042175292969</v>
      </c>
      <c r="M3437" s="187">
        <v>23840.05078125</v>
      </c>
      <c r="N3437" s="187">
        <v>23428.59375</v>
      </c>
      <c r="O3437" t="s">
        <v>3896</v>
      </c>
    </row>
    <row r="3438" spans="1:15" hidden="1" x14ac:dyDescent="0.45">
      <c r="A3438" s="187">
        <v>2019</v>
      </c>
      <c r="B3438" t="s">
        <v>34</v>
      </c>
      <c r="C3438" t="s">
        <v>320</v>
      </c>
      <c r="D3438" t="s">
        <v>336</v>
      </c>
      <c r="E3438" t="s">
        <v>102</v>
      </c>
      <c r="F3438" t="s">
        <v>452</v>
      </c>
      <c r="G3438" t="s">
        <v>37</v>
      </c>
      <c r="H3438" t="s">
        <v>43</v>
      </c>
      <c r="I3438" s="187">
        <v>21460.57421875</v>
      </c>
      <c r="J3438" s="187">
        <v>378</v>
      </c>
      <c r="K3438" s="187">
        <v>0</v>
      </c>
      <c r="L3438" s="187">
        <v>63</v>
      </c>
      <c r="M3438" s="187">
        <v>21901.57421875</v>
      </c>
      <c r="N3438" s="187">
        <v>21523.57421875</v>
      </c>
      <c r="O3438" t="s">
        <v>3897</v>
      </c>
    </row>
    <row r="3439" spans="1:15" hidden="1" x14ac:dyDescent="0.45">
      <c r="A3439" s="187">
        <v>2019</v>
      </c>
      <c r="B3439" t="s">
        <v>34</v>
      </c>
      <c r="C3439" t="s">
        <v>320</v>
      </c>
      <c r="D3439" t="s">
        <v>336</v>
      </c>
      <c r="E3439" t="s">
        <v>102</v>
      </c>
      <c r="F3439" t="s">
        <v>347</v>
      </c>
      <c r="G3439" t="s">
        <v>36</v>
      </c>
      <c r="H3439" t="s">
        <v>43</v>
      </c>
      <c r="I3439" s="187">
        <v>2338.46484375</v>
      </c>
      <c r="J3439" s="187">
        <v>0</v>
      </c>
      <c r="K3439" s="187">
        <v>194.76510620117188</v>
      </c>
      <c r="L3439" s="187">
        <v>3269.879638671875</v>
      </c>
      <c r="M3439" s="187">
        <v>5803.109375</v>
      </c>
      <c r="N3439" s="187">
        <v>5608.3447265625</v>
      </c>
      <c r="O3439" t="s">
        <v>3898</v>
      </c>
    </row>
    <row r="3440" spans="1:15" hidden="1" x14ac:dyDescent="0.45">
      <c r="A3440" s="187">
        <v>2019</v>
      </c>
      <c r="B3440" t="s">
        <v>34</v>
      </c>
      <c r="C3440" t="s">
        <v>320</v>
      </c>
      <c r="D3440" t="s">
        <v>336</v>
      </c>
      <c r="E3440" t="s">
        <v>102</v>
      </c>
      <c r="F3440" t="s">
        <v>347</v>
      </c>
      <c r="G3440" t="s">
        <v>37</v>
      </c>
      <c r="H3440" t="s">
        <v>43</v>
      </c>
      <c r="I3440" s="187">
        <v>2148.320068359375</v>
      </c>
      <c r="J3440" s="187">
        <v>0</v>
      </c>
      <c r="K3440" s="187">
        <v>178.92840576171875</v>
      </c>
      <c r="L3440" s="187">
        <v>3004</v>
      </c>
      <c r="M3440" s="187">
        <v>5331.24853515625</v>
      </c>
      <c r="N3440" s="187">
        <v>5152.3203125</v>
      </c>
      <c r="O3440" t="s">
        <v>3899</v>
      </c>
    </row>
    <row r="3441" spans="1:15" hidden="1" x14ac:dyDescent="0.45">
      <c r="A3441" s="187">
        <v>2019</v>
      </c>
      <c r="B3441" t="s">
        <v>34</v>
      </c>
      <c r="C3441" t="s">
        <v>320</v>
      </c>
      <c r="D3441" t="s">
        <v>336</v>
      </c>
      <c r="E3441" t="s">
        <v>102</v>
      </c>
      <c r="F3441" t="s">
        <v>45</v>
      </c>
      <c r="G3441" t="s">
        <v>36</v>
      </c>
      <c r="H3441" t="s">
        <v>43</v>
      </c>
      <c r="I3441" s="187">
        <v>0</v>
      </c>
      <c r="J3441" s="187">
        <v>6.5310511589050293</v>
      </c>
      <c r="K3441" s="187">
        <v>0</v>
      </c>
      <c r="L3441" s="187">
        <v>0</v>
      </c>
      <c r="M3441" s="187">
        <v>6.5310511589050293</v>
      </c>
      <c r="N3441" s="187">
        <v>0</v>
      </c>
      <c r="O3441" t="s">
        <v>3900</v>
      </c>
    </row>
    <row r="3442" spans="1:15" hidden="1" x14ac:dyDescent="0.45">
      <c r="A3442" s="187">
        <v>2019</v>
      </c>
      <c r="B3442" t="s">
        <v>34</v>
      </c>
      <c r="C3442" t="s">
        <v>320</v>
      </c>
      <c r="D3442" t="s">
        <v>336</v>
      </c>
      <c r="E3442" t="s">
        <v>102</v>
      </c>
      <c r="F3442" t="s">
        <v>45</v>
      </c>
      <c r="G3442" t="s">
        <v>37</v>
      </c>
      <c r="H3442" t="s">
        <v>43</v>
      </c>
      <c r="I3442" s="187">
        <v>0</v>
      </c>
      <c r="J3442" s="187">
        <v>6</v>
      </c>
      <c r="K3442" s="187">
        <v>0</v>
      </c>
      <c r="L3442" s="187">
        <v>0</v>
      </c>
      <c r="M3442" s="187">
        <v>6</v>
      </c>
      <c r="N3442" s="187">
        <v>0</v>
      </c>
      <c r="O3442" t="s">
        <v>3901</v>
      </c>
    </row>
    <row r="3443" spans="1:15" hidden="1" x14ac:dyDescent="0.45">
      <c r="A3443" s="187">
        <v>2019</v>
      </c>
      <c r="B3443" t="s">
        <v>34</v>
      </c>
      <c r="C3443" t="s">
        <v>320</v>
      </c>
      <c r="D3443" t="s">
        <v>336</v>
      </c>
      <c r="E3443" t="s">
        <v>102</v>
      </c>
      <c r="F3443" t="s">
        <v>356</v>
      </c>
      <c r="G3443" t="s">
        <v>36</v>
      </c>
      <c r="H3443" t="s">
        <v>43</v>
      </c>
      <c r="I3443" s="187">
        <v>0</v>
      </c>
      <c r="J3443" s="187">
        <v>0</v>
      </c>
      <c r="K3443" s="187">
        <v>0</v>
      </c>
      <c r="L3443" s="187">
        <v>0</v>
      </c>
      <c r="M3443" s="187">
        <v>0</v>
      </c>
      <c r="N3443" s="187">
        <v>0</v>
      </c>
      <c r="O3443" t="s">
        <v>3902</v>
      </c>
    </row>
    <row r="3444" spans="1:15" hidden="1" x14ac:dyDescent="0.45">
      <c r="A3444" s="187">
        <v>2019</v>
      </c>
      <c r="B3444" t="s">
        <v>34</v>
      </c>
      <c r="C3444" t="s">
        <v>320</v>
      </c>
      <c r="D3444" t="s">
        <v>336</v>
      </c>
      <c r="E3444" t="s">
        <v>102</v>
      </c>
      <c r="F3444" t="s">
        <v>356</v>
      </c>
      <c r="G3444" t="s">
        <v>37</v>
      </c>
      <c r="H3444" t="s">
        <v>43</v>
      </c>
      <c r="I3444" s="187">
        <v>0</v>
      </c>
      <c r="J3444" s="187">
        <v>0</v>
      </c>
      <c r="K3444" s="187">
        <v>0</v>
      </c>
      <c r="L3444" s="187">
        <v>0</v>
      </c>
      <c r="M3444" s="187">
        <v>0</v>
      </c>
      <c r="N3444" s="187">
        <v>0</v>
      </c>
      <c r="O3444" t="s">
        <v>3903</v>
      </c>
    </row>
    <row r="3445" spans="1:15" hidden="1" x14ac:dyDescent="0.45">
      <c r="A3445" s="187">
        <v>2019</v>
      </c>
      <c r="B3445" t="s">
        <v>34</v>
      </c>
      <c r="C3445" t="s">
        <v>330</v>
      </c>
      <c r="D3445" t="s">
        <v>338</v>
      </c>
      <c r="E3445" t="s">
        <v>366</v>
      </c>
      <c r="F3445" t="s">
        <v>434</v>
      </c>
      <c r="G3445" t="s">
        <v>36</v>
      </c>
      <c r="H3445" t="s">
        <v>43</v>
      </c>
      <c r="I3445" s="187">
        <v>21281.12063148267</v>
      </c>
      <c r="J3445" s="187">
        <v>2666</v>
      </c>
      <c r="K3445" s="187">
        <v>48817.536627202673</v>
      </c>
      <c r="L3445" s="187">
        <v>47074</v>
      </c>
      <c r="M3445" s="187">
        <v>119838.65625</v>
      </c>
      <c r="N3445" s="187">
        <v>68355.125</v>
      </c>
      <c r="O3445" t="s">
        <v>3904</v>
      </c>
    </row>
    <row r="3446" spans="1:15" hidden="1" x14ac:dyDescent="0.45">
      <c r="A3446" s="187">
        <v>2019</v>
      </c>
      <c r="B3446" t="s">
        <v>34</v>
      </c>
      <c r="C3446" t="s">
        <v>330</v>
      </c>
      <c r="D3446" t="s">
        <v>338</v>
      </c>
      <c r="E3446" t="s">
        <v>366</v>
      </c>
      <c r="F3446" t="s">
        <v>435</v>
      </c>
      <c r="G3446" t="s">
        <v>36</v>
      </c>
      <c r="H3446" t="s">
        <v>43</v>
      </c>
      <c r="I3446" s="187">
        <v>1643.0136294102699</v>
      </c>
      <c r="J3446" s="187">
        <v>229</v>
      </c>
      <c r="K3446" s="187">
        <v>3617.4351364434319</v>
      </c>
      <c r="L3446" s="187">
        <v>4234</v>
      </c>
      <c r="M3446" s="187">
        <v>9723.44921875</v>
      </c>
      <c r="N3446" s="187">
        <v>5877.013671875</v>
      </c>
      <c r="O3446" t="s">
        <v>3905</v>
      </c>
    </row>
    <row r="3447" spans="1:15" hidden="1" x14ac:dyDescent="0.45">
      <c r="A3447" s="187">
        <v>2019</v>
      </c>
      <c r="B3447" t="s">
        <v>34</v>
      </c>
      <c r="C3447" t="s">
        <v>330</v>
      </c>
      <c r="D3447" t="s">
        <v>338</v>
      </c>
      <c r="E3447" t="s">
        <v>366</v>
      </c>
      <c r="F3447" t="s">
        <v>436</v>
      </c>
      <c r="G3447" t="s">
        <v>36</v>
      </c>
      <c r="H3447" t="s">
        <v>43</v>
      </c>
      <c r="I3447" s="187">
        <v>1437.5374884079849</v>
      </c>
      <c r="J3447" s="187">
        <v>7083</v>
      </c>
      <c r="K3447" s="187">
        <v>4791.3461817254656</v>
      </c>
      <c r="L3447" s="187">
        <v>9607</v>
      </c>
      <c r="M3447" s="187">
        <v>22918.8828125</v>
      </c>
      <c r="N3447" s="187">
        <v>11044.537109375</v>
      </c>
      <c r="O3447" t="s">
        <v>3906</v>
      </c>
    </row>
    <row r="3448" spans="1:15" hidden="1" x14ac:dyDescent="0.45">
      <c r="A3448" s="187">
        <v>2019</v>
      </c>
      <c r="B3448" t="s">
        <v>34</v>
      </c>
      <c r="C3448" t="s">
        <v>330</v>
      </c>
      <c r="D3448" t="s">
        <v>338</v>
      </c>
      <c r="E3448" t="s">
        <v>366</v>
      </c>
      <c r="F3448" t="s">
        <v>437</v>
      </c>
      <c r="G3448" t="s">
        <v>36</v>
      </c>
      <c r="H3448" t="s">
        <v>43</v>
      </c>
      <c r="I3448" s="187">
        <v>96418.778446578712</v>
      </c>
      <c r="J3448" s="187">
        <v>5792</v>
      </c>
      <c r="K3448" s="187">
        <v>174425.54929044141</v>
      </c>
      <c r="L3448" s="187">
        <v>262756</v>
      </c>
      <c r="M3448" s="187">
        <v>539392.375</v>
      </c>
      <c r="N3448" s="187">
        <v>359174.78125</v>
      </c>
      <c r="O3448" t="s">
        <v>3907</v>
      </c>
    </row>
    <row r="3449" spans="1:15" hidden="1" x14ac:dyDescent="0.45">
      <c r="A3449" s="187">
        <v>2019</v>
      </c>
      <c r="B3449" t="s">
        <v>34</v>
      </c>
      <c r="C3449" t="s">
        <v>330</v>
      </c>
      <c r="D3449" t="s">
        <v>338</v>
      </c>
      <c r="E3449" t="s">
        <v>366</v>
      </c>
      <c r="F3449" t="s">
        <v>44</v>
      </c>
      <c r="G3449" t="s">
        <v>36</v>
      </c>
      <c r="H3449" t="s">
        <v>43</v>
      </c>
      <c r="I3449" s="187">
        <v>3707.3885495644149</v>
      </c>
      <c r="J3449" s="187">
        <v>253</v>
      </c>
      <c r="K3449" s="187">
        <v>21273.213631039271</v>
      </c>
      <c r="L3449" s="187">
        <v>9888</v>
      </c>
      <c r="M3449" s="187">
        <v>35121.6015625</v>
      </c>
      <c r="N3449" s="187">
        <v>13595.388671875</v>
      </c>
      <c r="O3449" t="s">
        <v>3908</v>
      </c>
    </row>
    <row r="3450" spans="1:15" hidden="1" x14ac:dyDescent="0.45">
      <c r="A3450" s="187">
        <v>2019</v>
      </c>
      <c r="B3450" t="s">
        <v>34</v>
      </c>
      <c r="C3450" t="s">
        <v>330</v>
      </c>
      <c r="D3450" t="s">
        <v>338</v>
      </c>
      <c r="E3450" t="s">
        <v>366</v>
      </c>
      <c r="F3450" t="s">
        <v>438</v>
      </c>
      <c r="G3450" t="s">
        <v>36</v>
      </c>
      <c r="H3450" t="s">
        <v>43</v>
      </c>
      <c r="I3450" s="187">
        <v>28207.52388095214</v>
      </c>
      <c r="J3450" s="187">
        <v>7089</v>
      </c>
      <c r="K3450" s="187">
        <v>105441.6455903911</v>
      </c>
      <c r="L3450" s="187">
        <v>77669</v>
      </c>
      <c r="M3450" s="187">
        <v>218407.171875</v>
      </c>
      <c r="N3450" s="187">
        <v>105876.5234375</v>
      </c>
      <c r="O3450" t="s">
        <v>3909</v>
      </c>
    </row>
    <row r="3451" spans="1:15" hidden="1" x14ac:dyDescent="0.45">
      <c r="A3451" s="187">
        <v>2019</v>
      </c>
      <c r="B3451" t="s">
        <v>34</v>
      </c>
      <c r="C3451" t="s">
        <v>330</v>
      </c>
      <c r="D3451" t="s">
        <v>338</v>
      </c>
      <c r="E3451" t="s">
        <v>366</v>
      </c>
      <c r="F3451" t="s">
        <v>439</v>
      </c>
      <c r="G3451" t="s">
        <v>36</v>
      </c>
      <c r="H3451" t="s">
        <v>43</v>
      </c>
      <c r="I3451" s="187">
        <v>3374.1476267156791</v>
      </c>
      <c r="J3451" s="187">
        <v>504</v>
      </c>
      <c r="K3451" s="187">
        <v>868.54454546340867</v>
      </c>
      <c r="L3451" s="187">
        <v>876</v>
      </c>
      <c r="M3451" s="187">
        <v>5622.6923828125</v>
      </c>
      <c r="N3451" s="187">
        <v>4250.1474609375</v>
      </c>
      <c r="O3451" t="s">
        <v>3910</v>
      </c>
    </row>
    <row r="3452" spans="1:15" hidden="1" x14ac:dyDescent="0.45">
      <c r="A3452" s="187">
        <v>2019</v>
      </c>
      <c r="B3452" t="s">
        <v>34</v>
      </c>
      <c r="C3452" t="s">
        <v>330</v>
      </c>
      <c r="D3452" t="s">
        <v>338</v>
      </c>
      <c r="E3452" t="s">
        <v>366</v>
      </c>
      <c r="F3452" t="s">
        <v>440</v>
      </c>
      <c r="G3452" t="s">
        <v>36</v>
      </c>
      <c r="H3452" t="s">
        <v>43</v>
      </c>
      <c r="I3452" s="187">
        <v>6088.8731130417736</v>
      </c>
      <c r="J3452" s="187">
        <v>132</v>
      </c>
      <c r="K3452" s="187">
        <v>6094.0852476151022</v>
      </c>
      <c r="L3452" s="187">
        <v>5131</v>
      </c>
      <c r="M3452" s="187">
        <v>17445.95703125</v>
      </c>
      <c r="N3452" s="187">
        <v>11219.873046875</v>
      </c>
      <c r="O3452" t="s">
        <v>3911</v>
      </c>
    </row>
    <row r="3453" spans="1:15" hidden="1" x14ac:dyDescent="0.45">
      <c r="A3453" s="187">
        <v>2019</v>
      </c>
      <c r="B3453" t="s">
        <v>34</v>
      </c>
      <c r="C3453" t="s">
        <v>330</v>
      </c>
      <c r="D3453" t="s">
        <v>338</v>
      </c>
      <c r="E3453" t="s">
        <v>366</v>
      </c>
      <c r="F3453" t="s">
        <v>441</v>
      </c>
      <c r="G3453" t="s">
        <v>36</v>
      </c>
      <c r="H3453" t="s">
        <v>43</v>
      </c>
      <c r="I3453" s="187">
        <v>164080.62033101599</v>
      </c>
      <c r="J3453" s="187">
        <v>23971</v>
      </c>
      <c r="K3453" s="187">
        <v>383406.54280383221</v>
      </c>
      <c r="L3453" s="187">
        <v>424028</v>
      </c>
      <c r="M3453" s="187">
        <v>995486.1875</v>
      </c>
      <c r="N3453" s="187">
        <v>588108.625</v>
      </c>
      <c r="O3453" t="s">
        <v>3912</v>
      </c>
    </row>
    <row r="3454" spans="1:15" hidden="1" x14ac:dyDescent="0.45">
      <c r="A3454" s="187">
        <v>2019</v>
      </c>
      <c r="B3454" t="s">
        <v>34</v>
      </c>
      <c r="C3454" t="s">
        <v>331</v>
      </c>
      <c r="D3454" t="s">
        <v>339</v>
      </c>
      <c r="E3454" t="s">
        <v>7</v>
      </c>
      <c r="F3454" t="s">
        <v>442</v>
      </c>
      <c r="G3454" t="s">
        <v>453</v>
      </c>
      <c r="H3454" t="s">
        <v>456</v>
      </c>
      <c r="I3454" s="187">
        <v>9.8937721308060826</v>
      </c>
      <c r="J3454" s="187">
        <v>29.080118694362021</v>
      </c>
      <c r="K3454" s="187">
        <v>10.920798257152949</v>
      </c>
      <c r="L3454" s="187">
        <v>9.0000392080915983</v>
      </c>
      <c r="M3454" s="187">
        <v>58.894729614257813</v>
      </c>
      <c r="N3454" s="187">
        <v>18.89381217956543</v>
      </c>
      <c r="O3454" t="s">
        <v>3913</v>
      </c>
    </row>
    <row r="3455" spans="1:15" hidden="1" x14ac:dyDescent="0.45">
      <c r="A3455" s="187">
        <v>2019</v>
      </c>
      <c r="B3455" t="s">
        <v>34</v>
      </c>
      <c r="C3455" t="s">
        <v>332</v>
      </c>
      <c r="D3455" t="s">
        <v>339</v>
      </c>
      <c r="E3455" t="s">
        <v>110</v>
      </c>
      <c r="F3455" t="s">
        <v>443</v>
      </c>
      <c r="G3455" t="s">
        <v>453</v>
      </c>
      <c r="H3455" t="s">
        <v>456</v>
      </c>
      <c r="I3455" s="187">
        <v>283</v>
      </c>
      <c r="J3455" s="187">
        <v>90</v>
      </c>
      <c r="K3455" s="187">
        <v>172</v>
      </c>
      <c r="L3455" s="187">
        <v>389</v>
      </c>
      <c r="M3455" s="187">
        <v>934</v>
      </c>
      <c r="N3455" s="187">
        <v>672</v>
      </c>
      <c r="O3455" t="s">
        <v>3914</v>
      </c>
    </row>
    <row r="3456" spans="1:15" hidden="1" x14ac:dyDescent="0.45">
      <c r="A3456" s="187">
        <v>2019</v>
      </c>
      <c r="B3456" t="s">
        <v>34</v>
      </c>
      <c r="C3456" t="s">
        <v>332</v>
      </c>
      <c r="D3456" t="s">
        <v>339</v>
      </c>
      <c r="E3456" t="s">
        <v>110</v>
      </c>
      <c r="F3456" t="s">
        <v>444</v>
      </c>
      <c r="G3456" t="s">
        <v>453</v>
      </c>
      <c r="H3456" t="s">
        <v>456</v>
      </c>
      <c r="I3456" s="187">
        <v>75</v>
      </c>
      <c r="J3456" s="187">
        <v>67</v>
      </c>
      <c r="K3456" s="187">
        <v>289</v>
      </c>
      <c r="L3456" s="187">
        <v>36</v>
      </c>
      <c r="M3456" s="187">
        <v>467</v>
      </c>
      <c r="N3456" s="187">
        <v>111</v>
      </c>
      <c r="O3456" t="s">
        <v>3915</v>
      </c>
    </row>
    <row r="3457" spans="1:15" hidden="1" x14ac:dyDescent="0.45">
      <c r="A3457" s="187">
        <v>2019</v>
      </c>
      <c r="B3457" t="s">
        <v>34</v>
      </c>
      <c r="C3457" t="s">
        <v>333</v>
      </c>
      <c r="D3457" t="s">
        <v>339</v>
      </c>
      <c r="E3457" t="s">
        <v>111</v>
      </c>
      <c r="F3457" t="s">
        <v>188</v>
      </c>
      <c r="G3457" t="s">
        <v>453</v>
      </c>
      <c r="H3457" t="s">
        <v>460</v>
      </c>
      <c r="I3457" s="187">
        <v>83.706834532353582</v>
      </c>
      <c r="J3457" s="187">
        <v>119.6329839918621</v>
      </c>
      <c r="K3457" s="187">
        <v>124.6559263521289</v>
      </c>
      <c r="L3457" s="187">
        <v>147.0198675496689</v>
      </c>
      <c r="M3457" s="187">
        <v>118.75389862060547</v>
      </c>
      <c r="N3457" s="187">
        <v>230.72669982910156</v>
      </c>
      <c r="O3457" t="s">
        <v>3916</v>
      </c>
    </row>
    <row r="3458" spans="1:15" hidden="1" x14ac:dyDescent="0.45">
      <c r="A3458" s="187">
        <v>2019</v>
      </c>
      <c r="B3458" t="s">
        <v>34</v>
      </c>
      <c r="C3458" t="s">
        <v>333</v>
      </c>
      <c r="D3458" t="s">
        <v>339</v>
      </c>
      <c r="E3458" t="s">
        <v>111</v>
      </c>
      <c r="F3458" t="s">
        <v>445</v>
      </c>
      <c r="G3458" t="s">
        <v>453</v>
      </c>
      <c r="H3458" t="s">
        <v>460</v>
      </c>
      <c r="I3458" s="187">
        <v>93.782608695652172</v>
      </c>
      <c r="J3458" s="187">
        <v>209.13107090004041</v>
      </c>
      <c r="K3458" s="187">
        <v>80.349019607843147</v>
      </c>
      <c r="L3458" s="187">
        <v>109.8781594296824</v>
      </c>
      <c r="M3458" s="187">
        <v>123.28521728515625</v>
      </c>
      <c r="N3458" s="187">
        <v>203.6607666015625</v>
      </c>
      <c r="O3458" t="s">
        <v>3917</v>
      </c>
    </row>
    <row r="3459" spans="1:15" hidden="1" x14ac:dyDescent="0.45">
      <c r="A3459" s="187">
        <v>2019</v>
      </c>
      <c r="B3459" t="s">
        <v>34</v>
      </c>
      <c r="C3459" t="s">
        <v>333</v>
      </c>
      <c r="D3459" t="s">
        <v>339</v>
      </c>
      <c r="E3459" t="s">
        <v>0</v>
      </c>
      <c r="F3459" t="s">
        <v>188</v>
      </c>
      <c r="G3459" t="s">
        <v>453</v>
      </c>
      <c r="H3459" t="s">
        <v>460</v>
      </c>
      <c r="I3459" s="187">
        <v>726.9645897438121</v>
      </c>
      <c r="J3459" s="187">
        <v>1787.6039000000001</v>
      </c>
      <c r="K3459" s="187">
        <v>991.18396552276283</v>
      </c>
      <c r="L3459" s="187">
        <v>1110</v>
      </c>
      <c r="M3459" s="187">
        <v>1153.938232421875</v>
      </c>
      <c r="N3459" s="187">
        <v>1836.964599609375</v>
      </c>
      <c r="O3459" t="s">
        <v>3918</v>
      </c>
    </row>
    <row r="3460" spans="1:15" hidden="1" x14ac:dyDescent="0.45">
      <c r="A3460" s="187">
        <v>2019</v>
      </c>
      <c r="B3460" t="s">
        <v>34</v>
      </c>
      <c r="C3460" t="s">
        <v>333</v>
      </c>
      <c r="D3460" t="s">
        <v>339</v>
      </c>
      <c r="E3460" t="s">
        <v>0</v>
      </c>
      <c r="F3460" t="s">
        <v>445</v>
      </c>
      <c r="G3460" t="s">
        <v>453</v>
      </c>
      <c r="H3460" t="s">
        <v>460</v>
      </c>
      <c r="I3460" s="187">
        <v>235.844488527202</v>
      </c>
      <c r="J3460" s="187">
        <v>621.7885</v>
      </c>
      <c r="K3460" s="187">
        <v>187.47455153514289</v>
      </c>
      <c r="L3460" s="187">
        <v>339.084</v>
      </c>
      <c r="M3460" s="187">
        <v>346.04788208007813</v>
      </c>
      <c r="N3460" s="187">
        <v>574.928466796875</v>
      </c>
      <c r="O3460" t="s">
        <v>3919</v>
      </c>
    </row>
    <row r="3461" spans="1:15" hidden="1" x14ac:dyDescent="0.45">
      <c r="A3461" s="187">
        <v>2019</v>
      </c>
      <c r="B3461" t="s">
        <v>34</v>
      </c>
      <c r="C3461" t="s">
        <v>333</v>
      </c>
      <c r="D3461" t="s">
        <v>339</v>
      </c>
      <c r="E3461" t="s">
        <v>42</v>
      </c>
      <c r="F3461" t="s">
        <v>188</v>
      </c>
      <c r="G3461" t="s">
        <v>453</v>
      </c>
      <c r="H3461" t="s">
        <v>460</v>
      </c>
      <c r="I3461" s="187">
        <v>8.6846503491042011</v>
      </c>
      <c r="J3461" s="187">
        <v>14.942399999999999</v>
      </c>
      <c r="K3461" s="187">
        <v>7.9513585477104378</v>
      </c>
      <c r="L3461" s="187">
        <v>7.55</v>
      </c>
      <c r="M3461" s="187">
        <v>9.7821025848388672</v>
      </c>
      <c r="N3461" s="187">
        <v>16.234649658203125</v>
      </c>
      <c r="O3461" t="s">
        <v>3920</v>
      </c>
    </row>
    <row r="3462" spans="1:15" hidden="1" x14ac:dyDescent="0.45">
      <c r="A3462" s="187">
        <v>2019</v>
      </c>
      <c r="B3462" t="s">
        <v>34</v>
      </c>
      <c r="C3462" t="s">
        <v>333</v>
      </c>
      <c r="D3462" t="s">
        <v>339</v>
      </c>
      <c r="E3462" t="s">
        <v>42</v>
      </c>
      <c r="F3462" t="s">
        <v>445</v>
      </c>
      <c r="G3462" t="s">
        <v>453</v>
      </c>
      <c r="H3462" t="s">
        <v>460</v>
      </c>
      <c r="I3462" s="187">
        <v>2.514799831305353</v>
      </c>
      <c r="J3462" s="187">
        <v>2.9731999999999998</v>
      </c>
      <c r="K3462" s="187">
        <v>2.3332525082464461</v>
      </c>
      <c r="L3462" s="187">
        <v>3.0859999999999999</v>
      </c>
      <c r="M3462" s="187">
        <v>2.7268130779266357</v>
      </c>
      <c r="N3462" s="187">
        <v>5.6008000373840332</v>
      </c>
      <c r="O3462" t="s">
        <v>3921</v>
      </c>
    </row>
    <row r="3463" spans="1:15" hidden="1" x14ac:dyDescent="0.45">
      <c r="A3463" s="187">
        <v>2019</v>
      </c>
      <c r="B3463" t="s">
        <v>34</v>
      </c>
      <c r="C3463" t="s">
        <v>319</v>
      </c>
      <c r="D3463" t="s">
        <v>335</v>
      </c>
      <c r="E3463" t="s">
        <v>10</v>
      </c>
      <c r="F3463" t="s">
        <v>372</v>
      </c>
      <c r="G3463" t="s">
        <v>453</v>
      </c>
      <c r="H3463" t="s">
        <v>454</v>
      </c>
      <c r="I3463" s="187">
        <v>5.8135940204658502E-2</v>
      </c>
      <c r="J3463" s="187">
        <v>6.8345643556861901E-2</v>
      </c>
      <c r="K3463" s="187">
        <v>5.5016149650611898E-2</v>
      </c>
      <c r="L3463" s="187">
        <v>5.4541482008247398E-2</v>
      </c>
      <c r="M3463" s="187">
        <v>5.9009801596403122E-2</v>
      </c>
      <c r="N3463" s="187">
        <v>0.11267742514610291</v>
      </c>
      <c r="O3463" t="s">
        <v>3922</v>
      </c>
    </row>
    <row r="3464" spans="1:15" hidden="1" x14ac:dyDescent="0.45">
      <c r="A3464" s="187">
        <v>2019</v>
      </c>
      <c r="B3464" t="s">
        <v>34</v>
      </c>
      <c r="C3464" t="s">
        <v>319</v>
      </c>
      <c r="D3464" t="s">
        <v>335</v>
      </c>
      <c r="E3464" t="s">
        <v>10</v>
      </c>
      <c r="F3464" t="s">
        <v>373</v>
      </c>
      <c r="G3464" t="s">
        <v>453</v>
      </c>
      <c r="H3464" t="s">
        <v>454</v>
      </c>
      <c r="I3464" s="187">
        <v>6.2792900204658497E-2</v>
      </c>
      <c r="J3464" s="187">
        <v>7.3308363556861905E-2</v>
      </c>
      <c r="K3464" s="187">
        <v>5.96731096506119E-2</v>
      </c>
      <c r="L3464" s="187">
        <v>5.9504202008247402E-2</v>
      </c>
      <c r="M3464" s="187">
        <v>6.3819646835327148E-2</v>
      </c>
      <c r="N3464" s="187">
        <v>0.12229710072278976</v>
      </c>
      <c r="O3464" t="s">
        <v>3923</v>
      </c>
    </row>
    <row r="3465" spans="1:15" hidden="1" x14ac:dyDescent="0.45">
      <c r="A3465" s="187">
        <v>2019</v>
      </c>
      <c r="B3465" t="s">
        <v>34</v>
      </c>
      <c r="C3465" t="s">
        <v>321</v>
      </c>
      <c r="D3465" t="s">
        <v>335</v>
      </c>
      <c r="E3465" t="s">
        <v>341</v>
      </c>
      <c r="F3465" t="s">
        <v>375</v>
      </c>
      <c r="G3465" t="s">
        <v>36</v>
      </c>
      <c r="H3465" t="s">
        <v>43</v>
      </c>
      <c r="I3465" s="187">
        <v>7618.8037109375</v>
      </c>
      <c r="J3465" s="187">
        <v>1923.3946533203125</v>
      </c>
      <c r="K3465" s="187">
        <v>17482.345703125</v>
      </c>
      <c r="L3465" s="187">
        <v>14180.0009765625</v>
      </c>
      <c r="M3465" s="187">
        <v>41204.54296875</v>
      </c>
      <c r="N3465" s="187">
        <v>21798.8046875</v>
      </c>
      <c r="O3465" t="s">
        <v>3924</v>
      </c>
    </row>
    <row r="3466" spans="1:15" hidden="1" x14ac:dyDescent="0.45">
      <c r="A3466" s="187">
        <v>2019</v>
      </c>
      <c r="B3466" t="s">
        <v>34</v>
      </c>
      <c r="C3466" t="s">
        <v>321</v>
      </c>
      <c r="D3466" t="s">
        <v>335</v>
      </c>
      <c r="E3466" t="s">
        <v>341</v>
      </c>
      <c r="F3466" t="s">
        <v>375</v>
      </c>
      <c r="G3466" t="s">
        <v>37</v>
      </c>
      <c r="H3466" t="s">
        <v>43</v>
      </c>
      <c r="I3466" s="187">
        <v>6999.30517578125</v>
      </c>
      <c r="J3466" s="187">
        <v>1767</v>
      </c>
      <c r="K3466" s="187">
        <v>16060.826171875</v>
      </c>
      <c r="L3466" s="187">
        <v>13027</v>
      </c>
      <c r="M3466" s="187">
        <v>37854.1328125</v>
      </c>
      <c r="N3466" s="187">
        <v>20026.3046875</v>
      </c>
      <c r="O3466" t="s">
        <v>3925</v>
      </c>
    </row>
    <row r="3467" spans="1:15" hidden="1" x14ac:dyDescent="0.45">
      <c r="A3467" s="187">
        <v>2019</v>
      </c>
      <c r="B3467" t="s">
        <v>34</v>
      </c>
      <c r="C3467" t="s">
        <v>321</v>
      </c>
      <c r="D3467" t="s">
        <v>335</v>
      </c>
      <c r="E3467" t="s">
        <v>341</v>
      </c>
      <c r="F3467" t="s">
        <v>377</v>
      </c>
      <c r="G3467" t="s">
        <v>36</v>
      </c>
      <c r="H3467" t="s">
        <v>43</v>
      </c>
      <c r="I3467" s="187">
        <v>629.94488525390625</v>
      </c>
      <c r="J3467" s="187">
        <v>79.46112060546875</v>
      </c>
      <c r="K3467" s="187">
        <v>1833.4798583984375</v>
      </c>
      <c r="L3467" s="187">
        <v>1926.66015625</v>
      </c>
      <c r="M3467" s="187">
        <v>4469.5458984375</v>
      </c>
      <c r="N3467" s="187">
        <v>2556.60498046875</v>
      </c>
      <c r="O3467" t="s">
        <v>3926</v>
      </c>
    </row>
    <row r="3468" spans="1:15" hidden="1" x14ac:dyDescent="0.45">
      <c r="A3468" s="187">
        <v>2019</v>
      </c>
      <c r="B3468" t="s">
        <v>34</v>
      </c>
      <c r="C3468" t="s">
        <v>321</v>
      </c>
      <c r="D3468" t="s">
        <v>335</v>
      </c>
      <c r="E3468" t="s">
        <v>341</v>
      </c>
      <c r="F3468" t="s">
        <v>377</v>
      </c>
      <c r="G3468" t="s">
        <v>37</v>
      </c>
      <c r="H3468" t="s">
        <v>43</v>
      </c>
      <c r="I3468" s="187">
        <v>578.72296142578125</v>
      </c>
      <c r="J3468" s="187">
        <v>73</v>
      </c>
      <c r="K3468" s="187">
        <v>1684.3963623046875</v>
      </c>
      <c r="L3468" s="187">
        <v>1770</v>
      </c>
      <c r="M3468" s="187">
        <v>4106.119140625</v>
      </c>
      <c r="N3468" s="187">
        <v>2348.722900390625</v>
      </c>
      <c r="O3468" t="s">
        <v>3927</v>
      </c>
    </row>
    <row r="3469" spans="1:15" hidden="1" x14ac:dyDescent="0.45">
      <c r="A3469" s="187">
        <v>2019</v>
      </c>
      <c r="B3469" t="s">
        <v>34</v>
      </c>
      <c r="C3469" t="s">
        <v>321</v>
      </c>
      <c r="D3469" t="s">
        <v>335</v>
      </c>
      <c r="E3469" t="s">
        <v>342</v>
      </c>
      <c r="F3469" t="s">
        <v>342</v>
      </c>
      <c r="G3469" t="s">
        <v>36</v>
      </c>
      <c r="H3469" t="s">
        <v>43</v>
      </c>
      <c r="I3469" s="187">
        <v>17641.361328125</v>
      </c>
      <c r="J3469" s="187">
        <v>2888.901611328125</v>
      </c>
      <c r="K3469" s="187">
        <v>38838.19140625</v>
      </c>
      <c r="L3469" s="187">
        <v>35151.20703125</v>
      </c>
      <c r="M3469" s="187">
        <v>94519.65625</v>
      </c>
      <c r="N3469" s="187">
        <v>52792.5703125</v>
      </c>
      <c r="O3469" t="s">
        <v>3928</v>
      </c>
    </row>
    <row r="3470" spans="1:15" hidden="1" x14ac:dyDescent="0.45">
      <c r="A3470" s="187">
        <v>2019</v>
      </c>
      <c r="B3470" t="s">
        <v>34</v>
      </c>
      <c r="C3470" t="s">
        <v>321</v>
      </c>
      <c r="D3470" t="s">
        <v>335</v>
      </c>
      <c r="E3470" t="s">
        <v>342</v>
      </c>
      <c r="F3470" t="s">
        <v>342</v>
      </c>
      <c r="G3470" t="s">
        <v>37</v>
      </c>
      <c r="H3470" t="s">
        <v>43</v>
      </c>
      <c r="I3470" s="187">
        <v>16206.9111328125</v>
      </c>
      <c r="J3470" s="187">
        <v>2654</v>
      </c>
      <c r="K3470" s="187">
        <v>35680.19140625</v>
      </c>
      <c r="L3470" s="187">
        <v>32293</v>
      </c>
      <c r="M3470" s="187">
        <v>86834.1015625</v>
      </c>
      <c r="N3470" s="187">
        <v>48499.91015625</v>
      </c>
      <c r="O3470" t="s">
        <v>3929</v>
      </c>
    </row>
    <row r="3471" spans="1:15" hidden="1" x14ac:dyDescent="0.45">
      <c r="A3471" s="187">
        <v>2019</v>
      </c>
      <c r="B3471" t="s">
        <v>34</v>
      </c>
      <c r="C3471" t="s">
        <v>321</v>
      </c>
      <c r="D3471" t="s">
        <v>335</v>
      </c>
      <c r="E3471" t="s">
        <v>343</v>
      </c>
      <c r="F3471" t="s">
        <v>343</v>
      </c>
      <c r="G3471" t="s">
        <v>36</v>
      </c>
      <c r="H3471" t="s">
        <v>43</v>
      </c>
      <c r="I3471" s="187">
        <v>10203.0224609375</v>
      </c>
      <c r="J3471" s="187">
        <v>1771.390380859375</v>
      </c>
      <c r="K3471" s="187">
        <v>22249.41015625</v>
      </c>
      <c r="L3471" s="187">
        <v>24461.171875</v>
      </c>
      <c r="M3471" s="187">
        <v>58684.99609375</v>
      </c>
      <c r="N3471" s="187">
        <v>34664.1953125</v>
      </c>
      <c r="O3471" t="s">
        <v>3930</v>
      </c>
    </row>
    <row r="3472" spans="1:15" hidden="1" x14ac:dyDescent="0.45">
      <c r="A3472" s="187">
        <v>2019</v>
      </c>
      <c r="B3472" t="s">
        <v>34</v>
      </c>
      <c r="C3472" t="s">
        <v>321</v>
      </c>
      <c r="D3472" t="s">
        <v>335</v>
      </c>
      <c r="E3472" t="s">
        <v>343</v>
      </c>
      <c r="F3472" t="s">
        <v>343</v>
      </c>
      <c r="G3472" t="s">
        <v>37</v>
      </c>
      <c r="H3472" t="s">
        <v>43</v>
      </c>
      <c r="I3472" s="187">
        <v>9373.396484375</v>
      </c>
      <c r="J3472" s="187">
        <v>1627.35546875</v>
      </c>
      <c r="K3472" s="187">
        <v>20440.271484375</v>
      </c>
      <c r="L3472" s="187">
        <v>22472.19140625</v>
      </c>
      <c r="M3472" s="187">
        <v>53913.21484375</v>
      </c>
      <c r="N3472" s="187">
        <v>31845.587890625</v>
      </c>
      <c r="O3472" t="s">
        <v>3931</v>
      </c>
    </row>
    <row r="3473" spans="1:15" hidden="1" x14ac:dyDescent="0.45">
      <c r="A3473" s="187">
        <v>2019</v>
      </c>
      <c r="B3473" t="s">
        <v>34</v>
      </c>
      <c r="C3473" t="s">
        <v>321</v>
      </c>
      <c r="D3473" t="s">
        <v>335</v>
      </c>
      <c r="E3473" t="s">
        <v>344</v>
      </c>
      <c r="F3473" t="s">
        <v>344</v>
      </c>
      <c r="G3473" t="s">
        <v>36</v>
      </c>
      <c r="H3473" t="s">
        <v>43</v>
      </c>
      <c r="I3473" s="187">
        <v>13334.609375</v>
      </c>
      <c r="J3473" s="187">
        <v>2407.929931640625</v>
      </c>
      <c r="K3473" s="187">
        <v>29382.013671875</v>
      </c>
      <c r="L3473" s="187">
        <v>30102.09375</v>
      </c>
      <c r="M3473" s="187">
        <v>75226.6484375</v>
      </c>
      <c r="N3473" s="187">
        <v>43436.703125</v>
      </c>
      <c r="O3473" t="s">
        <v>3932</v>
      </c>
    </row>
    <row r="3474" spans="1:15" hidden="1" x14ac:dyDescent="0.45">
      <c r="A3474" s="187">
        <v>2019</v>
      </c>
      <c r="B3474" t="s">
        <v>34</v>
      </c>
      <c r="C3474" t="s">
        <v>321</v>
      </c>
      <c r="D3474" t="s">
        <v>335</v>
      </c>
      <c r="E3474" t="s">
        <v>344</v>
      </c>
      <c r="F3474" t="s">
        <v>344</v>
      </c>
      <c r="G3474" t="s">
        <v>37</v>
      </c>
      <c r="H3474" t="s">
        <v>43</v>
      </c>
      <c r="I3474" s="187">
        <v>12250.3486328125</v>
      </c>
      <c r="J3474" s="187">
        <v>2212.136962890625</v>
      </c>
      <c r="K3474" s="187">
        <v>26992.91015625</v>
      </c>
      <c r="L3474" s="187">
        <v>27654.439453125</v>
      </c>
      <c r="M3474" s="187">
        <v>69109.8359375</v>
      </c>
      <c r="N3474" s="187">
        <v>39904.7890625</v>
      </c>
      <c r="O3474" t="s">
        <v>3933</v>
      </c>
    </row>
    <row r="3475" spans="1:15" hidden="1" x14ac:dyDescent="0.45">
      <c r="A3475" s="187">
        <v>2019</v>
      </c>
      <c r="B3475" t="s">
        <v>34</v>
      </c>
      <c r="C3475" t="s">
        <v>321</v>
      </c>
      <c r="D3475" t="s">
        <v>335</v>
      </c>
      <c r="E3475" t="s">
        <v>345</v>
      </c>
      <c r="F3475" t="s">
        <v>378</v>
      </c>
      <c r="G3475" t="s">
        <v>36</v>
      </c>
      <c r="H3475" t="s">
        <v>43</v>
      </c>
      <c r="I3475" s="187">
        <v>3131.5869140625</v>
      </c>
      <c r="J3475" s="187">
        <v>636.5396728515625</v>
      </c>
      <c r="K3475" s="187">
        <v>6664.72216796875</v>
      </c>
      <c r="L3475" s="187">
        <v>5179.46533203125</v>
      </c>
      <c r="M3475" s="187">
        <v>15612.314453125</v>
      </c>
      <c r="N3475" s="187">
        <v>8311.052734375</v>
      </c>
      <c r="O3475" t="s">
        <v>3934</v>
      </c>
    </row>
    <row r="3476" spans="1:15" hidden="1" x14ac:dyDescent="0.45">
      <c r="A3476" s="187">
        <v>2019</v>
      </c>
      <c r="B3476" t="s">
        <v>34</v>
      </c>
      <c r="C3476" t="s">
        <v>321</v>
      </c>
      <c r="D3476" t="s">
        <v>335</v>
      </c>
      <c r="E3476" t="s">
        <v>345</v>
      </c>
      <c r="F3476" t="s">
        <v>378</v>
      </c>
      <c r="G3476" t="s">
        <v>37</v>
      </c>
      <c r="H3476" t="s">
        <v>43</v>
      </c>
      <c r="I3476" s="187">
        <v>2876.9521484375</v>
      </c>
      <c r="J3476" s="187">
        <v>584.781494140625</v>
      </c>
      <c r="K3476" s="187">
        <v>6122.8017578125</v>
      </c>
      <c r="L3476" s="187">
        <v>4758.31396484375</v>
      </c>
      <c r="M3476" s="187">
        <v>14342.849609375</v>
      </c>
      <c r="N3476" s="187">
        <v>7635.26611328125</v>
      </c>
      <c r="O3476" t="s">
        <v>3935</v>
      </c>
    </row>
    <row r="3477" spans="1:15" hidden="1" x14ac:dyDescent="0.45">
      <c r="A3477" s="187">
        <v>2019</v>
      </c>
      <c r="B3477" t="s">
        <v>34</v>
      </c>
      <c r="C3477" t="s">
        <v>321</v>
      </c>
      <c r="D3477" t="s">
        <v>335</v>
      </c>
      <c r="E3477" t="s">
        <v>346</v>
      </c>
      <c r="F3477" t="s">
        <v>379</v>
      </c>
      <c r="G3477" t="s">
        <v>36</v>
      </c>
      <c r="H3477" t="s">
        <v>43</v>
      </c>
      <c r="I3477" s="187">
        <v>0</v>
      </c>
      <c r="J3477" s="187">
        <v>0</v>
      </c>
      <c r="K3477" s="187">
        <v>467.88174438476563</v>
      </c>
      <c r="L3477" s="187">
        <v>461.45669555664063</v>
      </c>
      <c r="M3477" s="187">
        <v>929.33843994140625</v>
      </c>
      <c r="N3477" s="187">
        <v>461.45669555664063</v>
      </c>
      <c r="O3477" t="s">
        <v>3936</v>
      </c>
    </row>
    <row r="3478" spans="1:15" hidden="1" x14ac:dyDescent="0.45">
      <c r="A3478" s="187">
        <v>2019</v>
      </c>
      <c r="B3478" t="s">
        <v>34</v>
      </c>
      <c r="C3478" t="s">
        <v>321</v>
      </c>
      <c r="D3478" t="s">
        <v>335</v>
      </c>
      <c r="E3478" t="s">
        <v>346</v>
      </c>
      <c r="F3478" t="s">
        <v>379</v>
      </c>
      <c r="G3478" t="s">
        <v>37</v>
      </c>
      <c r="H3478" t="s">
        <v>43</v>
      </c>
      <c r="I3478" s="187">
        <v>0</v>
      </c>
      <c r="J3478" s="187">
        <v>0</v>
      </c>
      <c r="K3478" s="187">
        <v>429.83746337890625</v>
      </c>
      <c r="L3478" s="187">
        <v>423.93484497070313</v>
      </c>
      <c r="M3478" s="187">
        <v>853.7723388671875</v>
      </c>
      <c r="N3478" s="187">
        <v>423.93484497070313</v>
      </c>
      <c r="O3478" t="s">
        <v>3937</v>
      </c>
    </row>
    <row r="3479" spans="1:15" hidden="1" x14ac:dyDescent="0.45">
      <c r="A3479" s="187">
        <v>2019</v>
      </c>
      <c r="B3479" t="s">
        <v>34</v>
      </c>
      <c r="C3479" t="s">
        <v>321</v>
      </c>
      <c r="D3479" t="s">
        <v>335</v>
      </c>
      <c r="E3479" t="s">
        <v>347</v>
      </c>
      <c r="F3479" t="s">
        <v>380</v>
      </c>
      <c r="G3479" t="s">
        <v>36</v>
      </c>
      <c r="H3479" t="s">
        <v>43</v>
      </c>
      <c r="I3479" s="187">
        <v>0</v>
      </c>
      <c r="J3479" s="187">
        <v>0</v>
      </c>
      <c r="K3479" s="187">
        <v>151.659423828125</v>
      </c>
      <c r="L3479" s="187">
        <v>-14.15061092376709</v>
      </c>
      <c r="M3479" s="187">
        <v>137.50881958007813</v>
      </c>
      <c r="N3479" s="187">
        <v>-14.15061092376709</v>
      </c>
      <c r="O3479" t="s">
        <v>3938</v>
      </c>
    </row>
    <row r="3480" spans="1:15" hidden="1" x14ac:dyDescent="0.45">
      <c r="A3480" s="187">
        <v>2019</v>
      </c>
      <c r="B3480" t="s">
        <v>34</v>
      </c>
      <c r="C3480" t="s">
        <v>321</v>
      </c>
      <c r="D3480" t="s">
        <v>335</v>
      </c>
      <c r="E3480" t="s">
        <v>347</v>
      </c>
      <c r="F3480" t="s">
        <v>380</v>
      </c>
      <c r="G3480" t="s">
        <v>37</v>
      </c>
      <c r="H3480" t="s">
        <v>43</v>
      </c>
      <c r="I3480" s="187">
        <v>0</v>
      </c>
      <c r="J3480" s="187">
        <v>0</v>
      </c>
      <c r="K3480" s="187">
        <v>139.32772827148438</v>
      </c>
      <c r="L3480" s="187">
        <v>-13</v>
      </c>
      <c r="M3480" s="187">
        <v>126.32772827148438</v>
      </c>
      <c r="N3480" s="187">
        <v>-13</v>
      </c>
      <c r="O3480" t="s">
        <v>3939</v>
      </c>
    </row>
    <row r="3481" spans="1:15" hidden="1" x14ac:dyDescent="0.45">
      <c r="A3481" s="187">
        <v>2019</v>
      </c>
      <c r="B3481" t="s">
        <v>34</v>
      </c>
      <c r="C3481" t="s">
        <v>321</v>
      </c>
      <c r="D3481" t="s">
        <v>335</v>
      </c>
      <c r="E3481" t="s">
        <v>347</v>
      </c>
      <c r="F3481" t="s">
        <v>11</v>
      </c>
      <c r="G3481" t="s">
        <v>36</v>
      </c>
      <c r="H3481" t="s">
        <v>43</v>
      </c>
      <c r="I3481" s="187">
        <v>25860.28515625</v>
      </c>
      <c r="J3481" s="187">
        <v>4825.3583984375</v>
      </c>
      <c r="K3481" s="187">
        <v>57374.5859375</v>
      </c>
      <c r="L3481" s="187">
        <v>51272.01953125</v>
      </c>
      <c r="M3481" s="187">
        <v>139332.25</v>
      </c>
      <c r="N3481" s="187">
        <v>77132.3046875</v>
      </c>
      <c r="O3481" t="s">
        <v>3940</v>
      </c>
    </row>
    <row r="3482" spans="1:15" hidden="1" x14ac:dyDescent="0.45">
      <c r="A3482" s="187">
        <v>2019</v>
      </c>
      <c r="B3482" t="s">
        <v>34</v>
      </c>
      <c r="C3482" t="s">
        <v>321</v>
      </c>
      <c r="D3482" t="s">
        <v>335</v>
      </c>
      <c r="E3482" t="s">
        <v>347</v>
      </c>
      <c r="F3482" t="s">
        <v>11</v>
      </c>
      <c r="G3482" t="s">
        <v>37</v>
      </c>
      <c r="H3482" t="s">
        <v>43</v>
      </c>
      <c r="I3482" s="187">
        <v>23757.5390625</v>
      </c>
      <c r="J3482" s="187">
        <v>4433</v>
      </c>
      <c r="K3482" s="187">
        <v>52709.35546875</v>
      </c>
      <c r="L3482" s="187">
        <v>47103</v>
      </c>
      <c r="M3482" s="187">
        <v>128002.890625</v>
      </c>
      <c r="N3482" s="187">
        <v>70860.5390625</v>
      </c>
      <c r="O3482" t="s">
        <v>3941</v>
      </c>
    </row>
    <row r="3483" spans="1:15" hidden="1" x14ac:dyDescent="0.45">
      <c r="A3483" s="187">
        <v>2019</v>
      </c>
      <c r="B3483" t="s">
        <v>34</v>
      </c>
      <c r="C3483" t="s">
        <v>321</v>
      </c>
      <c r="D3483" t="s">
        <v>335</v>
      </c>
      <c r="E3483" t="s">
        <v>347</v>
      </c>
      <c r="F3483" t="s">
        <v>381</v>
      </c>
      <c r="G3483" t="s">
        <v>36</v>
      </c>
      <c r="H3483" t="s">
        <v>43</v>
      </c>
      <c r="I3483" s="187">
        <v>29.82513427734375</v>
      </c>
      <c r="J3483" s="187">
        <v>66.399024963378906</v>
      </c>
      <c r="K3483" s="187">
        <v>627.77484130859375</v>
      </c>
      <c r="L3483" s="187">
        <v>0</v>
      </c>
      <c r="M3483" s="187">
        <v>723.9990234375</v>
      </c>
      <c r="N3483" s="187">
        <v>29.82513427734375</v>
      </c>
      <c r="O3483" t="s">
        <v>3942</v>
      </c>
    </row>
    <row r="3484" spans="1:15" hidden="1" x14ac:dyDescent="0.45">
      <c r="A3484" s="187">
        <v>2019</v>
      </c>
      <c r="B3484" t="s">
        <v>34</v>
      </c>
      <c r="C3484" t="s">
        <v>321</v>
      </c>
      <c r="D3484" t="s">
        <v>335</v>
      </c>
      <c r="E3484" t="s">
        <v>347</v>
      </c>
      <c r="F3484" t="s">
        <v>381</v>
      </c>
      <c r="G3484" t="s">
        <v>37</v>
      </c>
      <c r="H3484" t="s">
        <v>43</v>
      </c>
      <c r="I3484" s="187">
        <v>27.399999618530273</v>
      </c>
      <c r="J3484" s="187">
        <v>61</v>
      </c>
      <c r="K3484" s="187">
        <v>576.7293701171875</v>
      </c>
      <c r="L3484" s="187">
        <v>0</v>
      </c>
      <c r="M3484" s="187">
        <v>665.12939453125</v>
      </c>
      <c r="N3484" s="187">
        <v>27.399999618530273</v>
      </c>
      <c r="O3484" t="s">
        <v>3943</v>
      </c>
    </row>
    <row r="3485" spans="1:15" hidden="1" x14ac:dyDescent="0.45">
      <c r="A3485" s="187">
        <v>2019</v>
      </c>
      <c r="B3485" t="s">
        <v>34</v>
      </c>
      <c r="C3485" t="s">
        <v>321</v>
      </c>
      <c r="D3485" t="s">
        <v>335</v>
      </c>
      <c r="E3485" t="s">
        <v>347</v>
      </c>
      <c r="F3485" t="s">
        <v>347</v>
      </c>
      <c r="G3485" t="s">
        <v>36</v>
      </c>
      <c r="H3485" t="s">
        <v>43</v>
      </c>
      <c r="I3485" s="187">
        <v>25890.109375</v>
      </c>
      <c r="J3485" s="187">
        <v>4891.75732421875</v>
      </c>
      <c r="K3485" s="187">
        <v>58154.01953125</v>
      </c>
      <c r="L3485" s="187">
        <v>51257.8671875</v>
      </c>
      <c r="M3485" s="187">
        <v>140193.75</v>
      </c>
      <c r="N3485" s="187">
        <v>77147.9765625</v>
      </c>
      <c r="O3485" t="s">
        <v>3944</v>
      </c>
    </row>
    <row r="3486" spans="1:15" hidden="1" x14ac:dyDescent="0.45">
      <c r="A3486" s="187">
        <v>2019</v>
      </c>
      <c r="B3486" t="s">
        <v>34</v>
      </c>
      <c r="C3486" t="s">
        <v>321</v>
      </c>
      <c r="D3486" t="s">
        <v>335</v>
      </c>
      <c r="E3486" t="s">
        <v>347</v>
      </c>
      <c r="F3486" t="s">
        <v>347</v>
      </c>
      <c r="G3486" t="s">
        <v>37</v>
      </c>
      <c r="H3486" t="s">
        <v>43</v>
      </c>
      <c r="I3486" s="187">
        <v>23784.939453125</v>
      </c>
      <c r="J3486" s="187">
        <v>4494</v>
      </c>
      <c r="K3486" s="187">
        <v>53425.4140625</v>
      </c>
      <c r="L3486" s="187">
        <v>47090</v>
      </c>
      <c r="M3486" s="187">
        <v>128794.3515625</v>
      </c>
      <c r="N3486" s="187">
        <v>70874.9375</v>
      </c>
      <c r="O3486" t="s">
        <v>3945</v>
      </c>
    </row>
    <row r="3487" spans="1:15" hidden="1" x14ac:dyDescent="0.45">
      <c r="A3487" s="187">
        <v>2019</v>
      </c>
      <c r="B3487" t="s">
        <v>34</v>
      </c>
      <c r="C3487" t="s">
        <v>334</v>
      </c>
      <c r="D3487" t="s">
        <v>335</v>
      </c>
      <c r="E3487" t="s">
        <v>367</v>
      </c>
      <c r="F3487" t="s">
        <v>367</v>
      </c>
      <c r="G3487" t="s">
        <v>36</v>
      </c>
      <c r="H3487" t="s">
        <v>43</v>
      </c>
      <c r="I3487" s="187">
        <v>101.68914794921875</v>
      </c>
      <c r="J3487" s="187">
        <v>-13.062102317810059</v>
      </c>
      <c r="K3487" s="187">
        <v>-408.1488037109375</v>
      </c>
      <c r="L3487" s="187">
        <v>665.0787353515625</v>
      </c>
      <c r="M3487" s="187">
        <v>345.55697631835938</v>
      </c>
      <c r="N3487" s="187">
        <v>766.76788330078125</v>
      </c>
      <c r="O3487" t="s">
        <v>3946</v>
      </c>
    </row>
    <row r="3488" spans="1:15" hidden="1" x14ac:dyDescent="0.45">
      <c r="A3488" s="187">
        <v>2019</v>
      </c>
      <c r="B3488" t="s">
        <v>34</v>
      </c>
      <c r="C3488" t="s">
        <v>334</v>
      </c>
      <c r="D3488" t="s">
        <v>335</v>
      </c>
      <c r="E3488" t="s">
        <v>367</v>
      </c>
      <c r="F3488" t="s">
        <v>367</v>
      </c>
      <c r="G3488" t="s">
        <v>37</v>
      </c>
      <c r="H3488" t="s">
        <v>43</v>
      </c>
      <c r="I3488" s="187">
        <v>93.420623779296875</v>
      </c>
      <c r="J3488" s="187">
        <v>-12</v>
      </c>
      <c r="K3488" s="187">
        <v>-374.96151733398438</v>
      </c>
      <c r="L3488" s="187">
        <v>611</v>
      </c>
      <c r="M3488" s="187">
        <v>317.4591064453125</v>
      </c>
      <c r="N3488" s="187">
        <v>704.420654296875</v>
      </c>
      <c r="O3488" t="s">
        <v>3947</v>
      </c>
    </row>
    <row r="3489" spans="1:15" hidden="1" x14ac:dyDescent="0.45">
      <c r="A3489" s="187">
        <v>2019</v>
      </c>
      <c r="B3489" t="s">
        <v>34</v>
      </c>
      <c r="C3489" t="s">
        <v>334</v>
      </c>
      <c r="D3489" t="s">
        <v>335</v>
      </c>
      <c r="E3489" t="s">
        <v>26</v>
      </c>
      <c r="F3489" t="s">
        <v>26</v>
      </c>
      <c r="G3489" t="s">
        <v>36</v>
      </c>
      <c r="H3489" t="s">
        <v>43</v>
      </c>
      <c r="I3489" s="187">
        <v>0</v>
      </c>
      <c r="J3489" s="187">
        <v>10.885085105895996</v>
      </c>
      <c r="K3489" s="187">
        <v>475.32150268554688</v>
      </c>
      <c r="L3489" s="187">
        <v>20.681661605834961</v>
      </c>
      <c r="M3489" s="187">
        <v>506.88824462890625</v>
      </c>
      <c r="N3489" s="187">
        <v>20.681661605834961</v>
      </c>
      <c r="O3489" t="s">
        <v>3948</v>
      </c>
    </row>
    <row r="3490" spans="1:15" hidden="1" x14ac:dyDescent="0.45">
      <c r="A3490" s="187">
        <v>2019</v>
      </c>
      <c r="B3490" t="s">
        <v>34</v>
      </c>
      <c r="C3490" t="s">
        <v>334</v>
      </c>
      <c r="D3490" t="s">
        <v>335</v>
      </c>
      <c r="E3490" t="s">
        <v>26</v>
      </c>
      <c r="F3490" t="s">
        <v>26</v>
      </c>
      <c r="G3490" t="s">
        <v>37</v>
      </c>
      <c r="H3490" t="s">
        <v>43</v>
      </c>
      <c r="I3490" s="187">
        <v>0</v>
      </c>
      <c r="J3490" s="187">
        <v>10</v>
      </c>
      <c r="K3490" s="187">
        <v>436.67227172851563</v>
      </c>
      <c r="L3490" s="187">
        <v>19</v>
      </c>
      <c r="M3490" s="187">
        <v>465.67227172851563</v>
      </c>
      <c r="N3490" s="187">
        <v>19</v>
      </c>
      <c r="O3490" t="s">
        <v>3949</v>
      </c>
    </row>
    <row r="3491" spans="1:15" hidden="1" x14ac:dyDescent="0.45">
      <c r="A3491" s="187">
        <v>2019</v>
      </c>
      <c r="B3491" t="s">
        <v>34</v>
      </c>
      <c r="C3491" t="s">
        <v>334</v>
      </c>
      <c r="D3491" t="s">
        <v>335</v>
      </c>
      <c r="E3491" t="s">
        <v>368</v>
      </c>
      <c r="F3491" t="s">
        <v>448</v>
      </c>
      <c r="G3491" t="s">
        <v>36</v>
      </c>
      <c r="H3491" t="s">
        <v>43</v>
      </c>
      <c r="I3491" s="187">
        <v>6754.04052734375</v>
      </c>
      <c r="J3491" s="187">
        <v>911.0816650390625</v>
      </c>
      <c r="K3491" s="187">
        <v>15294.5341796875</v>
      </c>
      <c r="L3491" s="187">
        <v>12444.91796875</v>
      </c>
      <c r="M3491" s="187">
        <v>35404.57421875</v>
      </c>
      <c r="N3491" s="187">
        <v>19198.958984375</v>
      </c>
      <c r="O3491" t="s">
        <v>3950</v>
      </c>
    </row>
    <row r="3492" spans="1:15" hidden="1" x14ac:dyDescent="0.45">
      <c r="A3492" s="187">
        <v>2019</v>
      </c>
      <c r="B3492" t="s">
        <v>34</v>
      </c>
      <c r="C3492" t="s">
        <v>334</v>
      </c>
      <c r="D3492" t="s">
        <v>335</v>
      </c>
      <c r="E3492" t="s">
        <v>368</v>
      </c>
      <c r="F3492" t="s">
        <v>448</v>
      </c>
      <c r="G3492" t="s">
        <v>37</v>
      </c>
      <c r="H3492" t="s">
        <v>43</v>
      </c>
      <c r="I3492" s="187">
        <v>6204.857421875</v>
      </c>
      <c r="J3492" s="187">
        <v>837</v>
      </c>
      <c r="K3492" s="187">
        <v>14050.908203125</v>
      </c>
      <c r="L3492" s="187">
        <v>11433</v>
      </c>
      <c r="M3492" s="187">
        <v>32525.765625</v>
      </c>
      <c r="N3492" s="187">
        <v>17637.857421875</v>
      </c>
      <c r="O3492" t="s">
        <v>3951</v>
      </c>
    </row>
    <row r="3493" spans="1:15" hidden="1" x14ac:dyDescent="0.45">
      <c r="A3493" s="187">
        <v>2019</v>
      </c>
      <c r="B3493" t="s">
        <v>34</v>
      </c>
      <c r="C3493" t="s">
        <v>334</v>
      </c>
      <c r="D3493" t="s">
        <v>335</v>
      </c>
      <c r="E3493" t="s">
        <v>368</v>
      </c>
      <c r="F3493" t="s">
        <v>449</v>
      </c>
      <c r="G3493" t="s">
        <v>36</v>
      </c>
      <c r="H3493" t="s">
        <v>43</v>
      </c>
      <c r="I3493" s="187">
        <v>2447.2890625</v>
      </c>
      <c r="J3493" s="187">
        <v>429.96087646484375</v>
      </c>
      <c r="K3493" s="187">
        <v>5838.35546875</v>
      </c>
      <c r="L3493" s="187">
        <v>7395.3271484375</v>
      </c>
      <c r="M3493" s="187">
        <v>16110.9326171875</v>
      </c>
      <c r="N3493" s="187">
        <v>9842.6162109375</v>
      </c>
      <c r="O3493" t="s">
        <v>3952</v>
      </c>
    </row>
    <row r="3494" spans="1:15" hidden="1" x14ac:dyDescent="0.45">
      <c r="A3494" s="187">
        <v>2019</v>
      </c>
      <c r="B3494" t="s">
        <v>34</v>
      </c>
      <c r="C3494" t="s">
        <v>334</v>
      </c>
      <c r="D3494" t="s">
        <v>335</v>
      </c>
      <c r="E3494" t="s">
        <v>368</v>
      </c>
      <c r="F3494" t="s">
        <v>449</v>
      </c>
      <c r="G3494" t="s">
        <v>37</v>
      </c>
      <c r="H3494" t="s">
        <v>43</v>
      </c>
      <c r="I3494" s="187">
        <v>2248.295654296875</v>
      </c>
      <c r="J3494" s="187">
        <v>395</v>
      </c>
      <c r="K3494" s="187">
        <v>5363.62841796875</v>
      </c>
      <c r="L3494" s="187">
        <v>6794</v>
      </c>
      <c r="M3494" s="187">
        <v>14800.923828125</v>
      </c>
      <c r="N3494" s="187">
        <v>9042.2958984375</v>
      </c>
      <c r="O3494" t="s">
        <v>3953</v>
      </c>
    </row>
    <row r="3495" spans="1:15" hidden="1" x14ac:dyDescent="0.45">
      <c r="A3495" s="187">
        <v>2019</v>
      </c>
      <c r="B3495" t="s">
        <v>34</v>
      </c>
      <c r="C3495" t="s">
        <v>334</v>
      </c>
      <c r="D3495" t="s">
        <v>335</v>
      </c>
      <c r="E3495" t="s">
        <v>46</v>
      </c>
      <c r="F3495" t="s">
        <v>46</v>
      </c>
      <c r="G3495" t="s">
        <v>36</v>
      </c>
      <c r="H3495" t="s">
        <v>43</v>
      </c>
      <c r="I3495" s="187">
        <v>15722.98046875</v>
      </c>
      <c r="J3495" s="187">
        <v>883.86895751953125</v>
      </c>
      <c r="K3495" s="187">
        <v>25416.537109375</v>
      </c>
      <c r="L3495" s="187">
        <v>24020.1171875</v>
      </c>
      <c r="M3495" s="187">
        <v>66043.5</v>
      </c>
      <c r="N3495" s="187">
        <v>39743.09765625</v>
      </c>
      <c r="O3495" t="s">
        <v>3954</v>
      </c>
    </row>
    <row r="3496" spans="1:15" hidden="1" x14ac:dyDescent="0.45">
      <c r="A3496" s="187">
        <v>2019</v>
      </c>
      <c r="B3496" t="s">
        <v>34</v>
      </c>
      <c r="C3496" t="s">
        <v>334</v>
      </c>
      <c r="D3496" t="s">
        <v>335</v>
      </c>
      <c r="E3496" t="s">
        <v>46</v>
      </c>
      <c r="F3496" t="s">
        <v>46</v>
      </c>
      <c r="G3496" t="s">
        <v>37</v>
      </c>
      <c r="H3496" t="s">
        <v>43</v>
      </c>
      <c r="I3496" s="187">
        <v>14444.517578125</v>
      </c>
      <c r="J3496" s="187">
        <v>812</v>
      </c>
      <c r="K3496" s="187">
        <v>23349.873046875</v>
      </c>
      <c r="L3496" s="187">
        <v>22067</v>
      </c>
      <c r="M3496" s="187">
        <v>60673.390625</v>
      </c>
      <c r="N3496" s="187">
        <v>36511.515625</v>
      </c>
      <c r="O3496" t="s">
        <v>3955</v>
      </c>
    </row>
    <row r="3497" spans="1:15" hidden="1" x14ac:dyDescent="0.45">
      <c r="A3497" s="187">
        <v>2019</v>
      </c>
      <c r="B3497" t="s">
        <v>34</v>
      </c>
      <c r="C3497" t="s">
        <v>334</v>
      </c>
      <c r="D3497" t="s">
        <v>335</v>
      </c>
      <c r="E3497" t="s">
        <v>369</v>
      </c>
      <c r="F3497" t="s">
        <v>369</v>
      </c>
      <c r="G3497" t="s">
        <v>36</v>
      </c>
      <c r="H3497" t="s">
        <v>43</v>
      </c>
      <c r="I3497" s="187">
        <v>0</v>
      </c>
      <c r="J3497" s="187">
        <v>0</v>
      </c>
      <c r="K3497" s="187">
        <v>0</v>
      </c>
      <c r="L3497" s="187">
        <v>0</v>
      </c>
      <c r="M3497" s="187">
        <v>0</v>
      </c>
      <c r="N3497" s="187">
        <v>0</v>
      </c>
      <c r="O3497" t="s">
        <v>3956</v>
      </c>
    </row>
    <row r="3498" spans="1:15" hidden="1" x14ac:dyDescent="0.45">
      <c r="A3498" s="187">
        <v>2019</v>
      </c>
      <c r="B3498" t="s">
        <v>34</v>
      </c>
      <c r="C3498" t="s">
        <v>334</v>
      </c>
      <c r="D3498" t="s">
        <v>335</v>
      </c>
      <c r="E3498" t="s">
        <v>369</v>
      </c>
      <c r="F3498" t="s">
        <v>369</v>
      </c>
      <c r="G3498" t="s">
        <v>37</v>
      </c>
      <c r="H3498" t="s">
        <v>43</v>
      </c>
      <c r="I3498" s="187">
        <v>0</v>
      </c>
      <c r="J3498" s="187">
        <v>0</v>
      </c>
      <c r="K3498" s="187">
        <v>0</v>
      </c>
      <c r="L3498" s="187">
        <v>0</v>
      </c>
      <c r="M3498" s="187">
        <v>0</v>
      </c>
      <c r="N3498" s="187">
        <v>0</v>
      </c>
      <c r="O3498" t="s">
        <v>3957</v>
      </c>
    </row>
    <row r="3499" spans="1:15" hidden="1" x14ac:dyDescent="0.45">
      <c r="A3499" s="187">
        <v>2019</v>
      </c>
      <c r="B3499" t="s">
        <v>34</v>
      </c>
      <c r="C3499" t="s">
        <v>334</v>
      </c>
      <c r="D3499" t="s">
        <v>335</v>
      </c>
      <c r="E3499" t="s">
        <v>366</v>
      </c>
      <c r="F3499" t="s">
        <v>366</v>
      </c>
      <c r="G3499" t="s">
        <v>36</v>
      </c>
      <c r="H3499" t="s">
        <v>43</v>
      </c>
      <c r="I3499" s="187">
        <v>178603.265625</v>
      </c>
      <c r="J3499" s="187">
        <v>26092.638671875</v>
      </c>
      <c r="K3499" s="187">
        <v>417341.28125</v>
      </c>
      <c r="L3499" s="187">
        <v>461558.09375</v>
      </c>
      <c r="M3499" s="187">
        <v>1083595.25</v>
      </c>
      <c r="N3499" s="187">
        <v>640161.375</v>
      </c>
      <c r="O3499" t="s">
        <v>3958</v>
      </c>
    </row>
    <row r="3500" spans="1:15" hidden="1" x14ac:dyDescent="0.45">
      <c r="A3500" s="187">
        <v>2019</v>
      </c>
      <c r="B3500" t="s">
        <v>34</v>
      </c>
      <c r="C3500" t="s">
        <v>334</v>
      </c>
      <c r="D3500" t="s">
        <v>335</v>
      </c>
      <c r="E3500" t="s">
        <v>366</v>
      </c>
      <c r="F3500" t="s">
        <v>366</v>
      </c>
      <c r="G3500" t="s">
        <v>37</v>
      </c>
      <c r="H3500" t="s">
        <v>43</v>
      </c>
      <c r="I3500" s="187">
        <v>164080.71875</v>
      </c>
      <c r="J3500" s="187">
        <v>23971</v>
      </c>
      <c r="K3500" s="187">
        <v>383406.53125</v>
      </c>
      <c r="L3500" s="187">
        <v>424028</v>
      </c>
      <c r="M3500" s="187">
        <v>995486.25</v>
      </c>
      <c r="N3500" s="187">
        <v>588108.75</v>
      </c>
      <c r="O3500" t="s">
        <v>3959</v>
      </c>
    </row>
    <row r="3501" spans="1:15" hidden="1" x14ac:dyDescent="0.45">
      <c r="A3501" s="187">
        <v>2019</v>
      </c>
      <c r="B3501" t="s">
        <v>34</v>
      </c>
      <c r="C3501" t="s">
        <v>334</v>
      </c>
      <c r="D3501" t="s">
        <v>335</v>
      </c>
      <c r="E3501" t="s">
        <v>370</v>
      </c>
      <c r="F3501" t="s">
        <v>370</v>
      </c>
      <c r="G3501" t="s">
        <v>36</v>
      </c>
      <c r="H3501" t="s">
        <v>43</v>
      </c>
      <c r="I3501" s="187">
        <v>167085.34375</v>
      </c>
      <c r="J3501" s="187">
        <v>25713.837890625</v>
      </c>
      <c r="K3501" s="187">
        <v>402264.4375</v>
      </c>
      <c r="L3501" s="187">
        <v>441943.1875</v>
      </c>
      <c r="M3501" s="187">
        <v>1037006.8125</v>
      </c>
      <c r="N3501" s="187">
        <v>609028.5</v>
      </c>
      <c r="O3501" t="s">
        <v>3960</v>
      </c>
    </row>
    <row r="3502" spans="1:15" hidden="1" x14ac:dyDescent="0.45">
      <c r="A3502" s="187">
        <v>2019</v>
      </c>
      <c r="B3502" t="s">
        <v>34</v>
      </c>
      <c r="C3502" t="s">
        <v>334</v>
      </c>
      <c r="D3502" t="s">
        <v>335</v>
      </c>
      <c r="E3502" t="s">
        <v>370</v>
      </c>
      <c r="F3502" t="s">
        <v>370</v>
      </c>
      <c r="G3502" t="s">
        <v>37</v>
      </c>
      <c r="H3502" t="s">
        <v>43</v>
      </c>
      <c r="I3502" s="187">
        <v>153499.34375</v>
      </c>
      <c r="J3502" s="187">
        <v>23623</v>
      </c>
      <c r="K3502" s="187">
        <v>369555.59375</v>
      </c>
      <c r="L3502" s="187">
        <v>406008</v>
      </c>
      <c r="M3502" s="187">
        <v>952685.9375</v>
      </c>
      <c r="N3502" s="187">
        <v>559507.375</v>
      </c>
      <c r="O3502" t="s">
        <v>3961</v>
      </c>
    </row>
    <row r="3503" spans="1:15" hidden="1" x14ac:dyDescent="0.45">
      <c r="A3503" s="187">
        <v>2020</v>
      </c>
      <c r="B3503" t="s">
        <v>311</v>
      </c>
      <c r="C3503" t="s">
        <v>322</v>
      </c>
      <c r="D3503" t="s">
        <v>35</v>
      </c>
      <c r="E3503" t="s">
        <v>348</v>
      </c>
      <c r="F3503" t="s">
        <v>382</v>
      </c>
      <c r="G3503" t="s">
        <v>36</v>
      </c>
      <c r="H3503" t="s">
        <v>43</v>
      </c>
      <c r="I3503" s="187"/>
      <c r="J3503" s="187">
        <v>1192.4000046824287</v>
      </c>
      <c r="K3503" s="187">
        <v>17031.676815417013</v>
      </c>
      <c r="L3503" s="187">
        <v>40656.376630241524</v>
      </c>
      <c r="M3503" s="187">
        <v>58880.453125</v>
      </c>
      <c r="N3503" s="187">
        <v>40656.375</v>
      </c>
      <c r="O3503" t="s">
        <v>3968</v>
      </c>
    </row>
    <row r="3504" spans="1:15" hidden="1" x14ac:dyDescent="0.45">
      <c r="A3504" s="187">
        <v>2020</v>
      </c>
      <c r="B3504" t="s">
        <v>313</v>
      </c>
      <c r="C3504" t="s">
        <v>322</v>
      </c>
      <c r="D3504" t="s">
        <v>35</v>
      </c>
      <c r="E3504" t="s">
        <v>348</v>
      </c>
      <c r="F3504" t="s">
        <v>382</v>
      </c>
      <c r="G3504" t="s">
        <v>36</v>
      </c>
      <c r="H3504" t="s">
        <v>43</v>
      </c>
      <c r="I3504" s="187">
        <v>15303.255763078201</v>
      </c>
      <c r="J3504" s="187">
        <v>982.27133711629142</v>
      </c>
      <c r="K3504" s="187">
        <v>17350.347633451718</v>
      </c>
      <c r="L3504" s="187">
        <v>26201.997236463634</v>
      </c>
      <c r="M3504" s="187">
        <v>59837.87109375</v>
      </c>
      <c r="N3504" s="187">
        <v>41505.25390625</v>
      </c>
      <c r="O3504" t="s">
        <v>3967</v>
      </c>
    </row>
    <row r="3505" spans="1:15" hidden="1" x14ac:dyDescent="0.45">
      <c r="A3505" s="187">
        <v>2020</v>
      </c>
      <c r="B3505" t="s">
        <v>315</v>
      </c>
      <c r="C3505" t="s">
        <v>322</v>
      </c>
      <c r="D3505" t="s">
        <v>35</v>
      </c>
      <c r="E3505" t="s">
        <v>348</v>
      </c>
      <c r="F3505" t="s">
        <v>382</v>
      </c>
      <c r="G3505" t="s">
        <v>36</v>
      </c>
      <c r="H3505" t="s">
        <v>43</v>
      </c>
      <c r="I3505" s="187">
        <v>16144.672291024384</v>
      </c>
      <c r="J3505" s="187">
        <v>962.42470178277756</v>
      </c>
      <c r="K3505" s="187">
        <v>21181.725101804946</v>
      </c>
      <c r="L3505" s="187">
        <v>35832.648501403979</v>
      </c>
      <c r="M3505" s="187">
        <v>74121.46875</v>
      </c>
      <c r="N3505" s="187">
        <v>51977.3203125</v>
      </c>
      <c r="O3505" t="s">
        <v>3965</v>
      </c>
    </row>
    <row r="3506" spans="1:15" hidden="1" x14ac:dyDescent="0.45">
      <c r="A3506" s="187">
        <v>2020</v>
      </c>
      <c r="B3506" t="s">
        <v>312</v>
      </c>
      <c r="C3506" t="s">
        <v>322</v>
      </c>
      <c r="D3506" t="s">
        <v>35</v>
      </c>
      <c r="E3506" t="s">
        <v>348</v>
      </c>
      <c r="F3506" t="s">
        <v>382</v>
      </c>
      <c r="G3506" t="s">
        <v>36</v>
      </c>
      <c r="H3506" t="s">
        <v>43</v>
      </c>
      <c r="I3506" s="187">
        <v>15864.696473200476</v>
      </c>
      <c r="J3506" s="187">
        <v>1082.0024564591727</v>
      </c>
      <c r="K3506" s="187">
        <v>16245.030655195736</v>
      </c>
      <c r="L3506" s="187">
        <v>26989.469273917603</v>
      </c>
      <c r="M3506" s="187">
        <v>60181.19921875</v>
      </c>
      <c r="N3506" s="187">
        <v>42854.1640625</v>
      </c>
      <c r="O3506" t="s">
        <v>3964</v>
      </c>
    </row>
    <row r="3507" spans="1:15" hidden="1" x14ac:dyDescent="0.45">
      <c r="A3507" s="187">
        <v>2020</v>
      </c>
      <c r="B3507" t="s">
        <v>310</v>
      </c>
      <c r="C3507" t="s">
        <v>322</v>
      </c>
      <c r="D3507" t="s">
        <v>35</v>
      </c>
      <c r="E3507" t="s">
        <v>348</v>
      </c>
      <c r="F3507" t="s">
        <v>382</v>
      </c>
      <c r="G3507" t="s">
        <v>36</v>
      </c>
      <c r="H3507" t="s">
        <v>43</v>
      </c>
      <c r="I3507" s="187"/>
      <c r="J3507" s="187">
        <v>954.63620153653858</v>
      </c>
      <c r="K3507" s="187">
        <v>16783.231089515612</v>
      </c>
      <c r="L3507" s="187">
        <v>40616.501073319661</v>
      </c>
      <c r="M3507" s="187">
        <v>58354.3671875</v>
      </c>
      <c r="N3507" s="187">
        <v>40616.5</v>
      </c>
      <c r="O3507" t="s">
        <v>3969</v>
      </c>
    </row>
    <row r="3508" spans="1:15" hidden="1" x14ac:dyDescent="0.45">
      <c r="A3508" s="187">
        <v>2020</v>
      </c>
      <c r="B3508" t="s">
        <v>309</v>
      </c>
      <c r="C3508" t="s">
        <v>322</v>
      </c>
      <c r="D3508" t="s">
        <v>35</v>
      </c>
      <c r="E3508" t="s">
        <v>348</v>
      </c>
      <c r="F3508" t="s">
        <v>382</v>
      </c>
      <c r="G3508" t="s">
        <v>36</v>
      </c>
      <c r="H3508" t="s">
        <v>43</v>
      </c>
      <c r="I3508" s="187"/>
      <c r="J3508" s="187">
        <v>1053.1246373882161</v>
      </c>
      <c r="K3508" s="187">
        <v>16615.485722218167</v>
      </c>
      <c r="L3508" s="187">
        <v>31988.495275032255</v>
      </c>
      <c r="M3508" s="187">
        <v>49657.10546875</v>
      </c>
      <c r="N3508" s="187">
        <v>31988.49609375</v>
      </c>
      <c r="O3508" t="s">
        <v>3966</v>
      </c>
    </row>
    <row r="3509" spans="1:15" hidden="1" x14ac:dyDescent="0.45">
      <c r="A3509" s="187">
        <v>2020</v>
      </c>
      <c r="B3509" t="s">
        <v>314</v>
      </c>
      <c r="C3509" t="s">
        <v>322</v>
      </c>
      <c r="D3509" t="s">
        <v>35</v>
      </c>
      <c r="E3509" t="s">
        <v>348</v>
      </c>
      <c r="F3509" t="s">
        <v>382</v>
      </c>
      <c r="G3509" t="s">
        <v>36</v>
      </c>
      <c r="H3509" t="s">
        <v>43</v>
      </c>
      <c r="I3509" s="187">
        <v>18350.845804200853</v>
      </c>
      <c r="J3509" s="187">
        <v>966.80114871208684</v>
      </c>
      <c r="K3509" s="187">
        <v>19862.43006566825</v>
      </c>
      <c r="L3509" s="187">
        <v>30962.097992669853</v>
      </c>
      <c r="M3509" s="187">
        <v>70142.1796875</v>
      </c>
      <c r="N3509" s="187">
        <v>49312.9453125</v>
      </c>
      <c r="O3509" t="s">
        <v>3962</v>
      </c>
    </row>
    <row r="3510" spans="1:15" hidden="1" x14ac:dyDescent="0.45">
      <c r="A3510" s="187">
        <v>2020</v>
      </c>
      <c r="B3510" t="s">
        <v>316</v>
      </c>
      <c r="C3510" t="s">
        <v>322</v>
      </c>
      <c r="D3510" t="s">
        <v>35</v>
      </c>
      <c r="E3510" t="s">
        <v>348</v>
      </c>
      <c r="F3510" t="s">
        <v>382</v>
      </c>
      <c r="G3510" t="s">
        <v>36</v>
      </c>
      <c r="H3510" t="s">
        <v>43</v>
      </c>
      <c r="I3510" s="187">
        <v>17291.740570977316</v>
      </c>
      <c r="J3510" s="187">
        <v>620.00836576804056</v>
      </c>
      <c r="K3510" s="187">
        <v>21283.90493639142</v>
      </c>
      <c r="L3510" s="187">
        <v>25175.930389696401</v>
      </c>
      <c r="M3510" s="187">
        <v>64371.58203125</v>
      </c>
      <c r="N3510" s="187">
        <v>42467.671875</v>
      </c>
      <c r="O3510" t="s">
        <v>3963</v>
      </c>
    </row>
    <row r="3511" spans="1:15" hidden="1" x14ac:dyDescent="0.45">
      <c r="A3511" s="187">
        <v>2020</v>
      </c>
      <c r="B3511" t="s">
        <v>312</v>
      </c>
      <c r="C3511" t="s">
        <v>322</v>
      </c>
      <c r="D3511" t="s">
        <v>35</v>
      </c>
      <c r="E3511" t="s">
        <v>348</v>
      </c>
      <c r="F3511" t="s">
        <v>382</v>
      </c>
      <c r="G3511" t="s">
        <v>37</v>
      </c>
      <c r="H3511" t="s">
        <v>43</v>
      </c>
      <c r="I3511" s="187">
        <v>13653.37451076813</v>
      </c>
      <c r="J3511" s="187">
        <v>948</v>
      </c>
      <c r="K3511" s="187">
        <v>14176.19299547435</v>
      </c>
      <c r="L3511" s="187">
        <v>23498</v>
      </c>
      <c r="M3511" s="187">
        <v>52275.56640625</v>
      </c>
      <c r="N3511" s="187">
        <v>37151.375</v>
      </c>
      <c r="O3511" t="s">
        <v>3974</v>
      </c>
    </row>
    <row r="3512" spans="1:15" hidden="1" x14ac:dyDescent="0.45">
      <c r="A3512" s="187">
        <v>2020</v>
      </c>
      <c r="B3512" t="s">
        <v>311</v>
      </c>
      <c r="C3512" t="s">
        <v>322</v>
      </c>
      <c r="D3512" t="s">
        <v>35</v>
      </c>
      <c r="E3512" t="s">
        <v>348</v>
      </c>
      <c r="F3512" t="s">
        <v>382</v>
      </c>
      <c r="G3512" t="s">
        <v>37</v>
      </c>
      <c r="H3512" t="s">
        <v>43</v>
      </c>
      <c r="I3512" s="187"/>
      <c r="J3512" s="187">
        <v>1033</v>
      </c>
      <c r="K3512" s="187">
        <v>14637.476884120109</v>
      </c>
      <c r="L3512" s="187">
        <v>36476</v>
      </c>
      <c r="M3512" s="187">
        <v>52146.4765625</v>
      </c>
      <c r="N3512" s="187">
        <v>36476</v>
      </c>
      <c r="O3512" t="s">
        <v>3971</v>
      </c>
    </row>
    <row r="3513" spans="1:15" hidden="1" x14ac:dyDescent="0.45">
      <c r="A3513" s="187">
        <v>2020</v>
      </c>
      <c r="B3513" t="s">
        <v>310</v>
      </c>
      <c r="C3513" t="s">
        <v>322</v>
      </c>
      <c r="D3513" t="s">
        <v>35</v>
      </c>
      <c r="E3513" t="s">
        <v>348</v>
      </c>
      <c r="F3513" t="s">
        <v>382</v>
      </c>
      <c r="G3513" t="s">
        <v>37</v>
      </c>
      <c r="H3513" t="s">
        <v>43</v>
      </c>
      <c r="I3513" s="187"/>
      <c r="J3513" s="187">
        <v>824</v>
      </c>
      <c r="K3513" s="187">
        <v>14510.944024627761</v>
      </c>
      <c r="L3513" s="187">
        <v>36390</v>
      </c>
      <c r="M3513" s="187">
        <v>51724.9453125</v>
      </c>
      <c r="N3513" s="187">
        <v>36390</v>
      </c>
      <c r="O3513" t="s">
        <v>3976</v>
      </c>
    </row>
    <row r="3514" spans="1:15" hidden="1" x14ac:dyDescent="0.45">
      <c r="A3514" s="187">
        <v>2020</v>
      </c>
      <c r="B3514" t="s">
        <v>314</v>
      </c>
      <c r="C3514" t="s">
        <v>322</v>
      </c>
      <c r="D3514" t="s">
        <v>35</v>
      </c>
      <c r="E3514" t="s">
        <v>348</v>
      </c>
      <c r="F3514" t="s">
        <v>382</v>
      </c>
      <c r="G3514" t="s">
        <v>37</v>
      </c>
      <c r="H3514" t="s">
        <v>43</v>
      </c>
      <c r="I3514" s="187">
        <v>16482.10499052225</v>
      </c>
      <c r="J3514" s="187">
        <v>864</v>
      </c>
      <c r="K3514" s="187">
        <v>17770.055104040581</v>
      </c>
      <c r="L3514" s="187">
        <v>28473</v>
      </c>
      <c r="M3514" s="187">
        <v>63589.16015625</v>
      </c>
      <c r="N3514" s="187">
        <v>44955.10546875</v>
      </c>
      <c r="O3514" t="s">
        <v>3977</v>
      </c>
    </row>
    <row r="3515" spans="1:15" hidden="1" x14ac:dyDescent="0.45">
      <c r="A3515" s="187">
        <v>2020</v>
      </c>
      <c r="B3515" t="s">
        <v>313</v>
      </c>
      <c r="C3515" t="s">
        <v>322</v>
      </c>
      <c r="D3515" t="s">
        <v>35</v>
      </c>
      <c r="E3515" t="s">
        <v>348</v>
      </c>
      <c r="F3515" t="s">
        <v>382</v>
      </c>
      <c r="G3515" t="s">
        <v>37</v>
      </c>
      <c r="H3515" t="s">
        <v>43</v>
      </c>
      <c r="I3515" s="187">
        <v>13527.8439596196</v>
      </c>
      <c r="J3515" s="187">
        <v>870</v>
      </c>
      <c r="K3515" s="187">
        <v>15301.86008872288</v>
      </c>
      <c r="L3515" s="187">
        <v>23227.562465446121</v>
      </c>
      <c r="M3515" s="187">
        <v>52927.265625</v>
      </c>
      <c r="N3515" s="187">
        <v>36755.40625</v>
      </c>
      <c r="O3515" t="s">
        <v>3975</v>
      </c>
    </row>
    <row r="3516" spans="1:15" hidden="1" x14ac:dyDescent="0.45">
      <c r="A3516" s="187">
        <v>2020</v>
      </c>
      <c r="B3516" t="s">
        <v>316</v>
      </c>
      <c r="C3516" t="s">
        <v>322</v>
      </c>
      <c r="D3516" t="s">
        <v>35</v>
      </c>
      <c r="E3516" t="s">
        <v>348</v>
      </c>
      <c r="F3516" t="s">
        <v>382</v>
      </c>
      <c r="G3516" t="s">
        <v>37</v>
      </c>
      <c r="H3516" t="s">
        <v>43</v>
      </c>
      <c r="I3516" s="187">
        <v>15699</v>
      </c>
      <c r="J3516" s="187">
        <v>562.9</v>
      </c>
      <c r="K3516" s="187">
        <v>19323.465214624201</v>
      </c>
      <c r="L3516" s="187">
        <v>22857</v>
      </c>
      <c r="M3516" s="187">
        <v>58442.3671875</v>
      </c>
      <c r="N3516" s="187">
        <v>38556</v>
      </c>
      <c r="O3516" t="s">
        <v>3972</v>
      </c>
    </row>
    <row r="3517" spans="1:15" hidden="1" x14ac:dyDescent="0.45">
      <c r="A3517" s="187">
        <v>2020</v>
      </c>
      <c r="B3517" t="s">
        <v>315</v>
      </c>
      <c r="C3517" t="s">
        <v>322</v>
      </c>
      <c r="D3517" t="s">
        <v>35</v>
      </c>
      <c r="E3517" t="s">
        <v>348</v>
      </c>
      <c r="F3517" t="s">
        <v>382</v>
      </c>
      <c r="G3517" t="s">
        <v>37</v>
      </c>
      <c r="H3517" t="s">
        <v>43</v>
      </c>
      <c r="I3517" s="187">
        <v>14538.816280286541</v>
      </c>
      <c r="J3517" s="187">
        <v>850</v>
      </c>
      <c r="K3517" s="187">
        <v>19044.638617598499</v>
      </c>
      <c r="L3517" s="187">
        <v>32264</v>
      </c>
      <c r="M3517" s="187">
        <v>66697.453125</v>
      </c>
      <c r="N3517" s="187">
        <v>46802.81640625</v>
      </c>
      <c r="O3517" t="s">
        <v>3973</v>
      </c>
    </row>
    <row r="3518" spans="1:15" hidden="1" x14ac:dyDescent="0.45">
      <c r="A3518" s="187">
        <v>2020</v>
      </c>
      <c r="B3518" t="s">
        <v>309</v>
      </c>
      <c r="C3518" t="s">
        <v>322</v>
      </c>
      <c r="D3518" t="s">
        <v>35</v>
      </c>
      <c r="E3518" t="s">
        <v>348</v>
      </c>
      <c r="F3518" t="s">
        <v>382</v>
      </c>
      <c r="G3518" t="s">
        <v>37</v>
      </c>
      <c r="H3518" t="s">
        <v>43</v>
      </c>
      <c r="I3518" s="187"/>
      <c r="J3518" s="187">
        <v>908.92349999999999</v>
      </c>
      <c r="K3518" s="187">
        <v>14660.652523326529</v>
      </c>
      <c r="L3518" s="187">
        <v>29434</v>
      </c>
      <c r="M3518" s="187">
        <v>45003.578125</v>
      </c>
      <c r="N3518" s="187">
        <v>29434</v>
      </c>
      <c r="O3518" t="s">
        <v>3970</v>
      </c>
    </row>
    <row r="3519" spans="1:15" hidden="1" x14ac:dyDescent="0.45">
      <c r="A3519" s="187">
        <v>2020</v>
      </c>
      <c r="B3519" t="s">
        <v>314</v>
      </c>
      <c r="C3519" t="s">
        <v>322</v>
      </c>
      <c r="D3519" t="s">
        <v>35</v>
      </c>
      <c r="E3519" t="s">
        <v>19</v>
      </c>
      <c r="F3519" t="s">
        <v>19</v>
      </c>
      <c r="G3519" t="s">
        <v>36</v>
      </c>
      <c r="H3519" t="s">
        <v>43</v>
      </c>
      <c r="I3519" s="187">
        <v>827.02266938021887</v>
      </c>
      <c r="J3519" s="187">
        <v>0</v>
      </c>
      <c r="K3519" s="187">
        <v>130.11252406591564</v>
      </c>
      <c r="L3519" s="187">
        <v>3873.0286981538416</v>
      </c>
      <c r="M3519" s="187">
        <v>4830.1640625</v>
      </c>
      <c r="N3519" s="187">
        <v>4700.05126953125</v>
      </c>
      <c r="O3519" t="s">
        <v>3980</v>
      </c>
    </row>
    <row r="3520" spans="1:15" hidden="1" x14ac:dyDescent="0.45">
      <c r="A3520" s="187">
        <v>2020</v>
      </c>
      <c r="B3520" t="s">
        <v>311</v>
      </c>
      <c r="C3520" t="s">
        <v>322</v>
      </c>
      <c r="D3520" t="s">
        <v>35</v>
      </c>
      <c r="E3520" t="s">
        <v>19</v>
      </c>
      <c r="F3520" t="s">
        <v>19</v>
      </c>
      <c r="G3520" t="s">
        <v>36</v>
      </c>
      <c r="H3520" t="s">
        <v>43</v>
      </c>
      <c r="I3520" s="187"/>
      <c r="J3520" s="187">
        <v>0</v>
      </c>
      <c r="K3520" s="187">
        <v>142.4812864328006</v>
      </c>
      <c r="L3520" s="187">
        <v>5096.0753141293962</v>
      </c>
      <c r="M3520" s="187">
        <v>5238.556640625</v>
      </c>
      <c r="N3520" s="187">
        <v>5096.0751953125</v>
      </c>
      <c r="O3520" t="s">
        <v>3983</v>
      </c>
    </row>
    <row r="3521" spans="1:15" hidden="1" x14ac:dyDescent="0.45">
      <c r="A3521" s="187">
        <v>2020</v>
      </c>
      <c r="B3521" t="s">
        <v>312</v>
      </c>
      <c r="C3521" t="s">
        <v>322</v>
      </c>
      <c r="D3521" t="s">
        <v>35</v>
      </c>
      <c r="E3521" t="s">
        <v>19</v>
      </c>
      <c r="F3521" t="s">
        <v>19</v>
      </c>
      <c r="G3521" t="s">
        <v>36</v>
      </c>
      <c r="H3521" t="s">
        <v>43</v>
      </c>
      <c r="I3521" s="187">
        <v>945.97929050430525</v>
      </c>
      <c r="J3521" s="187">
        <v>0</v>
      </c>
      <c r="K3521" s="187">
        <v>138.55081112685451</v>
      </c>
      <c r="L3521" s="187">
        <v>3569.9898191972934</v>
      </c>
      <c r="M3521" s="187">
        <v>4654.52001953125</v>
      </c>
      <c r="N3521" s="187">
        <v>4515.96923828125</v>
      </c>
      <c r="O3521" t="s">
        <v>3979</v>
      </c>
    </row>
    <row r="3522" spans="1:15" hidden="1" x14ac:dyDescent="0.45">
      <c r="A3522" s="187">
        <v>2020</v>
      </c>
      <c r="B3522" t="s">
        <v>315</v>
      </c>
      <c r="C3522" t="s">
        <v>322</v>
      </c>
      <c r="D3522" t="s">
        <v>35</v>
      </c>
      <c r="E3522" t="s">
        <v>19</v>
      </c>
      <c r="F3522" t="s">
        <v>19</v>
      </c>
      <c r="G3522" t="s">
        <v>36</v>
      </c>
      <c r="H3522" t="s">
        <v>43</v>
      </c>
      <c r="I3522" s="187">
        <v>804.28617969135132</v>
      </c>
      <c r="J3522" s="187">
        <v>0</v>
      </c>
      <c r="K3522" s="187">
        <v>128.64060199670823</v>
      </c>
      <c r="L3522" s="187">
        <v>4353.340547258962</v>
      </c>
      <c r="M3522" s="187">
        <v>5286.267578125</v>
      </c>
      <c r="N3522" s="187">
        <v>5157.626953125</v>
      </c>
      <c r="O3522" t="s">
        <v>3981</v>
      </c>
    </row>
    <row r="3523" spans="1:15" hidden="1" x14ac:dyDescent="0.45">
      <c r="A3523" s="187">
        <v>2020</v>
      </c>
      <c r="B3523" t="s">
        <v>313</v>
      </c>
      <c r="C3523" t="s">
        <v>322</v>
      </c>
      <c r="D3523" t="s">
        <v>35</v>
      </c>
      <c r="E3523" t="s">
        <v>19</v>
      </c>
      <c r="F3523" t="s">
        <v>19</v>
      </c>
      <c r="G3523" t="s">
        <v>36</v>
      </c>
      <c r="H3523" t="s">
        <v>43</v>
      </c>
      <c r="I3523" s="187">
        <v>916.02791645466846</v>
      </c>
      <c r="J3523" s="187">
        <v>11.978918745320629</v>
      </c>
      <c r="K3523" s="187">
        <v>133.99087868369048</v>
      </c>
      <c r="L3523" s="187">
        <v>3945.8558347086146</v>
      </c>
      <c r="M3523" s="187">
        <v>5007.853515625</v>
      </c>
      <c r="N3523" s="187">
        <v>4861.8837890625</v>
      </c>
      <c r="O3523" t="s">
        <v>3978</v>
      </c>
    </row>
    <row r="3524" spans="1:15" hidden="1" x14ac:dyDescent="0.45">
      <c r="A3524" s="187">
        <v>2020</v>
      </c>
      <c r="B3524" t="s">
        <v>316</v>
      </c>
      <c r="C3524" t="s">
        <v>322</v>
      </c>
      <c r="D3524" t="s">
        <v>35</v>
      </c>
      <c r="E3524" t="s">
        <v>19</v>
      </c>
      <c r="F3524" t="s">
        <v>19</v>
      </c>
      <c r="G3524" t="s">
        <v>36</v>
      </c>
      <c r="H3524" t="s">
        <v>43</v>
      </c>
      <c r="I3524" s="187">
        <v>1126.755975258417</v>
      </c>
      <c r="J3524" s="187">
        <v>0</v>
      </c>
      <c r="K3524" s="187">
        <v>80.67414817920006</v>
      </c>
      <c r="L3524" s="187">
        <v>2447.4304294485455</v>
      </c>
      <c r="M3524" s="187">
        <v>3654.860595703125</v>
      </c>
      <c r="N3524" s="187">
        <v>3574.1865234375</v>
      </c>
      <c r="O3524" t="s">
        <v>3984</v>
      </c>
    </row>
    <row r="3525" spans="1:15" hidden="1" x14ac:dyDescent="0.45">
      <c r="A3525" s="187">
        <v>2020</v>
      </c>
      <c r="B3525" t="s">
        <v>310</v>
      </c>
      <c r="C3525" t="s">
        <v>322</v>
      </c>
      <c r="D3525" t="s">
        <v>35</v>
      </c>
      <c r="E3525" t="s">
        <v>19</v>
      </c>
      <c r="F3525" t="s">
        <v>19</v>
      </c>
      <c r="G3525" t="s">
        <v>36</v>
      </c>
      <c r="H3525" t="s">
        <v>43</v>
      </c>
      <c r="I3525" s="187"/>
      <c r="J3525" s="187">
        <v>0</v>
      </c>
      <c r="K3525" s="187">
        <v>148.85664593988812</v>
      </c>
      <c r="L3525" s="187">
        <v>5645.4307973058039</v>
      </c>
      <c r="M3525" s="187">
        <v>5794.28759765625</v>
      </c>
      <c r="N3525" s="187">
        <v>5645.4306640625</v>
      </c>
      <c r="O3525" t="s">
        <v>3985</v>
      </c>
    </row>
    <row r="3526" spans="1:15" hidden="1" x14ac:dyDescent="0.45">
      <c r="A3526" s="187">
        <v>2020</v>
      </c>
      <c r="B3526" t="s">
        <v>309</v>
      </c>
      <c r="C3526" t="s">
        <v>322</v>
      </c>
      <c r="D3526" t="s">
        <v>35</v>
      </c>
      <c r="E3526" t="s">
        <v>19</v>
      </c>
      <c r="F3526" t="s">
        <v>19</v>
      </c>
      <c r="G3526" t="s">
        <v>36</v>
      </c>
      <c r="H3526" t="s">
        <v>43</v>
      </c>
      <c r="I3526" s="187"/>
      <c r="J3526" s="187">
        <v>0</v>
      </c>
      <c r="K3526" s="187">
        <v>150.70942137818534</v>
      </c>
      <c r="L3526" s="187">
        <v>4480.0849354049642</v>
      </c>
      <c r="M3526" s="187">
        <v>4630.79443359375</v>
      </c>
      <c r="N3526" s="187">
        <v>4480.0849609375</v>
      </c>
      <c r="O3526" t="s">
        <v>3982</v>
      </c>
    </row>
    <row r="3527" spans="1:15" hidden="1" x14ac:dyDescent="0.45">
      <c r="A3527" s="187">
        <v>2020</v>
      </c>
      <c r="B3527" t="s">
        <v>314</v>
      </c>
      <c r="C3527" t="s">
        <v>322</v>
      </c>
      <c r="D3527" t="s">
        <v>35</v>
      </c>
      <c r="E3527" t="s">
        <v>19</v>
      </c>
      <c r="F3527" t="s">
        <v>19</v>
      </c>
      <c r="G3527" t="s">
        <v>37</v>
      </c>
      <c r="H3527" t="s">
        <v>43</v>
      </c>
      <c r="I3527" s="187">
        <v>738.97370130000002</v>
      </c>
      <c r="J3527" s="187">
        <v>0</v>
      </c>
      <c r="K3527" s="187">
        <v>116.40603464595959</v>
      </c>
      <c r="L3527" s="187">
        <v>3562</v>
      </c>
      <c r="M3527" s="187">
        <v>4417.3798828125</v>
      </c>
      <c r="N3527" s="187">
        <v>4300.9736328125</v>
      </c>
      <c r="O3527" t="s">
        <v>3988</v>
      </c>
    </row>
    <row r="3528" spans="1:15" hidden="1" x14ac:dyDescent="0.45">
      <c r="A3528" s="187">
        <v>2020</v>
      </c>
      <c r="B3528" t="s">
        <v>311</v>
      </c>
      <c r="C3528" t="s">
        <v>322</v>
      </c>
      <c r="D3528" t="s">
        <v>35</v>
      </c>
      <c r="E3528" t="s">
        <v>19</v>
      </c>
      <c r="F3528" t="s">
        <v>19</v>
      </c>
      <c r="G3528" t="s">
        <v>37</v>
      </c>
      <c r="H3528" t="s">
        <v>43</v>
      </c>
      <c r="I3528" s="187"/>
      <c r="J3528" s="187">
        <v>0</v>
      </c>
      <c r="K3528" s="187">
        <v>122.4522141408865</v>
      </c>
      <c r="L3528" s="187">
        <v>4572</v>
      </c>
      <c r="M3528" s="187">
        <v>4694.4521484375</v>
      </c>
      <c r="N3528" s="187">
        <v>4572</v>
      </c>
      <c r="O3528" t="s">
        <v>3987</v>
      </c>
    </row>
    <row r="3529" spans="1:15" hidden="1" x14ac:dyDescent="0.45">
      <c r="A3529" s="187">
        <v>2020</v>
      </c>
      <c r="B3529" t="s">
        <v>312</v>
      </c>
      <c r="C3529" t="s">
        <v>322</v>
      </c>
      <c r="D3529" t="s">
        <v>35</v>
      </c>
      <c r="E3529" t="s">
        <v>19</v>
      </c>
      <c r="F3529" t="s">
        <v>19</v>
      </c>
      <c r="G3529" t="s">
        <v>37</v>
      </c>
      <c r="H3529" t="s">
        <v>43</v>
      </c>
      <c r="I3529" s="187">
        <v>814.12270033051664</v>
      </c>
      <c r="J3529" s="187">
        <v>0</v>
      </c>
      <c r="K3529" s="187">
        <v>120.90608382974079</v>
      </c>
      <c r="L3529" s="187">
        <v>3108</v>
      </c>
      <c r="M3529" s="187">
        <v>4043.02880859375</v>
      </c>
      <c r="N3529" s="187">
        <v>3922.12255859375</v>
      </c>
      <c r="O3529" t="s">
        <v>3989</v>
      </c>
    </row>
    <row r="3530" spans="1:15" hidden="1" x14ac:dyDescent="0.45">
      <c r="A3530" s="187">
        <v>2020</v>
      </c>
      <c r="B3530" t="s">
        <v>315</v>
      </c>
      <c r="C3530" t="s">
        <v>322</v>
      </c>
      <c r="D3530" t="s">
        <v>35</v>
      </c>
      <c r="E3530" t="s">
        <v>19</v>
      </c>
      <c r="F3530" t="s">
        <v>19</v>
      </c>
      <c r="G3530" t="s">
        <v>37</v>
      </c>
      <c r="H3530" t="s">
        <v>43</v>
      </c>
      <c r="I3530" s="187">
        <v>724.27099999999996</v>
      </c>
      <c r="J3530" s="187">
        <v>0</v>
      </c>
      <c r="K3530" s="187">
        <v>115.6616736740138</v>
      </c>
      <c r="L3530" s="187">
        <v>3920</v>
      </c>
      <c r="M3530" s="187">
        <v>4759.9326171875</v>
      </c>
      <c r="N3530" s="187">
        <v>4644.27099609375</v>
      </c>
      <c r="O3530" t="s">
        <v>3991</v>
      </c>
    </row>
    <row r="3531" spans="1:15" hidden="1" x14ac:dyDescent="0.45">
      <c r="A3531" s="187">
        <v>2020</v>
      </c>
      <c r="B3531" t="s">
        <v>313</v>
      </c>
      <c r="C3531" t="s">
        <v>322</v>
      </c>
      <c r="D3531" t="s">
        <v>35</v>
      </c>
      <c r="E3531" t="s">
        <v>19</v>
      </c>
      <c r="F3531" t="s">
        <v>19</v>
      </c>
      <c r="G3531" t="s">
        <v>37</v>
      </c>
      <c r="H3531" t="s">
        <v>43</v>
      </c>
      <c r="I3531" s="187">
        <v>809.75466321041347</v>
      </c>
      <c r="J3531" s="187">
        <v>11</v>
      </c>
      <c r="K3531" s="187">
        <v>118.1711007812803</v>
      </c>
      <c r="L3531" s="187">
        <v>3498</v>
      </c>
      <c r="M3531" s="187">
        <v>4436.92578125</v>
      </c>
      <c r="N3531" s="187">
        <v>4307.7548828125</v>
      </c>
      <c r="O3531" t="s">
        <v>3993</v>
      </c>
    </row>
    <row r="3532" spans="1:15" hidden="1" x14ac:dyDescent="0.45">
      <c r="A3532" s="187">
        <v>2020</v>
      </c>
      <c r="B3532" t="s">
        <v>309</v>
      </c>
      <c r="C3532" t="s">
        <v>322</v>
      </c>
      <c r="D3532" t="s">
        <v>35</v>
      </c>
      <c r="E3532" t="s">
        <v>19</v>
      </c>
      <c r="F3532" t="s">
        <v>19</v>
      </c>
      <c r="G3532" t="s">
        <v>37</v>
      </c>
      <c r="H3532" t="s">
        <v>43</v>
      </c>
      <c r="I3532" s="187"/>
      <c r="J3532" s="187">
        <v>0</v>
      </c>
      <c r="K3532" s="187">
        <v>132.97826471979951</v>
      </c>
      <c r="L3532" s="187">
        <v>4123</v>
      </c>
      <c r="M3532" s="187">
        <v>4255.978515625</v>
      </c>
      <c r="N3532" s="187">
        <v>4123</v>
      </c>
      <c r="O3532" t="s">
        <v>3986</v>
      </c>
    </row>
    <row r="3533" spans="1:15" hidden="1" x14ac:dyDescent="0.45">
      <c r="A3533" s="187">
        <v>2020</v>
      </c>
      <c r="B3533" t="s">
        <v>316</v>
      </c>
      <c r="C3533" t="s">
        <v>322</v>
      </c>
      <c r="D3533" t="s">
        <v>35</v>
      </c>
      <c r="E3533" t="s">
        <v>19</v>
      </c>
      <c r="F3533" t="s">
        <v>19</v>
      </c>
      <c r="G3533" t="s">
        <v>37</v>
      </c>
      <c r="H3533" t="s">
        <v>43</v>
      </c>
      <c r="I3533" s="187">
        <v>1023</v>
      </c>
      <c r="J3533" s="187">
        <v>0</v>
      </c>
      <c r="K3533" s="187">
        <v>73.243331086053743</v>
      </c>
      <c r="L3533" s="187">
        <v>2222</v>
      </c>
      <c r="M3533" s="187">
        <v>3318.2431640625</v>
      </c>
      <c r="N3533" s="187">
        <v>3245</v>
      </c>
      <c r="O3533" t="s">
        <v>3990</v>
      </c>
    </row>
    <row r="3534" spans="1:15" hidden="1" x14ac:dyDescent="0.45">
      <c r="A3534" s="187">
        <v>2020</v>
      </c>
      <c r="B3534" t="s">
        <v>310</v>
      </c>
      <c r="C3534" t="s">
        <v>322</v>
      </c>
      <c r="D3534" t="s">
        <v>35</v>
      </c>
      <c r="E3534" t="s">
        <v>19</v>
      </c>
      <c r="F3534" t="s">
        <v>19</v>
      </c>
      <c r="G3534" t="s">
        <v>37</v>
      </c>
      <c r="H3534" t="s">
        <v>43</v>
      </c>
      <c r="I3534" s="187"/>
      <c r="J3534" s="187">
        <v>0</v>
      </c>
      <c r="K3534" s="187">
        <v>128.7028966833997</v>
      </c>
      <c r="L3534" s="187">
        <v>5058</v>
      </c>
      <c r="M3534" s="187">
        <v>5186.703125</v>
      </c>
      <c r="N3534" s="187">
        <v>5058</v>
      </c>
      <c r="O3534" t="s">
        <v>3992</v>
      </c>
    </row>
    <row r="3535" spans="1:15" hidden="1" x14ac:dyDescent="0.45">
      <c r="A3535" s="187">
        <v>2020</v>
      </c>
      <c r="B3535" t="s">
        <v>315</v>
      </c>
      <c r="C3535" t="s">
        <v>322</v>
      </c>
      <c r="D3535" t="s">
        <v>35</v>
      </c>
      <c r="E3535" t="s">
        <v>349</v>
      </c>
      <c r="F3535" t="s">
        <v>349</v>
      </c>
      <c r="G3535" t="s">
        <v>36</v>
      </c>
      <c r="H3535" t="s">
        <v>43</v>
      </c>
      <c r="I3535" s="187">
        <v>4525.5257575590822</v>
      </c>
      <c r="J3535" s="187">
        <v>442.9237975483357</v>
      </c>
      <c r="K3535" s="187">
        <v>3172.1175687147761</v>
      </c>
      <c r="L3535" s="187">
        <v>3367.8067777780102</v>
      </c>
      <c r="M3535" s="187">
        <v>11508.3740234375</v>
      </c>
      <c r="N3535" s="187">
        <v>7893.33251953125</v>
      </c>
      <c r="O3535" t="s">
        <v>3996</v>
      </c>
    </row>
    <row r="3536" spans="1:15" hidden="1" x14ac:dyDescent="0.45">
      <c r="A3536" s="187">
        <v>2020</v>
      </c>
      <c r="B3536" t="s">
        <v>316</v>
      </c>
      <c r="C3536" t="s">
        <v>322</v>
      </c>
      <c r="D3536" t="s">
        <v>35</v>
      </c>
      <c r="E3536" t="s">
        <v>349</v>
      </c>
      <c r="F3536" t="s">
        <v>349</v>
      </c>
      <c r="G3536" t="s">
        <v>36</v>
      </c>
      <c r="H3536" t="s">
        <v>43</v>
      </c>
      <c r="I3536" s="187">
        <v>4254.4120023638634</v>
      </c>
      <c r="J3536" s="187">
        <v>217.97771466600682</v>
      </c>
      <c r="K3536" s="187">
        <v>4296.7575207295131</v>
      </c>
      <c r="L3536" s="187">
        <v>2702.96772001203</v>
      </c>
      <c r="M3536" s="187">
        <v>11472.115234375</v>
      </c>
      <c r="N3536" s="187">
        <v>6957.3798828125</v>
      </c>
      <c r="O3536" t="s">
        <v>3998</v>
      </c>
    </row>
    <row r="3537" spans="1:15" hidden="1" x14ac:dyDescent="0.45">
      <c r="A3537" s="187">
        <v>2020</v>
      </c>
      <c r="B3537" t="s">
        <v>313</v>
      </c>
      <c r="C3537" t="s">
        <v>322</v>
      </c>
      <c r="D3537" t="s">
        <v>35</v>
      </c>
      <c r="E3537" t="s">
        <v>349</v>
      </c>
      <c r="F3537" t="s">
        <v>349</v>
      </c>
      <c r="G3537" t="s">
        <v>36</v>
      </c>
      <c r="H3537" t="s">
        <v>43</v>
      </c>
      <c r="I3537" s="187">
        <v>4444.1788545139525</v>
      </c>
      <c r="J3537" s="187">
        <v>539.05134353942822</v>
      </c>
      <c r="K3537" s="187">
        <v>2860.1218767846635</v>
      </c>
      <c r="L3537" s="187">
        <v>2267.6093184891947</v>
      </c>
      <c r="M3537" s="187">
        <v>10110.9609375</v>
      </c>
      <c r="N3537" s="187">
        <v>6711.7880859375</v>
      </c>
      <c r="O3537" t="s">
        <v>4001</v>
      </c>
    </row>
    <row r="3538" spans="1:15" hidden="1" x14ac:dyDescent="0.45">
      <c r="A3538" s="187">
        <v>2020</v>
      </c>
      <c r="B3538" t="s">
        <v>311</v>
      </c>
      <c r="C3538" t="s">
        <v>322</v>
      </c>
      <c r="D3538" t="s">
        <v>35</v>
      </c>
      <c r="E3538" t="s">
        <v>349</v>
      </c>
      <c r="F3538" t="s">
        <v>349</v>
      </c>
      <c r="G3538" t="s">
        <v>36</v>
      </c>
      <c r="H3538" t="s">
        <v>43</v>
      </c>
      <c r="I3538" s="187"/>
      <c r="J3538" s="187">
        <v>803.43529727265252</v>
      </c>
      <c r="K3538" s="187">
        <v>4131.9573065512204</v>
      </c>
      <c r="L3538" s="187">
        <v>4022.2776628538827</v>
      </c>
      <c r="M3538" s="187">
        <v>8957.669921875</v>
      </c>
      <c r="N3538" s="187">
        <v>4022.277587890625</v>
      </c>
      <c r="O3538" t="s">
        <v>3999</v>
      </c>
    </row>
    <row r="3539" spans="1:15" hidden="1" x14ac:dyDescent="0.45">
      <c r="A3539" s="187">
        <v>2020</v>
      </c>
      <c r="B3539" t="s">
        <v>310</v>
      </c>
      <c r="C3539" t="s">
        <v>322</v>
      </c>
      <c r="D3539" t="s">
        <v>35</v>
      </c>
      <c r="E3539" t="s">
        <v>349</v>
      </c>
      <c r="F3539" t="s">
        <v>349</v>
      </c>
      <c r="G3539" t="s">
        <v>36</v>
      </c>
      <c r="H3539" t="s">
        <v>43</v>
      </c>
      <c r="I3539" s="187"/>
      <c r="J3539" s="187">
        <v>653.86041201132775</v>
      </c>
      <c r="K3539" s="187">
        <v>3721.4161484972024</v>
      </c>
      <c r="L3539" s="187">
        <v>4192.5529618166338</v>
      </c>
      <c r="M3539" s="187">
        <v>8567.8291015625</v>
      </c>
      <c r="N3539" s="187">
        <v>4192.552734375</v>
      </c>
      <c r="O3539" t="s">
        <v>3997</v>
      </c>
    </row>
    <row r="3540" spans="1:15" hidden="1" x14ac:dyDescent="0.45">
      <c r="A3540" s="187">
        <v>2020</v>
      </c>
      <c r="B3540" t="s">
        <v>314</v>
      </c>
      <c r="C3540" t="s">
        <v>322</v>
      </c>
      <c r="D3540" t="s">
        <v>35</v>
      </c>
      <c r="E3540" t="s">
        <v>349</v>
      </c>
      <c r="F3540" t="s">
        <v>349</v>
      </c>
      <c r="G3540" t="s">
        <v>36</v>
      </c>
      <c r="H3540" t="s">
        <v>43</v>
      </c>
      <c r="I3540" s="187">
        <v>4653.4585410901045</v>
      </c>
      <c r="J3540" s="187">
        <v>529.99340079999934</v>
      </c>
      <c r="K3540" s="187">
        <v>3295.9329950198785</v>
      </c>
      <c r="L3540" s="187">
        <v>2316.8282949257118</v>
      </c>
      <c r="M3540" s="187">
        <v>10796.212890625</v>
      </c>
      <c r="N3540" s="187">
        <v>6970.28662109375</v>
      </c>
      <c r="O3540" t="s">
        <v>3995</v>
      </c>
    </row>
    <row r="3541" spans="1:15" hidden="1" x14ac:dyDescent="0.45">
      <c r="A3541" s="187">
        <v>2020</v>
      </c>
      <c r="B3541" t="s">
        <v>309</v>
      </c>
      <c r="C3541" t="s">
        <v>322</v>
      </c>
      <c r="D3541" t="s">
        <v>35</v>
      </c>
      <c r="E3541" t="s">
        <v>349</v>
      </c>
      <c r="F3541" t="s">
        <v>349</v>
      </c>
      <c r="G3541" t="s">
        <v>36</v>
      </c>
      <c r="H3541" t="s">
        <v>43</v>
      </c>
      <c r="I3541" s="187"/>
      <c r="J3541" s="187">
        <v>559.01710311676379</v>
      </c>
      <c r="K3541" s="187">
        <v>3767.7355344546336</v>
      </c>
      <c r="L3541" s="187">
        <v>1385.6205920856278</v>
      </c>
      <c r="M3541" s="187">
        <v>5712.373046875</v>
      </c>
      <c r="N3541" s="187">
        <v>1385.62060546875</v>
      </c>
      <c r="O3541" t="s">
        <v>3994</v>
      </c>
    </row>
    <row r="3542" spans="1:15" hidden="1" x14ac:dyDescent="0.45">
      <c r="A3542" s="187">
        <v>2020</v>
      </c>
      <c r="B3542" t="s">
        <v>312</v>
      </c>
      <c r="C3542" t="s">
        <v>322</v>
      </c>
      <c r="D3542" t="s">
        <v>35</v>
      </c>
      <c r="E3542" t="s">
        <v>349</v>
      </c>
      <c r="F3542" t="s">
        <v>349</v>
      </c>
      <c r="G3542" t="s">
        <v>36</v>
      </c>
      <c r="H3542" t="s">
        <v>43</v>
      </c>
      <c r="I3542" s="187">
        <v>4525.8617035892257</v>
      </c>
      <c r="J3542" s="187">
        <v>593.55563325760329</v>
      </c>
      <c r="K3542" s="187">
        <v>3400.7926367500659</v>
      </c>
      <c r="L3542" s="187">
        <v>2087.3373102892383</v>
      </c>
      <c r="M3542" s="187">
        <v>10607.546875</v>
      </c>
      <c r="N3542" s="187">
        <v>6613.19921875</v>
      </c>
      <c r="O3542" t="s">
        <v>4000</v>
      </c>
    </row>
    <row r="3543" spans="1:15" hidden="1" x14ac:dyDescent="0.45">
      <c r="A3543" s="187">
        <v>2020</v>
      </c>
      <c r="B3543" t="s">
        <v>309</v>
      </c>
      <c r="C3543" t="s">
        <v>322</v>
      </c>
      <c r="D3543" t="s">
        <v>35</v>
      </c>
      <c r="E3543" t="s">
        <v>349</v>
      </c>
      <c r="F3543" t="s">
        <v>349</v>
      </c>
      <c r="G3543" t="s">
        <v>37</v>
      </c>
      <c r="H3543" t="s">
        <v>43</v>
      </c>
      <c r="I3543" s="187"/>
      <c r="J3543" s="187">
        <v>482.4726</v>
      </c>
      <c r="K3543" s="187">
        <v>3324.4566179949861</v>
      </c>
      <c r="L3543" s="187">
        <v>1274</v>
      </c>
      <c r="M3543" s="187">
        <v>5080.92919921875</v>
      </c>
      <c r="N3543" s="187">
        <v>1274</v>
      </c>
      <c r="O3543" t="s">
        <v>4004</v>
      </c>
    </row>
    <row r="3544" spans="1:15" hidden="1" x14ac:dyDescent="0.45">
      <c r="A3544" s="187">
        <v>2020</v>
      </c>
      <c r="B3544" t="s">
        <v>316</v>
      </c>
      <c r="C3544" t="s">
        <v>322</v>
      </c>
      <c r="D3544" t="s">
        <v>35</v>
      </c>
      <c r="E3544" t="s">
        <v>349</v>
      </c>
      <c r="F3544" t="s">
        <v>349</v>
      </c>
      <c r="G3544" t="s">
        <v>37</v>
      </c>
      <c r="H3544" t="s">
        <v>43</v>
      </c>
      <c r="I3544" s="187">
        <v>3863</v>
      </c>
      <c r="J3544" s="187">
        <v>197.9</v>
      </c>
      <c r="K3544" s="187">
        <v>3900.9873768759981</v>
      </c>
      <c r="L3544" s="187">
        <v>2454</v>
      </c>
      <c r="M3544" s="187">
        <v>10415.88671875</v>
      </c>
      <c r="N3544" s="187">
        <v>6317</v>
      </c>
      <c r="O3544" t="s">
        <v>4006</v>
      </c>
    </row>
    <row r="3545" spans="1:15" hidden="1" x14ac:dyDescent="0.45">
      <c r="A3545" s="187">
        <v>2020</v>
      </c>
      <c r="B3545" t="s">
        <v>310</v>
      </c>
      <c r="C3545" t="s">
        <v>322</v>
      </c>
      <c r="D3545" t="s">
        <v>35</v>
      </c>
      <c r="E3545" t="s">
        <v>349</v>
      </c>
      <c r="F3545" t="s">
        <v>349</v>
      </c>
      <c r="G3545" t="s">
        <v>37</v>
      </c>
      <c r="H3545" t="s">
        <v>43</v>
      </c>
      <c r="I3545" s="187"/>
      <c r="J3545" s="187">
        <v>565</v>
      </c>
      <c r="K3545" s="187">
        <v>3217.5724170849921</v>
      </c>
      <c r="L3545" s="187">
        <v>3757</v>
      </c>
      <c r="M3545" s="187">
        <v>7539.572265625</v>
      </c>
      <c r="N3545" s="187">
        <v>3757</v>
      </c>
      <c r="O3545" t="s">
        <v>4009</v>
      </c>
    </row>
    <row r="3546" spans="1:15" hidden="1" x14ac:dyDescent="0.45">
      <c r="A3546" s="187">
        <v>2020</v>
      </c>
      <c r="B3546" t="s">
        <v>313</v>
      </c>
      <c r="C3546" t="s">
        <v>322</v>
      </c>
      <c r="D3546" t="s">
        <v>35</v>
      </c>
      <c r="E3546" t="s">
        <v>349</v>
      </c>
      <c r="F3546" t="s">
        <v>349</v>
      </c>
      <c r="G3546" t="s">
        <v>37</v>
      </c>
      <c r="H3546" t="s">
        <v>43</v>
      </c>
      <c r="I3546" s="187">
        <v>3928.5861128686201</v>
      </c>
      <c r="J3546" s="187">
        <v>478</v>
      </c>
      <c r="K3546" s="187">
        <v>2522.4384963258321</v>
      </c>
      <c r="L3546" s="187">
        <v>2010</v>
      </c>
      <c r="M3546" s="187">
        <v>8939.0244140625</v>
      </c>
      <c r="N3546" s="187">
        <v>5938.5859375</v>
      </c>
      <c r="O3546" t="s">
        <v>4003</v>
      </c>
    </row>
    <row r="3547" spans="1:15" hidden="1" x14ac:dyDescent="0.45">
      <c r="A3547" s="187">
        <v>2020</v>
      </c>
      <c r="B3547" t="s">
        <v>314</v>
      </c>
      <c r="C3547" t="s">
        <v>322</v>
      </c>
      <c r="D3547" t="s">
        <v>35</v>
      </c>
      <c r="E3547" t="s">
        <v>349</v>
      </c>
      <c r="F3547" t="s">
        <v>349</v>
      </c>
      <c r="G3547" t="s">
        <v>37</v>
      </c>
      <c r="H3547" t="s">
        <v>43</v>
      </c>
      <c r="I3547" s="187">
        <v>4158.0280798499998</v>
      </c>
      <c r="J3547" s="187">
        <v>473</v>
      </c>
      <c r="K3547" s="187">
        <v>2948.7283654160592</v>
      </c>
      <c r="L3547" s="187">
        <v>2131</v>
      </c>
      <c r="M3547" s="187">
        <v>9710.7568359375</v>
      </c>
      <c r="N3547" s="187">
        <v>6289.0283203125</v>
      </c>
      <c r="O3547" t="s">
        <v>4008</v>
      </c>
    </row>
    <row r="3548" spans="1:15" hidden="1" x14ac:dyDescent="0.45">
      <c r="A3548" s="187">
        <v>2020</v>
      </c>
      <c r="B3548" t="s">
        <v>312</v>
      </c>
      <c r="C3548" t="s">
        <v>322</v>
      </c>
      <c r="D3548" t="s">
        <v>35</v>
      </c>
      <c r="E3548" t="s">
        <v>349</v>
      </c>
      <c r="F3548" t="s">
        <v>349</v>
      </c>
      <c r="G3548" t="s">
        <v>37</v>
      </c>
      <c r="H3548" t="s">
        <v>43</v>
      </c>
      <c r="I3548" s="187">
        <v>3895.0184094244328</v>
      </c>
      <c r="J3548" s="187">
        <v>520</v>
      </c>
      <c r="K3548" s="187">
        <v>2967.6947849118192</v>
      </c>
      <c r="L3548" s="187">
        <v>1817</v>
      </c>
      <c r="M3548" s="187">
        <v>9199.712890625</v>
      </c>
      <c r="N3548" s="187">
        <v>5712.0185546875</v>
      </c>
      <c r="O3548" t="s">
        <v>4005</v>
      </c>
    </row>
    <row r="3549" spans="1:15" hidden="1" x14ac:dyDescent="0.45">
      <c r="A3549" s="187">
        <v>2020</v>
      </c>
      <c r="B3549" t="s">
        <v>311</v>
      </c>
      <c r="C3549" t="s">
        <v>322</v>
      </c>
      <c r="D3549" t="s">
        <v>35</v>
      </c>
      <c r="E3549" t="s">
        <v>349</v>
      </c>
      <c r="F3549" t="s">
        <v>349</v>
      </c>
      <c r="G3549" t="s">
        <v>37</v>
      </c>
      <c r="H3549" t="s">
        <v>43</v>
      </c>
      <c r="I3549" s="187"/>
      <c r="J3549" s="187">
        <v>696</v>
      </c>
      <c r="K3549" s="187">
        <v>3551.1142100857078</v>
      </c>
      <c r="L3549" s="187">
        <v>3609</v>
      </c>
      <c r="M3549" s="187">
        <v>7856.1142578125</v>
      </c>
      <c r="N3549" s="187">
        <v>3609</v>
      </c>
      <c r="O3549" t="s">
        <v>4002</v>
      </c>
    </row>
    <row r="3550" spans="1:15" hidden="1" x14ac:dyDescent="0.45">
      <c r="A3550" s="187">
        <v>2020</v>
      </c>
      <c r="B3550" t="s">
        <v>315</v>
      </c>
      <c r="C3550" t="s">
        <v>322</v>
      </c>
      <c r="D3550" t="s">
        <v>35</v>
      </c>
      <c r="E3550" t="s">
        <v>349</v>
      </c>
      <c r="F3550" t="s">
        <v>349</v>
      </c>
      <c r="G3550" t="s">
        <v>37</v>
      </c>
      <c r="H3550" t="s">
        <v>43</v>
      </c>
      <c r="I3550" s="187">
        <v>4075.2995000000001</v>
      </c>
      <c r="J3550" s="187">
        <v>391</v>
      </c>
      <c r="K3550" s="187">
        <v>2852.073306510822</v>
      </c>
      <c r="L3550" s="187">
        <v>3032</v>
      </c>
      <c r="M3550" s="187">
        <v>10350.373046875</v>
      </c>
      <c r="N3550" s="187">
        <v>7107.2998046875</v>
      </c>
      <c r="O3550" t="s">
        <v>4007</v>
      </c>
    </row>
    <row r="3551" spans="1:15" hidden="1" x14ac:dyDescent="0.45">
      <c r="A3551" s="187">
        <v>2020</v>
      </c>
      <c r="B3551" t="s">
        <v>316</v>
      </c>
      <c r="C3551" t="s">
        <v>322</v>
      </c>
      <c r="D3551" t="s">
        <v>35</v>
      </c>
      <c r="E3551" t="s">
        <v>46</v>
      </c>
      <c r="F3551" t="s">
        <v>46</v>
      </c>
      <c r="G3551" t="s">
        <v>37</v>
      </c>
      <c r="H3551" t="s">
        <v>43</v>
      </c>
      <c r="I3551" s="187">
        <v>13751</v>
      </c>
      <c r="J3551" s="187">
        <v>562.9</v>
      </c>
      <c r="K3551" s="187">
        <v>18627.473462140599</v>
      </c>
      <c r="L3551" s="187">
        <v>17979</v>
      </c>
      <c r="M3551" s="187">
        <v>50920.375</v>
      </c>
      <c r="N3551" s="187">
        <v>31730</v>
      </c>
      <c r="O3551" t="s">
        <v>4012</v>
      </c>
    </row>
    <row r="3552" spans="1:15" hidden="1" x14ac:dyDescent="0.45">
      <c r="A3552" s="187">
        <v>2020</v>
      </c>
      <c r="B3552" t="s">
        <v>314</v>
      </c>
      <c r="C3552" t="s">
        <v>322</v>
      </c>
      <c r="D3552" t="s">
        <v>35</v>
      </c>
      <c r="E3552" t="s">
        <v>46</v>
      </c>
      <c r="F3552" t="s">
        <v>46</v>
      </c>
      <c r="G3552" t="s">
        <v>37</v>
      </c>
      <c r="H3552" t="s">
        <v>43</v>
      </c>
      <c r="I3552" s="187">
        <v>14932.020042347671</v>
      </c>
      <c r="J3552" s="187">
        <v>864</v>
      </c>
      <c r="K3552" s="187">
        <v>17682.163539171939</v>
      </c>
      <c r="L3552" s="187">
        <v>18430</v>
      </c>
      <c r="M3552" s="187">
        <v>51908.18359375</v>
      </c>
      <c r="N3552" s="187">
        <v>33362.01953125</v>
      </c>
      <c r="O3552" t="s">
        <v>4010</v>
      </c>
    </row>
    <row r="3553" spans="1:15" hidden="1" x14ac:dyDescent="0.45">
      <c r="A3553" s="187">
        <v>2020</v>
      </c>
      <c r="B3553" t="s">
        <v>311</v>
      </c>
      <c r="C3553" t="s">
        <v>322</v>
      </c>
      <c r="D3553" t="s">
        <v>35</v>
      </c>
      <c r="E3553" t="s">
        <v>46</v>
      </c>
      <c r="F3553" t="s">
        <v>46</v>
      </c>
      <c r="G3553" t="s">
        <v>37</v>
      </c>
      <c r="H3553" t="s">
        <v>43</v>
      </c>
      <c r="I3553" s="187"/>
      <c r="J3553" s="187">
        <v>1033</v>
      </c>
      <c r="K3553" s="187">
        <v>14029.9993412773</v>
      </c>
      <c r="L3553" s="187">
        <v>25385</v>
      </c>
      <c r="M3553" s="187">
        <v>40448</v>
      </c>
      <c r="N3553" s="187">
        <v>25385</v>
      </c>
      <c r="O3553" t="s">
        <v>4015</v>
      </c>
    </row>
    <row r="3554" spans="1:15" hidden="1" x14ac:dyDescent="0.45">
      <c r="A3554" s="187">
        <v>2020</v>
      </c>
      <c r="B3554" t="s">
        <v>313</v>
      </c>
      <c r="C3554" t="s">
        <v>322</v>
      </c>
      <c r="D3554" t="s">
        <v>35</v>
      </c>
      <c r="E3554" t="s">
        <v>46</v>
      </c>
      <c r="F3554" t="s">
        <v>46</v>
      </c>
      <c r="G3554" t="s">
        <v>37</v>
      </c>
      <c r="H3554" t="s">
        <v>43</v>
      </c>
      <c r="I3554" s="187">
        <v>12454.62636423104</v>
      </c>
      <c r="J3554" s="187">
        <v>870</v>
      </c>
      <c r="K3554" s="187">
        <v>15289.97126024217</v>
      </c>
      <c r="L3554" s="187"/>
      <c r="M3554" s="187">
        <v>28614.59765625</v>
      </c>
      <c r="N3554" s="187">
        <v>12454.6259765625</v>
      </c>
      <c r="O3554" t="s">
        <v>4013</v>
      </c>
    </row>
    <row r="3555" spans="1:15" hidden="1" x14ac:dyDescent="0.45">
      <c r="A3555" s="187">
        <v>2020</v>
      </c>
      <c r="B3555" t="s">
        <v>312</v>
      </c>
      <c r="C3555" t="s">
        <v>322</v>
      </c>
      <c r="D3555" t="s">
        <v>35</v>
      </c>
      <c r="E3555" t="s">
        <v>46</v>
      </c>
      <c r="F3555" t="s">
        <v>46</v>
      </c>
      <c r="G3555" t="s">
        <v>37</v>
      </c>
      <c r="H3555" t="s">
        <v>43</v>
      </c>
      <c r="I3555" s="187">
        <v>13615.73543669585</v>
      </c>
      <c r="J3555" s="187">
        <v>948</v>
      </c>
      <c r="K3555" s="187">
        <v>13638.62639949187</v>
      </c>
      <c r="L3555" s="187">
        <v>18736</v>
      </c>
      <c r="M3555" s="187">
        <v>46938.359375</v>
      </c>
      <c r="N3555" s="187">
        <v>32351.734375</v>
      </c>
      <c r="O3555" t="s">
        <v>4011</v>
      </c>
    </row>
    <row r="3556" spans="1:15" hidden="1" x14ac:dyDescent="0.45">
      <c r="A3556" s="187">
        <v>2020</v>
      </c>
      <c r="B3556" t="s">
        <v>315</v>
      </c>
      <c r="C3556" t="s">
        <v>322</v>
      </c>
      <c r="D3556" t="s">
        <v>35</v>
      </c>
      <c r="E3556" t="s">
        <v>46</v>
      </c>
      <c r="F3556" t="s">
        <v>46</v>
      </c>
      <c r="G3556" t="s">
        <v>37</v>
      </c>
      <c r="H3556" t="s">
        <v>43</v>
      </c>
      <c r="I3556" s="187">
        <v>13342.6437817808</v>
      </c>
      <c r="J3556" s="187">
        <v>850</v>
      </c>
      <c r="K3556" s="187">
        <v>18319.803602203301</v>
      </c>
      <c r="L3556" s="187">
        <v>23618</v>
      </c>
      <c r="M3556" s="187">
        <v>56130.4453125</v>
      </c>
      <c r="N3556" s="187">
        <v>36960.64453125</v>
      </c>
      <c r="O3556" t="s">
        <v>4014</v>
      </c>
    </row>
    <row r="3557" spans="1:15" hidden="1" x14ac:dyDescent="0.45">
      <c r="A3557" s="187">
        <v>2020</v>
      </c>
      <c r="B3557" t="s">
        <v>312</v>
      </c>
      <c r="C3557" t="s">
        <v>322</v>
      </c>
      <c r="D3557" t="s">
        <v>35</v>
      </c>
      <c r="E3557" t="s">
        <v>350</v>
      </c>
      <c r="F3557" t="s">
        <v>350</v>
      </c>
      <c r="G3557" t="s">
        <v>37</v>
      </c>
      <c r="H3557" t="s">
        <v>43</v>
      </c>
      <c r="I3557" s="187">
        <v>13088.82588529418</v>
      </c>
      <c r="J3557" s="187">
        <v>948</v>
      </c>
      <c r="K3557" s="187">
        <v>13472.667172998201</v>
      </c>
      <c r="L3557" s="187">
        <v>18735</v>
      </c>
      <c r="M3557" s="187">
        <v>46244.4921875</v>
      </c>
      <c r="N3557" s="187">
        <v>31823.826171875</v>
      </c>
      <c r="O3557" t="s">
        <v>4020</v>
      </c>
    </row>
    <row r="3558" spans="1:15" hidden="1" x14ac:dyDescent="0.45">
      <c r="A3558" s="187">
        <v>2020</v>
      </c>
      <c r="B3558" t="s">
        <v>313</v>
      </c>
      <c r="C3558" t="s">
        <v>322</v>
      </c>
      <c r="D3558" t="s">
        <v>35</v>
      </c>
      <c r="E3558" t="s">
        <v>350</v>
      </c>
      <c r="F3558" t="s">
        <v>350</v>
      </c>
      <c r="G3558" t="s">
        <v>37</v>
      </c>
      <c r="H3558" t="s">
        <v>43</v>
      </c>
      <c r="I3558" s="187">
        <v>12483.771891127661</v>
      </c>
      <c r="J3558" s="187">
        <v>870</v>
      </c>
      <c r="K3558" s="187">
        <v>15105.129472537221</v>
      </c>
      <c r="L3558" s="187">
        <v>18379.562465446121</v>
      </c>
      <c r="M3558" s="187">
        <v>46838.4609375</v>
      </c>
      <c r="N3558" s="187">
        <v>30863.333984375</v>
      </c>
      <c r="O3558" t="s">
        <v>4023</v>
      </c>
    </row>
    <row r="3559" spans="1:15" hidden="1" x14ac:dyDescent="0.45">
      <c r="A3559" s="187">
        <v>2020</v>
      </c>
      <c r="B3559" t="s">
        <v>311</v>
      </c>
      <c r="C3559" t="s">
        <v>322</v>
      </c>
      <c r="D3559" t="s">
        <v>35</v>
      </c>
      <c r="E3559" t="s">
        <v>350</v>
      </c>
      <c r="F3559" t="s">
        <v>350</v>
      </c>
      <c r="G3559" t="s">
        <v>37</v>
      </c>
      <c r="H3559" t="s">
        <v>43</v>
      </c>
      <c r="I3559" s="187"/>
      <c r="J3559" s="187">
        <v>1033</v>
      </c>
      <c r="K3559" s="187">
        <v>14006.944415628201</v>
      </c>
      <c r="L3559" s="187">
        <v>29134</v>
      </c>
      <c r="M3559" s="187">
        <v>44173.9453125</v>
      </c>
      <c r="N3559" s="187">
        <v>29134</v>
      </c>
      <c r="O3559" t="s">
        <v>4019</v>
      </c>
    </row>
    <row r="3560" spans="1:15" hidden="1" x14ac:dyDescent="0.45">
      <c r="A3560" s="187">
        <v>2020</v>
      </c>
      <c r="B3560" t="s">
        <v>315</v>
      </c>
      <c r="C3560" t="s">
        <v>322</v>
      </c>
      <c r="D3560" t="s">
        <v>35</v>
      </c>
      <c r="E3560" t="s">
        <v>350</v>
      </c>
      <c r="F3560" t="s">
        <v>350</v>
      </c>
      <c r="G3560" t="s">
        <v>37</v>
      </c>
      <c r="H3560" t="s">
        <v>43</v>
      </c>
      <c r="I3560" s="187">
        <v>13153.600129576589</v>
      </c>
      <c r="J3560" s="187">
        <v>850</v>
      </c>
      <c r="K3560" s="187">
        <v>18294.662066381159</v>
      </c>
      <c r="L3560" s="187">
        <v>23616</v>
      </c>
      <c r="M3560" s="187">
        <v>55914.26171875</v>
      </c>
      <c r="N3560" s="187">
        <v>36769.6015625</v>
      </c>
      <c r="O3560" t="s">
        <v>4016</v>
      </c>
    </row>
    <row r="3561" spans="1:15" hidden="1" x14ac:dyDescent="0.45">
      <c r="A3561" s="187">
        <v>2020</v>
      </c>
      <c r="B3561" t="s">
        <v>316</v>
      </c>
      <c r="C3561" t="s">
        <v>322</v>
      </c>
      <c r="D3561" t="s">
        <v>35</v>
      </c>
      <c r="E3561" t="s">
        <v>350</v>
      </c>
      <c r="F3561" t="s">
        <v>350</v>
      </c>
      <c r="G3561" t="s">
        <v>37</v>
      </c>
      <c r="H3561" t="s">
        <v>43</v>
      </c>
      <c r="I3561" s="187">
        <v>14051</v>
      </c>
      <c r="J3561" s="187">
        <v>562.9</v>
      </c>
      <c r="K3561" s="187">
        <v>18550.1018062205</v>
      </c>
      <c r="L3561" s="187">
        <v>17327</v>
      </c>
      <c r="M3561" s="187">
        <v>50491.00390625</v>
      </c>
      <c r="N3561" s="187">
        <v>31378</v>
      </c>
      <c r="O3561" t="s">
        <v>4018</v>
      </c>
    </row>
    <row r="3562" spans="1:15" hidden="1" x14ac:dyDescent="0.45">
      <c r="A3562" s="187">
        <v>2020</v>
      </c>
      <c r="B3562" t="s">
        <v>310</v>
      </c>
      <c r="C3562" t="s">
        <v>322</v>
      </c>
      <c r="D3562" t="s">
        <v>35</v>
      </c>
      <c r="E3562" t="s">
        <v>350</v>
      </c>
      <c r="F3562" t="s">
        <v>350</v>
      </c>
      <c r="G3562" t="s">
        <v>37</v>
      </c>
      <c r="H3562" t="s">
        <v>43</v>
      </c>
      <c r="I3562" s="187"/>
      <c r="J3562" s="187">
        <v>824</v>
      </c>
      <c r="K3562" s="187">
        <v>13862.890215638799</v>
      </c>
      <c r="L3562" s="187">
        <v>30260</v>
      </c>
      <c r="M3562" s="187">
        <v>44946.890625</v>
      </c>
      <c r="N3562" s="187">
        <v>30260</v>
      </c>
      <c r="O3562" t="s">
        <v>4022</v>
      </c>
    </row>
    <row r="3563" spans="1:15" hidden="1" x14ac:dyDescent="0.45">
      <c r="A3563" s="187">
        <v>2020</v>
      </c>
      <c r="B3563" t="s">
        <v>314</v>
      </c>
      <c r="C3563" t="s">
        <v>322</v>
      </c>
      <c r="D3563" t="s">
        <v>35</v>
      </c>
      <c r="E3563" t="s">
        <v>350</v>
      </c>
      <c r="F3563" t="s">
        <v>350</v>
      </c>
      <c r="G3563" t="s">
        <v>37</v>
      </c>
      <c r="H3563" t="s">
        <v>43</v>
      </c>
      <c r="I3563" s="187">
        <v>15133.45797757002</v>
      </c>
      <c r="J3563" s="187">
        <v>864</v>
      </c>
      <c r="K3563" s="187">
        <v>17490.27074301392</v>
      </c>
      <c r="L3563" s="187">
        <v>18545</v>
      </c>
      <c r="M3563" s="187">
        <v>52032.73046875</v>
      </c>
      <c r="N3563" s="187">
        <v>33678.45703125</v>
      </c>
      <c r="O3563" t="s">
        <v>4017</v>
      </c>
    </row>
    <row r="3564" spans="1:15" hidden="1" x14ac:dyDescent="0.45">
      <c r="A3564" s="187">
        <v>2020</v>
      </c>
      <c r="B3564" t="s">
        <v>309</v>
      </c>
      <c r="C3564" t="s">
        <v>322</v>
      </c>
      <c r="D3564" t="s">
        <v>35</v>
      </c>
      <c r="E3564" t="s">
        <v>350</v>
      </c>
      <c r="F3564" t="s">
        <v>350</v>
      </c>
      <c r="G3564" t="s">
        <v>37</v>
      </c>
      <c r="H3564" t="s">
        <v>43</v>
      </c>
      <c r="I3564" s="187"/>
      <c r="J3564" s="187">
        <v>908.92349999999999</v>
      </c>
      <c r="K3564" s="187">
        <v>14153.321487057799</v>
      </c>
      <c r="L3564" s="187">
        <v>24762</v>
      </c>
      <c r="M3564" s="187">
        <v>39824.24609375</v>
      </c>
      <c r="N3564" s="187">
        <v>24762</v>
      </c>
      <c r="O3564" t="s">
        <v>4021</v>
      </c>
    </row>
    <row r="3565" spans="1:15" hidden="1" x14ac:dyDescent="0.45">
      <c r="A3565" s="187">
        <v>2020</v>
      </c>
      <c r="B3565" t="s">
        <v>310</v>
      </c>
      <c r="C3565" t="s">
        <v>322</v>
      </c>
      <c r="D3565" t="s">
        <v>35</v>
      </c>
      <c r="E3565" t="s">
        <v>16</v>
      </c>
      <c r="F3565" t="s">
        <v>16</v>
      </c>
      <c r="G3565" t="s">
        <v>36</v>
      </c>
      <c r="H3565" t="s">
        <v>43</v>
      </c>
      <c r="I3565" s="187"/>
      <c r="J3565" s="187">
        <v>104.61766592181245</v>
      </c>
      <c r="K3565" s="187">
        <v>5472.8508399127159</v>
      </c>
      <c r="L3565" s="187">
        <v>17790.234090004207</v>
      </c>
      <c r="M3565" s="187">
        <v>23367.703125</v>
      </c>
      <c r="N3565" s="187">
        <v>17790.234375</v>
      </c>
      <c r="O3565" t="s">
        <v>4030</v>
      </c>
    </row>
    <row r="3566" spans="1:15" hidden="1" x14ac:dyDescent="0.45">
      <c r="A3566" s="187">
        <v>2020</v>
      </c>
      <c r="B3566" t="s">
        <v>311</v>
      </c>
      <c r="C3566" t="s">
        <v>322</v>
      </c>
      <c r="D3566" t="s">
        <v>35</v>
      </c>
      <c r="E3566" t="s">
        <v>16</v>
      </c>
      <c r="F3566" t="s">
        <v>16</v>
      </c>
      <c r="G3566" t="s">
        <v>36</v>
      </c>
      <c r="H3566" t="s">
        <v>43</v>
      </c>
      <c r="I3566" s="187"/>
      <c r="J3566" s="187">
        <v>127.5294122655004</v>
      </c>
      <c r="K3566" s="187">
        <v>5228.9350345284493</v>
      </c>
      <c r="L3566" s="187">
        <v>19980.033019635946</v>
      </c>
      <c r="M3566" s="187">
        <v>25336.498046875</v>
      </c>
      <c r="N3566" s="187">
        <v>19980.033203125</v>
      </c>
      <c r="O3566" t="s">
        <v>4027</v>
      </c>
    </row>
    <row r="3567" spans="1:15" hidden="1" x14ac:dyDescent="0.45">
      <c r="A3567" s="187">
        <v>2020</v>
      </c>
      <c r="B3567" t="s">
        <v>309</v>
      </c>
      <c r="C3567" t="s">
        <v>322</v>
      </c>
      <c r="D3567" t="s">
        <v>35</v>
      </c>
      <c r="E3567" t="s">
        <v>16</v>
      </c>
      <c r="F3567" t="s">
        <v>16</v>
      </c>
      <c r="G3567" t="s">
        <v>36</v>
      </c>
      <c r="H3567" t="s">
        <v>43</v>
      </c>
      <c r="I3567" s="187"/>
      <c r="J3567" s="187">
        <v>121.87102721976841</v>
      </c>
      <c r="K3567" s="187">
        <v>4887.5065352945503</v>
      </c>
      <c r="L3567" s="187">
        <v>13335.604685015311</v>
      </c>
      <c r="M3567" s="187">
        <v>18344.982421875</v>
      </c>
      <c r="N3567" s="187">
        <v>13335.6044921875</v>
      </c>
      <c r="O3567" t="s">
        <v>4026</v>
      </c>
    </row>
    <row r="3568" spans="1:15" hidden="1" x14ac:dyDescent="0.45">
      <c r="A3568" s="187">
        <v>2020</v>
      </c>
      <c r="B3568" t="s">
        <v>315</v>
      </c>
      <c r="C3568" t="s">
        <v>322</v>
      </c>
      <c r="D3568" t="s">
        <v>35</v>
      </c>
      <c r="E3568" t="s">
        <v>16</v>
      </c>
      <c r="F3568" t="s">
        <v>16</v>
      </c>
      <c r="G3568" t="s">
        <v>36</v>
      </c>
      <c r="H3568" t="s">
        <v>43</v>
      </c>
      <c r="I3568" s="187">
        <v>8452.9776993282157</v>
      </c>
      <c r="J3568" s="187">
        <v>249.2154359607004</v>
      </c>
      <c r="K3568" s="187">
        <v>7469.3851325210462</v>
      </c>
      <c r="L3568" s="187">
        <v>19516.967028031395</v>
      </c>
      <c r="M3568" s="187">
        <v>35688.546875</v>
      </c>
      <c r="N3568" s="187">
        <v>27969.9453125</v>
      </c>
      <c r="O3568" t="s">
        <v>4029</v>
      </c>
    </row>
    <row r="3569" spans="1:15" hidden="1" x14ac:dyDescent="0.45">
      <c r="A3569" s="187">
        <v>2020</v>
      </c>
      <c r="B3569" t="s">
        <v>316</v>
      </c>
      <c r="C3569" t="s">
        <v>322</v>
      </c>
      <c r="D3569" t="s">
        <v>35</v>
      </c>
      <c r="E3569" t="s">
        <v>16</v>
      </c>
      <c r="F3569" t="s">
        <v>16</v>
      </c>
      <c r="G3569" t="s">
        <v>36</v>
      </c>
      <c r="H3569" t="s">
        <v>43</v>
      </c>
      <c r="I3569" s="187">
        <v>10557.716105760837</v>
      </c>
      <c r="J3569" s="187">
        <v>165.21807579535636</v>
      </c>
      <c r="K3569" s="187">
        <v>7815.0513322225534</v>
      </c>
      <c r="L3569" s="187">
        <v>16406.154926478888</v>
      </c>
      <c r="M3569" s="187">
        <v>34944.140625</v>
      </c>
      <c r="N3569" s="187">
        <v>26963.87109375</v>
      </c>
      <c r="O3569" t="s">
        <v>4028</v>
      </c>
    </row>
    <row r="3570" spans="1:15" hidden="1" x14ac:dyDescent="0.45">
      <c r="A3570" s="187">
        <v>2020</v>
      </c>
      <c r="B3570" t="s">
        <v>312</v>
      </c>
      <c r="C3570" t="s">
        <v>322</v>
      </c>
      <c r="D3570" t="s">
        <v>35</v>
      </c>
      <c r="E3570" t="s">
        <v>16</v>
      </c>
      <c r="F3570" t="s">
        <v>16</v>
      </c>
      <c r="G3570" t="s">
        <v>36</v>
      </c>
      <c r="H3570" t="s">
        <v>43</v>
      </c>
      <c r="I3570" s="187">
        <v>5004.1518440450345</v>
      </c>
      <c r="J3570" s="187">
        <v>129.84029477510072</v>
      </c>
      <c r="K3570" s="187">
        <v>4928.7150683026975</v>
      </c>
      <c r="L3570" s="187">
        <v>17950.111609098687</v>
      </c>
      <c r="M3570" s="187">
        <v>28012.818359375</v>
      </c>
      <c r="N3570" s="187">
        <v>22954.263671875</v>
      </c>
      <c r="O3570" t="s">
        <v>4025</v>
      </c>
    </row>
    <row r="3571" spans="1:15" hidden="1" x14ac:dyDescent="0.45">
      <c r="A3571" s="187">
        <v>2020</v>
      </c>
      <c r="B3571" t="s">
        <v>314</v>
      </c>
      <c r="C3571" t="s">
        <v>322</v>
      </c>
      <c r="D3571" t="s">
        <v>35</v>
      </c>
      <c r="E3571" t="s">
        <v>16</v>
      </c>
      <c r="F3571" t="s">
        <v>16</v>
      </c>
      <c r="G3571" t="s">
        <v>36</v>
      </c>
      <c r="H3571" t="s">
        <v>43</v>
      </c>
      <c r="I3571" s="187">
        <v>8691.9362257258199</v>
      </c>
      <c r="J3571" s="187">
        <v>139.77847933186797</v>
      </c>
      <c r="K3571" s="187">
        <v>6757.302106088152</v>
      </c>
      <c r="L3571" s="187">
        <v>20481.041684101954</v>
      </c>
      <c r="M3571" s="187">
        <v>36070.05859375</v>
      </c>
      <c r="N3571" s="187">
        <v>29172.978515625</v>
      </c>
      <c r="O3571" t="s">
        <v>4031</v>
      </c>
    </row>
    <row r="3572" spans="1:15" hidden="1" x14ac:dyDescent="0.45">
      <c r="A3572" s="187">
        <v>2020</v>
      </c>
      <c r="B3572" t="s">
        <v>313</v>
      </c>
      <c r="C3572" t="s">
        <v>322</v>
      </c>
      <c r="D3572" t="s">
        <v>35</v>
      </c>
      <c r="E3572" t="s">
        <v>16</v>
      </c>
      <c r="F3572" t="s">
        <v>16</v>
      </c>
      <c r="G3572" t="s">
        <v>36</v>
      </c>
      <c r="H3572" t="s">
        <v>43</v>
      </c>
      <c r="I3572" s="187">
        <v>6173.5611738720763</v>
      </c>
      <c r="J3572" s="187">
        <v>125.77864682586659</v>
      </c>
      <c r="K3572" s="187">
        <v>5915.323391539041</v>
      </c>
      <c r="L3572" s="187">
        <v>16890.275430902086</v>
      </c>
      <c r="M3572" s="187">
        <v>29104.939453125</v>
      </c>
      <c r="N3572" s="187">
        <v>23063.8359375</v>
      </c>
      <c r="O3572" t="s">
        <v>4024</v>
      </c>
    </row>
    <row r="3573" spans="1:15" hidden="1" x14ac:dyDescent="0.45">
      <c r="A3573" s="187">
        <v>2020</v>
      </c>
      <c r="B3573" t="s">
        <v>311</v>
      </c>
      <c r="C3573" t="s">
        <v>322</v>
      </c>
      <c r="D3573" t="s">
        <v>35</v>
      </c>
      <c r="E3573" t="s">
        <v>16</v>
      </c>
      <c r="F3573" t="s">
        <v>16</v>
      </c>
      <c r="G3573" t="s">
        <v>37</v>
      </c>
      <c r="H3573" t="s">
        <v>43</v>
      </c>
      <c r="I3573" s="187"/>
      <c r="J3573" s="187">
        <v>111</v>
      </c>
      <c r="K3573" s="187">
        <v>4493.8860997640368</v>
      </c>
      <c r="L3573" s="187">
        <v>17925</v>
      </c>
      <c r="M3573" s="187">
        <v>22529.88671875</v>
      </c>
      <c r="N3573" s="187">
        <v>17925</v>
      </c>
      <c r="O3573" t="s">
        <v>4033</v>
      </c>
    </row>
    <row r="3574" spans="1:15" hidden="1" x14ac:dyDescent="0.45">
      <c r="A3574" s="187">
        <v>2020</v>
      </c>
      <c r="B3574" t="s">
        <v>314</v>
      </c>
      <c r="C3574" t="s">
        <v>322</v>
      </c>
      <c r="D3574" t="s">
        <v>35</v>
      </c>
      <c r="E3574" t="s">
        <v>16</v>
      </c>
      <c r="F3574" t="s">
        <v>16</v>
      </c>
      <c r="G3574" t="s">
        <v>37</v>
      </c>
      <c r="H3574" t="s">
        <v>43</v>
      </c>
      <c r="I3574" s="187">
        <v>7766.5492398191709</v>
      </c>
      <c r="J3574" s="187">
        <v>125</v>
      </c>
      <c r="K3574" s="187">
        <v>6045.4652518770763</v>
      </c>
      <c r="L3574" s="187">
        <v>18834</v>
      </c>
      <c r="M3574" s="187">
        <v>32771.015625</v>
      </c>
      <c r="N3574" s="187">
        <v>26600.548828125</v>
      </c>
      <c r="O3574" t="s">
        <v>4039</v>
      </c>
    </row>
    <row r="3575" spans="1:15" hidden="1" x14ac:dyDescent="0.45">
      <c r="A3575" s="187">
        <v>2020</v>
      </c>
      <c r="B3575" t="s">
        <v>313</v>
      </c>
      <c r="C3575" t="s">
        <v>322</v>
      </c>
      <c r="D3575" t="s">
        <v>35</v>
      </c>
      <c r="E3575" t="s">
        <v>16</v>
      </c>
      <c r="F3575" t="s">
        <v>16</v>
      </c>
      <c r="G3575" t="s">
        <v>37</v>
      </c>
      <c r="H3575" t="s">
        <v>43</v>
      </c>
      <c r="I3575" s="187">
        <v>5457.3336241822462</v>
      </c>
      <c r="J3575" s="187">
        <v>111</v>
      </c>
      <c r="K3575" s="187">
        <v>5216.9243423321959</v>
      </c>
      <c r="L3575" s="187">
        <v>14973</v>
      </c>
      <c r="M3575" s="187">
        <v>25758.2578125</v>
      </c>
      <c r="N3575" s="187">
        <v>20430.333984375</v>
      </c>
      <c r="O3575" t="s">
        <v>4034</v>
      </c>
    </row>
    <row r="3576" spans="1:15" hidden="1" x14ac:dyDescent="0.45">
      <c r="A3576" s="187">
        <v>2020</v>
      </c>
      <c r="B3576" t="s">
        <v>316</v>
      </c>
      <c r="C3576" t="s">
        <v>322</v>
      </c>
      <c r="D3576" t="s">
        <v>35</v>
      </c>
      <c r="E3576" t="s">
        <v>16</v>
      </c>
      <c r="F3576" t="s">
        <v>16</v>
      </c>
      <c r="G3576" t="s">
        <v>37</v>
      </c>
      <c r="H3576" t="s">
        <v>43</v>
      </c>
      <c r="I3576" s="187">
        <v>9585</v>
      </c>
      <c r="J3576" s="187">
        <v>150</v>
      </c>
      <c r="K3576" s="187">
        <v>7095.2145774011651</v>
      </c>
      <c r="L3576" s="187">
        <v>14895</v>
      </c>
      <c r="M3576" s="187">
        <v>31725.21484375</v>
      </c>
      <c r="N3576" s="187">
        <v>24480</v>
      </c>
      <c r="O3576" t="s">
        <v>4032</v>
      </c>
    </row>
    <row r="3577" spans="1:15" hidden="1" x14ac:dyDescent="0.45">
      <c r="A3577" s="187">
        <v>2020</v>
      </c>
      <c r="B3577" t="s">
        <v>315</v>
      </c>
      <c r="C3577" t="s">
        <v>322</v>
      </c>
      <c r="D3577" t="s">
        <v>35</v>
      </c>
      <c r="E3577" t="s">
        <v>16</v>
      </c>
      <c r="F3577" t="s">
        <v>16</v>
      </c>
      <c r="G3577" t="s">
        <v>37</v>
      </c>
      <c r="H3577" t="s">
        <v>43</v>
      </c>
      <c r="I3577" s="187">
        <v>7612.0251296865335</v>
      </c>
      <c r="J3577" s="187">
        <v>220</v>
      </c>
      <c r="K3577" s="187">
        <v>6715.7769190576846</v>
      </c>
      <c r="L3577" s="187">
        <v>17574</v>
      </c>
      <c r="M3577" s="187">
        <v>32121.80078125</v>
      </c>
      <c r="N3577" s="187">
        <v>25186.025390625</v>
      </c>
      <c r="O3577" t="s">
        <v>4038</v>
      </c>
    </row>
    <row r="3578" spans="1:15" hidden="1" x14ac:dyDescent="0.45">
      <c r="A3578" s="187">
        <v>2020</v>
      </c>
      <c r="B3578" t="s">
        <v>312</v>
      </c>
      <c r="C3578" t="s">
        <v>322</v>
      </c>
      <c r="D3578" t="s">
        <v>35</v>
      </c>
      <c r="E3578" t="s">
        <v>16</v>
      </c>
      <c r="F3578" t="s">
        <v>16</v>
      </c>
      <c r="G3578" t="s">
        <v>37</v>
      </c>
      <c r="H3578" t="s">
        <v>43</v>
      </c>
      <c r="I3578" s="187">
        <v>4306.6414381714594</v>
      </c>
      <c r="J3578" s="187">
        <v>114</v>
      </c>
      <c r="K3578" s="187">
        <v>4301.0331904553541</v>
      </c>
      <c r="L3578" s="187">
        <v>15628</v>
      </c>
      <c r="M3578" s="187">
        <v>24349.67578125</v>
      </c>
      <c r="N3578" s="187">
        <v>19934.640625</v>
      </c>
      <c r="O3578" t="s">
        <v>4036</v>
      </c>
    </row>
    <row r="3579" spans="1:15" hidden="1" x14ac:dyDescent="0.45">
      <c r="A3579" s="187">
        <v>2020</v>
      </c>
      <c r="B3579" t="s">
        <v>310</v>
      </c>
      <c r="C3579" t="s">
        <v>322</v>
      </c>
      <c r="D3579" t="s">
        <v>35</v>
      </c>
      <c r="E3579" t="s">
        <v>16</v>
      </c>
      <c r="F3579" t="s">
        <v>16</v>
      </c>
      <c r="G3579" t="s">
        <v>37</v>
      </c>
      <c r="H3579" t="s">
        <v>43</v>
      </c>
      <c r="I3579" s="187"/>
      <c r="J3579" s="187">
        <v>90</v>
      </c>
      <c r="K3579" s="187">
        <v>4731.8798013048454</v>
      </c>
      <c r="L3579" s="187">
        <v>15939</v>
      </c>
      <c r="M3579" s="187">
        <v>20760.87890625</v>
      </c>
      <c r="N3579" s="187">
        <v>15939</v>
      </c>
      <c r="O3579" t="s">
        <v>4037</v>
      </c>
    </row>
    <row r="3580" spans="1:15" hidden="1" x14ac:dyDescent="0.45">
      <c r="A3580" s="187">
        <v>2020</v>
      </c>
      <c r="B3580" t="s">
        <v>309</v>
      </c>
      <c r="C3580" t="s">
        <v>322</v>
      </c>
      <c r="D3580" t="s">
        <v>35</v>
      </c>
      <c r="E3580" t="s">
        <v>16</v>
      </c>
      <c r="F3580" t="s">
        <v>16</v>
      </c>
      <c r="G3580" t="s">
        <v>37</v>
      </c>
      <c r="H3580" t="s">
        <v>43</v>
      </c>
      <c r="I3580" s="187"/>
      <c r="J3580" s="187">
        <v>105.1836</v>
      </c>
      <c r="K3580" s="187">
        <v>4312.4851248630957</v>
      </c>
      <c r="L3580" s="187">
        <v>12270</v>
      </c>
      <c r="M3580" s="187">
        <v>16687.66796875</v>
      </c>
      <c r="N3580" s="187">
        <v>12270</v>
      </c>
      <c r="O3580" t="s">
        <v>4035</v>
      </c>
    </row>
    <row r="3581" spans="1:15" hidden="1" x14ac:dyDescent="0.45">
      <c r="A3581" s="187">
        <v>2020</v>
      </c>
      <c r="B3581" t="s">
        <v>313</v>
      </c>
      <c r="C3581" t="s">
        <v>322</v>
      </c>
      <c r="D3581" t="s">
        <v>35</v>
      </c>
      <c r="E3581" t="s">
        <v>351</v>
      </c>
      <c r="F3581" t="s">
        <v>351</v>
      </c>
      <c r="G3581" t="s">
        <v>37</v>
      </c>
      <c r="H3581" t="s">
        <v>43</v>
      </c>
      <c r="I3581" s="187">
        <v>50.138882258478503</v>
      </c>
      <c r="J3581" s="187">
        <v>0</v>
      </c>
      <c r="K3581" s="187">
        <v>127.8668292148274</v>
      </c>
      <c r="L3581" s="187">
        <v>329</v>
      </c>
      <c r="M3581" s="187">
        <v>507.00570678710938</v>
      </c>
      <c r="N3581" s="187">
        <v>379.13888549804688</v>
      </c>
      <c r="O3581" t="s">
        <v>4044</v>
      </c>
    </row>
    <row r="3582" spans="1:15" hidden="1" x14ac:dyDescent="0.45">
      <c r="A3582" s="187">
        <v>2020</v>
      </c>
      <c r="B3582" t="s">
        <v>316</v>
      </c>
      <c r="C3582" t="s">
        <v>322</v>
      </c>
      <c r="D3582" t="s">
        <v>35</v>
      </c>
      <c r="E3582" t="s">
        <v>351</v>
      </c>
      <c r="F3582" t="s">
        <v>351</v>
      </c>
      <c r="G3582" t="s">
        <v>37</v>
      </c>
      <c r="H3582" t="s">
        <v>43</v>
      </c>
      <c r="I3582" s="187">
        <v>60</v>
      </c>
      <c r="J3582" s="187"/>
      <c r="K3582" s="187">
        <v>57.6</v>
      </c>
      <c r="L3582" s="187">
        <v>163</v>
      </c>
      <c r="M3582" s="187">
        <v>280.60000610351563</v>
      </c>
      <c r="N3582" s="187">
        <v>223</v>
      </c>
      <c r="O3582" t="s">
        <v>4043</v>
      </c>
    </row>
    <row r="3583" spans="1:15" hidden="1" x14ac:dyDescent="0.45">
      <c r="A3583" s="187">
        <v>2020</v>
      </c>
      <c r="B3583" t="s">
        <v>312</v>
      </c>
      <c r="C3583" t="s">
        <v>322</v>
      </c>
      <c r="D3583" t="s">
        <v>35</v>
      </c>
      <c r="E3583" t="s">
        <v>351</v>
      </c>
      <c r="F3583" t="s">
        <v>351</v>
      </c>
      <c r="G3583" t="s">
        <v>37</v>
      </c>
      <c r="H3583" t="s">
        <v>43</v>
      </c>
      <c r="I3583" s="187">
        <v>452.95499054754089</v>
      </c>
      <c r="J3583" s="187">
        <v>0</v>
      </c>
      <c r="K3583" s="187">
        <v>43.144385779598679</v>
      </c>
      <c r="L3583" s="187">
        <v>101</v>
      </c>
      <c r="M3583" s="187">
        <v>597.099365234375</v>
      </c>
      <c r="N3583" s="187">
        <v>553.9549560546875</v>
      </c>
      <c r="O3583" t="s">
        <v>4042</v>
      </c>
    </row>
    <row r="3584" spans="1:15" hidden="1" x14ac:dyDescent="0.45">
      <c r="A3584" s="187">
        <v>2020</v>
      </c>
      <c r="B3584" t="s">
        <v>311</v>
      </c>
      <c r="C3584" t="s">
        <v>322</v>
      </c>
      <c r="D3584" t="s">
        <v>35</v>
      </c>
      <c r="E3584" t="s">
        <v>351</v>
      </c>
      <c r="F3584" t="s">
        <v>351</v>
      </c>
      <c r="G3584" t="s">
        <v>37</v>
      </c>
      <c r="H3584" t="s">
        <v>43</v>
      </c>
      <c r="I3584" s="187"/>
      <c r="J3584" s="187">
        <v>0</v>
      </c>
      <c r="K3584" s="187">
        <v>47.310511179360958</v>
      </c>
      <c r="L3584" s="187">
        <v>209</v>
      </c>
      <c r="M3584" s="187">
        <v>256.31051635742188</v>
      </c>
      <c r="N3584" s="187">
        <v>209</v>
      </c>
      <c r="O3584" t="s">
        <v>4041</v>
      </c>
    </row>
    <row r="3585" spans="1:15" hidden="1" x14ac:dyDescent="0.45">
      <c r="A3585" s="187">
        <v>2020</v>
      </c>
      <c r="B3585" t="s">
        <v>309</v>
      </c>
      <c r="C3585" t="s">
        <v>322</v>
      </c>
      <c r="D3585" t="s">
        <v>35</v>
      </c>
      <c r="E3585" t="s">
        <v>351</v>
      </c>
      <c r="F3585" t="s">
        <v>351</v>
      </c>
      <c r="G3585" t="s">
        <v>37</v>
      </c>
      <c r="H3585" t="s">
        <v>43</v>
      </c>
      <c r="I3585" s="187"/>
      <c r="J3585" s="187">
        <v>0</v>
      </c>
      <c r="K3585" s="187">
        <v>198.20599917826459</v>
      </c>
      <c r="L3585" s="187">
        <v>220</v>
      </c>
      <c r="M3585" s="187">
        <v>418.20599365234375</v>
      </c>
      <c r="N3585" s="187">
        <v>220</v>
      </c>
      <c r="O3585" t="s">
        <v>4045</v>
      </c>
    </row>
    <row r="3586" spans="1:15" hidden="1" x14ac:dyDescent="0.45">
      <c r="A3586" s="187">
        <v>2020</v>
      </c>
      <c r="B3586" t="s">
        <v>314</v>
      </c>
      <c r="C3586" t="s">
        <v>322</v>
      </c>
      <c r="D3586" t="s">
        <v>35</v>
      </c>
      <c r="E3586" t="s">
        <v>351</v>
      </c>
      <c r="F3586" t="s">
        <v>351</v>
      </c>
      <c r="G3586" t="s">
        <v>37</v>
      </c>
      <c r="H3586" t="s">
        <v>43</v>
      </c>
      <c r="I3586" s="187">
        <v>64.099987047767613</v>
      </c>
      <c r="J3586" s="187">
        <v>0</v>
      </c>
      <c r="K3586" s="187">
        <v>44.198322848205009</v>
      </c>
      <c r="L3586" s="187">
        <v>417</v>
      </c>
      <c r="M3586" s="187">
        <v>525.29833984375</v>
      </c>
      <c r="N3586" s="187">
        <v>481.0999755859375</v>
      </c>
      <c r="O3586" t="s">
        <v>4047</v>
      </c>
    </row>
    <row r="3587" spans="1:15" hidden="1" x14ac:dyDescent="0.45">
      <c r="A3587" s="187">
        <v>2020</v>
      </c>
      <c r="B3587" t="s">
        <v>315</v>
      </c>
      <c r="C3587" t="s">
        <v>322</v>
      </c>
      <c r="D3587" t="s">
        <v>35</v>
      </c>
      <c r="E3587" t="s">
        <v>351</v>
      </c>
      <c r="F3587" t="s">
        <v>351</v>
      </c>
      <c r="G3587" t="s">
        <v>37</v>
      </c>
      <c r="H3587" t="s">
        <v>43</v>
      </c>
      <c r="I3587" s="187">
        <v>55.927063990054513</v>
      </c>
      <c r="J3587" s="187">
        <v>0</v>
      </c>
      <c r="K3587" s="187">
        <v>66.511632999176015</v>
      </c>
      <c r="L3587" s="187">
        <v>155</v>
      </c>
      <c r="M3587" s="187">
        <v>277.43869018554688</v>
      </c>
      <c r="N3587" s="187">
        <v>210.92706298828125</v>
      </c>
      <c r="O3587" t="s">
        <v>4046</v>
      </c>
    </row>
    <row r="3588" spans="1:15" hidden="1" x14ac:dyDescent="0.45">
      <c r="A3588" s="187">
        <v>2020</v>
      </c>
      <c r="B3588" t="s">
        <v>310</v>
      </c>
      <c r="C3588" t="s">
        <v>322</v>
      </c>
      <c r="D3588" t="s">
        <v>35</v>
      </c>
      <c r="E3588" t="s">
        <v>351</v>
      </c>
      <c r="F3588" t="s">
        <v>351</v>
      </c>
      <c r="G3588" t="s">
        <v>37</v>
      </c>
      <c r="H3588" t="s">
        <v>43</v>
      </c>
      <c r="I3588" s="187"/>
      <c r="J3588" s="187">
        <v>0</v>
      </c>
      <c r="K3588" s="187">
        <v>31.776309690398019</v>
      </c>
      <c r="L3588" s="187">
        <v>249</v>
      </c>
      <c r="M3588" s="187">
        <v>280.77630615234375</v>
      </c>
      <c r="N3588" s="187">
        <v>249</v>
      </c>
      <c r="O3588" t="s">
        <v>4040</v>
      </c>
    </row>
    <row r="3589" spans="1:15" hidden="1" x14ac:dyDescent="0.45">
      <c r="A3589" s="187">
        <v>2020</v>
      </c>
      <c r="B3589" t="s">
        <v>311</v>
      </c>
      <c r="C3589" t="s">
        <v>322</v>
      </c>
      <c r="D3589" t="s">
        <v>35</v>
      </c>
      <c r="E3589" t="s">
        <v>352</v>
      </c>
      <c r="F3589" t="s">
        <v>361</v>
      </c>
      <c r="G3589" t="s">
        <v>36</v>
      </c>
      <c r="H3589" t="s">
        <v>43</v>
      </c>
      <c r="I3589" s="187"/>
      <c r="J3589" s="187">
        <v>0</v>
      </c>
      <c r="K3589" s="187">
        <v>0</v>
      </c>
      <c r="L3589" s="187"/>
      <c r="M3589" s="187">
        <v>0</v>
      </c>
      <c r="N3589" s="187">
        <v>0</v>
      </c>
      <c r="O3589" t="s">
        <v>4048</v>
      </c>
    </row>
    <row r="3590" spans="1:15" hidden="1" x14ac:dyDescent="0.45">
      <c r="A3590" s="187">
        <v>2020</v>
      </c>
      <c r="B3590" t="s">
        <v>309</v>
      </c>
      <c r="C3590" t="s">
        <v>322</v>
      </c>
      <c r="D3590" t="s">
        <v>35</v>
      </c>
      <c r="E3590" t="s">
        <v>352</v>
      </c>
      <c r="F3590" t="s">
        <v>361</v>
      </c>
      <c r="G3590" t="s">
        <v>36</v>
      </c>
      <c r="H3590" t="s">
        <v>43</v>
      </c>
      <c r="I3590" s="187"/>
      <c r="J3590" s="187">
        <v>0</v>
      </c>
      <c r="K3590" s="187">
        <v>0</v>
      </c>
      <c r="L3590" s="187">
        <v>0</v>
      </c>
      <c r="M3590" s="187">
        <v>0</v>
      </c>
      <c r="N3590" s="187">
        <v>0</v>
      </c>
      <c r="O3590" t="s">
        <v>4055</v>
      </c>
    </row>
    <row r="3591" spans="1:15" hidden="1" x14ac:dyDescent="0.45">
      <c r="A3591" s="187">
        <v>2020</v>
      </c>
      <c r="B3591" t="s">
        <v>310</v>
      </c>
      <c r="C3591" t="s">
        <v>322</v>
      </c>
      <c r="D3591" t="s">
        <v>35</v>
      </c>
      <c r="E3591" t="s">
        <v>352</v>
      </c>
      <c r="F3591" t="s">
        <v>361</v>
      </c>
      <c r="G3591" t="s">
        <v>36</v>
      </c>
      <c r="H3591" t="s">
        <v>43</v>
      </c>
      <c r="I3591" s="187"/>
      <c r="J3591" s="187">
        <v>0</v>
      </c>
      <c r="K3591" s="187">
        <v>0</v>
      </c>
      <c r="L3591" s="187"/>
      <c r="M3591" s="187">
        <v>0</v>
      </c>
      <c r="N3591" s="187">
        <v>0</v>
      </c>
      <c r="O3591" t="s">
        <v>4053</v>
      </c>
    </row>
    <row r="3592" spans="1:15" hidden="1" x14ac:dyDescent="0.45">
      <c r="A3592" s="187">
        <v>2020</v>
      </c>
      <c r="B3592" t="s">
        <v>314</v>
      </c>
      <c r="C3592" t="s">
        <v>322</v>
      </c>
      <c r="D3592" t="s">
        <v>35</v>
      </c>
      <c r="E3592" t="s">
        <v>352</v>
      </c>
      <c r="F3592" t="s">
        <v>361</v>
      </c>
      <c r="G3592" t="s">
        <v>36</v>
      </c>
      <c r="H3592" t="s">
        <v>43</v>
      </c>
      <c r="I3592" s="187">
        <v>0</v>
      </c>
      <c r="J3592" s="187">
        <v>0</v>
      </c>
      <c r="K3592" s="187">
        <v>0</v>
      </c>
      <c r="L3592" s="187"/>
      <c r="M3592" s="187">
        <v>0</v>
      </c>
      <c r="N3592" s="187">
        <v>0</v>
      </c>
      <c r="O3592" t="s">
        <v>4050</v>
      </c>
    </row>
    <row r="3593" spans="1:15" hidden="1" x14ac:dyDescent="0.45">
      <c r="A3593" s="187">
        <v>2020</v>
      </c>
      <c r="B3593" t="s">
        <v>313</v>
      </c>
      <c r="C3593" t="s">
        <v>322</v>
      </c>
      <c r="D3593" t="s">
        <v>35</v>
      </c>
      <c r="E3593" t="s">
        <v>352</v>
      </c>
      <c r="F3593" t="s">
        <v>361</v>
      </c>
      <c r="G3593" t="s">
        <v>36</v>
      </c>
      <c r="H3593" t="s">
        <v>43</v>
      </c>
      <c r="I3593" s="187"/>
      <c r="J3593" s="187">
        <v>0</v>
      </c>
      <c r="K3593" s="187">
        <v>0</v>
      </c>
      <c r="L3593" s="187"/>
      <c r="M3593" s="187">
        <v>0</v>
      </c>
      <c r="N3593" s="187">
        <v>0</v>
      </c>
      <c r="O3593" t="s">
        <v>4052</v>
      </c>
    </row>
    <row r="3594" spans="1:15" hidden="1" x14ac:dyDescent="0.45">
      <c r="A3594" s="187">
        <v>2020</v>
      </c>
      <c r="B3594" t="s">
        <v>312</v>
      </c>
      <c r="C3594" t="s">
        <v>322</v>
      </c>
      <c r="D3594" t="s">
        <v>35</v>
      </c>
      <c r="E3594" t="s">
        <v>352</v>
      </c>
      <c r="F3594" t="s">
        <v>361</v>
      </c>
      <c r="G3594" t="s">
        <v>36</v>
      </c>
      <c r="H3594" t="s">
        <v>43</v>
      </c>
      <c r="I3594" s="187"/>
      <c r="J3594" s="187">
        <v>0</v>
      </c>
      <c r="K3594" s="187">
        <v>0</v>
      </c>
      <c r="L3594" s="187"/>
      <c r="M3594" s="187">
        <v>0</v>
      </c>
      <c r="N3594" s="187">
        <v>0</v>
      </c>
      <c r="O3594" t="s">
        <v>4049</v>
      </c>
    </row>
    <row r="3595" spans="1:15" hidden="1" x14ac:dyDescent="0.45">
      <c r="A3595" s="187">
        <v>2020</v>
      </c>
      <c r="B3595" t="s">
        <v>316</v>
      </c>
      <c r="C3595" t="s">
        <v>322</v>
      </c>
      <c r="D3595" t="s">
        <v>35</v>
      </c>
      <c r="E3595" t="s">
        <v>352</v>
      </c>
      <c r="F3595" t="s">
        <v>361</v>
      </c>
      <c r="G3595" t="s">
        <v>36</v>
      </c>
      <c r="H3595" t="s">
        <v>43</v>
      </c>
      <c r="I3595" s="187">
        <v>0</v>
      </c>
      <c r="J3595" s="187"/>
      <c r="K3595" s="187">
        <v>0</v>
      </c>
      <c r="L3595" s="187"/>
      <c r="M3595" s="187">
        <v>0</v>
      </c>
      <c r="N3595" s="187">
        <v>0</v>
      </c>
      <c r="O3595" t="s">
        <v>4054</v>
      </c>
    </row>
    <row r="3596" spans="1:15" hidden="1" x14ac:dyDescent="0.45">
      <c r="A3596" s="187">
        <v>2020</v>
      </c>
      <c r="B3596" t="s">
        <v>315</v>
      </c>
      <c r="C3596" t="s">
        <v>322</v>
      </c>
      <c r="D3596" t="s">
        <v>35</v>
      </c>
      <c r="E3596" t="s">
        <v>352</v>
      </c>
      <c r="F3596" t="s">
        <v>361</v>
      </c>
      <c r="G3596" t="s">
        <v>36</v>
      </c>
      <c r="H3596" t="s">
        <v>43</v>
      </c>
      <c r="I3596" s="187">
        <v>0</v>
      </c>
      <c r="J3596" s="187">
        <v>0</v>
      </c>
      <c r="K3596" s="187">
        <v>0</v>
      </c>
      <c r="L3596" s="187"/>
      <c r="M3596" s="187">
        <v>0</v>
      </c>
      <c r="N3596" s="187">
        <v>0</v>
      </c>
      <c r="O3596" t="s">
        <v>4051</v>
      </c>
    </row>
    <row r="3597" spans="1:15" hidden="1" x14ac:dyDescent="0.45">
      <c r="A3597" s="187">
        <v>2020</v>
      </c>
      <c r="B3597" t="s">
        <v>309</v>
      </c>
      <c r="C3597" t="s">
        <v>322</v>
      </c>
      <c r="D3597" t="s">
        <v>35</v>
      </c>
      <c r="E3597" t="s">
        <v>353</v>
      </c>
      <c r="F3597" t="s">
        <v>383</v>
      </c>
      <c r="G3597" t="s">
        <v>36</v>
      </c>
      <c r="H3597" t="s">
        <v>43</v>
      </c>
      <c r="I3597" s="187"/>
      <c r="J3597" s="187">
        <v>854.42187561685455</v>
      </c>
      <c r="K3597" s="187">
        <v>15247.302302715285</v>
      </c>
      <c r="L3597" s="187">
        <v>30250.508452072077</v>
      </c>
      <c r="M3597" s="187">
        <v>46352.234375</v>
      </c>
      <c r="N3597" s="187">
        <v>30250.5078125</v>
      </c>
      <c r="O3597" t="s">
        <v>4058</v>
      </c>
    </row>
    <row r="3598" spans="1:15" hidden="1" x14ac:dyDescent="0.45">
      <c r="A3598" s="187">
        <v>2020</v>
      </c>
      <c r="B3598" t="s">
        <v>312</v>
      </c>
      <c r="C3598" t="s">
        <v>322</v>
      </c>
      <c r="D3598" t="s">
        <v>35</v>
      </c>
      <c r="E3598" t="s">
        <v>353</v>
      </c>
      <c r="F3598" t="s">
        <v>383</v>
      </c>
      <c r="G3598" t="s">
        <v>36</v>
      </c>
      <c r="H3598" t="s">
        <v>43</v>
      </c>
      <c r="I3598" s="187">
        <v>15541.000908603442</v>
      </c>
      <c r="J3598" s="187">
        <v>908.88206342570504</v>
      </c>
      <c r="K3598" s="187">
        <v>14924.848753075456</v>
      </c>
      <c r="L3598" s="187">
        <v>25236.007007335767</v>
      </c>
      <c r="M3598" s="187">
        <v>56610.73828125</v>
      </c>
      <c r="N3598" s="187">
        <v>40777.0078125</v>
      </c>
      <c r="O3598" t="s">
        <v>4063</v>
      </c>
    </row>
    <row r="3599" spans="1:15" hidden="1" x14ac:dyDescent="0.45">
      <c r="A3599" s="187">
        <v>2020</v>
      </c>
      <c r="B3599" t="s">
        <v>313</v>
      </c>
      <c r="C3599" t="s">
        <v>322</v>
      </c>
      <c r="D3599" t="s">
        <v>35</v>
      </c>
      <c r="E3599" t="s">
        <v>353</v>
      </c>
      <c r="F3599" t="s">
        <v>383</v>
      </c>
      <c r="G3599" t="s">
        <v>36</v>
      </c>
      <c r="H3599" t="s">
        <v>43</v>
      </c>
      <c r="I3599" s="187">
        <v>14989.686002865694</v>
      </c>
      <c r="J3599" s="187">
        <v>862.48214966308524</v>
      </c>
      <c r="K3599" s="187">
        <v>14903.843722187212</v>
      </c>
      <c r="L3599" s="187">
        <v>24578.853746472691</v>
      </c>
      <c r="M3599" s="187">
        <v>55334.8671875</v>
      </c>
      <c r="N3599" s="187">
        <v>39568.5390625</v>
      </c>
      <c r="O3599" t="s">
        <v>4061</v>
      </c>
    </row>
    <row r="3600" spans="1:15" hidden="1" x14ac:dyDescent="0.45">
      <c r="A3600" s="187">
        <v>2020</v>
      </c>
      <c r="B3600" t="s">
        <v>316</v>
      </c>
      <c r="C3600" t="s">
        <v>322</v>
      </c>
      <c r="D3600" t="s">
        <v>35</v>
      </c>
      <c r="E3600" t="s">
        <v>353</v>
      </c>
      <c r="F3600" t="s">
        <v>383</v>
      </c>
      <c r="G3600" t="s">
        <v>36</v>
      </c>
      <c r="H3600" t="s">
        <v>43</v>
      </c>
      <c r="I3600" s="187">
        <v>16983.333496159317</v>
      </c>
      <c r="J3600" s="187">
        <v>582.5589352544265</v>
      </c>
      <c r="K3600" s="187">
        <v>18333.372599430466</v>
      </c>
      <c r="L3600" s="187">
        <v>22912.442751300019</v>
      </c>
      <c r="M3600" s="187">
        <v>58811.70703125</v>
      </c>
      <c r="N3600" s="187">
        <v>39895.77734375</v>
      </c>
      <c r="O3600" t="s">
        <v>4060</v>
      </c>
    </row>
    <row r="3601" spans="1:15" hidden="1" x14ac:dyDescent="0.45">
      <c r="A3601" s="187">
        <v>2020</v>
      </c>
      <c r="B3601" t="s">
        <v>315</v>
      </c>
      <c r="C3601" t="s">
        <v>322</v>
      </c>
      <c r="D3601" t="s">
        <v>35</v>
      </c>
      <c r="E3601" t="s">
        <v>353</v>
      </c>
      <c r="F3601" t="s">
        <v>383</v>
      </c>
      <c r="G3601" t="s">
        <v>36</v>
      </c>
      <c r="H3601" t="s">
        <v>43</v>
      </c>
      <c r="I3601" s="187">
        <v>15923.776790968308</v>
      </c>
      <c r="J3601" s="187">
        <v>879.73048894127237</v>
      </c>
      <c r="K3601" s="187">
        <v>18219.238382633364</v>
      </c>
      <c r="L3601" s="187">
        <v>31622.040431104324</v>
      </c>
      <c r="M3601" s="187">
        <v>66644.7890625</v>
      </c>
      <c r="N3601" s="187">
        <v>47545.81640625</v>
      </c>
      <c r="O3601" t="s">
        <v>4059</v>
      </c>
    </row>
    <row r="3602" spans="1:15" hidden="1" x14ac:dyDescent="0.45">
      <c r="A3602" s="187">
        <v>2020</v>
      </c>
      <c r="B3602" t="s">
        <v>310</v>
      </c>
      <c r="C3602" t="s">
        <v>322</v>
      </c>
      <c r="D3602" t="s">
        <v>35</v>
      </c>
      <c r="E3602" t="s">
        <v>353</v>
      </c>
      <c r="F3602" t="s">
        <v>383</v>
      </c>
      <c r="G3602" t="s">
        <v>36</v>
      </c>
      <c r="H3602" t="s">
        <v>43</v>
      </c>
      <c r="I3602" s="187"/>
      <c r="J3602" s="187">
        <v>810.7869108940464</v>
      </c>
      <c r="K3602" s="187">
        <v>15438.218892925332</v>
      </c>
      <c r="L3602" s="187">
        <v>38647.073512341536</v>
      </c>
      <c r="M3602" s="187">
        <v>54896.078125</v>
      </c>
      <c r="N3602" s="187">
        <v>38647.07421875</v>
      </c>
      <c r="O3602" t="s">
        <v>4057</v>
      </c>
    </row>
    <row r="3603" spans="1:15" hidden="1" x14ac:dyDescent="0.45">
      <c r="A3603" s="187">
        <v>2020</v>
      </c>
      <c r="B3603" t="s">
        <v>314</v>
      </c>
      <c r="C3603" t="s">
        <v>322</v>
      </c>
      <c r="D3603" t="s">
        <v>35</v>
      </c>
      <c r="E3603" t="s">
        <v>353</v>
      </c>
      <c r="F3603" t="s">
        <v>383</v>
      </c>
      <c r="G3603" t="s">
        <v>36</v>
      </c>
      <c r="H3603" t="s">
        <v>43</v>
      </c>
      <c r="I3603" s="187">
        <v>18220.169233514825</v>
      </c>
      <c r="J3603" s="187">
        <v>856.1431859076913</v>
      </c>
      <c r="K3603" s="187">
        <v>17426.988306801744</v>
      </c>
      <c r="L3603" s="187">
        <v>29296.404447298428</v>
      </c>
      <c r="M3603" s="187">
        <v>65799.703125</v>
      </c>
      <c r="N3603" s="187">
        <v>47516.57421875</v>
      </c>
      <c r="O3603" t="s">
        <v>4056</v>
      </c>
    </row>
    <row r="3604" spans="1:15" hidden="1" x14ac:dyDescent="0.45">
      <c r="A3604" s="187">
        <v>2020</v>
      </c>
      <c r="B3604" t="s">
        <v>311</v>
      </c>
      <c r="C3604" t="s">
        <v>322</v>
      </c>
      <c r="D3604" t="s">
        <v>35</v>
      </c>
      <c r="E3604" t="s">
        <v>353</v>
      </c>
      <c r="F3604" t="s">
        <v>383</v>
      </c>
      <c r="G3604" t="s">
        <v>36</v>
      </c>
      <c r="H3604" t="s">
        <v>43</v>
      </c>
      <c r="I3604" s="187"/>
      <c r="J3604" s="187">
        <v>1103.1294160965783</v>
      </c>
      <c r="K3604" s="187">
        <v>15686.435721789396</v>
      </c>
      <c r="L3604" s="187">
        <v>38638.86132820131</v>
      </c>
      <c r="M3604" s="187">
        <v>55428.42578125</v>
      </c>
      <c r="N3604" s="187">
        <v>38638.86328125</v>
      </c>
      <c r="O3604" t="s">
        <v>4062</v>
      </c>
    </row>
    <row r="3605" spans="1:15" hidden="1" x14ac:dyDescent="0.45">
      <c r="A3605" s="187">
        <v>2020</v>
      </c>
      <c r="B3605" t="s">
        <v>310</v>
      </c>
      <c r="C3605" t="s">
        <v>322</v>
      </c>
      <c r="D3605" t="s">
        <v>35</v>
      </c>
      <c r="E3605" t="s">
        <v>353</v>
      </c>
      <c r="F3605" t="s">
        <v>383</v>
      </c>
      <c r="G3605" t="s">
        <v>37</v>
      </c>
      <c r="H3605" t="s">
        <v>43</v>
      </c>
      <c r="I3605" s="187"/>
      <c r="J3605" s="187">
        <v>700</v>
      </c>
      <c r="K3605" s="187">
        <v>13348.033462706489</v>
      </c>
      <c r="L3605" s="187">
        <v>34626</v>
      </c>
      <c r="M3605" s="187">
        <v>48674.03125</v>
      </c>
      <c r="N3605" s="187">
        <v>34626</v>
      </c>
      <c r="O3605" t="s">
        <v>4065</v>
      </c>
    </row>
    <row r="3606" spans="1:15" hidden="1" x14ac:dyDescent="0.45">
      <c r="A3606" s="187">
        <v>2020</v>
      </c>
      <c r="B3606" t="s">
        <v>315</v>
      </c>
      <c r="C3606" t="s">
        <v>322</v>
      </c>
      <c r="D3606" t="s">
        <v>35</v>
      </c>
      <c r="E3606" t="s">
        <v>353</v>
      </c>
      <c r="F3606" t="s">
        <v>383</v>
      </c>
      <c r="G3606" t="s">
        <v>37</v>
      </c>
      <c r="H3606" t="s">
        <v>43</v>
      </c>
      <c r="I3606" s="187">
        <v>14339.584629686529</v>
      </c>
      <c r="J3606" s="187">
        <v>777</v>
      </c>
      <c r="K3606" s="187">
        <v>16381.045888257961</v>
      </c>
      <c r="L3606" s="187">
        <v>28473</v>
      </c>
      <c r="M3606" s="187">
        <v>59970.6328125</v>
      </c>
      <c r="N3606" s="187">
        <v>42812.5859375</v>
      </c>
      <c r="O3606" t="s">
        <v>4071</v>
      </c>
    </row>
    <row r="3607" spans="1:15" hidden="1" x14ac:dyDescent="0.45">
      <c r="A3607" s="187">
        <v>2020</v>
      </c>
      <c r="B3607" t="s">
        <v>309</v>
      </c>
      <c r="C3607" t="s">
        <v>322</v>
      </c>
      <c r="D3607" t="s">
        <v>35</v>
      </c>
      <c r="E3607" t="s">
        <v>353</v>
      </c>
      <c r="F3607" t="s">
        <v>383</v>
      </c>
      <c r="G3607" t="s">
        <v>37</v>
      </c>
      <c r="H3607" t="s">
        <v>43</v>
      </c>
      <c r="I3607" s="187"/>
      <c r="J3607" s="187">
        <v>737.42849999999999</v>
      </c>
      <c r="K3607" s="187">
        <v>13453.437637355049</v>
      </c>
      <c r="L3607" s="187">
        <v>27835</v>
      </c>
      <c r="M3607" s="187">
        <v>42025.8671875</v>
      </c>
      <c r="N3607" s="187">
        <v>27835</v>
      </c>
      <c r="O3607" t="s">
        <v>4067</v>
      </c>
    </row>
    <row r="3608" spans="1:15" hidden="1" x14ac:dyDescent="0.45">
      <c r="A3608" s="187">
        <v>2020</v>
      </c>
      <c r="B3608" t="s">
        <v>314</v>
      </c>
      <c r="C3608" t="s">
        <v>322</v>
      </c>
      <c r="D3608" t="s">
        <v>35</v>
      </c>
      <c r="E3608" t="s">
        <v>353</v>
      </c>
      <c r="F3608" t="s">
        <v>383</v>
      </c>
      <c r="G3608" t="s">
        <v>37</v>
      </c>
      <c r="H3608" t="s">
        <v>43</v>
      </c>
      <c r="I3608" s="187">
        <v>16280.35892521917</v>
      </c>
      <c r="J3608" s="187">
        <v>765</v>
      </c>
      <c r="K3608" s="187">
        <v>15591.17094361027</v>
      </c>
      <c r="L3608" s="187">
        <v>26941</v>
      </c>
      <c r="M3608" s="187">
        <v>59577.53125</v>
      </c>
      <c r="N3608" s="187">
        <v>43221.359375</v>
      </c>
      <c r="O3608" t="s">
        <v>4064</v>
      </c>
    </row>
    <row r="3609" spans="1:15" hidden="1" x14ac:dyDescent="0.45">
      <c r="A3609" s="187">
        <v>2020</v>
      </c>
      <c r="B3609" t="s">
        <v>316</v>
      </c>
      <c r="C3609" t="s">
        <v>322</v>
      </c>
      <c r="D3609" t="s">
        <v>35</v>
      </c>
      <c r="E3609" t="s">
        <v>353</v>
      </c>
      <c r="F3609" t="s">
        <v>383</v>
      </c>
      <c r="G3609" t="s">
        <v>37</v>
      </c>
      <c r="H3609" t="s">
        <v>43</v>
      </c>
      <c r="I3609" s="187">
        <v>15419</v>
      </c>
      <c r="J3609" s="187">
        <v>528.9</v>
      </c>
      <c r="K3609" s="187">
        <v>16644.703533049269</v>
      </c>
      <c r="L3609" s="187">
        <v>20802</v>
      </c>
      <c r="M3609" s="187">
        <v>53394.6015625</v>
      </c>
      <c r="N3609" s="187">
        <v>36221</v>
      </c>
      <c r="O3609" t="s">
        <v>4070</v>
      </c>
    </row>
    <row r="3610" spans="1:15" hidden="1" x14ac:dyDescent="0.45">
      <c r="A3610" s="187">
        <v>2020</v>
      </c>
      <c r="B3610" t="s">
        <v>311</v>
      </c>
      <c r="C3610" t="s">
        <v>322</v>
      </c>
      <c r="D3610" t="s">
        <v>35</v>
      </c>
      <c r="E3610" t="s">
        <v>353</v>
      </c>
      <c r="F3610" t="s">
        <v>383</v>
      </c>
      <c r="G3610" t="s">
        <v>37</v>
      </c>
      <c r="H3610" t="s">
        <v>43</v>
      </c>
      <c r="I3610" s="187"/>
      <c r="J3610" s="187">
        <v>956</v>
      </c>
      <c r="K3610" s="187">
        <v>13481.34084273406</v>
      </c>
      <c r="L3610" s="187">
        <v>34666</v>
      </c>
      <c r="M3610" s="187">
        <v>49103.33984375</v>
      </c>
      <c r="N3610" s="187">
        <v>34666</v>
      </c>
      <c r="O3610" t="s">
        <v>4066</v>
      </c>
    </row>
    <row r="3611" spans="1:15" hidden="1" x14ac:dyDescent="0.45">
      <c r="A3611" s="187">
        <v>2020</v>
      </c>
      <c r="B3611" t="s">
        <v>312</v>
      </c>
      <c r="C3611" t="s">
        <v>322</v>
      </c>
      <c r="D3611" t="s">
        <v>35</v>
      </c>
      <c r="E3611" t="s">
        <v>353</v>
      </c>
      <c r="F3611" t="s">
        <v>383</v>
      </c>
      <c r="G3611" t="s">
        <v>37</v>
      </c>
      <c r="H3611" t="s">
        <v>43</v>
      </c>
      <c r="I3611" s="187">
        <v>13374.797685905231</v>
      </c>
      <c r="J3611" s="187">
        <v>796</v>
      </c>
      <c r="K3611" s="187">
        <v>13024.13894086389</v>
      </c>
      <c r="L3611" s="187">
        <v>21971</v>
      </c>
      <c r="M3611" s="187">
        <v>49165.9375</v>
      </c>
      <c r="N3611" s="187">
        <v>35345.796875</v>
      </c>
      <c r="O3611" t="s">
        <v>4069</v>
      </c>
    </row>
    <row r="3612" spans="1:15" hidden="1" x14ac:dyDescent="0.45">
      <c r="A3612" s="187">
        <v>2020</v>
      </c>
      <c r="B3612" t="s">
        <v>313</v>
      </c>
      <c r="C3612" t="s">
        <v>322</v>
      </c>
      <c r="D3612" t="s">
        <v>35</v>
      </c>
      <c r="E3612" t="s">
        <v>353</v>
      </c>
      <c r="F3612" t="s">
        <v>383</v>
      </c>
      <c r="G3612" t="s">
        <v>37</v>
      </c>
      <c r="H3612" t="s">
        <v>43</v>
      </c>
      <c r="I3612" s="187">
        <v>13250.65308910925</v>
      </c>
      <c r="J3612" s="187">
        <v>764</v>
      </c>
      <c r="K3612" s="187">
        <v>13144.205305800509</v>
      </c>
      <c r="L3612" s="187">
        <v>21788.639967741819</v>
      </c>
      <c r="M3612" s="187">
        <v>48947.5</v>
      </c>
      <c r="N3612" s="187">
        <v>35039.29296875</v>
      </c>
      <c r="O3612" t="s">
        <v>4068</v>
      </c>
    </row>
    <row r="3613" spans="1:15" hidden="1" x14ac:dyDescent="0.45">
      <c r="A3613" s="187">
        <v>2020</v>
      </c>
      <c r="B3613" t="s">
        <v>315</v>
      </c>
      <c r="C3613" t="s">
        <v>322</v>
      </c>
      <c r="D3613" t="s">
        <v>35</v>
      </c>
      <c r="E3613" t="s">
        <v>38</v>
      </c>
      <c r="F3613" t="s">
        <v>38</v>
      </c>
      <c r="G3613" t="s">
        <v>36</v>
      </c>
      <c r="H3613" t="s">
        <v>43</v>
      </c>
      <c r="I3613" s="187">
        <v>220.89550005607535</v>
      </c>
      <c r="J3613" s="187">
        <v>82.694212841505134</v>
      </c>
      <c r="K3613" s="187">
        <v>2962.4867191715775</v>
      </c>
      <c r="L3613" s="187">
        <v>4210.6080702996514</v>
      </c>
      <c r="M3613" s="187">
        <v>7476.6845703125</v>
      </c>
      <c r="N3613" s="187">
        <v>4431.50341796875</v>
      </c>
      <c r="O3613" t="s">
        <v>4073</v>
      </c>
    </row>
    <row r="3614" spans="1:15" hidden="1" x14ac:dyDescent="0.45">
      <c r="A3614" s="187">
        <v>2020</v>
      </c>
      <c r="B3614" t="s">
        <v>316</v>
      </c>
      <c r="C3614" t="s">
        <v>322</v>
      </c>
      <c r="D3614" t="s">
        <v>35</v>
      </c>
      <c r="E3614" t="s">
        <v>38</v>
      </c>
      <c r="F3614" t="s">
        <v>38</v>
      </c>
      <c r="G3614" t="s">
        <v>36</v>
      </c>
      <c r="H3614" t="s">
        <v>43</v>
      </c>
      <c r="I3614" s="187">
        <v>308.40707481799853</v>
      </c>
      <c r="J3614" s="187">
        <v>37.449430513614111</v>
      </c>
      <c r="K3614" s="187">
        <v>2950.5323369609578</v>
      </c>
      <c r="L3614" s="187">
        <v>2263.487638396382</v>
      </c>
      <c r="M3614" s="187">
        <v>5559.87646484375</v>
      </c>
      <c r="N3614" s="187">
        <v>2571.894775390625</v>
      </c>
      <c r="O3614" t="s">
        <v>4075</v>
      </c>
    </row>
    <row r="3615" spans="1:15" hidden="1" x14ac:dyDescent="0.45">
      <c r="A3615" s="187">
        <v>2020</v>
      </c>
      <c r="B3615" t="s">
        <v>311</v>
      </c>
      <c r="C3615" t="s">
        <v>322</v>
      </c>
      <c r="D3615" t="s">
        <v>35</v>
      </c>
      <c r="E3615" t="s">
        <v>38</v>
      </c>
      <c r="F3615" t="s">
        <v>38</v>
      </c>
      <c r="G3615" t="s">
        <v>36</v>
      </c>
      <c r="H3615" t="s">
        <v>43</v>
      </c>
      <c r="I3615" s="187"/>
      <c r="J3615" s="187">
        <v>89.270588585850277</v>
      </c>
      <c r="K3615" s="187">
        <v>1345.2410936276146</v>
      </c>
      <c r="L3615" s="187">
        <v>2017.5153020402163</v>
      </c>
      <c r="M3615" s="187">
        <v>3452.027099609375</v>
      </c>
      <c r="N3615" s="187">
        <v>2017.5152587890625</v>
      </c>
      <c r="O3615" t="s">
        <v>4074</v>
      </c>
    </row>
    <row r="3616" spans="1:15" hidden="1" x14ac:dyDescent="0.45">
      <c r="A3616" s="187">
        <v>2020</v>
      </c>
      <c r="B3616" t="s">
        <v>312</v>
      </c>
      <c r="C3616" t="s">
        <v>322</v>
      </c>
      <c r="D3616" t="s">
        <v>35</v>
      </c>
      <c r="E3616" t="s">
        <v>38</v>
      </c>
      <c r="F3616" t="s">
        <v>38</v>
      </c>
      <c r="G3616" t="s">
        <v>36</v>
      </c>
      <c r="H3616" t="s">
        <v>43</v>
      </c>
      <c r="I3616" s="187">
        <v>323.69556459703392</v>
      </c>
      <c r="J3616" s="187">
        <v>173.12039303346762</v>
      </c>
      <c r="K3616" s="187">
        <v>1320.1819021202823</v>
      </c>
      <c r="L3616" s="187">
        <v>1753.4622665818365</v>
      </c>
      <c r="M3616" s="187">
        <v>3570.4599609375</v>
      </c>
      <c r="N3616" s="187">
        <v>2077.15771484375</v>
      </c>
      <c r="O3616" t="s">
        <v>4078</v>
      </c>
    </row>
    <row r="3617" spans="1:15" hidden="1" x14ac:dyDescent="0.45">
      <c r="A3617" s="187">
        <v>2020</v>
      </c>
      <c r="B3617" t="s">
        <v>310</v>
      </c>
      <c r="C3617" t="s">
        <v>322</v>
      </c>
      <c r="D3617" t="s">
        <v>35</v>
      </c>
      <c r="E3617" t="s">
        <v>38</v>
      </c>
      <c r="F3617" t="s">
        <v>38</v>
      </c>
      <c r="G3617" t="s">
        <v>36</v>
      </c>
      <c r="H3617" t="s">
        <v>43</v>
      </c>
      <c r="I3617" s="187"/>
      <c r="J3617" s="187">
        <v>143.84929064249212</v>
      </c>
      <c r="K3617" s="187">
        <v>1345.0121965902738</v>
      </c>
      <c r="L3617" s="187">
        <v>1969.4275609781193</v>
      </c>
      <c r="M3617" s="187">
        <v>3458.2890625</v>
      </c>
      <c r="N3617" s="187">
        <v>1969.4276123046875</v>
      </c>
      <c r="O3617" t="s">
        <v>4076</v>
      </c>
    </row>
    <row r="3618" spans="1:15" hidden="1" x14ac:dyDescent="0.45">
      <c r="A3618" s="187">
        <v>2020</v>
      </c>
      <c r="B3618" t="s">
        <v>309</v>
      </c>
      <c r="C3618" t="s">
        <v>322</v>
      </c>
      <c r="D3618" t="s">
        <v>35</v>
      </c>
      <c r="E3618" t="s">
        <v>38</v>
      </c>
      <c r="F3618" t="s">
        <v>38</v>
      </c>
      <c r="G3618" t="s">
        <v>36</v>
      </c>
      <c r="H3618" t="s">
        <v>43</v>
      </c>
      <c r="I3618" s="187"/>
      <c r="J3618" s="187">
        <v>198.70276177136154</v>
      </c>
      <c r="K3618" s="187">
        <v>1368.18341950287</v>
      </c>
      <c r="L3618" s="187">
        <v>1737.9868229601755</v>
      </c>
      <c r="M3618" s="187">
        <v>3304.873046875</v>
      </c>
      <c r="N3618" s="187">
        <v>1737.98681640625</v>
      </c>
      <c r="O3618" t="s">
        <v>4072</v>
      </c>
    </row>
    <row r="3619" spans="1:15" hidden="1" x14ac:dyDescent="0.45">
      <c r="A3619" s="187">
        <v>2020</v>
      </c>
      <c r="B3619" t="s">
        <v>314</v>
      </c>
      <c r="C3619" t="s">
        <v>322</v>
      </c>
      <c r="D3619" t="s">
        <v>35</v>
      </c>
      <c r="E3619" t="s">
        <v>38</v>
      </c>
      <c r="F3619" t="s">
        <v>38</v>
      </c>
      <c r="G3619" t="s">
        <v>36</v>
      </c>
      <c r="H3619" t="s">
        <v>43</v>
      </c>
      <c r="I3619" s="187">
        <v>130.67657068604117</v>
      </c>
      <c r="J3619" s="187">
        <v>110.65796280439548</v>
      </c>
      <c r="K3619" s="187">
        <v>2435.4417588665074</v>
      </c>
      <c r="L3619" s="187">
        <v>1665.6935453714266</v>
      </c>
      <c r="M3619" s="187">
        <v>4342.4697265625</v>
      </c>
      <c r="N3619" s="187">
        <v>1796.3701171875</v>
      </c>
      <c r="O3619" t="s">
        <v>4077</v>
      </c>
    </row>
    <row r="3620" spans="1:15" hidden="1" x14ac:dyDescent="0.45">
      <c r="A3620" s="187">
        <v>2020</v>
      </c>
      <c r="B3620" t="s">
        <v>313</v>
      </c>
      <c r="C3620" t="s">
        <v>322</v>
      </c>
      <c r="D3620" t="s">
        <v>35</v>
      </c>
      <c r="E3620" t="s">
        <v>38</v>
      </c>
      <c r="F3620" t="s">
        <v>38</v>
      </c>
      <c r="G3620" t="s">
        <v>36</v>
      </c>
      <c r="H3620" t="s">
        <v>43</v>
      </c>
      <c r="I3620" s="187">
        <v>313.56976021250898</v>
      </c>
      <c r="J3620" s="187">
        <v>119.78918745320628</v>
      </c>
      <c r="K3620" s="187">
        <v>2446.5039112645086</v>
      </c>
      <c r="L3620" s="187">
        <v>1623.143489990945</v>
      </c>
      <c r="M3620" s="187">
        <v>4503.00634765625</v>
      </c>
      <c r="N3620" s="187">
        <v>1936.7132568359375</v>
      </c>
      <c r="O3620" t="s">
        <v>4079</v>
      </c>
    </row>
    <row r="3621" spans="1:15" hidden="1" x14ac:dyDescent="0.45">
      <c r="A3621" s="187">
        <v>2020</v>
      </c>
      <c r="B3621" t="s">
        <v>310</v>
      </c>
      <c r="C3621" t="s">
        <v>322</v>
      </c>
      <c r="D3621" t="s">
        <v>35</v>
      </c>
      <c r="E3621" t="s">
        <v>38</v>
      </c>
      <c r="F3621" t="s">
        <v>38</v>
      </c>
      <c r="G3621" t="s">
        <v>37</v>
      </c>
      <c r="H3621" t="s">
        <v>43</v>
      </c>
      <c r="I3621" s="187"/>
      <c r="J3621" s="187">
        <v>124</v>
      </c>
      <c r="K3621" s="187">
        <v>1162.910561921268</v>
      </c>
      <c r="L3621" s="187">
        <v>1764</v>
      </c>
      <c r="M3621" s="187">
        <v>3050.91064453125</v>
      </c>
      <c r="N3621" s="187">
        <v>1764</v>
      </c>
      <c r="O3621" t="s">
        <v>4080</v>
      </c>
    </row>
    <row r="3622" spans="1:15" hidden="1" x14ac:dyDescent="0.45">
      <c r="A3622" s="187">
        <v>2020</v>
      </c>
      <c r="B3622" t="s">
        <v>316</v>
      </c>
      <c r="C3622" t="s">
        <v>322</v>
      </c>
      <c r="D3622" t="s">
        <v>35</v>
      </c>
      <c r="E3622" t="s">
        <v>38</v>
      </c>
      <c r="F3622" t="s">
        <v>38</v>
      </c>
      <c r="G3622" t="s">
        <v>37</v>
      </c>
      <c r="H3622" t="s">
        <v>43</v>
      </c>
      <c r="I3622" s="187">
        <v>280</v>
      </c>
      <c r="J3622" s="187">
        <v>34</v>
      </c>
      <c r="K3622" s="187">
        <v>2678.7616815749338</v>
      </c>
      <c r="L3622" s="187">
        <v>2055</v>
      </c>
      <c r="M3622" s="187">
        <v>5047.76171875</v>
      </c>
      <c r="N3622" s="187">
        <v>2335</v>
      </c>
      <c r="O3622" t="s">
        <v>4083</v>
      </c>
    </row>
    <row r="3623" spans="1:15" hidden="1" x14ac:dyDescent="0.45">
      <c r="A3623" s="187">
        <v>2020</v>
      </c>
      <c r="B3623" t="s">
        <v>313</v>
      </c>
      <c r="C3623" t="s">
        <v>322</v>
      </c>
      <c r="D3623" t="s">
        <v>35</v>
      </c>
      <c r="E3623" t="s">
        <v>38</v>
      </c>
      <c r="F3623" t="s">
        <v>38</v>
      </c>
      <c r="G3623" t="s">
        <v>37</v>
      </c>
      <c r="H3623" t="s">
        <v>43</v>
      </c>
      <c r="I3623" s="187">
        <v>277.19087051034853</v>
      </c>
      <c r="J3623" s="187">
        <v>106</v>
      </c>
      <c r="K3623" s="187">
        <v>2157.6547829223618</v>
      </c>
      <c r="L3623" s="187">
        <v>1438.9224977043</v>
      </c>
      <c r="M3623" s="187">
        <v>3979.768310546875</v>
      </c>
      <c r="N3623" s="187">
        <v>1716.1134033203125</v>
      </c>
      <c r="O3623" t="s">
        <v>4081</v>
      </c>
    </row>
    <row r="3624" spans="1:15" hidden="1" x14ac:dyDescent="0.45">
      <c r="A3624" s="187">
        <v>2020</v>
      </c>
      <c r="B3624" t="s">
        <v>309</v>
      </c>
      <c r="C3624" t="s">
        <v>322</v>
      </c>
      <c r="D3624" t="s">
        <v>35</v>
      </c>
      <c r="E3624" t="s">
        <v>38</v>
      </c>
      <c r="F3624" t="s">
        <v>38</v>
      </c>
      <c r="G3624" t="s">
        <v>37</v>
      </c>
      <c r="H3624" t="s">
        <v>43</v>
      </c>
      <c r="I3624" s="187"/>
      <c r="J3624" s="187">
        <v>171.495</v>
      </c>
      <c r="K3624" s="187">
        <v>1207.214885971476</v>
      </c>
      <c r="L3624" s="187">
        <v>1599</v>
      </c>
      <c r="M3624" s="187">
        <v>2977.7099609375</v>
      </c>
      <c r="N3624" s="187">
        <v>1599</v>
      </c>
      <c r="O3624" t="s">
        <v>4087</v>
      </c>
    </row>
    <row r="3625" spans="1:15" hidden="1" x14ac:dyDescent="0.45">
      <c r="A3625" s="187">
        <v>2020</v>
      </c>
      <c r="B3625" t="s">
        <v>314</v>
      </c>
      <c r="C3625" t="s">
        <v>322</v>
      </c>
      <c r="D3625" t="s">
        <v>35</v>
      </c>
      <c r="E3625" t="s">
        <v>38</v>
      </c>
      <c r="F3625" t="s">
        <v>38</v>
      </c>
      <c r="G3625" t="s">
        <v>37</v>
      </c>
      <c r="H3625" t="s">
        <v>43</v>
      </c>
      <c r="I3625" s="187">
        <v>201.74606530308</v>
      </c>
      <c r="J3625" s="187">
        <v>99</v>
      </c>
      <c r="K3625" s="187">
        <v>2178.884160430312</v>
      </c>
      <c r="L3625" s="187">
        <v>1532</v>
      </c>
      <c r="M3625" s="187">
        <v>4011.630126953125</v>
      </c>
      <c r="N3625" s="187">
        <v>1733.74609375</v>
      </c>
      <c r="O3625" t="s">
        <v>4084</v>
      </c>
    </row>
    <row r="3626" spans="1:15" hidden="1" x14ac:dyDescent="0.45">
      <c r="A3626" s="187">
        <v>2020</v>
      </c>
      <c r="B3626" t="s">
        <v>315</v>
      </c>
      <c r="C3626" t="s">
        <v>322</v>
      </c>
      <c r="D3626" t="s">
        <v>35</v>
      </c>
      <c r="E3626" t="s">
        <v>38</v>
      </c>
      <c r="F3626" t="s">
        <v>38</v>
      </c>
      <c r="G3626" t="s">
        <v>37</v>
      </c>
      <c r="H3626" t="s">
        <v>43</v>
      </c>
      <c r="I3626" s="187">
        <v>199.23165059999999</v>
      </c>
      <c r="J3626" s="187">
        <v>73</v>
      </c>
      <c r="K3626" s="187">
        <v>2663.592729340543</v>
      </c>
      <c r="L3626" s="187">
        <v>3791</v>
      </c>
      <c r="M3626" s="187">
        <v>6726.82421875</v>
      </c>
      <c r="N3626" s="187">
        <v>3990.231689453125</v>
      </c>
      <c r="O3626" t="s">
        <v>4086</v>
      </c>
    </row>
    <row r="3627" spans="1:15" hidden="1" x14ac:dyDescent="0.45">
      <c r="A3627" s="187">
        <v>2020</v>
      </c>
      <c r="B3627" t="s">
        <v>311</v>
      </c>
      <c r="C3627" t="s">
        <v>322</v>
      </c>
      <c r="D3627" t="s">
        <v>35</v>
      </c>
      <c r="E3627" t="s">
        <v>38</v>
      </c>
      <c r="F3627" t="s">
        <v>38</v>
      </c>
      <c r="G3627" t="s">
        <v>37</v>
      </c>
      <c r="H3627" t="s">
        <v>43</v>
      </c>
      <c r="I3627" s="187"/>
      <c r="J3627" s="187">
        <v>77</v>
      </c>
      <c r="K3627" s="187">
        <v>1156.136041386043</v>
      </c>
      <c r="L3627" s="187">
        <v>1810</v>
      </c>
      <c r="M3627" s="187">
        <v>3043.135986328125</v>
      </c>
      <c r="N3627" s="187">
        <v>1810</v>
      </c>
      <c r="O3627" t="s">
        <v>4085</v>
      </c>
    </row>
    <row r="3628" spans="1:15" hidden="1" x14ac:dyDescent="0.45">
      <c r="A3628" s="187">
        <v>2020</v>
      </c>
      <c r="B3628" t="s">
        <v>312</v>
      </c>
      <c r="C3628" t="s">
        <v>322</v>
      </c>
      <c r="D3628" t="s">
        <v>35</v>
      </c>
      <c r="E3628" t="s">
        <v>38</v>
      </c>
      <c r="F3628" t="s">
        <v>38</v>
      </c>
      <c r="G3628" t="s">
        <v>37</v>
      </c>
      <c r="H3628" t="s">
        <v>43</v>
      </c>
      <c r="I3628" s="187">
        <v>278.57682486290031</v>
      </c>
      <c r="J3628" s="187">
        <v>152</v>
      </c>
      <c r="K3628" s="187">
        <v>1152.0540546104639</v>
      </c>
      <c r="L3628" s="187">
        <v>1527</v>
      </c>
      <c r="M3628" s="187">
        <v>3109.630859375</v>
      </c>
      <c r="N3628" s="187">
        <v>1805.5767822265625</v>
      </c>
      <c r="O3628" t="s">
        <v>4082</v>
      </c>
    </row>
    <row r="3629" spans="1:15" hidden="1" x14ac:dyDescent="0.45">
      <c r="A3629" s="187">
        <v>2020</v>
      </c>
      <c r="B3629" t="s">
        <v>309</v>
      </c>
      <c r="C3629" t="s">
        <v>322</v>
      </c>
      <c r="D3629" t="s">
        <v>35</v>
      </c>
      <c r="E3629" t="s">
        <v>354</v>
      </c>
      <c r="F3629" t="s">
        <v>384</v>
      </c>
      <c r="G3629" t="s">
        <v>36</v>
      </c>
      <c r="H3629" t="s">
        <v>43</v>
      </c>
      <c r="I3629" s="187"/>
      <c r="J3629" s="187">
        <v>0</v>
      </c>
      <c r="K3629" s="187">
        <v>0</v>
      </c>
      <c r="L3629" s="187">
        <v>0</v>
      </c>
      <c r="M3629" s="187">
        <v>0</v>
      </c>
      <c r="N3629" s="187">
        <v>0</v>
      </c>
      <c r="O3629" t="s">
        <v>4090</v>
      </c>
    </row>
    <row r="3630" spans="1:15" hidden="1" x14ac:dyDescent="0.45">
      <c r="A3630" s="187">
        <v>2020</v>
      </c>
      <c r="B3630" t="s">
        <v>315</v>
      </c>
      <c r="C3630" t="s">
        <v>322</v>
      </c>
      <c r="D3630" t="s">
        <v>35</v>
      </c>
      <c r="E3630" t="s">
        <v>354</v>
      </c>
      <c r="F3630" t="s">
        <v>384</v>
      </c>
      <c r="G3630" t="s">
        <v>36</v>
      </c>
      <c r="H3630" t="s">
        <v>43</v>
      </c>
      <c r="I3630" s="187">
        <v>0</v>
      </c>
      <c r="J3630" s="187">
        <v>0</v>
      </c>
      <c r="K3630" s="187">
        <v>0</v>
      </c>
      <c r="L3630" s="187">
        <v>0</v>
      </c>
      <c r="M3630" s="187">
        <v>0</v>
      </c>
      <c r="N3630" s="187">
        <v>0</v>
      </c>
      <c r="O3630" t="s">
        <v>4088</v>
      </c>
    </row>
    <row r="3631" spans="1:15" hidden="1" x14ac:dyDescent="0.45">
      <c r="A3631" s="187">
        <v>2020</v>
      </c>
      <c r="B3631" t="s">
        <v>312</v>
      </c>
      <c r="C3631" t="s">
        <v>322</v>
      </c>
      <c r="D3631" t="s">
        <v>35</v>
      </c>
      <c r="E3631" t="s">
        <v>354</v>
      </c>
      <c r="F3631" t="s">
        <v>384</v>
      </c>
      <c r="G3631" t="s">
        <v>36</v>
      </c>
      <c r="H3631" t="s">
        <v>43</v>
      </c>
      <c r="I3631" s="187">
        <v>0</v>
      </c>
      <c r="J3631" s="187">
        <v>0</v>
      </c>
      <c r="K3631" s="187">
        <v>0</v>
      </c>
      <c r="L3631" s="187">
        <v>0</v>
      </c>
      <c r="M3631" s="187">
        <v>0</v>
      </c>
      <c r="N3631" s="187">
        <v>0</v>
      </c>
      <c r="O3631" t="s">
        <v>4089</v>
      </c>
    </row>
    <row r="3632" spans="1:15" hidden="1" x14ac:dyDescent="0.45">
      <c r="A3632" s="187">
        <v>2020</v>
      </c>
      <c r="B3632" t="s">
        <v>313</v>
      </c>
      <c r="C3632" t="s">
        <v>322</v>
      </c>
      <c r="D3632" t="s">
        <v>35</v>
      </c>
      <c r="E3632" t="s">
        <v>354</v>
      </c>
      <c r="F3632" t="s">
        <v>384</v>
      </c>
      <c r="G3632" t="s">
        <v>36</v>
      </c>
      <c r="H3632" t="s">
        <v>43</v>
      </c>
      <c r="I3632" s="187">
        <v>0</v>
      </c>
      <c r="J3632" s="187">
        <v>0</v>
      </c>
      <c r="K3632" s="187">
        <v>0</v>
      </c>
      <c r="L3632" s="187">
        <v>0</v>
      </c>
      <c r="M3632" s="187">
        <v>0</v>
      </c>
      <c r="N3632" s="187">
        <v>0</v>
      </c>
      <c r="O3632" t="s">
        <v>4093</v>
      </c>
    </row>
    <row r="3633" spans="1:15" hidden="1" x14ac:dyDescent="0.45">
      <c r="A3633" s="187">
        <v>2020</v>
      </c>
      <c r="B3633" t="s">
        <v>314</v>
      </c>
      <c r="C3633" t="s">
        <v>322</v>
      </c>
      <c r="D3633" t="s">
        <v>35</v>
      </c>
      <c r="E3633" t="s">
        <v>354</v>
      </c>
      <c r="F3633" t="s">
        <v>384</v>
      </c>
      <c r="G3633" t="s">
        <v>36</v>
      </c>
      <c r="H3633" t="s">
        <v>43</v>
      </c>
      <c r="I3633" s="187">
        <v>0</v>
      </c>
      <c r="J3633" s="187">
        <v>0</v>
      </c>
      <c r="K3633" s="187">
        <v>0</v>
      </c>
      <c r="L3633" s="187">
        <v>0</v>
      </c>
      <c r="M3633" s="187">
        <v>0</v>
      </c>
      <c r="N3633" s="187">
        <v>0</v>
      </c>
      <c r="O3633" t="s">
        <v>4094</v>
      </c>
    </row>
    <row r="3634" spans="1:15" hidden="1" x14ac:dyDescent="0.45">
      <c r="A3634" s="187">
        <v>2020</v>
      </c>
      <c r="B3634" t="s">
        <v>316</v>
      </c>
      <c r="C3634" t="s">
        <v>322</v>
      </c>
      <c r="D3634" t="s">
        <v>35</v>
      </c>
      <c r="E3634" t="s">
        <v>354</v>
      </c>
      <c r="F3634" t="s">
        <v>384</v>
      </c>
      <c r="G3634" t="s">
        <v>36</v>
      </c>
      <c r="H3634" t="s">
        <v>43</v>
      </c>
      <c r="I3634" s="187">
        <v>0</v>
      </c>
      <c r="J3634" s="187">
        <v>33.043615159071273</v>
      </c>
      <c r="K3634" s="187">
        <v>0</v>
      </c>
      <c r="L3634" s="187">
        <v>20.927622934078471</v>
      </c>
      <c r="M3634" s="187">
        <v>53.971237182617188</v>
      </c>
      <c r="N3634" s="187">
        <v>20.927623748779297</v>
      </c>
      <c r="O3634" t="s">
        <v>4095</v>
      </c>
    </row>
    <row r="3635" spans="1:15" hidden="1" x14ac:dyDescent="0.45">
      <c r="A3635" s="187">
        <v>2020</v>
      </c>
      <c r="B3635" t="s">
        <v>311</v>
      </c>
      <c r="C3635" t="s">
        <v>322</v>
      </c>
      <c r="D3635" t="s">
        <v>35</v>
      </c>
      <c r="E3635" t="s">
        <v>354</v>
      </c>
      <c r="F3635" t="s">
        <v>384</v>
      </c>
      <c r="G3635" t="s">
        <v>36</v>
      </c>
      <c r="H3635" t="s">
        <v>43</v>
      </c>
      <c r="I3635" s="187"/>
      <c r="J3635" s="187">
        <v>0</v>
      </c>
      <c r="K3635" s="187">
        <v>0</v>
      </c>
      <c r="L3635" s="187">
        <v>0</v>
      </c>
      <c r="M3635" s="187">
        <v>0</v>
      </c>
      <c r="N3635" s="187">
        <v>0</v>
      </c>
      <c r="O3635" t="s">
        <v>4091</v>
      </c>
    </row>
    <row r="3636" spans="1:15" hidden="1" x14ac:dyDescent="0.45">
      <c r="A3636" s="187">
        <v>2020</v>
      </c>
      <c r="B3636" t="s">
        <v>310</v>
      </c>
      <c r="C3636" t="s">
        <v>322</v>
      </c>
      <c r="D3636" t="s">
        <v>35</v>
      </c>
      <c r="E3636" t="s">
        <v>354</v>
      </c>
      <c r="F3636" t="s">
        <v>384</v>
      </c>
      <c r="G3636" t="s">
        <v>36</v>
      </c>
      <c r="H3636" t="s">
        <v>43</v>
      </c>
      <c r="I3636" s="187"/>
      <c r="J3636" s="187">
        <v>0</v>
      </c>
      <c r="K3636" s="187">
        <v>0</v>
      </c>
      <c r="L3636" s="187">
        <v>0</v>
      </c>
      <c r="M3636" s="187">
        <v>0</v>
      </c>
      <c r="N3636" s="187">
        <v>0</v>
      </c>
      <c r="O3636" t="s">
        <v>4092</v>
      </c>
    </row>
    <row r="3637" spans="1:15" hidden="1" x14ac:dyDescent="0.45">
      <c r="A3637" s="187">
        <v>2020</v>
      </c>
      <c r="B3637" t="s">
        <v>314</v>
      </c>
      <c r="C3637" t="s">
        <v>322</v>
      </c>
      <c r="D3637" t="s">
        <v>35</v>
      </c>
      <c r="E3637" t="s">
        <v>354</v>
      </c>
      <c r="F3637" t="s">
        <v>384</v>
      </c>
      <c r="G3637" t="s">
        <v>37</v>
      </c>
      <c r="H3637" t="s">
        <v>43</v>
      </c>
      <c r="I3637" s="187">
        <v>0</v>
      </c>
      <c r="J3637" s="187">
        <v>0</v>
      </c>
      <c r="K3637" s="187">
        <v>0</v>
      </c>
      <c r="L3637" s="187">
        <v>0</v>
      </c>
      <c r="M3637" s="187">
        <v>0</v>
      </c>
      <c r="N3637" s="187">
        <v>0</v>
      </c>
      <c r="O3637" t="s">
        <v>4100</v>
      </c>
    </row>
    <row r="3638" spans="1:15" hidden="1" x14ac:dyDescent="0.45">
      <c r="A3638" s="187">
        <v>2020</v>
      </c>
      <c r="B3638" t="s">
        <v>313</v>
      </c>
      <c r="C3638" t="s">
        <v>322</v>
      </c>
      <c r="D3638" t="s">
        <v>35</v>
      </c>
      <c r="E3638" t="s">
        <v>354</v>
      </c>
      <c r="F3638" t="s">
        <v>384</v>
      </c>
      <c r="G3638" t="s">
        <v>37</v>
      </c>
      <c r="H3638" t="s">
        <v>43</v>
      </c>
      <c r="I3638" s="187"/>
      <c r="J3638" s="187">
        <v>0</v>
      </c>
      <c r="K3638" s="187">
        <v>0</v>
      </c>
      <c r="L3638" s="187">
        <v>0</v>
      </c>
      <c r="M3638" s="187">
        <v>0</v>
      </c>
      <c r="N3638" s="187">
        <v>0</v>
      </c>
      <c r="O3638" t="s">
        <v>4103</v>
      </c>
    </row>
    <row r="3639" spans="1:15" hidden="1" x14ac:dyDescent="0.45">
      <c r="A3639" s="187">
        <v>2020</v>
      </c>
      <c r="B3639" t="s">
        <v>310</v>
      </c>
      <c r="C3639" t="s">
        <v>322</v>
      </c>
      <c r="D3639" t="s">
        <v>35</v>
      </c>
      <c r="E3639" t="s">
        <v>354</v>
      </c>
      <c r="F3639" t="s">
        <v>384</v>
      </c>
      <c r="G3639" t="s">
        <v>37</v>
      </c>
      <c r="H3639" t="s">
        <v>43</v>
      </c>
      <c r="I3639" s="187"/>
      <c r="J3639" s="187">
        <v>0</v>
      </c>
      <c r="K3639" s="187">
        <v>0</v>
      </c>
      <c r="L3639" s="187">
        <v>0</v>
      </c>
      <c r="M3639" s="187">
        <v>0</v>
      </c>
      <c r="N3639" s="187">
        <v>0</v>
      </c>
      <c r="O3639" t="s">
        <v>4098</v>
      </c>
    </row>
    <row r="3640" spans="1:15" hidden="1" x14ac:dyDescent="0.45">
      <c r="A3640" s="187">
        <v>2020</v>
      </c>
      <c r="B3640" t="s">
        <v>311</v>
      </c>
      <c r="C3640" t="s">
        <v>322</v>
      </c>
      <c r="D3640" t="s">
        <v>35</v>
      </c>
      <c r="E3640" t="s">
        <v>354</v>
      </c>
      <c r="F3640" t="s">
        <v>384</v>
      </c>
      <c r="G3640" t="s">
        <v>37</v>
      </c>
      <c r="H3640" t="s">
        <v>43</v>
      </c>
      <c r="I3640" s="187"/>
      <c r="J3640" s="187">
        <v>0</v>
      </c>
      <c r="K3640" s="187">
        <v>0</v>
      </c>
      <c r="L3640" s="187">
        <v>0</v>
      </c>
      <c r="M3640" s="187">
        <v>0</v>
      </c>
      <c r="N3640" s="187">
        <v>0</v>
      </c>
      <c r="O3640" t="s">
        <v>4096</v>
      </c>
    </row>
    <row r="3641" spans="1:15" hidden="1" x14ac:dyDescent="0.45">
      <c r="A3641" s="187">
        <v>2020</v>
      </c>
      <c r="B3641" t="s">
        <v>309</v>
      </c>
      <c r="C3641" t="s">
        <v>322</v>
      </c>
      <c r="D3641" t="s">
        <v>35</v>
      </c>
      <c r="E3641" t="s">
        <v>354</v>
      </c>
      <c r="F3641" t="s">
        <v>384</v>
      </c>
      <c r="G3641" t="s">
        <v>37</v>
      </c>
      <c r="H3641" t="s">
        <v>43</v>
      </c>
      <c r="I3641" s="187"/>
      <c r="J3641" s="187">
        <v>0</v>
      </c>
      <c r="K3641" s="187">
        <v>0</v>
      </c>
      <c r="L3641" s="187">
        <v>0</v>
      </c>
      <c r="M3641" s="187">
        <v>0</v>
      </c>
      <c r="N3641" s="187">
        <v>0</v>
      </c>
      <c r="O3641" t="s">
        <v>4102</v>
      </c>
    </row>
    <row r="3642" spans="1:15" hidden="1" x14ac:dyDescent="0.45">
      <c r="A3642" s="187">
        <v>2020</v>
      </c>
      <c r="B3642" t="s">
        <v>312</v>
      </c>
      <c r="C3642" t="s">
        <v>322</v>
      </c>
      <c r="D3642" t="s">
        <v>35</v>
      </c>
      <c r="E3642" t="s">
        <v>354</v>
      </c>
      <c r="F3642" t="s">
        <v>384</v>
      </c>
      <c r="G3642" t="s">
        <v>37</v>
      </c>
      <c r="H3642" t="s">
        <v>43</v>
      </c>
      <c r="I3642" s="187"/>
      <c r="J3642" s="187">
        <v>0</v>
      </c>
      <c r="K3642" s="187">
        <v>0</v>
      </c>
      <c r="L3642" s="187">
        <v>0</v>
      </c>
      <c r="M3642" s="187">
        <v>0</v>
      </c>
      <c r="N3642" s="187">
        <v>0</v>
      </c>
      <c r="O3642" t="s">
        <v>4097</v>
      </c>
    </row>
    <row r="3643" spans="1:15" hidden="1" x14ac:dyDescent="0.45">
      <c r="A3643" s="187">
        <v>2020</v>
      </c>
      <c r="B3643" t="s">
        <v>316</v>
      </c>
      <c r="C3643" t="s">
        <v>322</v>
      </c>
      <c r="D3643" t="s">
        <v>35</v>
      </c>
      <c r="E3643" t="s">
        <v>354</v>
      </c>
      <c r="F3643" t="s">
        <v>384</v>
      </c>
      <c r="G3643" t="s">
        <v>37</v>
      </c>
      <c r="H3643" t="s">
        <v>43</v>
      </c>
      <c r="I3643" s="187">
        <v>0</v>
      </c>
      <c r="J3643" s="187">
        <v>30</v>
      </c>
      <c r="K3643" s="187">
        <v>0</v>
      </c>
      <c r="L3643" s="187">
        <v>19</v>
      </c>
      <c r="M3643" s="187">
        <v>49</v>
      </c>
      <c r="N3643" s="187">
        <v>19</v>
      </c>
      <c r="O3643" t="s">
        <v>4101</v>
      </c>
    </row>
    <row r="3644" spans="1:15" hidden="1" x14ac:dyDescent="0.45">
      <c r="A3644" s="187">
        <v>2020</v>
      </c>
      <c r="B3644" t="s">
        <v>315</v>
      </c>
      <c r="C3644" t="s">
        <v>322</v>
      </c>
      <c r="D3644" t="s">
        <v>35</v>
      </c>
      <c r="E3644" t="s">
        <v>354</v>
      </c>
      <c r="F3644" t="s">
        <v>384</v>
      </c>
      <c r="G3644" t="s">
        <v>37</v>
      </c>
      <c r="H3644" t="s">
        <v>43</v>
      </c>
      <c r="I3644" s="187">
        <v>0</v>
      </c>
      <c r="J3644" s="187">
        <v>0</v>
      </c>
      <c r="K3644" s="187">
        <v>0</v>
      </c>
      <c r="L3644" s="187">
        <v>0</v>
      </c>
      <c r="M3644" s="187">
        <v>0</v>
      </c>
      <c r="N3644" s="187">
        <v>0</v>
      </c>
      <c r="O3644" t="s">
        <v>4099</v>
      </c>
    </row>
    <row r="3645" spans="1:15" hidden="1" x14ac:dyDescent="0.45">
      <c r="A3645" s="187">
        <v>2020</v>
      </c>
      <c r="B3645" t="s">
        <v>313</v>
      </c>
      <c r="C3645" t="s">
        <v>322</v>
      </c>
      <c r="D3645" t="s">
        <v>35</v>
      </c>
      <c r="E3645" t="s">
        <v>354</v>
      </c>
      <c r="F3645" t="s">
        <v>385</v>
      </c>
      <c r="G3645" t="s">
        <v>36</v>
      </c>
      <c r="H3645" t="s">
        <v>43</v>
      </c>
      <c r="I3645" s="187">
        <v>0</v>
      </c>
      <c r="J3645" s="187">
        <v>47.915674981282514</v>
      </c>
      <c r="K3645" s="187">
        <v>1862.4732137032975</v>
      </c>
      <c r="L3645" s="187">
        <v>0</v>
      </c>
      <c r="M3645" s="187">
        <v>1910.388916015625</v>
      </c>
      <c r="N3645" s="187">
        <v>0</v>
      </c>
      <c r="O3645" t="s">
        <v>4108</v>
      </c>
    </row>
    <row r="3646" spans="1:15" hidden="1" x14ac:dyDescent="0.45">
      <c r="A3646" s="187">
        <v>2020</v>
      </c>
      <c r="B3646" t="s">
        <v>316</v>
      </c>
      <c r="C3646" t="s">
        <v>322</v>
      </c>
      <c r="D3646" t="s">
        <v>35</v>
      </c>
      <c r="E3646" t="s">
        <v>354</v>
      </c>
      <c r="F3646" t="s">
        <v>385</v>
      </c>
      <c r="G3646" t="s">
        <v>36</v>
      </c>
      <c r="H3646" t="s">
        <v>43</v>
      </c>
      <c r="I3646" s="187">
        <v>0</v>
      </c>
      <c r="J3646" s="187">
        <v>11.01453838635709</v>
      </c>
      <c r="K3646" s="187">
        <v>1251.4745240394552</v>
      </c>
      <c r="L3646" s="187">
        <v>175.13116034307774</v>
      </c>
      <c r="M3646" s="187">
        <v>1437.6201171875</v>
      </c>
      <c r="N3646" s="187">
        <v>175.13116455078125</v>
      </c>
      <c r="O3646" t="s">
        <v>4106</v>
      </c>
    </row>
    <row r="3647" spans="1:15" hidden="1" x14ac:dyDescent="0.45">
      <c r="A3647" s="187">
        <v>2020</v>
      </c>
      <c r="B3647" t="s">
        <v>314</v>
      </c>
      <c r="C3647" t="s">
        <v>322</v>
      </c>
      <c r="D3647" t="s">
        <v>35</v>
      </c>
      <c r="E3647" t="s">
        <v>354</v>
      </c>
      <c r="F3647" t="s">
        <v>385</v>
      </c>
      <c r="G3647" t="s">
        <v>36</v>
      </c>
      <c r="H3647" t="s">
        <v>43</v>
      </c>
      <c r="I3647" s="187">
        <v>0</v>
      </c>
      <c r="J3647" s="187">
        <v>46.592826443955992</v>
      </c>
      <c r="K3647" s="187">
        <v>2268.4641568535708</v>
      </c>
      <c r="L3647" s="187">
        <v>114.15242478769217</v>
      </c>
      <c r="M3647" s="187">
        <v>2429.209228515625</v>
      </c>
      <c r="N3647" s="187">
        <v>114.15242767333984</v>
      </c>
      <c r="O3647" t="s">
        <v>4110</v>
      </c>
    </row>
    <row r="3648" spans="1:15" hidden="1" x14ac:dyDescent="0.45">
      <c r="A3648" s="187">
        <v>2020</v>
      </c>
      <c r="B3648" t="s">
        <v>315</v>
      </c>
      <c r="C3648" t="s">
        <v>322</v>
      </c>
      <c r="D3648" t="s">
        <v>35</v>
      </c>
      <c r="E3648" t="s">
        <v>354</v>
      </c>
      <c r="F3648" t="s">
        <v>385</v>
      </c>
      <c r="G3648" t="s">
        <v>36</v>
      </c>
      <c r="H3648" t="s">
        <v>43</v>
      </c>
      <c r="I3648" s="187">
        <v>0</v>
      </c>
      <c r="J3648" s="187">
        <v>56.186752834776094</v>
      </c>
      <c r="K3648" s="187">
        <v>2532.7052478816113</v>
      </c>
      <c r="L3648" s="187">
        <v>176.71640004486028</v>
      </c>
      <c r="M3648" s="187">
        <v>2765.6083984375</v>
      </c>
      <c r="N3648" s="187">
        <v>176.71640014648438</v>
      </c>
      <c r="O3648" t="s">
        <v>4111</v>
      </c>
    </row>
    <row r="3649" spans="1:15" hidden="1" x14ac:dyDescent="0.45">
      <c r="A3649" s="187">
        <v>2020</v>
      </c>
      <c r="B3649" t="s">
        <v>309</v>
      </c>
      <c r="C3649" t="s">
        <v>322</v>
      </c>
      <c r="D3649" t="s">
        <v>35</v>
      </c>
      <c r="E3649" t="s">
        <v>354</v>
      </c>
      <c r="F3649" t="s">
        <v>385</v>
      </c>
      <c r="G3649" t="s">
        <v>36</v>
      </c>
      <c r="H3649" t="s">
        <v>43</v>
      </c>
      <c r="I3649" s="187"/>
      <c r="J3649" s="187">
        <v>59.610828531408458</v>
      </c>
      <c r="K3649" s="187">
        <v>1378.5692192305371</v>
      </c>
      <c r="L3649" s="187">
        <v>0</v>
      </c>
      <c r="M3649" s="187">
        <v>1438.1800537109375</v>
      </c>
      <c r="N3649" s="187">
        <v>0</v>
      </c>
      <c r="O3649" t="s">
        <v>4107</v>
      </c>
    </row>
    <row r="3650" spans="1:15" hidden="1" x14ac:dyDescent="0.45">
      <c r="A3650" s="187">
        <v>2020</v>
      </c>
      <c r="B3650" t="s">
        <v>311</v>
      </c>
      <c r="C3650" t="s">
        <v>322</v>
      </c>
      <c r="D3650" t="s">
        <v>35</v>
      </c>
      <c r="E3650" t="s">
        <v>354</v>
      </c>
      <c r="F3650" t="s">
        <v>385</v>
      </c>
      <c r="G3650" t="s">
        <v>36</v>
      </c>
      <c r="H3650" t="s">
        <v>43</v>
      </c>
      <c r="I3650" s="187"/>
      <c r="J3650" s="187">
        <v>51.011764906200156</v>
      </c>
      <c r="K3650" s="187">
        <v>1303.3048232581148</v>
      </c>
      <c r="L3650" s="187">
        <v>0</v>
      </c>
      <c r="M3650" s="187">
        <v>1354.3165283203125</v>
      </c>
      <c r="N3650" s="187">
        <v>0</v>
      </c>
      <c r="O3650" t="s">
        <v>4105</v>
      </c>
    </row>
    <row r="3651" spans="1:15" hidden="1" x14ac:dyDescent="0.45">
      <c r="A3651" s="187">
        <v>2020</v>
      </c>
      <c r="B3651" t="s">
        <v>312</v>
      </c>
      <c r="C3651" t="s">
        <v>322</v>
      </c>
      <c r="D3651" t="s">
        <v>35</v>
      </c>
      <c r="E3651" t="s">
        <v>354</v>
      </c>
      <c r="F3651" t="s">
        <v>385</v>
      </c>
      <c r="G3651" t="s">
        <v>36</v>
      </c>
      <c r="H3651" t="s">
        <v>43</v>
      </c>
      <c r="I3651" s="187">
        <v>0</v>
      </c>
      <c r="J3651" s="187">
        <v>43.280098258366905</v>
      </c>
      <c r="K3651" s="187">
        <v>2248.3017987403214</v>
      </c>
      <c r="L3651" s="187">
        <v>0</v>
      </c>
      <c r="M3651" s="187">
        <v>2291.581787109375</v>
      </c>
      <c r="N3651" s="187">
        <v>0</v>
      </c>
      <c r="O3651" t="s">
        <v>4104</v>
      </c>
    </row>
    <row r="3652" spans="1:15" hidden="1" x14ac:dyDescent="0.45">
      <c r="A3652" s="187">
        <v>2020</v>
      </c>
      <c r="B3652" t="s">
        <v>310</v>
      </c>
      <c r="C3652" t="s">
        <v>322</v>
      </c>
      <c r="D3652" t="s">
        <v>35</v>
      </c>
      <c r="E3652" t="s">
        <v>354</v>
      </c>
      <c r="F3652" t="s">
        <v>385</v>
      </c>
      <c r="G3652" t="s">
        <v>36</v>
      </c>
      <c r="H3652" t="s">
        <v>43</v>
      </c>
      <c r="I3652" s="187"/>
      <c r="J3652" s="187">
        <v>0</v>
      </c>
      <c r="K3652" s="187">
        <v>1361.6215117413449</v>
      </c>
      <c r="L3652" s="187">
        <v>0</v>
      </c>
      <c r="M3652" s="187">
        <v>1361.6214599609375</v>
      </c>
      <c r="N3652" s="187">
        <v>0</v>
      </c>
      <c r="O3652" t="s">
        <v>4109</v>
      </c>
    </row>
    <row r="3653" spans="1:15" hidden="1" x14ac:dyDescent="0.45">
      <c r="A3653" s="187">
        <v>2020</v>
      </c>
      <c r="B3653" t="s">
        <v>309</v>
      </c>
      <c r="C3653" t="s">
        <v>322</v>
      </c>
      <c r="D3653" t="s">
        <v>35</v>
      </c>
      <c r="E3653" t="s">
        <v>354</v>
      </c>
      <c r="F3653" t="s">
        <v>385</v>
      </c>
      <c r="G3653" t="s">
        <v>37</v>
      </c>
      <c r="H3653" t="s">
        <v>43</v>
      </c>
      <c r="I3653" s="187"/>
      <c r="J3653" s="187">
        <v>51.448500000000003</v>
      </c>
      <c r="K3653" s="187">
        <v>1216.3787830449501</v>
      </c>
      <c r="L3653" s="187">
        <v>0</v>
      </c>
      <c r="M3653" s="187">
        <v>1267.8272705078125</v>
      </c>
      <c r="N3653" s="187">
        <v>0</v>
      </c>
      <c r="O3653" t="s">
        <v>4119</v>
      </c>
    </row>
    <row r="3654" spans="1:15" hidden="1" x14ac:dyDescent="0.45">
      <c r="A3654" s="187">
        <v>2020</v>
      </c>
      <c r="B3654" t="s">
        <v>316</v>
      </c>
      <c r="C3654" t="s">
        <v>322</v>
      </c>
      <c r="D3654" t="s">
        <v>35</v>
      </c>
      <c r="E3654" t="s">
        <v>354</v>
      </c>
      <c r="F3654" t="s">
        <v>385</v>
      </c>
      <c r="G3654" t="s">
        <v>37</v>
      </c>
      <c r="H3654" t="s">
        <v>43</v>
      </c>
      <c r="I3654" s="187">
        <v>0</v>
      </c>
      <c r="J3654" s="187">
        <v>10</v>
      </c>
      <c r="K3654" s="187">
        <v>1136.2024264126819</v>
      </c>
      <c r="L3654" s="187">
        <v>159</v>
      </c>
      <c r="M3654" s="187">
        <v>1305.202392578125</v>
      </c>
      <c r="N3654" s="187">
        <v>159</v>
      </c>
      <c r="O3654" t="s">
        <v>4112</v>
      </c>
    </row>
    <row r="3655" spans="1:15" hidden="1" x14ac:dyDescent="0.45">
      <c r="A3655" s="187">
        <v>2020</v>
      </c>
      <c r="B3655" t="s">
        <v>310</v>
      </c>
      <c r="C3655" t="s">
        <v>322</v>
      </c>
      <c r="D3655" t="s">
        <v>35</v>
      </c>
      <c r="E3655" t="s">
        <v>354</v>
      </c>
      <c r="F3655" t="s">
        <v>385</v>
      </c>
      <c r="G3655" t="s">
        <v>37</v>
      </c>
      <c r="H3655" t="s">
        <v>43</v>
      </c>
      <c r="I3655" s="187"/>
      <c r="J3655" s="187">
        <v>0</v>
      </c>
      <c r="K3655" s="187">
        <v>1177.2711365423941</v>
      </c>
      <c r="L3655" s="187">
        <v>0</v>
      </c>
      <c r="M3655" s="187">
        <v>1177.2711181640625</v>
      </c>
      <c r="N3655" s="187">
        <v>0</v>
      </c>
      <c r="O3655" t="s">
        <v>4115</v>
      </c>
    </row>
    <row r="3656" spans="1:15" hidden="1" x14ac:dyDescent="0.45">
      <c r="A3656" s="187">
        <v>2020</v>
      </c>
      <c r="B3656" t="s">
        <v>314</v>
      </c>
      <c r="C3656" t="s">
        <v>322</v>
      </c>
      <c r="D3656" t="s">
        <v>35</v>
      </c>
      <c r="E3656" t="s">
        <v>354</v>
      </c>
      <c r="F3656" t="s">
        <v>385</v>
      </c>
      <c r="G3656" t="s">
        <v>37</v>
      </c>
      <c r="H3656" t="s">
        <v>43</v>
      </c>
      <c r="I3656" s="187">
        <v>0</v>
      </c>
      <c r="J3656" s="187">
        <v>42</v>
      </c>
      <c r="K3656" s="187">
        <v>2029.496538719352</v>
      </c>
      <c r="L3656" s="187">
        <v>105</v>
      </c>
      <c r="M3656" s="187">
        <v>2176.49658203125</v>
      </c>
      <c r="N3656" s="187">
        <v>105</v>
      </c>
      <c r="O3656" t="s">
        <v>4114</v>
      </c>
    </row>
    <row r="3657" spans="1:15" hidden="1" x14ac:dyDescent="0.45">
      <c r="A3657" s="187">
        <v>2020</v>
      </c>
      <c r="B3657" t="s">
        <v>311</v>
      </c>
      <c r="C3657" t="s">
        <v>322</v>
      </c>
      <c r="D3657" t="s">
        <v>35</v>
      </c>
      <c r="E3657" t="s">
        <v>354</v>
      </c>
      <c r="F3657" t="s">
        <v>385</v>
      </c>
      <c r="G3657" t="s">
        <v>37</v>
      </c>
      <c r="H3657" t="s">
        <v>43</v>
      </c>
      <c r="I3657" s="187"/>
      <c r="J3657" s="187">
        <v>44</v>
      </c>
      <c r="K3657" s="187">
        <v>1120.0948931895171</v>
      </c>
      <c r="L3657" s="187">
        <v>0</v>
      </c>
      <c r="M3657" s="187">
        <v>1164.0948486328125</v>
      </c>
      <c r="N3657" s="187">
        <v>0</v>
      </c>
      <c r="O3657" t="s">
        <v>4118</v>
      </c>
    </row>
    <row r="3658" spans="1:15" hidden="1" x14ac:dyDescent="0.45">
      <c r="A3658" s="187">
        <v>2020</v>
      </c>
      <c r="B3658" t="s">
        <v>313</v>
      </c>
      <c r="C3658" t="s">
        <v>322</v>
      </c>
      <c r="D3658" t="s">
        <v>35</v>
      </c>
      <c r="E3658" t="s">
        <v>354</v>
      </c>
      <c r="F3658" t="s">
        <v>385</v>
      </c>
      <c r="G3658" t="s">
        <v>37</v>
      </c>
      <c r="H3658" t="s">
        <v>43</v>
      </c>
      <c r="I3658" s="187"/>
      <c r="J3658" s="187">
        <v>42</v>
      </c>
      <c r="K3658" s="187">
        <v>1642.5783008597959</v>
      </c>
      <c r="L3658" s="187">
        <v>0</v>
      </c>
      <c r="M3658" s="187">
        <v>1684.5782470703125</v>
      </c>
      <c r="N3658" s="187">
        <v>0</v>
      </c>
      <c r="O3658" t="s">
        <v>4117</v>
      </c>
    </row>
    <row r="3659" spans="1:15" hidden="1" x14ac:dyDescent="0.45">
      <c r="A3659" s="187">
        <v>2020</v>
      </c>
      <c r="B3659" t="s">
        <v>315</v>
      </c>
      <c r="C3659" t="s">
        <v>322</v>
      </c>
      <c r="D3659" t="s">
        <v>35</v>
      </c>
      <c r="E3659" t="s">
        <v>354</v>
      </c>
      <c r="F3659" t="s">
        <v>385</v>
      </c>
      <c r="G3659" t="s">
        <v>37</v>
      </c>
      <c r="H3659" t="s">
        <v>43</v>
      </c>
      <c r="I3659" s="187">
        <v>0</v>
      </c>
      <c r="J3659" s="187">
        <v>50</v>
      </c>
      <c r="K3659" s="187">
        <v>2277.1731735244898</v>
      </c>
      <c r="L3659" s="187">
        <v>159</v>
      </c>
      <c r="M3659" s="187">
        <v>2486.173095703125</v>
      </c>
      <c r="N3659" s="187">
        <v>159</v>
      </c>
      <c r="O3659" t="s">
        <v>4116</v>
      </c>
    </row>
    <row r="3660" spans="1:15" hidden="1" x14ac:dyDescent="0.45">
      <c r="A3660" s="187">
        <v>2020</v>
      </c>
      <c r="B3660" t="s">
        <v>312</v>
      </c>
      <c r="C3660" t="s">
        <v>322</v>
      </c>
      <c r="D3660" t="s">
        <v>35</v>
      </c>
      <c r="E3660" t="s">
        <v>354</v>
      </c>
      <c r="F3660" t="s">
        <v>385</v>
      </c>
      <c r="G3660" t="s">
        <v>37</v>
      </c>
      <c r="H3660" t="s">
        <v>43</v>
      </c>
      <c r="I3660" s="187"/>
      <c r="J3660" s="187">
        <v>38</v>
      </c>
      <c r="K3660" s="187">
        <v>1961.9759966917029</v>
      </c>
      <c r="L3660" s="187">
        <v>0</v>
      </c>
      <c r="M3660" s="187">
        <v>1999.9759521484375</v>
      </c>
      <c r="N3660" s="187">
        <v>0</v>
      </c>
      <c r="O3660" t="s">
        <v>4113</v>
      </c>
    </row>
    <row r="3661" spans="1:15" hidden="1" x14ac:dyDescent="0.45">
      <c r="A3661" s="187">
        <v>2020</v>
      </c>
      <c r="B3661" t="s">
        <v>316</v>
      </c>
      <c r="C3661" t="s">
        <v>322</v>
      </c>
      <c r="D3661" t="s">
        <v>35</v>
      </c>
      <c r="E3661" t="s">
        <v>354</v>
      </c>
      <c r="F3661" t="s">
        <v>386</v>
      </c>
      <c r="G3661" t="s">
        <v>36</v>
      </c>
      <c r="H3661" t="s">
        <v>43</v>
      </c>
      <c r="I3661" s="187">
        <v>0</v>
      </c>
      <c r="J3661" s="187">
        <v>72.695953349956795</v>
      </c>
      <c r="K3661" s="187">
        <v>3161.6405952313676</v>
      </c>
      <c r="L3661" s="187">
        <v>435.07426626110509</v>
      </c>
      <c r="M3661" s="187">
        <v>3669.410888671875</v>
      </c>
      <c r="N3661" s="187">
        <v>435.07427978515625</v>
      </c>
      <c r="O3661" t="s">
        <v>4121</v>
      </c>
    </row>
    <row r="3662" spans="1:15" hidden="1" x14ac:dyDescent="0.45">
      <c r="A3662" s="187">
        <v>2020</v>
      </c>
      <c r="B3662" t="s">
        <v>312</v>
      </c>
      <c r="C3662" t="s">
        <v>322</v>
      </c>
      <c r="D3662" t="s">
        <v>35</v>
      </c>
      <c r="E3662" t="s">
        <v>354</v>
      </c>
      <c r="F3662" t="s">
        <v>386</v>
      </c>
      <c r="G3662" t="s">
        <v>36</v>
      </c>
      <c r="H3662" t="s">
        <v>43</v>
      </c>
      <c r="I3662" s="187">
        <v>0</v>
      </c>
      <c r="J3662" s="187">
        <v>61.828711797667012</v>
      </c>
      <c r="K3662" s="187">
        <v>2355.3637891565268</v>
      </c>
      <c r="L3662" s="187">
        <v>640.54545422383023</v>
      </c>
      <c r="M3662" s="187">
        <v>3057.73779296875</v>
      </c>
      <c r="N3662" s="187">
        <v>640.54547119140625</v>
      </c>
      <c r="O3662" t="s">
        <v>4125</v>
      </c>
    </row>
    <row r="3663" spans="1:15" hidden="1" x14ac:dyDescent="0.45">
      <c r="A3663" s="187">
        <v>2020</v>
      </c>
      <c r="B3663" t="s">
        <v>309</v>
      </c>
      <c r="C3663" t="s">
        <v>322</v>
      </c>
      <c r="D3663" t="s">
        <v>35</v>
      </c>
      <c r="E3663" t="s">
        <v>354</v>
      </c>
      <c r="F3663" t="s">
        <v>386</v>
      </c>
      <c r="G3663" t="s">
        <v>36</v>
      </c>
      <c r="H3663" t="s">
        <v>43</v>
      </c>
      <c r="I3663" s="187"/>
      <c r="J3663" s="187">
        <v>71.532994237690147</v>
      </c>
      <c r="K3663" s="187">
        <v>753.54710689092667</v>
      </c>
      <c r="L3663" s="187">
        <v>152.33878402471049</v>
      </c>
      <c r="M3663" s="187">
        <v>977.41888427734375</v>
      </c>
      <c r="N3663" s="187">
        <v>152.33879089355469</v>
      </c>
      <c r="O3663" t="s">
        <v>4124</v>
      </c>
    </row>
    <row r="3664" spans="1:15" hidden="1" x14ac:dyDescent="0.45">
      <c r="A3664" s="187">
        <v>2020</v>
      </c>
      <c r="B3664" t="s">
        <v>311</v>
      </c>
      <c r="C3664" t="s">
        <v>322</v>
      </c>
      <c r="D3664" t="s">
        <v>35</v>
      </c>
      <c r="E3664" t="s">
        <v>354</v>
      </c>
      <c r="F3664" t="s">
        <v>386</v>
      </c>
      <c r="G3664" t="s">
        <v>36</v>
      </c>
      <c r="H3664" t="s">
        <v>43</v>
      </c>
      <c r="I3664" s="187"/>
      <c r="J3664" s="187">
        <v>63.764706132750199</v>
      </c>
      <c r="K3664" s="187">
        <v>2778.3850854396128</v>
      </c>
      <c r="L3664" s="187">
        <v>98.197647444435304</v>
      </c>
      <c r="M3664" s="187">
        <v>2940.34765625</v>
      </c>
      <c r="N3664" s="187">
        <v>98.197647094726563</v>
      </c>
      <c r="O3664" t="s">
        <v>4120</v>
      </c>
    </row>
    <row r="3665" spans="1:15" hidden="1" x14ac:dyDescent="0.45">
      <c r="A3665" s="187">
        <v>2020</v>
      </c>
      <c r="B3665" t="s">
        <v>310</v>
      </c>
      <c r="C3665" t="s">
        <v>322</v>
      </c>
      <c r="D3665" t="s">
        <v>35</v>
      </c>
      <c r="E3665" t="s">
        <v>354</v>
      </c>
      <c r="F3665" t="s">
        <v>386</v>
      </c>
      <c r="G3665" t="s">
        <v>36</v>
      </c>
      <c r="H3665" t="s">
        <v>43</v>
      </c>
      <c r="I3665" s="187"/>
      <c r="J3665" s="187">
        <v>0</v>
      </c>
      <c r="K3665" s="187">
        <v>2083.5885389419964</v>
      </c>
      <c r="L3665" s="187">
        <v>151.69561558662804</v>
      </c>
      <c r="M3665" s="187">
        <v>2235.2841796875</v>
      </c>
      <c r="N3665" s="187">
        <v>151.69561767578125</v>
      </c>
      <c r="O3665" t="s">
        <v>4127</v>
      </c>
    </row>
    <row r="3666" spans="1:15" hidden="1" x14ac:dyDescent="0.45">
      <c r="A3666" s="187">
        <v>2020</v>
      </c>
      <c r="B3666" t="s">
        <v>315</v>
      </c>
      <c r="C3666" t="s">
        <v>322</v>
      </c>
      <c r="D3666" t="s">
        <v>35</v>
      </c>
      <c r="E3666" t="s">
        <v>354</v>
      </c>
      <c r="F3666" t="s">
        <v>386</v>
      </c>
      <c r="G3666" t="s">
        <v>36</v>
      </c>
      <c r="H3666" t="s">
        <v>43</v>
      </c>
      <c r="I3666" s="187">
        <v>0</v>
      </c>
      <c r="J3666" s="187">
        <v>52.108682064510084</v>
      </c>
      <c r="K3666" s="187">
        <v>3179.9371199947259</v>
      </c>
      <c r="L3666" s="187">
        <v>1137.3286259297417</v>
      </c>
      <c r="M3666" s="187">
        <v>4369.37451171875</v>
      </c>
      <c r="N3666" s="187">
        <v>1137.32861328125</v>
      </c>
      <c r="O3666" t="s">
        <v>4126</v>
      </c>
    </row>
    <row r="3667" spans="1:15" hidden="1" x14ac:dyDescent="0.45">
      <c r="A3667" s="187">
        <v>2020</v>
      </c>
      <c r="B3667" t="s">
        <v>313</v>
      </c>
      <c r="C3667" t="s">
        <v>322</v>
      </c>
      <c r="D3667" t="s">
        <v>35</v>
      </c>
      <c r="E3667" t="s">
        <v>354</v>
      </c>
      <c r="F3667" t="s">
        <v>386</v>
      </c>
      <c r="G3667" t="s">
        <v>36</v>
      </c>
      <c r="H3667" t="s">
        <v>43</v>
      </c>
      <c r="I3667" s="187">
        <v>0</v>
      </c>
      <c r="J3667" s="187">
        <v>59.894593726603141</v>
      </c>
      <c r="K3667" s="187">
        <v>2549.803182346825</v>
      </c>
      <c r="L3667" s="187">
        <v>631.28901787839709</v>
      </c>
      <c r="M3667" s="187">
        <v>3240.98681640625</v>
      </c>
      <c r="N3667" s="187">
        <v>631.28900146484375</v>
      </c>
      <c r="O3667" t="s">
        <v>4123</v>
      </c>
    </row>
    <row r="3668" spans="1:15" hidden="1" x14ac:dyDescent="0.45">
      <c r="A3668" s="187">
        <v>2020</v>
      </c>
      <c r="B3668" t="s">
        <v>314</v>
      </c>
      <c r="C3668" t="s">
        <v>322</v>
      </c>
      <c r="D3668" t="s">
        <v>35</v>
      </c>
      <c r="E3668" t="s">
        <v>354</v>
      </c>
      <c r="F3668" t="s">
        <v>386</v>
      </c>
      <c r="G3668" t="s">
        <v>36</v>
      </c>
      <c r="H3668" t="s">
        <v>43</v>
      </c>
      <c r="I3668" s="187">
        <v>0</v>
      </c>
      <c r="J3668" s="187">
        <v>58.241033054944985</v>
      </c>
      <c r="K3668" s="187">
        <v>3578.0085025773278</v>
      </c>
      <c r="L3668" s="187">
        <v>690.73865203164758</v>
      </c>
      <c r="M3668" s="187">
        <v>4326.98828125</v>
      </c>
      <c r="N3668" s="187">
        <v>690.7386474609375</v>
      </c>
      <c r="O3668" t="s">
        <v>4122</v>
      </c>
    </row>
    <row r="3669" spans="1:15" hidden="1" x14ac:dyDescent="0.45">
      <c r="A3669" s="187">
        <v>2020</v>
      </c>
      <c r="B3669" t="s">
        <v>312</v>
      </c>
      <c r="C3669" t="s">
        <v>322</v>
      </c>
      <c r="D3669" t="s">
        <v>35</v>
      </c>
      <c r="E3669" t="s">
        <v>354</v>
      </c>
      <c r="F3669" t="s">
        <v>386</v>
      </c>
      <c r="G3669" t="s">
        <v>37</v>
      </c>
      <c r="H3669" t="s">
        <v>43</v>
      </c>
      <c r="I3669" s="187"/>
      <c r="J3669" s="187">
        <v>54</v>
      </c>
      <c r="K3669" s="187">
        <v>2055.4034251055932</v>
      </c>
      <c r="L3669" s="187">
        <v>558</v>
      </c>
      <c r="M3669" s="187">
        <v>2667.4033203125</v>
      </c>
      <c r="N3669" s="187">
        <v>558</v>
      </c>
      <c r="O3669" t="s">
        <v>4132</v>
      </c>
    </row>
    <row r="3670" spans="1:15" hidden="1" x14ac:dyDescent="0.45">
      <c r="A3670" s="187">
        <v>2020</v>
      </c>
      <c r="B3670" t="s">
        <v>311</v>
      </c>
      <c r="C3670" t="s">
        <v>322</v>
      </c>
      <c r="D3670" t="s">
        <v>35</v>
      </c>
      <c r="E3670" t="s">
        <v>354</v>
      </c>
      <c r="F3670" t="s">
        <v>386</v>
      </c>
      <c r="G3670" t="s">
        <v>37</v>
      </c>
      <c r="H3670" t="s">
        <v>43</v>
      </c>
      <c r="I3670" s="187"/>
      <c r="J3670" s="187">
        <v>55</v>
      </c>
      <c r="K3670" s="187">
        <v>2387.8181757472862</v>
      </c>
      <c r="L3670" s="187">
        <v>89</v>
      </c>
      <c r="M3670" s="187">
        <v>2531.818115234375</v>
      </c>
      <c r="N3670" s="187">
        <v>89</v>
      </c>
      <c r="O3670" t="s">
        <v>4129</v>
      </c>
    </row>
    <row r="3671" spans="1:15" hidden="1" x14ac:dyDescent="0.45">
      <c r="A3671" s="187">
        <v>2020</v>
      </c>
      <c r="B3671" t="s">
        <v>314</v>
      </c>
      <c r="C3671" t="s">
        <v>322</v>
      </c>
      <c r="D3671" t="s">
        <v>35</v>
      </c>
      <c r="E3671" t="s">
        <v>354</v>
      </c>
      <c r="F3671" t="s">
        <v>386</v>
      </c>
      <c r="G3671" t="s">
        <v>37</v>
      </c>
      <c r="H3671" t="s">
        <v>43</v>
      </c>
      <c r="I3671" s="187">
        <v>0</v>
      </c>
      <c r="J3671" s="187">
        <v>52</v>
      </c>
      <c r="K3671" s="187">
        <v>3201.0890934953532</v>
      </c>
      <c r="L3671" s="187">
        <v>635</v>
      </c>
      <c r="M3671" s="187">
        <v>3888.089111328125</v>
      </c>
      <c r="N3671" s="187">
        <v>635</v>
      </c>
      <c r="O3671" t="s">
        <v>4133</v>
      </c>
    </row>
    <row r="3672" spans="1:15" hidden="1" x14ac:dyDescent="0.45">
      <c r="A3672" s="187">
        <v>2020</v>
      </c>
      <c r="B3672" t="s">
        <v>309</v>
      </c>
      <c r="C3672" t="s">
        <v>322</v>
      </c>
      <c r="D3672" t="s">
        <v>35</v>
      </c>
      <c r="E3672" t="s">
        <v>354</v>
      </c>
      <c r="F3672" t="s">
        <v>386</v>
      </c>
      <c r="G3672" t="s">
        <v>37</v>
      </c>
      <c r="H3672" t="s">
        <v>43</v>
      </c>
      <c r="I3672" s="187"/>
      <c r="J3672" s="187">
        <v>61.738199999999999</v>
      </c>
      <c r="K3672" s="187">
        <v>664.89132359899725</v>
      </c>
      <c r="L3672" s="187">
        <v>141</v>
      </c>
      <c r="M3672" s="187">
        <v>867.6295166015625</v>
      </c>
      <c r="N3672" s="187">
        <v>141</v>
      </c>
      <c r="O3672" t="s">
        <v>4135</v>
      </c>
    </row>
    <row r="3673" spans="1:15" hidden="1" x14ac:dyDescent="0.45">
      <c r="A3673" s="187">
        <v>2020</v>
      </c>
      <c r="B3673" t="s">
        <v>316</v>
      </c>
      <c r="C3673" t="s">
        <v>322</v>
      </c>
      <c r="D3673" t="s">
        <v>35</v>
      </c>
      <c r="E3673" t="s">
        <v>354</v>
      </c>
      <c r="F3673" t="s">
        <v>386</v>
      </c>
      <c r="G3673" t="s">
        <v>37</v>
      </c>
      <c r="H3673" t="s">
        <v>43</v>
      </c>
      <c r="I3673" s="187">
        <v>0</v>
      </c>
      <c r="J3673" s="187">
        <v>66</v>
      </c>
      <c r="K3673" s="187">
        <v>2870.42496410695</v>
      </c>
      <c r="L3673" s="187">
        <v>395</v>
      </c>
      <c r="M3673" s="187">
        <v>3331.425048828125</v>
      </c>
      <c r="N3673" s="187">
        <v>395</v>
      </c>
      <c r="O3673" t="s">
        <v>4128</v>
      </c>
    </row>
    <row r="3674" spans="1:15" hidden="1" x14ac:dyDescent="0.45">
      <c r="A3674" s="187">
        <v>2020</v>
      </c>
      <c r="B3674" t="s">
        <v>313</v>
      </c>
      <c r="C3674" t="s">
        <v>322</v>
      </c>
      <c r="D3674" t="s">
        <v>35</v>
      </c>
      <c r="E3674" t="s">
        <v>354</v>
      </c>
      <c r="F3674" t="s">
        <v>386</v>
      </c>
      <c r="G3674" t="s">
        <v>37</v>
      </c>
      <c r="H3674" t="s">
        <v>43</v>
      </c>
      <c r="I3674" s="187"/>
      <c r="J3674" s="187">
        <v>53</v>
      </c>
      <c r="K3674" s="187">
        <v>2248.7579139236741</v>
      </c>
      <c r="L3674" s="187">
        <v>559.63996774181987</v>
      </c>
      <c r="M3674" s="187">
        <v>2861.397705078125</v>
      </c>
      <c r="N3674" s="187">
        <v>559.63995361328125</v>
      </c>
      <c r="O3674" t="s">
        <v>4131</v>
      </c>
    </row>
    <row r="3675" spans="1:15" hidden="1" x14ac:dyDescent="0.45">
      <c r="A3675" s="187">
        <v>2020</v>
      </c>
      <c r="B3675" t="s">
        <v>315</v>
      </c>
      <c r="C3675" t="s">
        <v>322</v>
      </c>
      <c r="D3675" t="s">
        <v>35</v>
      </c>
      <c r="E3675" t="s">
        <v>354</v>
      </c>
      <c r="F3675" t="s">
        <v>386</v>
      </c>
      <c r="G3675" t="s">
        <v>37</v>
      </c>
      <c r="H3675" t="s">
        <v>43</v>
      </c>
      <c r="I3675" s="187">
        <v>0</v>
      </c>
      <c r="J3675" s="187">
        <v>46</v>
      </c>
      <c r="K3675" s="187">
        <v>2859.1039202857928</v>
      </c>
      <c r="L3675" s="187">
        <v>1024</v>
      </c>
      <c r="M3675" s="187">
        <v>3929.10400390625</v>
      </c>
      <c r="N3675" s="187">
        <v>1024</v>
      </c>
      <c r="O3675" t="s">
        <v>4134</v>
      </c>
    </row>
    <row r="3676" spans="1:15" hidden="1" x14ac:dyDescent="0.45">
      <c r="A3676" s="187">
        <v>2020</v>
      </c>
      <c r="B3676" t="s">
        <v>310</v>
      </c>
      <c r="C3676" t="s">
        <v>322</v>
      </c>
      <c r="D3676" t="s">
        <v>35</v>
      </c>
      <c r="E3676" t="s">
        <v>354</v>
      </c>
      <c r="F3676" t="s">
        <v>386</v>
      </c>
      <c r="G3676" t="s">
        <v>37</v>
      </c>
      <c r="H3676" t="s">
        <v>43</v>
      </c>
      <c r="I3676" s="187"/>
      <c r="J3676" s="187">
        <v>0</v>
      </c>
      <c r="K3676" s="187">
        <v>1801.4908153073559</v>
      </c>
      <c r="L3676" s="187">
        <v>136</v>
      </c>
      <c r="M3676" s="187">
        <v>1937.4908447265625</v>
      </c>
      <c r="N3676" s="187">
        <v>136</v>
      </c>
      <c r="O3676" t="s">
        <v>4130</v>
      </c>
    </row>
    <row r="3677" spans="1:15" hidden="1" x14ac:dyDescent="0.45">
      <c r="A3677" s="187">
        <v>2020</v>
      </c>
      <c r="B3677" t="s">
        <v>312</v>
      </c>
      <c r="C3677" t="s">
        <v>322</v>
      </c>
      <c r="D3677" t="s">
        <v>35</v>
      </c>
      <c r="E3677" t="s">
        <v>354</v>
      </c>
      <c r="F3677" t="s">
        <v>387</v>
      </c>
      <c r="G3677" t="s">
        <v>36</v>
      </c>
      <c r="H3677" t="s">
        <v>43</v>
      </c>
      <c r="I3677" s="187">
        <v>0</v>
      </c>
      <c r="J3677" s="187">
        <v>105.10881005603392</v>
      </c>
      <c r="K3677" s="187">
        <v>4603.6655878968477</v>
      </c>
      <c r="L3677" s="187">
        <v>640.54545422383023</v>
      </c>
      <c r="M3677" s="187">
        <v>5349.31982421875</v>
      </c>
      <c r="N3677" s="187">
        <v>640.54547119140625</v>
      </c>
      <c r="O3677" t="s">
        <v>4142</v>
      </c>
    </row>
    <row r="3678" spans="1:15" hidden="1" x14ac:dyDescent="0.45">
      <c r="A3678" s="187">
        <v>2020</v>
      </c>
      <c r="B3678" t="s">
        <v>315</v>
      </c>
      <c r="C3678" t="s">
        <v>322</v>
      </c>
      <c r="D3678" t="s">
        <v>35</v>
      </c>
      <c r="E3678" t="s">
        <v>354</v>
      </c>
      <c r="F3678" t="s">
        <v>387</v>
      </c>
      <c r="G3678" t="s">
        <v>36</v>
      </c>
      <c r="H3678" t="s">
        <v>43</v>
      </c>
      <c r="I3678" s="187">
        <v>0</v>
      </c>
      <c r="J3678" s="187">
        <v>108.29543489928616</v>
      </c>
      <c r="K3678" s="187">
        <v>5712.6423678763367</v>
      </c>
      <c r="L3678" s="187">
        <v>1314.0450259746021</v>
      </c>
      <c r="M3678" s="187">
        <v>7134.98291015625</v>
      </c>
      <c r="N3678" s="187">
        <v>1314.0450439453125</v>
      </c>
      <c r="O3678" t="s">
        <v>4141</v>
      </c>
    </row>
    <row r="3679" spans="1:15" hidden="1" x14ac:dyDescent="0.45">
      <c r="A3679" s="187">
        <v>2020</v>
      </c>
      <c r="B3679" t="s">
        <v>309</v>
      </c>
      <c r="C3679" t="s">
        <v>322</v>
      </c>
      <c r="D3679" t="s">
        <v>35</v>
      </c>
      <c r="E3679" t="s">
        <v>354</v>
      </c>
      <c r="F3679" t="s">
        <v>387</v>
      </c>
      <c r="G3679" t="s">
        <v>36</v>
      </c>
      <c r="H3679" t="s">
        <v>43</v>
      </c>
      <c r="I3679" s="187"/>
      <c r="J3679" s="187">
        <v>131.14382276909862</v>
      </c>
      <c r="K3679" s="187">
        <v>2132.1163261214638</v>
      </c>
      <c r="L3679" s="187">
        <v>152.33878402471049</v>
      </c>
      <c r="M3679" s="187">
        <v>2415.59912109375</v>
      </c>
      <c r="N3679" s="187">
        <v>152.33879089355469</v>
      </c>
      <c r="O3679" t="s">
        <v>4139</v>
      </c>
    </row>
    <row r="3680" spans="1:15" hidden="1" x14ac:dyDescent="0.45">
      <c r="A3680" s="187">
        <v>2020</v>
      </c>
      <c r="B3680" t="s">
        <v>311</v>
      </c>
      <c r="C3680" t="s">
        <v>322</v>
      </c>
      <c r="D3680" t="s">
        <v>35</v>
      </c>
      <c r="E3680" t="s">
        <v>354</v>
      </c>
      <c r="F3680" t="s">
        <v>387</v>
      </c>
      <c r="G3680" t="s">
        <v>36</v>
      </c>
      <c r="H3680" t="s">
        <v>43</v>
      </c>
      <c r="I3680" s="187"/>
      <c r="J3680" s="187">
        <v>114.77647103895036</v>
      </c>
      <c r="K3680" s="187">
        <v>4081.6899086977264</v>
      </c>
      <c r="L3680" s="187">
        <v>98.197647444435304</v>
      </c>
      <c r="M3680" s="187">
        <v>4294.6640625</v>
      </c>
      <c r="N3680" s="187">
        <v>98.197647094726563</v>
      </c>
      <c r="O3680" t="s">
        <v>4136</v>
      </c>
    </row>
    <row r="3681" spans="1:15" hidden="1" x14ac:dyDescent="0.45">
      <c r="A3681" s="187">
        <v>2020</v>
      </c>
      <c r="B3681" t="s">
        <v>313</v>
      </c>
      <c r="C3681" t="s">
        <v>322</v>
      </c>
      <c r="D3681" t="s">
        <v>35</v>
      </c>
      <c r="E3681" t="s">
        <v>354</v>
      </c>
      <c r="F3681" t="s">
        <v>387</v>
      </c>
      <c r="G3681" t="s">
        <v>36</v>
      </c>
      <c r="H3681" t="s">
        <v>43</v>
      </c>
      <c r="I3681" s="187">
        <v>0</v>
      </c>
      <c r="J3681" s="187">
        <v>107.81026870788565</v>
      </c>
      <c r="K3681" s="187">
        <v>4412.2763960501225</v>
      </c>
      <c r="L3681" s="187">
        <v>631.28901787839709</v>
      </c>
      <c r="M3681" s="187">
        <v>5151.37548828125</v>
      </c>
      <c r="N3681" s="187">
        <v>631.28900146484375</v>
      </c>
      <c r="O3681" t="s">
        <v>4140</v>
      </c>
    </row>
    <row r="3682" spans="1:15" hidden="1" x14ac:dyDescent="0.45">
      <c r="A3682" s="187">
        <v>2020</v>
      </c>
      <c r="B3682" t="s">
        <v>316</v>
      </c>
      <c r="C3682" t="s">
        <v>322</v>
      </c>
      <c r="D3682" t="s">
        <v>35</v>
      </c>
      <c r="E3682" t="s">
        <v>354</v>
      </c>
      <c r="F3682" t="s">
        <v>387</v>
      </c>
      <c r="G3682" t="s">
        <v>36</v>
      </c>
      <c r="H3682" t="s">
        <v>43</v>
      </c>
      <c r="I3682" s="187">
        <v>0</v>
      </c>
      <c r="J3682" s="187">
        <v>116.75410689538516</v>
      </c>
      <c r="K3682" s="187">
        <v>4413.1151192708212</v>
      </c>
      <c r="L3682" s="187">
        <v>631.13304953826128</v>
      </c>
      <c r="M3682" s="187">
        <v>5161.001953125</v>
      </c>
      <c r="N3682" s="187">
        <v>631.133056640625</v>
      </c>
      <c r="O3682" t="s">
        <v>4137</v>
      </c>
    </row>
    <row r="3683" spans="1:15" hidden="1" x14ac:dyDescent="0.45">
      <c r="A3683" s="187">
        <v>2020</v>
      </c>
      <c r="B3683" t="s">
        <v>314</v>
      </c>
      <c r="C3683" t="s">
        <v>322</v>
      </c>
      <c r="D3683" t="s">
        <v>35</v>
      </c>
      <c r="E3683" t="s">
        <v>354</v>
      </c>
      <c r="F3683" t="s">
        <v>387</v>
      </c>
      <c r="G3683" t="s">
        <v>36</v>
      </c>
      <c r="H3683" t="s">
        <v>43</v>
      </c>
      <c r="I3683" s="187">
        <v>0</v>
      </c>
      <c r="J3683" s="187">
        <v>104.83385949890098</v>
      </c>
      <c r="K3683" s="187">
        <v>5846.4726594308986</v>
      </c>
      <c r="L3683" s="187">
        <v>804.89107681933979</v>
      </c>
      <c r="M3683" s="187">
        <v>6756.19775390625</v>
      </c>
      <c r="N3683" s="187">
        <v>804.89105224609375</v>
      </c>
      <c r="O3683" t="s">
        <v>4143</v>
      </c>
    </row>
    <row r="3684" spans="1:15" hidden="1" x14ac:dyDescent="0.45">
      <c r="A3684" s="187">
        <v>2020</v>
      </c>
      <c r="B3684" t="s">
        <v>310</v>
      </c>
      <c r="C3684" t="s">
        <v>322</v>
      </c>
      <c r="D3684" t="s">
        <v>35</v>
      </c>
      <c r="E3684" t="s">
        <v>354</v>
      </c>
      <c r="F3684" t="s">
        <v>387</v>
      </c>
      <c r="G3684" t="s">
        <v>36</v>
      </c>
      <c r="H3684" t="s">
        <v>43</v>
      </c>
      <c r="I3684" s="187"/>
      <c r="J3684" s="187">
        <v>0</v>
      </c>
      <c r="K3684" s="187">
        <v>3445.2100506833403</v>
      </c>
      <c r="L3684" s="187">
        <v>151.69561558662804</v>
      </c>
      <c r="M3684" s="187">
        <v>3596.905517578125</v>
      </c>
      <c r="N3684" s="187">
        <v>151.69561767578125</v>
      </c>
      <c r="O3684" t="s">
        <v>4138</v>
      </c>
    </row>
    <row r="3685" spans="1:15" hidden="1" x14ac:dyDescent="0.45">
      <c r="A3685" s="187">
        <v>2020</v>
      </c>
      <c r="B3685" t="s">
        <v>314</v>
      </c>
      <c r="C3685" t="s">
        <v>322</v>
      </c>
      <c r="D3685" t="s">
        <v>35</v>
      </c>
      <c r="E3685" t="s">
        <v>354</v>
      </c>
      <c r="F3685" t="s">
        <v>387</v>
      </c>
      <c r="G3685" t="s">
        <v>37</v>
      </c>
      <c r="H3685" t="s">
        <v>43</v>
      </c>
      <c r="I3685" s="187">
        <v>0</v>
      </c>
      <c r="J3685" s="187">
        <v>94</v>
      </c>
      <c r="K3685" s="187">
        <v>5230.5856322147047</v>
      </c>
      <c r="L3685" s="187">
        <v>740</v>
      </c>
      <c r="M3685" s="187">
        <v>6064.58544921875</v>
      </c>
      <c r="N3685" s="187">
        <v>740</v>
      </c>
      <c r="O3685" t="s">
        <v>4146</v>
      </c>
    </row>
    <row r="3686" spans="1:15" hidden="1" x14ac:dyDescent="0.45">
      <c r="A3686" s="187">
        <v>2020</v>
      </c>
      <c r="B3686" t="s">
        <v>312</v>
      </c>
      <c r="C3686" t="s">
        <v>322</v>
      </c>
      <c r="D3686" t="s">
        <v>35</v>
      </c>
      <c r="E3686" t="s">
        <v>354</v>
      </c>
      <c r="F3686" t="s">
        <v>387</v>
      </c>
      <c r="G3686" t="s">
        <v>37</v>
      </c>
      <c r="H3686" t="s">
        <v>43</v>
      </c>
      <c r="I3686" s="187">
        <v>0</v>
      </c>
      <c r="J3686" s="187">
        <v>92</v>
      </c>
      <c r="K3686" s="187">
        <v>4017.3794217972959</v>
      </c>
      <c r="L3686" s="187">
        <v>558</v>
      </c>
      <c r="M3686" s="187">
        <v>4667.37939453125</v>
      </c>
      <c r="N3686" s="187">
        <v>558</v>
      </c>
      <c r="O3686" t="s">
        <v>4150</v>
      </c>
    </row>
    <row r="3687" spans="1:15" hidden="1" x14ac:dyDescent="0.45">
      <c r="A3687" s="187">
        <v>2020</v>
      </c>
      <c r="B3687" t="s">
        <v>315</v>
      </c>
      <c r="C3687" t="s">
        <v>322</v>
      </c>
      <c r="D3687" t="s">
        <v>35</v>
      </c>
      <c r="E3687" t="s">
        <v>354</v>
      </c>
      <c r="F3687" t="s">
        <v>387</v>
      </c>
      <c r="G3687" t="s">
        <v>37</v>
      </c>
      <c r="H3687" t="s">
        <v>43</v>
      </c>
      <c r="I3687" s="187">
        <v>0</v>
      </c>
      <c r="J3687" s="187">
        <v>96</v>
      </c>
      <c r="K3687" s="187">
        <v>5136.2770938102831</v>
      </c>
      <c r="L3687" s="187">
        <v>1183</v>
      </c>
      <c r="M3687" s="187">
        <v>6415.27685546875</v>
      </c>
      <c r="N3687" s="187">
        <v>1183</v>
      </c>
      <c r="O3687" t="s">
        <v>4145</v>
      </c>
    </row>
    <row r="3688" spans="1:15" hidden="1" x14ac:dyDescent="0.45">
      <c r="A3688" s="187">
        <v>2020</v>
      </c>
      <c r="B3688" t="s">
        <v>313</v>
      </c>
      <c r="C3688" t="s">
        <v>322</v>
      </c>
      <c r="D3688" t="s">
        <v>35</v>
      </c>
      <c r="E3688" t="s">
        <v>354</v>
      </c>
      <c r="F3688" t="s">
        <v>387</v>
      </c>
      <c r="G3688" t="s">
        <v>37</v>
      </c>
      <c r="H3688" t="s">
        <v>43</v>
      </c>
      <c r="I3688" s="187">
        <v>0</v>
      </c>
      <c r="J3688" s="187">
        <v>95</v>
      </c>
      <c r="K3688" s="187">
        <v>3891.33621478347</v>
      </c>
      <c r="L3688" s="187">
        <v>559.63996774181987</v>
      </c>
      <c r="M3688" s="187">
        <v>4545.97607421875</v>
      </c>
      <c r="N3688" s="187">
        <v>559.63995361328125</v>
      </c>
      <c r="O3688" t="s">
        <v>4149</v>
      </c>
    </row>
    <row r="3689" spans="1:15" hidden="1" x14ac:dyDescent="0.45">
      <c r="A3689" s="187">
        <v>2020</v>
      </c>
      <c r="B3689" t="s">
        <v>309</v>
      </c>
      <c r="C3689" t="s">
        <v>322</v>
      </c>
      <c r="D3689" t="s">
        <v>35</v>
      </c>
      <c r="E3689" t="s">
        <v>354</v>
      </c>
      <c r="F3689" t="s">
        <v>387</v>
      </c>
      <c r="G3689" t="s">
        <v>37</v>
      </c>
      <c r="H3689" t="s">
        <v>43</v>
      </c>
      <c r="I3689" s="187"/>
      <c r="J3689" s="187">
        <v>113.1867</v>
      </c>
      <c r="K3689" s="187">
        <v>1881.270106643947</v>
      </c>
      <c r="L3689" s="187">
        <v>141</v>
      </c>
      <c r="M3689" s="187">
        <v>2135.456787109375</v>
      </c>
      <c r="N3689" s="187">
        <v>141</v>
      </c>
      <c r="O3689" t="s">
        <v>4148</v>
      </c>
    </row>
    <row r="3690" spans="1:15" hidden="1" x14ac:dyDescent="0.45">
      <c r="A3690" s="187">
        <v>2020</v>
      </c>
      <c r="B3690" t="s">
        <v>310</v>
      </c>
      <c r="C3690" t="s">
        <v>322</v>
      </c>
      <c r="D3690" t="s">
        <v>35</v>
      </c>
      <c r="E3690" t="s">
        <v>354</v>
      </c>
      <c r="F3690" t="s">
        <v>387</v>
      </c>
      <c r="G3690" t="s">
        <v>37</v>
      </c>
      <c r="H3690" t="s">
        <v>43</v>
      </c>
      <c r="I3690" s="187"/>
      <c r="J3690" s="187">
        <v>0</v>
      </c>
      <c r="K3690" s="187">
        <v>2978.761951849749</v>
      </c>
      <c r="L3690" s="187">
        <v>136</v>
      </c>
      <c r="M3690" s="187">
        <v>3114.761962890625</v>
      </c>
      <c r="N3690" s="187">
        <v>136</v>
      </c>
      <c r="O3690" t="s">
        <v>4144</v>
      </c>
    </row>
    <row r="3691" spans="1:15" hidden="1" x14ac:dyDescent="0.45">
      <c r="A3691" s="187">
        <v>2020</v>
      </c>
      <c r="B3691" t="s">
        <v>316</v>
      </c>
      <c r="C3691" t="s">
        <v>322</v>
      </c>
      <c r="D3691" t="s">
        <v>35</v>
      </c>
      <c r="E3691" t="s">
        <v>354</v>
      </c>
      <c r="F3691" t="s">
        <v>387</v>
      </c>
      <c r="G3691" t="s">
        <v>37</v>
      </c>
      <c r="H3691" t="s">
        <v>43</v>
      </c>
      <c r="I3691" s="187">
        <v>0</v>
      </c>
      <c r="J3691" s="187">
        <v>106</v>
      </c>
      <c r="K3691" s="187">
        <v>4006.6273905196308</v>
      </c>
      <c r="L3691" s="187">
        <v>573</v>
      </c>
      <c r="M3691" s="187">
        <v>4685.62744140625</v>
      </c>
      <c r="N3691" s="187">
        <v>573</v>
      </c>
      <c r="O3691" t="s">
        <v>4147</v>
      </c>
    </row>
    <row r="3692" spans="1:15" hidden="1" x14ac:dyDescent="0.45">
      <c r="A3692" s="187">
        <v>2020</v>
      </c>
      <c r="B3692" t="s">
        <v>311</v>
      </c>
      <c r="C3692" t="s">
        <v>322</v>
      </c>
      <c r="D3692" t="s">
        <v>35</v>
      </c>
      <c r="E3692" t="s">
        <v>354</v>
      </c>
      <c r="F3692" t="s">
        <v>387</v>
      </c>
      <c r="G3692" t="s">
        <v>37</v>
      </c>
      <c r="H3692" t="s">
        <v>43</v>
      </c>
      <c r="I3692" s="187"/>
      <c r="J3692" s="187">
        <v>99</v>
      </c>
      <c r="K3692" s="187">
        <v>3507.913068936803</v>
      </c>
      <c r="L3692" s="187">
        <v>89</v>
      </c>
      <c r="M3692" s="187">
        <v>3695.9130859375</v>
      </c>
      <c r="N3692" s="187">
        <v>89</v>
      </c>
      <c r="O3692" t="s">
        <v>4151</v>
      </c>
    </row>
    <row r="3693" spans="1:15" hidden="1" x14ac:dyDescent="0.45">
      <c r="A3693" s="187">
        <v>2020</v>
      </c>
      <c r="B3693" t="s">
        <v>311</v>
      </c>
      <c r="C3693" t="s">
        <v>322</v>
      </c>
      <c r="D3693" t="s">
        <v>35</v>
      </c>
      <c r="E3693" t="s">
        <v>17</v>
      </c>
      <c r="F3693" t="s">
        <v>17</v>
      </c>
      <c r="G3693" t="s">
        <v>36</v>
      </c>
      <c r="H3693" t="s">
        <v>43</v>
      </c>
      <c r="I3693" s="187"/>
      <c r="J3693" s="187">
        <v>57.388235519475181</v>
      </c>
      <c r="K3693" s="187">
        <v>2101.3721855792019</v>
      </c>
      <c r="L3693" s="187">
        <v>9442.277684137649</v>
      </c>
      <c r="M3693" s="187">
        <v>11601.0380859375</v>
      </c>
      <c r="N3693" s="187">
        <v>9442.27734375</v>
      </c>
      <c r="O3693" t="s">
        <v>4156</v>
      </c>
    </row>
    <row r="3694" spans="1:15" hidden="1" x14ac:dyDescent="0.45">
      <c r="A3694" s="187">
        <v>2020</v>
      </c>
      <c r="B3694" t="s">
        <v>312</v>
      </c>
      <c r="C3694" t="s">
        <v>322</v>
      </c>
      <c r="D3694" t="s">
        <v>35</v>
      </c>
      <c r="E3694" t="s">
        <v>17</v>
      </c>
      <c r="F3694" t="s">
        <v>17</v>
      </c>
      <c r="G3694" t="s">
        <v>36</v>
      </c>
      <c r="H3694" t="s">
        <v>43</v>
      </c>
      <c r="I3694" s="187">
        <v>5065.0080704648817</v>
      </c>
      <c r="J3694" s="187">
        <v>80.377325336967118</v>
      </c>
      <c r="K3694" s="187">
        <v>1853.1246489989946</v>
      </c>
      <c r="L3694" s="187">
        <v>988.02281452671889</v>
      </c>
      <c r="M3694" s="187">
        <v>7986.533203125</v>
      </c>
      <c r="N3694" s="187">
        <v>6053.03125</v>
      </c>
      <c r="O3694" t="s">
        <v>4158</v>
      </c>
    </row>
    <row r="3695" spans="1:15" hidden="1" x14ac:dyDescent="0.45">
      <c r="A3695" s="187">
        <v>2020</v>
      </c>
      <c r="B3695" t="s">
        <v>314</v>
      </c>
      <c r="C3695" t="s">
        <v>322</v>
      </c>
      <c r="D3695" t="s">
        <v>35</v>
      </c>
      <c r="E3695" t="s">
        <v>17</v>
      </c>
      <c r="F3695" t="s">
        <v>17</v>
      </c>
      <c r="G3695" t="s">
        <v>36</v>
      </c>
      <c r="H3695" t="s">
        <v>43</v>
      </c>
      <c r="I3695" s="187">
        <v>4047.7517973186768</v>
      </c>
      <c r="J3695" s="187">
        <v>81.537446276922978</v>
      </c>
      <c r="K3695" s="187">
        <v>1397.1680221969052</v>
      </c>
      <c r="L3695" s="187">
        <v>1820.6146932975803</v>
      </c>
      <c r="M3695" s="187">
        <v>7347.07177734375</v>
      </c>
      <c r="N3695" s="187">
        <v>5868.3662109375</v>
      </c>
      <c r="O3695" t="s">
        <v>4152</v>
      </c>
    </row>
    <row r="3696" spans="1:15" hidden="1" x14ac:dyDescent="0.45">
      <c r="A3696" s="187">
        <v>2020</v>
      </c>
      <c r="B3696" t="s">
        <v>309</v>
      </c>
      <c r="C3696" t="s">
        <v>322</v>
      </c>
      <c r="D3696" t="s">
        <v>35</v>
      </c>
      <c r="E3696" t="s">
        <v>17</v>
      </c>
      <c r="F3696" t="s">
        <v>17</v>
      </c>
      <c r="G3696" t="s">
        <v>36</v>
      </c>
      <c r="H3696" t="s">
        <v>43</v>
      </c>
      <c r="I3696" s="187"/>
      <c r="J3696" s="187">
        <v>42.389922511223794</v>
      </c>
      <c r="K3696" s="187">
        <v>4309.2344854664534</v>
      </c>
      <c r="L3696" s="187">
        <v>10896.859455541466</v>
      </c>
      <c r="M3696" s="187">
        <v>15248.484375</v>
      </c>
      <c r="N3696" s="187">
        <v>10896.859375</v>
      </c>
      <c r="O3696" t="s">
        <v>4153</v>
      </c>
    </row>
    <row r="3697" spans="1:15" hidden="1" x14ac:dyDescent="0.45">
      <c r="A3697" s="187">
        <v>2020</v>
      </c>
      <c r="B3697" t="s">
        <v>313</v>
      </c>
      <c r="C3697" t="s">
        <v>322</v>
      </c>
      <c r="D3697" t="s">
        <v>35</v>
      </c>
      <c r="E3697" t="s">
        <v>17</v>
      </c>
      <c r="F3697" t="s">
        <v>17</v>
      </c>
      <c r="G3697" t="s">
        <v>36</v>
      </c>
      <c r="H3697" t="s">
        <v>43</v>
      </c>
      <c r="I3697" s="187">
        <v>3455.9180580250013</v>
      </c>
      <c r="J3697" s="187">
        <v>77.862971844584081</v>
      </c>
      <c r="K3697" s="187">
        <v>1582.1311791296957</v>
      </c>
      <c r="L3697" s="187">
        <v>843.8241444943983</v>
      </c>
      <c r="M3697" s="187">
        <v>5959.736328125</v>
      </c>
      <c r="N3697" s="187">
        <v>4299.7421875</v>
      </c>
      <c r="O3697" t="s">
        <v>4155</v>
      </c>
    </row>
    <row r="3698" spans="1:15" hidden="1" x14ac:dyDescent="0.45">
      <c r="A3698" s="187">
        <v>2020</v>
      </c>
      <c r="B3698" t="s">
        <v>316</v>
      </c>
      <c r="C3698" t="s">
        <v>322</v>
      </c>
      <c r="D3698" t="s">
        <v>35</v>
      </c>
      <c r="E3698" t="s">
        <v>17</v>
      </c>
      <c r="F3698" t="s">
        <v>17</v>
      </c>
      <c r="G3698" t="s">
        <v>36</v>
      </c>
      <c r="H3698" t="s">
        <v>43</v>
      </c>
      <c r="I3698" s="187">
        <v>1044.4494127761998</v>
      </c>
      <c r="J3698" s="187">
        <v>82.609037897678178</v>
      </c>
      <c r="K3698" s="187">
        <v>1727.7744790283725</v>
      </c>
      <c r="L3698" s="187">
        <v>724.75662582229654</v>
      </c>
      <c r="M3698" s="187">
        <v>3579.589599609375</v>
      </c>
      <c r="N3698" s="187">
        <v>1769.2060546875</v>
      </c>
      <c r="O3698" t="s">
        <v>4154</v>
      </c>
    </row>
    <row r="3699" spans="1:15" hidden="1" x14ac:dyDescent="0.45">
      <c r="A3699" s="187">
        <v>2020</v>
      </c>
      <c r="B3699" t="s">
        <v>315</v>
      </c>
      <c r="C3699" t="s">
        <v>322</v>
      </c>
      <c r="D3699" t="s">
        <v>35</v>
      </c>
      <c r="E3699" t="s">
        <v>17</v>
      </c>
      <c r="F3699" t="s">
        <v>17</v>
      </c>
      <c r="G3699" t="s">
        <v>36</v>
      </c>
      <c r="H3699" t="s">
        <v>43</v>
      </c>
      <c r="I3699" s="187">
        <v>2140.9871543896534</v>
      </c>
      <c r="J3699" s="187">
        <v>79.295820532950131</v>
      </c>
      <c r="K3699" s="187">
        <v>1736.4527115244937</v>
      </c>
      <c r="L3699" s="187">
        <v>3069.8810520613547</v>
      </c>
      <c r="M3699" s="187">
        <v>7026.61669921875</v>
      </c>
      <c r="N3699" s="187">
        <v>5210.8681640625</v>
      </c>
      <c r="O3699" t="s">
        <v>4157</v>
      </c>
    </row>
    <row r="3700" spans="1:15" hidden="1" x14ac:dyDescent="0.45">
      <c r="A3700" s="187">
        <v>2020</v>
      </c>
      <c r="B3700" t="s">
        <v>310</v>
      </c>
      <c r="C3700" t="s">
        <v>322</v>
      </c>
      <c r="D3700" t="s">
        <v>35</v>
      </c>
      <c r="E3700" t="s">
        <v>17</v>
      </c>
      <c r="F3700" t="s">
        <v>17</v>
      </c>
      <c r="G3700" t="s">
        <v>36</v>
      </c>
      <c r="H3700" t="s">
        <v>43</v>
      </c>
      <c r="I3700" s="187"/>
      <c r="J3700" s="187">
        <v>52.308832960906223</v>
      </c>
      <c r="K3700" s="187">
        <v>2649.8852078921914</v>
      </c>
      <c r="L3700" s="187">
        <v>10867.160047628267</v>
      </c>
      <c r="M3700" s="187">
        <v>13569.3544921875</v>
      </c>
      <c r="N3700" s="187">
        <v>10867.16015625</v>
      </c>
      <c r="O3700" t="s">
        <v>4159</v>
      </c>
    </row>
    <row r="3701" spans="1:15" hidden="1" x14ac:dyDescent="0.45">
      <c r="A3701" s="187">
        <v>2020</v>
      </c>
      <c r="B3701" t="s">
        <v>310</v>
      </c>
      <c r="C3701" t="s">
        <v>322</v>
      </c>
      <c r="D3701" t="s">
        <v>35</v>
      </c>
      <c r="E3701" t="s">
        <v>17</v>
      </c>
      <c r="F3701" t="s">
        <v>17</v>
      </c>
      <c r="G3701" t="s">
        <v>37</v>
      </c>
      <c r="H3701" t="s">
        <v>43</v>
      </c>
      <c r="I3701" s="187"/>
      <c r="J3701" s="187">
        <v>45</v>
      </c>
      <c r="K3701" s="187">
        <v>2291.1163957835051</v>
      </c>
      <c r="L3701" s="187">
        <v>9736</v>
      </c>
      <c r="M3701" s="187">
        <v>12072.1162109375</v>
      </c>
      <c r="N3701" s="187">
        <v>9736</v>
      </c>
      <c r="O3701" t="s">
        <v>4160</v>
      </c>
    </row>
    <row r="3702" spans="1:15" hidden="1" x14ac:dyDescent="0.45">
      <c r="A3702" s="187">
        <v>2020</v>
      </c>
      <c r="B3702" t="s">
        <v>313</v>
      </c>
      <c r="C3702" t="s">
        <v>322</v>
      </c>
      <c r="D3702" t="s">
        <v>35</v>
      </c>
      <c r="E3702" t="s">
        <v>17</v>
      </c>
      <c r="F3702" t="s">
        <v>17</v>
      </c>
      <c r="G3702" t="s">
        <v>37</v>
      </c>
      <c r="H3702" t="s">
        <v>43</v>
      </c>
      <c r="I3702" s="187">
        <v>3054.9786888479703</v>
      </c>
      <c r="J3702" s="187">
        <v>69</v>
      </c>
      <c r="K3702" s="187">
        <v>1395.3351515777349</v>
      </c>
      <c r="L3702" s="187">
        <v>748</v>
      </c>
      <c r="M3702" s="187">
        <v>5267.31396484375</v>
      </c>
      <c r="N3702" s="187">
        <v>3802.978759765625</v>
      </c>
      <c r="O3702" t="s">
        <v>4165</v>
      </c>
    </row>
    <row r="3703" spans="1:15" hidden="1" x14ac:dyDescent="0.45">
      <c r="A3703" s="187">
        <v>2020</v>
      </c>
      <c r="B3703" t="s">
        <v>312</v>
      </c>
      <c r="C3703" t="s">
        <v>322</v>
      </c>
      <c r="D3703" t="s">
        <v>35</v>
      </c>
      <c r="E3703" t="s">
        <v>17</v>
      </c>
      <c r="F3703" t="s">
        <v>17</v>
      </c>
      <c r="G3703" t="s">
        <v>37</v>
      </c>
      <c r="H3703" t="s">
        <v>43</v>
      </c>
      <c r="I3703" s="187">
        <v>4359.0151379788194</v>
      </c>
      <c r="J3703" s="187">
        <v>70</v>
      </c>
      <c r="K3703" s="187">
        <v>1617.1254598696769</v>
      </c>
      <c r="L3703" s="187">
        <v>860</v>
      </c>
      <c r="M3703" s="187">
        <v>6906.140625</v>
      </c>
      <c r="N3703" s="187">
        <v>5219.01513671875</v>
      </c>
      <c r="O3703" t="s">
        <v>4162</v>
      </c>
    </row>
    <row r="3704" spans="1:15" hidden="1" x14ac:dyDescent="0.45">
      <c r="A3704" s="187">
        <v>2020</v>
      </c>
      <c r="B3704" t="s">
        <v>315</v>
      </c>
      <c r="C3704" t="s">
        <v>322</v>
      </c>
      <c r="D3704" t="s">
        <v>35</v>
      </c>
      <c r="E3704" t="s">
        <v>17</v>
      </c>
      <c r="F3704" t="s">
        <v>17</v>
      </c>
      <c r="G3704" t="s">
        <v>37</v>
      </c>
      <c r="H3704" t="s">
        <v>43</v>
      </c>
      <c r="I3704" s="187">
        <v>1927.989</v>
      </c>
      <c r="J3704" s="187">
        <v>70</v>
      </c>
      <c r="K3704" s="187">
        <v>1561.256895205152</v>
      </c>
      <c r="L3704" s="187">
        <v>2764</v>
      </c>
      <c r="M3704" s="187">
        <v>6323.24609375</v>
      </c>
      <c r="N3704" s="187">
        <v>4691.9892578125</v>
      </c>
      <c r="O3704" t="s">
        <v>4164</v>
      </c>
    </row>
    <row r="3705" spans="1:15" hidden="1" x14ac:dyDescent="0.45">
      <c r="A3705" s="187">
        <v>2020</v>
      </c>
      <c r="B3705" t="s">
        <v>316</v>
      </c>
      <c r="C3705" t="s">
        <v>322</v>
      </c>
      <c r="D3705" t="s">
        <v>35</v>
      </c>
      <c r="E3705" t="s">
        <v>17</v>
      </c>
      <c r="F3705" t="s">
        <v>17</v>
      </c>
      <c r="G3705" t="s">
        <v>37</v>
      </c>
      <c r="H3705" t="s">
        <v>43</v>
      </c>
      <c r="I3705" s="187">
        <v>948</v>
      </c>
      <c r="J3705" s="187">
        <v>75</v>
      </c>
      <c r="K3705" s="187">
        <v>1568.6308571664169</v>
      </c>
      <c r="L3705" s="187">
        <v>658</v>
      </c>
      <c r="M3705" s="187">
        <v>3249.630859375</v>
      </c>
      <c r="N3705" s="187">
        <v>1606</v>
      </c>
      <c r="O3705" t="s">
        <v>4163</v>
      </c>
    </row>
    <row r="3706" spans="1:15" hidden="1" x14ac:dyDescent="0.45">
      <c r="A3706" s="187">
        <v>2020</v>
      </c>
      <c r="B3706" t="s">
        <v>311</v>
      </c>
      <c r="C3706" t="s">
        <v>322</v>
      </c>
      <c r="D3706" t="s">
        <v>35</v>
      </c>
      <c r="E3706" t="s">
        <v>17</v>
      </c>
      <c r="F3706" t="s">
        <v>17</v>
      </c>
      <c r="G3706" t="s">
        <v>37</v>
      </c>
      <c r="H3706" t="s">
        <v>43</v>
      </c>
      <c r="I3706" s="187"/>
      <c r="J3706" s="187">
        <v>50</v>
      </c>
      <c r="K3706" s="187">
        <v>1805.975249806628</v>
      </c>
      <c r="L3706" s="187">
        <v>8471</v>
      </c>
      <c r="M3706" s="187">
        <v>10326.9755859375</v>
      </c>
      <c r="N3706" s="187">
        <v>8471</v>
      </c>
      <c r="O3706" t="s">
        <v>4161</v>
      </c>
    </row>
    <row r="3707" spans="1:15" hidden="1" x14ac:dyDescent="0.45">
      <c r="A3707" s="187">
        <v>2020</v>
      </c>
      <c r="B3707" t="s">
        <v>309</v>
      </c>
      <c r="C3707" t="s">
        <v>322</v>
      </c>
      <c r="D3707" t="s">
        <v>35</v>
      </c>
      <c r="E3707" t="s">
        <v>17</v>
      </c>
      <c r="F3707" t="s">
        <v>17</v>
      </c>
      <c r="G3707" t="s">
        <v>37</v>
      </c>
      <c r="H3707" t="s">
        <v>43</v>
      </c>
      <c r="I3707" s="187"/>
      <c r="J3707" s="187">
        <v>36.585599999999999</v>
      </c>
      <c r="K3707" s="187">
        <v>3802.247523133226</v>
      </c>
      <c r="L3707" s="187">
        <v>10027</v>
      </c>
      <c r="M3707" s="187">
        <v>13865.8330078125</v>
      </c>
      <c r="N3707" s="187">
        <v>10027</v>
      </c>
      <c r="O3707" t="s">
        <v>4167</v>
      </c>
    </row>
    <row r="3708" spans="1:15" hidden="1" x14ac:dyDescent="0.45">
      <c r="A3708" s="187">
        <v>2020</v>
      </c>
      <c r="B3708" t="s">
        <v>314</v>
      </c>
      <c r="C3708" t="s">
        <v>322</v>
      </c>
      <c r="D3708" t="s">
        <v>35</v>
      </c>
      <c r="E3708" t="s">
        <v>17</v>
      </c>
      <c r="F3708" t="s">
        <v>17</v>
      </c>
      <c r="G3708" t="s">
        <v>37</v>
      </c>
      <c r="H3708" t="s">
        <v>43</v>
      </c>
      <c r="I3708" s="187">
        <v>3616.8079042499999</v>
      </c>
      <c r="J3708" s="187">
        <v>73</v>
      </c>
      <c r="K3708" s="187">
        <v>1249.9856594564719</v>
      </c>
      <c r="L3708" s="187">
        <v>1674</v>
      </c>
      <c r="M3708" s="187">
        <v>6613.79345703125</v>
      </c>
      <c r="N3708" s="187">
        <v>5290.8076171875</v>
      </c>
      <c r="O3708" t="s">
        <v>4166</v>
      </c>
    </row>
    <row r="3709" spans="1:15" hidden="1" x14ac:dyDescent="0.45">
      <c r="A3709" s="187">
        <v>2020</v>
      </c>
      <c r="B3709" t="s">
        <v>315</v>
      </c>
      <c r="C3709" t="s">
        <v>322</v>
      </c>
      <c r="D3709" t="s">
        <v>35</v>
      </c>
      <c r="E3709" t="s">
        <v>45</v>
      </c>
      <c r="F3709" t="s">
        <v>45</v>
      </c>
      <c r="G3709" t="s">
        <v>37</v>
      </c>
      <c r="H3709" t="s">
        <v>43</v>
      </c>
      <c r="I3709" s="187">
        <v>1441.1432147</v>
      </c>
      <c r="J3709" s="187">
        <v>0</v>
      </c>
      <c r="K3709" s="187">
        <v>816.48818421651777</v>
      </c>
      <c r="L3709" s="187">
        <v>8803</v>
      </c>
      <c r="M3709" s="187">
        <v>11060.630859375</v>
      </c>
      <c r="N3709" s="187">
        <v>10244.1435546875</v>
      </c>
      <c r="O3709" t="s">
        <v>4170</v>
      </c>
    </row>
    <row r="3710" spans="1:15" hidden="1" x14ac:dyDescent="0.45">
      <c r="A3710" s="187">
        <v>2020</v>
      </c>
      <c r="B3710" t="s">
        <v>309</v>
      </c>
      <c r="C3710" t="s">
        <v>322</v>
      </c>
      <c r="D3710" t="s">
        <v>35</v>
      </c>
      <c r="E3710" t="s">
        <v>45</v>
      </c>
      <c r="F3710" t="s">
        <v>45</v>
      </c>
      <c r="G3710" t="s">
        <v>37</v>
      </c>
      <c r="H3710" t="s">
        <v>43</v>
      </c>
      <c r="I3710" s="187"/>
      <c r="J3710" s="187">
        <v>0</v>
      </c>
      <c r="K3710" s="187">
        <v>705.5370354469926</v>
      </c>
      <c r="L3710" s="187">
        <v>4892</v>
      </c>
      <c r="M3710" s="187">
        <v>5597.537109375</v>
      </c>
      <c r="N3710" s="187">
        <v>4892</v>
      </c>
      <c r="O3710" t="s">
        <v>4174</v>
      </c>
    </row>
    <row r="3711" spans="1:15" hidden="1" x14ac:dyDescent="0.45">
      <c r="A3711" s="187">
        <v>2020</v>
      </c>
      <c r="B3711" t="s">
        <v>312</v>
      </c>
      <c r="C3711" t="s">
        <v>322</v>
      </c>
      <c r="D3711" t="s">
        <v>35</v>
      </c>
      <c r="E3711" t="s">
        <v>45</v>
      </c>
      <c r="F3711" t="s">
        <v>45</v>
      </c>
      <c r="G3711" t="s">
        <v>37</v>
      </c>
      <c r="H3711" t="s">
        <v>43</v>
      </c>
      <c r="I3711" s="187">
        <v>1017.503616021484</v>
      </c>
      <c r="J3711" s="187">
        <v>0</v>
      </c>
      <c r="K3711" s="187">
        <v>746.6702082557515</v>
      </c>
      <c r="L3711" s="187">
        <v>4864</v>
      </c>
      <c r="M3711" s="187">
        <v>6628.173828125</v>
      </c>
      <c r="N3711" s="187">
        <v>5881.50341796875</v>
      </c>
      <c r="O3711" t="s">
        <v>4169</v>
      </c>
    </row>
    <row r="3712" spans="1:15" hidden="1" x14ac:dyDescent="0.45">
      <c r="A3712" s="187">
        <v>2020</v>
      </c>
      <c r="B3712" t="s">
        <v>313</v>
      </c>
      <c r="C3712" t="s">
        <v>322</v>
      </c>
      <c r="D3712" t="s">
        <v>35</v>
      </c>
      <c r="E3712" t="s">
        <v>45</v>
      </c>
      <c r="F3712" t="s">
        <v>45</v>
      </c>
      <c r="G3712" t="s">
        <v>37</v>
      </c>
      <c r="H3712" t="s">
        <v>43</v>
      </c>
      <c r="I3712" s="187">
        <v>1094.2109507504201</v>
      </c>
      <c r="J3712" s="187">
        <v>0</v>
      </c>
      <c r="K3712" s="187">
        <v>324.59744540048592</v>
      </c>
      <c r="L3712" s="187">
        <v>5177</v>
      </c>
      <c r="M3712" s="187">
        <v>6595.80859375</v>
      </c>
      <c r="N3712" s="187">
        <v>6271.2109375</v>
      </c>
      <c r="O3712" t="s">
        <v>4173</v>
      </c>
    </row>
    <row r="3713" spans="1:15" hidden="1" x14ac:dyDescent="0.45">
      <c r="A3713" s="187">
        <v>2020</v>
      </c>
      <c r="B3713" t="s">
        <v>316</v>
      </c>
      <c r="C3713" t="s">
        <v>322</v>
      </c>
      <c r="D3713" t="s">
        <v>35</v>
      </c>
      <c r="E3713" t="s">
        <v>45</v>
      </c>
      <c r="F3713" t="s">
        <v>45</v>
      </c>
      <c r="G3713" t="s">
        <v>37</v>
      </c>
      <c r="H3713" t="s">
        <v>43</v>
      </c>
      <c r="I3713" s="187">
        <v>1708</v>
      </c>
      <c r="J3713" s="187"/>
      <c r="K3713" s="187">
        <v>830.96340840369589</v>
      </c>
      <c r="L3713" s="187">
        <v>5693</v>
      </c>
      <c r="M3713" s="187">
        <v>8231.962890625</v>
      </c>
      <c r="N3713" s="187">
        <v>7401</v>
      </c>
      <c r="O3713" t="s">
        <v>4168</v>
      </c>
    </row>
    <row r="3714" spans="1:15" hidden="1" x14ac:dyDescent="0.45">
      <c r="A3714" s="187">
        <v>2020</v>
      </c>
      <c r="B3714" t="s">
        <v>311</v>
      </c>
      <c r="C3714" t="s">
        <v>322</v>
      </c>
      <c r="D3714" t="s">
        <v>35</v>
      </c>
      <c r="E3714" t="s">
        <v>45</v>
      </c>
      <c r="F3714" t="s">
        <v>45</v>
      </c>
      <c r="G3714" t="s">
        <v>37</v>
      </c>
      <c r="H3714" t="s">
        <v>43</v>
      </c>
      <c r="I3714" s="187"/>
      <c r="J3714" s="187">
        <v>0</v>
      </c>
      <c r="K3714" s="187">
        <v>677.84297967126781</v>
      </c>
      <c r="L3714" s="187">
        <v>7551</v>
      </c>
      <c r="M3714" s="187">
        <v>8228.8427734375</v>
      </c>
      <c r="N3714" s="187">
        <v>7551</v>
      </c>
      <c r="O3714" t="s">
        <v>4172</v>
      </c>
    </row>
    <row r="3715" spans="1:15" hidden="1" x14ac:dyDescent="0.45">
      <c r="A3715" s="187">
        <v>2020</v>
      </c>
      <c r="B3715" t="s">
        <v>310</v>
      </c>
      <c r="C3715" t="s">
        <v>322</v>
      </c>
      <c r="D3715" t="s">
        <v>35</v>
      </c>
      <c r="E3715" t="s">
        <v>45</v>
      </c>
      <c r="F3715" t="s">
        <v>45</v>
      </c>
      <c r="G3715" t="s">
        <v>37</v>
      </c>
      <c r="H3715" t="s">
        <v>43</v>
      </c>
      <c r="I3715" s="187"/>
      <c r="J3715" s="187">
        <v>0</v>
      </c>
      <c r="K3715" s="187">
        <v>679.83011867935772</v>
      </c>
      <c r="L3715" s="187">
        <v>6379</v>
      </c>
      <c r="M3715" s="187">
        <v>7058.830078125</v>
      </c>
      <c r="N3715" s="187">
        <v>6379</v>
      </c>
      <c r="O3715" t="s">
        <v>4171</v>
      </c>
    </row>
    <row r="3716" spans="1:15" hidden="1" x14ac:dyDescent="0.45">
      <c r="A3716" s="187">
        <v>2020</v>
      </c>
      <c r="B3716" t="s">
        <v>314</v>
      </c>
      <c r="C3716" t="s">
        <v>322</v>
      </c>
      <c r="D3716" t="s">
        <v>35</v>
      </c>
      <c r="E3716" t="s">
        <v>45</v>
      </c>
      <c r="F3716" t="s">
        <v>45</v>
      </c>
      <c r="G3716" t="s">
        <v>37</v>
      </c>
      <c r="H3716" t="s">
        <v>43</v>
      </c>
      <c r="I3716" s="187">
        <v>1412.7470000000001</v>
      </c>
      <c r="J3716" s="187">
        <v>0</v>
      </c>
      <c r="K3716" s="187">
        <v>323.98268387486758</v>
      </c>
      <c r="L3716" s="187">
        <v>10345</v>
      </c>
      <c r="M3716" s="187">
        <v>12081.7294921875</v>
      </c>
      <c r="N3716" s="187">
        <v>11757.7470703125</v>
      </c>
      <c r="O3716" t="s">
        <v>4175</v>
      </c>
    </row>
    <row r="3717" spans="1:15" hidden="1" x14ac:dyDescent="0.45">
      <c r="A3717" s="187">
        <v>2020</v>
      </c>
      <c r="B3717" t="s">
        <v>310</v>
      </c>
      <c r="C3717" t="s">
        <v>322</v>
      </c>
      <c r="D3717" t="s">
        <v>35</v>
      </c>
      <c r="E3717" t="s">
        <v>355</v>
      </c>
      <c r="F3717" t="s">
        <v>355</v>
      </c>
      <c r="G3717" t="s">
        <v>37</v>
      </c>
      <c r="H3717" t="s">
        <v>43</v>
      </c>
      <c r="I3717" s="187"/>
      <c r="J3717" s="187">
        <v>824</v>
      </c>
      <c r="K3717" s="187">
        <v>13846.086117170369</v>
      </c>
      <c r="L3717" s="187">
        <v>30260</v>
      </c>
      <c r="M3717" s="187">
        <v>44930.0859375</v>
      </c>
      <c r="N3717" s="187">
        <v>30260</v>
      </c>
      <c r="O3717" t="s">
        <v>4177</v>
      </c>
    </row>
    <row r="3718" spans="1:15" hidden="1" x14ac:dyDescent="0.45">
      <c r="A3718" s="187">
        <v>2020</v>
      </c>
      <c r="B3718" t="s">
        <v>309</v>
      </c>
      <c r="C3718" t="s">
        <v>322</v>
      </c>
      <c r="D3718" t="s">
        <v>35</v>
      </c>
      <c r="E3718" t="s">
        <v>355</v>
      </c>
      <c r="F3718" t="s">
        <v>355</v>
      </c>
      <c r="G3718" t="s">
        <v>37</v>
      </c>
      <c r="H3718" t="s">
        <v>43</v>
      </c>
      <c r="I3718" s="187"/>
      <c r="J3718" s="187">
        <v>908.92349999999999</v>
      </c>
      <c r="K3718" s="187">
        <v>13445.655412704909</v>
      </c>
      <c r="L3718" s="187">
        <v>24762</v>
      </c>
      <c r="M3718" s="187">
        <v>39116.578125</v>
      </c>
      <c r="N3718" s="187">
        <v>24762</v>
      </c>
      <c r="O3718" t="s">
        <v>4178</v>
      </c>
    </row>
    <row r="3719" spans="1:15" hidden="1" x14ac:dyDescent="0.45">
      <c r="A3719" s="187">
        <v>2020</v>
      </c>
      <c r="B3719" t="s">
        <v>313</v>
      </c>
      <c r="C3719" t="s">
        <v>322</v>
      </c>
      <c r="D3719" t="s">
        <v>35</v>
      </c>
      <c r="E3719" t="s">
        <v>355</v>
      </c>
      <c r="F3719" t="s">
        <v>355</v>
      </c>
      <c r="G3719" t="s">
        <v>37</v>
      </c>
      <c r="H3719" t="s">
        <v>43</v>
      </c>
      <c r="I3719" s="187"/>
      <c r="J3719" s="187"/>
      <c r="K3719" s="187"/>
      <c r="L3719" s="187">
        <v>18380</v>
      </c>
      <c r="M3719" s="187">
        <v>18380</v>
      </c>
      <c r="N3719" s="187">
        <v>18380</v>
      </c>
      <c r="O3719" t="s">
        <v>4176</v>
      </c>
    </row>
    <row r="3720" spans="1:15" hidden="1" x14ac:dyDescent="0.45">
      <c r="A3720" s="187">
        <v>2020</v>
      </c>
      <c r="B3720" t="s">
        <v>309</v>
      </c>
      <c r="C3720" t="s">
        <v>322</v>
      </c>
      <c r="D3720" t="s">
        <v>35</v>
      </c>
      <c r="E3720" t="s">
        <v>356</v>
      </c>
      <c r="F3720" t="s">
        <v>356</v>
      </c>
      <c r="G3720" t="s">
        <v>37</v>
      </c>
      <c r="H3720" t="s">
        <v>43</v>
      </c>
      <c r="I3720" s="187"/>
      <c r="J3720" s="187">
        <v>0</v>
      </c>
      <c r="K3720" s="187">
        <v>0</v>
      </c>
      <c r="L3720" s="187">
        <v>0</v>
      </c>
      <c r="M3720" s="187">
        <v>0</v>
      </c>
      <c r="N3720" s="187">
        <v>0</v>
      </c>
      <c r="O3720" t="s">
        <v>4182</v>
      </c>
    </row>
    <row r="3721" spans="1:15" hidden="1" x14ac:dyDescent="0.45">
      <c r="A3721" s="187">
        <v>2020</v>
      </c>
      <c r="B3721" t="s">
        <v>312</v>
      </c>
      <c r="C3721" t="s">
        <v>322</v>
      </c>
      <c r="D3721" t="s">
        <v>35</v>
      </c>
      <c r="E3721" t="s">
        <v>356</v>
      </c>
      <c r="F3721" t="s">
        <v>356</v>
      </c>
      <c r="G3721" t="s">
        <v>37</v>
      </c>
      <c r="H3721" t="s">
        <v>43</v>
      </c>
      <c r="I3721" s="187">
        <v>0</v>
      </c>
      <c r="J3721" s="187">
        <v>0</v>
      </c>
      <c r="K3721" s="187">
        <v>0</v>
      </c>
      <c r="L3721" s="187">
        <v>0</v>
      </c>
      <c r="M3721" s="187">
        <v>0</v>
      </c>
      <c r="N3721" s="187">
        <v>0</v>
      </c>
      <c r="O3721" t="s">
        <v>4180</v>
      </c>
    </row>
    <row r="3722" spans="1:15" hidden="1" x14ac:dyDescent="0.45">
      <c r="A3722" s="187">
        <v>2020</v>
      </c>
      <c r="B3722" t="s">
        <v>310</v>
      </c>
      <c r="C3722" t="s">
        <v>322</v>
      </c>
      <c r="D3722" t="s">
        <v>35</v>
      </c>
      <c r="E3722" t="s">
        <v>356</v>
      </c>
      <c r="F3722" t="s">
        <v>356</v>
      </c>
      <c r="G3722" t="s">
        <v>37</v>
      </c>
      <c r="H3722" t="s">
        <v>43</v>
      </c>
      <c r="I3722" s="187"/>
      <c r="J3722" s="187">
        <v>0</v>
      </c>
      <c r="K3722" s="187">
        <v>0</v>
      </c>
      <c r="L3722" s="187">
        <v>0</v>
      </c>
      <c r="M3722" s="187">
        <v>0</v>
      </c>
      <c r="N3722" s="187">
        <v>0</v>
      </c>
      <c r="O3722" t="s">
        <v>4181</v>
      </c>
    </row>
    <row r="3723" spans="1:15" hidden="1" x14ac:dyDescent="0.45">
      <c r="A3723" s="187">
        <v>2020</v>
      </c>
      <c r="B3723" t="s">
        <v>313</v>
      </c>
      <c r="C3723" t="s">
        <v>322</v>
      </c>
      <c r="D3723" t="s">
        <v>35</v>
      </c>
      <c r="E3723" t="s">
        <v>356</v>
      </c>
      <c r="F3723" t="s">
        <v>356</v>
      </c>
      <c r="G3723" t="s">
        <v>37</v>
      </c>
      <c r="H3723" t="s">
        <v>43</v>
      </c>
      <c r="I3723" s="187"/>
      <c r="J3723" s="187">
        <v>0</v>
      </c>
      <c r="K3723" s="187">
        <v>0</v>
      </c>
      <c r="L3723" s="187">
        <v>0</v>
      </c>
      <c r="M3723" s="187">
        <v>0</v>
      </c>
      <c r="N3723" s="187">
        <v>0</v>
      </c>
      <c r="O3723" t="s">
        <v>4184</v>
      </c>
    </row>
    <row r="3724" spans="1:15" hidden="1" x14ac:dyDescent="0.45">
      <c r="A3724" s="187">
        <v>2020</v>
      </c>
      <c r="B3724" t="s">
        <v>311</v>
      </c>
      <c r="C3724" t="s">
        <v>322</v>
      </c>
      <c r="D3724" t="s">
        <v>35</v>
      </c>
      <c r="E3724" t="s">
        <v>356</v>
      </c>
      <c r="F3724" t="s">
        <v>356</v>
      </c>
      <c r="G3724" t="s">
        <v>37</v>
      </c>
      <c r="H3724" t="s">
        <v>43</v>
      </c>
      <c r="I3724" s="187"/>
      <c r="J3724" s="187">
        <v>0</v>
      </c>
      <c r="K3724" s="187">
        <v>0</v>
      </c>
      <c r="L3724" s="187">
        <v>0</v>
      </c>
      <c r="M3724" s="187">
        <v>0</v>
      </c>
      <c r="N3724" s="187">
        <v>0</v>
      </c>
      <c r="O3724" t="s">
        <v>4183</v>
      </c>
    </row>
    <row r="3725" spans="1:15" hidden="1" x14ac:dyDescent="0.45">
      <c r="A3725" s="187">
        <v>2020</v>
      </c>
      <c r="B3725" t="s">
        <v>314</v>
      </c>
      <c r="C3725" t="s">
        <v>322</v>
      </c>
      <c r="D3725" t="s">
        <v>35</v>
      </c>
      <c r="E3725" t="s">
        <v>356</v>
      </c>
      <c r="F3725" t="s">
        <v>356</v>
      </c>
      <c r="G3725" t="s">
        <v>37</v>
      </c>
      <c r="H3725" t="s">
        <v>43</v>
      </c>
      <c r="I3725" s="187"/>
      <c r="J3725" s="187">
        <v>0</v>
      </c>
      <c r="K3725" s="187">
        <v>0</v>
      </c>
      <c r="L3725" s="187">
        <v>0</v>
      </c>
      <c r="M3725" s="187">
        <v>0</v>
      </c>
      <c r="N3725" s="187">
        <v>0</v>
      </c>
      <c r="O3725" t="s">
        <v>4186</v>
      </c>
    </row>
    <row r="3726" spans="1:15" hidden="1" x14ac:dyDescent="0.45">
      <c r="A3726" s="187">
        <v>2020</v>
      </c>
      <c r="B3726" t="s">
        <v>316</v>
      </c>
      <c r="C3726" t="s">
        <v>322</v>
      </c>
      <c r="D3726" t="s">
        <v>35</v>
      </c>
      <c r="E3726" t="s">
        <v>356</v>
      </c>
      <c r="F3726" t="s">
        <v>356</v>
      </c>
      <c r="G3726" t="s">
        <v>37</v>
      </c>
      <c r="H3726" t="s">
        <v>43</v>
      </c>
      <c r="I3726" s="187"/>
      <c r="J3726" s="187"/>
      <c r="K3726" s="187">
        <v>0</v>
      </c>
      <c r="L3726" s="187">
        <v>0</v>
      </c>
      <c r="M3726" s="187">
        <v>0</v>
      </c>
      <c r="N3726" s="187">
        <v>0</v>
      </c>
      <c r="O3726" t="s">
        <v>4179</v>
      </c>
    </row>
    <row r="3727" spans="1:15" hidden="1" x14ac:dyDescent="0.45">
      <c r="A3727" s="187">
        <v>2020</v>
      </c>
      <c r="B3727" t="s">
        <v>315</v>
      </c>
      <c r="C3727" t="s">
        <v>322</v>
      </c>
      <c r="D3727" t="s">
        <v>35</v>
      </c>
      <c r="E3727" t="s">
        <v>356</v>
      </c>
      <c r="F3727" t="s">
        <v>356</v>
      </c>
      <c r="G3727" t="s">
        <v>37</v>
      </c>
      <c r="H3727" t="s">
        <v>43</v>
      </c>
      <c r="I3727" s="187"/>
      <c r="J3727" s="187">
        <v>0</v>
      </c>
      <c r="K3727" s="187">
        <v>0</v>
      </c>
      <c r="L3727" s="187">
        <v>0</v>
      </c>
      <c r="M3727" s="187">
        <v>0</v>
      </c>
      <c r="N3727" s="187">
        <v>0</v>
      </c>
      <c r="O3727" t="s">
        <v>4185</v>
      </c>
    </row>
    <row r="3728" spans="1:15" hidden="1" x14ac:dyDescent="0.45">
      <c r="A3728" s="187">
        <v>2020</v>
      </c>
      <c r="B3728" t="s">
        <v>315</v>
      </c>
      <c r="C3728" t="s">
        <v>323</v>
      </c>
      <c r="D3728" t="s">
        <v>35</v>
      </c>
      <c r="E3728" t="s">
        <v>349</v>
      </c>
      <c r="F3728" t="s">
        <v>388</v>
      </c>
      <c r="G3728" t="s">
        <v>36</v>
      </c>
      <c r="H3728" t="s">
        <v>43</v>
      </c>
      <c r="I3728" s="187">
        <v>4525.5257575590822</v>
      </c>
      <c r="J3728" s="187">
        <v>442.9237975483357</v>
      </c>
      <c r="K3728" s="187">
        <v>3172.1175687147761</v>
      </c>
      <c r="L3728" s="187">
        <v>3367.8067777780102</v>
      </c>
      <c r="M3728" s="187">
        <v>11508.3740234375</v>
      </c>
      <c r="N3728" s="187">
        <v>7893.33251953125</v>
      </c>
      <c r="O3728" t="s">
        <v>4190</v>
      </c>
    </row>
    <row r="3729" spans="1:15" hidden="1" x14ac:dyDescent="0.45">
      <c r="A3729" s="187">
        <v>2020</v>
      </c>
      <c r="B3729" t="s">
        <v>314</v>
      </c>
      <c r="C3729" t="s">
        <v>323</v>
      </c>
      <c r="D3729" t="s">
        <v>35</v>
      </c>
      <c r="E3729" t="s">
        <v>349</v>
      </c>
      <c r="F3729" t="s">
        <v>388</v>
      </c>
      <c r="G3729" t="s">
        <v>36</v>
      </c>
      <c r="H3729" t="s">
        <v>43</v>
      </c>
      <c r="I3729" s="187">
        <v>4653.4585410901045</v>
      </c>
      <c r="J3729" s="187">
        <v>529.99340079999934</v>
      </c>
      <c r="K3729" s="187">
        <v>3295.9329950198785</v>
      </c>
      <c r="L3729" s="187">
        <v>2316.8282949257118</v>
      </c>
      <c r="M3729" s="187">
        <v>10796.212890625</v>
      </c>
      <c r="N3729" s="187">
        <v>6970.28662109375</v>
      </c>
      <c r="O3729" t="s">
        <v>4187</v>
      </c>
    </row>
    <row r="3730" spans="1:15" hidden="1" x14ac:dyDescent="0.45">
      <c r="A3730" s="187">
        <v>2020</v>
      </c>
      <c r="B3730" t="s">
        <v>312</v>
      </c>
      <c r="C3730" t="s">
        <v>323</v>
      </c>
      <c r="D3730" t="s">
        <v>35</v>
      </c>
      <c r="E3730" t="s">
        <v>349</v>
      </c>
      <c r="F3730" t="s">
        <v>388</v>
      </c>
      <c r="G3730" t="s">
        <v>36</v>
      </c>
      <c r="H3730" t="s">
        <v>43</v>
      </c>
      <c r="I3730" s="187">
        <v>4525.8617035892257</v>
      </c>
      <c r="J3730" s="187">
        <v>593.55563325760329</v>
      </c>
      <c r="K3730" s="187">
        <v>3400.7926367500659</v>
      </c>
      <c r="L3730" s="187">
        <v>2087.3373102892383</v>
      </c>
      <c r="M3730" s="187">
        <v>10607.546875</v>
      </c>
      <c r="N3730" s="187">
        <v>6613.19921875</v>
      </c>
      <c r="O3730" t="s">
        <v>4188</v>
      </c>
    </row>
    <row r="3731" spans="1:15" hidden="1" x14ac:dyDescent="0.45">
      <c r="A3731" s="187">
        <v>2020</v>
      </c>
      <c r="B3731" t="s">
        <v>316</v>
      </c>
      <c r="C3731" t="s">
        <v>323</v>
      </c>
      <c r="D3731" t="s">
        <v>35</v>
      </c>
      <c r="E3731" t="s">
        <v>349</v>
      </c>
      <c r="F3731" t="s">
        <v>388</v>
      </c>
      <c r="G3731" t="s">
        <v>36</v>
      </c>
      <c r="H3731" t="s">
        <v>43</v>
      </c>
      <c r="I3731" s="187">
        <v>4254.4120023638634</v>
      </c>
      <c r="J3731" s="187">
        <v>217.97771466600682</v>
      </c>
      <c r="K3731" s="187">
        <v>4296.7575207295131</v>
      </c>
      <c r="L3731" s="187">
        <v>2702.96772001203</v>
      </c>
      <c r="M3731" s="187">
        <v>11472.115234375</v>
      </c>
      <c r="N3731" s="187">
        <v>6957.3798828125</v>
      </c>
      <c r="O3731" t="s">
        <v>4192</v>
      </c>
    </row>
    <row r="3732" spans="1:15" hidden="1" x14ac:dyDescent="0.45">
      <c r="A3732" s="187">
        <v>2020</v>
      </c>
      <c r="B3732" t="s">
        <v>311</v>
      </c>
      <c r="C3732" t="s">
        <v>323</v>
      </c>
      <c r="D3732" t="s">
        <v>35</v>
      </c>
      <c r="E3732" t="s">
        <v>349</v>
      </c>
      <c r="F3732" t="s">
        <v>388</v>
      </c>
      <c r="G3732" t="s">
        <v>36</v>
      </c>
      <c r="H3732" t="s">
        <v>43</v>
      </c>
      <c r="I3732" s="187"/>
      <c r="J3732" s="187">
        <v>803.43529727265252</v>
      </c>
      <c r="K3732" s="187">
        <v>4131.9573065512204</v>
      </c>
      <c r="L3732" s="187">
        <v>4022.2776628538827</v>
      </c>
      <c r="M3732" s="187">
        <v>8957.669921875</v>
      </c>
      <c r="N3732" s="187">
        <v>4022.277587890625</v>
      </c>
      <c r="O3732" t="s">
        <v>4189</v>
      </c>
    </row>
    <row r="3733" spans="1:15" hidden="1" x14ac:dyDescent="0.45">
      <c r="A3733" s="187">
        <v>2020</v>
      </c>
      <c r="B3733" t="s">
        <v>313</v>
      </c>
      <c r="C3733" t="s">
        <v>323</v>
      </c>
      <c r="D3733" t="s">
        <v>35</v>
      </c>
      <c r="E3733" t="s">
        <v>349</v>
      </c>
      <c r="F3733" t="s">
        <v>388</v>
      </c>
      <c r="G3733" t="s">
        <v>36</v>
      </c>
      <c r="H3733" t="s">
        <v>43</v>
      </c>
      <c r="I3733" s="187">
        <v>4444.1788545139525</v>
      </c>
      <c r="J3733" s="187">
        <v>539.05134353942822</v>
      </c>
      <c r="K3733" s="187">
        <v>2860.1218767846635</v>
      </c>
      <c r="L3733" s="187">
        <v>2267.6093184891947</v>
      </c>
      <c r="M3733" s="187">
        <v>10110.9609375</v>
      </c>
      <c r="N3733" s="187">
        <v>6711.7880859375</v>
      </c>
      <c r="O3733" t="s">
        <v>4191</v>
      </c>
    </row>
    <row r="3734" spans="1:15" hidden="1" x14ac:dyDescent="0.45">
      <c r="A3734" s="187">
        <v>2020</v>
      </c>
      <c r="B3734" t="s">
        <v>313</v>
      </c>
      <c r="C3734" t="s">
        <v>323</v>
      </c>
      <c r="D3734" t="s">
        <v>35</v>
      </c>
      <c r="E3734" t="s">
        <v>349</v>
      </c>
      <c r="F3734" t="s">
        <v>389</v>
      </c>
      <c r="G3734" t="s">
        <v>36</v>
      </c>
      <c r="H3734" t="s">
        <v>43</v>
      </c>
      <c r="I3734" s="187"/>
      <c r="J3734" s="187">
        <v>0</v>
      </c>
      <c r="K3734" s="187">
        <v>0</v>
      </c>
      <c r="L3734" s="187"/>
      <c r="M3734" s="187">
        <v>0</v>
      </c>
      <c r="N3734" s="187">
        <v>0</v>
      </c>
      <c r="O3734" t="s">
        <v>4196</v>
      </c>
    </row>
    <row r="3735" spans="1:15" hidden="1" x14ac:dyDescent="0.45">
      <c r="A3735" s="187">
        <v>2020</v>
      </c>
      <c r="B3735" t="s">
        <v>315</v>
      </c>
      <c r="C3735" t="s">
        <v>323</v>
      </c>
      <c r="D3735" t="s">
        <v>35</v>
      </c>
      <c r="E3735" t="s">
        <v>349</v>
      </c>
      <c r="F3735" t="s">
        <v>389</v>
      </c>
      <c r="G3735" t="s">
        <v>36</v>
      </c>
      <c r="H3735" t="s">
        <v>43</v>
      </c>
      <c r="I3735" s="187">
        <v>0</v>
      </c>
      <c r="J3735" s="187">
        <v>0</v>
      </c>
      <c r="K3735" s="187">
        <v>0</v>
      </c>
      <c r="L3735" s="187"/>
      <c r="M3735" s="187">
        <v>0</v>
      </c>
      <c r="N3735" s="187">
        <v>0</v>
      </c>
      <c r="O3735" t="s">
        <v>4195</v>
      </c>
    </row>
    <row r="3736" spans="1:15" hidden="1" x14ac:dyDescent="0.45">
      <c r="A3736" s="187">
        <v>2020</v>
      </c>
      <c r="B3736" t="s">
        <v>312</v>
      </c>
      <c r="C3736" t="s">
        <v>323</v>
      </c>
      <c r="D3736" t="s">
        <v>35</v>
      </c>
      <c r="E3736" t="s">
        <v>349</v>
      </c>
      <c r="F3736" t="s">
        <v>389</v>
      </c>
      <c r="G3736" t="s">
        <v>36</v>
      </c>
      <c r="H3736" t="s">
        <v>43</v>
      </c>
      <c r="I3736" s="187"/>
      <c r="J3736" s="187">
        <v>0</v>
      </c>
      <c r="K3736" s="187">
        <v>0</v>
      </c>
      <c r="L3736" s="187">
        <v>0</v>
      </c>
      <c r="M3736" s="187">
        <v>0</v>
      </c>
      <c r="N3736" s="187">
        <v>0</v>
      </c>
      <c r="O3736" t="s">
        <v>4197</v>
      </c>
    </row>
    <row r="3737" spans="1:15" hidden="1" x14ac:dyDescent="0.45">
      <c r="A3737" s="187">
        <v>2020</v>
      </c>
      <c r="B3737" t="s">
        <v>314</v>
      </c>
      <c r="C3737" t="s">
        <v>323</v>
      </c>
      <c r="D3737" t="s">
        <v>35</v>
      </c>
      <c r="E3737" t="s">
        <v>349</v>
      </c>
      <c r="F3737" t="s">
        <v>389</v>
      </c>
      <c r="G3737" t="s">
        <v>36</v>
      </c>
      <c r="H3737" t="s">
        <v>43</v>
      </c>
      <c r="I3737" s="187">
        <v>0</v>
      </c>
      <c r="J3737" s="187">
        <v>0</v>
      </c>
      <c r="K3737" s="187">
        <v>0</v>
      </c>
      <c r="L3737" s="187"/>
      <c r="M3737" s="187">
        <v>0</v>
      </c>
      <c r="N3737" s="187">
        <v>0</v>
      </c>
      <c r="O3737" t="s">
        <v>4193</v>
      </c>
    </row>
    <row r="3738" spans="1:15" hidden="1" x14ac:dyDescent="0.45">
      <c r="A3738" s="187">
        <v>2020</v>
      </c>
      <c r="B3738" t="s">
        <v>316</v>
      </c>
      <c r="C3738" t="s">
        <v>323</v>
      </c>
      <c r="D3738" t="s">
        <v>35</v>
      </c>
      <c r="E3738" t="s">
        <v>349</v>
      </c>
      <c r="F3738" t="s">
        <v>389</v>
      </c>
      <c r="G3738" t="s">
        <v>36</v>
      </c>
      <c r="H3738" t="s">
        <v>43</v>
      </c>
      <c r="I3738" s="187">
        <v>0</v>
      </c>
      <c r="J3738" s="187"/>
      <c r="K3738" s="187">
        <v>0</v>
      </c>
      <c r="L3738" s="187"/>
      <c r="M3738" s="187">
        <v>0</v>
      </c>
      <c r="N3738" s="187">
        <v>0</v>
      </c>
      <c r="O3738" t="s">
        <v>4194</v>
      </c>
    </row>
    <row r="3739" spans="1:15" hidden="1" x14ac:dyDescent="0.45">
      <c r="A3739" s="187">
        <v>2020</v>
      </c>
      <c r="B3739" t="s">
        <v>311</v>
      </c>
      <c r="C3739" t="s">
        <v>323</v>
      </c>
      <c r="D3739" t="s">
        <v>35</v>
      </c>
      <c r="E3739" t="s">
        <v>349</v>
      </c>
      <c r="F3739" t="s">
        <v>389</v>
      </c>
      <c r="G3739" t="s">
        <v>36</v>
      </c>
      <c r="H3739" t="s">
        <v>43</v>
      </c>
      <c r="I3739" s="187"/>
      <c r="J3739" s="187">
        <v>0</v>
      </c>
      <c r="K3739" s="187">
        <v>0</v>
      </c>
      <c r="L3739" s="187">
        <v>0</v>
      </c>
      <c r="M3739" s="187">
        <v>0</v>
      </c>
      <c r="N3739" s="187">
        <v>0</v>
      </c>
      <c r="O3739" t="s">
        <v>4198</v>
      </c>
    </row>
    <row r="3740" spans="1:15" hidden="1" x14ac:dyDescent="0.45">
      <c r="A3740" s="187">
        <v>2020</v>
      </c>
      <c r="B3740" t="s">
        <v>314</v>
      </c>
      <c r="C3740" t="s">
        <v>323</v>
      </c>
      <c r="D3740" t="s">
        <v>35</v>
      </c>
      <c r="E3740" t="s">
        <v>349</v>
      </c>
      <c r="F3740" t="s">
        <v>390</v>
      </c>
      <c r="G3740" t="s">
        <v>36</v>
      </c>
      <c r="H3740" t="s">
        <v>43</v>
      </c>
      <c r="I3740" s="187">
        <v>4653.4585410901045</v>
      </c>
      <c r="J3740" s="187">
        <v>529.99340079999934</v>
      </c>
      <c r="K3740" s="187">
        <v>3295.9329950198785</v>
      </c>
      <c r="L3740" s="187">
        <v>2316.8282949257118</v>
      </c>
      <c r="M3740" s="187">
        <v>10796.212890625</v>
      </c>
      <c r="N3740" s="187">
        <v>6970.28662109375</v>
      </c>
      <c r="O3740" t="s">
        <v>4199</v>
      </c>
    </row>
    <row r="3741" spans="1:15" hidden="1" x14ac:dyDescent="0.45">
      <c r="A3741" s="187">
        <v>2020</v>
      </c>
      <c r="B3741" t="s">
        <v>311</v>
      </c>
      <c r="C3741" t="s">
        <v>323</v>
      </c>
      <c r="D3741" t="s">
        <v>35</v>
      </c>
      <c r="E3741" t="s">
        <v>349</v>
      </c>
      <c r="F3741" t="s">
        <v>390</v>
      </c>
      <c r="G3741" t="s">
        <v>36</v>
      </c>
      <c r="H3741" t="s">
        <v>43</v>
      </c>
      <c r="I3741" s="187"/>
      <c r="J3741" s="187">
        <v>803.43529727265252</v>
      </c>
      <c r="K3741" s="187">
        <v>4131.9573065512204</v>
      </c>
      <c r="L3741" s="187">
        <v>4022.2776628538827</v>
      </c>
      <c r="M3741" s="187">
        <v>8957.669921875</v>
      </c>
      <c r="N3741" s="187">
        <v>4022.277587890625</v>
      </c>
      <c r="O3741" t="s">
        <v>4202</v>
      </c>
    </row>
    <row r="3742" spans="1:15" hidden="1" x14ac:dyDescent="0.45">
      <c r="A3742" s="187">
        <v>2020</v>
      </c>
      <c r="B3742" t="s">
        <v>316</v>
      </c>
      <c r="C3742" t="s">
        <v>323</v>
      </c>
      <c r="D3742" t="s">
        <v>35</v>
      </c>
      <c r="E3742" t="s">
        <v>349</v>
      </c>
      <c r="F3742" t="s">
        <v>390</v>
      </c>
      <c r="G3742" t="s">
        <v>36</v>
      </c>
      <c r="H3742" t="s">
        <v>43</v>
      </c>
      <c r="I3742" s="187">
        <v>4254.4120023638634</v>
      </c>
      <c r="J3742" s="187">
        <v>217.97771466600682</v>
      </c>
      <c r="K3742" s="187">
        <v>4296.7575207295131</v>
      </c>
      <c r="L3742" s="187">
        <v>2702.96772001203</v>
      </c>
      <c r="M3742" s="187">
        <v>11472.115234375</v>
      </c>
      <c r="N3742" s="187">
        <v>6957.3798828125</v>
      </c>
      <c r="O3742" t="s">
        <v>4201</v>
      </c>
    </row>
    <row r="3743" spans="1:15" hidden="1" x14ac:dyDescent="0.45">
      <c r="A3743" s="187">
        <v>2020</v>
      </c>
      <c r="B3743" t="s">
        <v>313</v>
      </c>
      <c r="C3743" t="s">
        <v>323</v>
      </c>
      <c r="D3743" t="s">
        <v>35</v>
      </c>
      <c r="E3743" t="s">
        <v>349</v>
      </c>
      <c r="F3743" t="s">
        <v>390</v>
      </c>
      <c r="G3743" t="s">
        <v>36</v>
      </c>
      <c r="H3743" t="s">
        <v>43</v>
      </c>
      <c r="I3743" s="187">
        <v>4444.1788545139525</v>
      </c>
      <c r="J3743" s="187">
        <v>539.05134353942822</v>
      </c>
      <c r="K3743" s="187">
        <v>2860.1218767846635</v>
      </c>
      <c r="L3743" s="187">
        <v>2267.6093184891947</v>
      </c>
      <c r="M3743" s="187">
        <v>10110.9609375</v>
      </c>
      <c r="N3743" s="187">
        <v>6711.7880859375</v>
      </c>
      <c r="O3743" t="s">
        <v>4204</v>
      </c>
    </row>
    <row r="3744" spans="1:15" hidden="1" x14ac:dyDescent="0.45">
      <c r="A3744" s="187">
        <v>2020</v>
      </c>
      <c r="B3744" t="s">
        <v>315</v>
      </c>
      <c r="C3744" t="s">
        <v>323</v>
      </c>
      <c r="D3744" t="s">
        <v>35</v>
      </c>
      <c r="E3744" t="s">
        <v>349</v>
      </c>
      <c r="F3744" t="s">
        <v>390</v>
      </c>
      <c r="G3744" t="s">
        <v>36</v>
      </c>
      <c r="H3744" t="s">
        <v>43</v>
      </c>
      <c r="I3744" s="187">
        <v>4525.5257575590822</v>
      </c>
      <c r="J3744" s="187">
        <v>442.9237975483357</v>
      </c>
      <c r="K3744" s="187">
        <v>3172.1175687147761</v>
      </c>
      <c r="L3744" s="187">
        <v>3367.8067777780102</v>
      </c>
      <c r="M3744" s="187">
        <v>11508.3740234375</v>
      </c>
      <c r="N3744" s="187">
        <v>7893.33251953125</v>
      </c>
      <c r="O3744" t="s">
        <v>4200</v>
      </c>
    </row>
    <row r="3745" spans="1:15" hidden="1" x14ac:dyDescent="0.45">
      <c r="A3745" s="187">
        <v>2020</v>
      </c>
      <c r="B3745" t="s">
        <v>312</v>
      </c>
      <c r="C3745" t="s">
        <v>323</v>
      </c>
      <c r="D3745" t="s">
        <v>35</v>
      </c>
      <c r="E3745" t="s">
        <v>349</v>
      </c>
      <c r="F3745" t="s">
        <v>390</v>
      </c>
      <c r="G3745" t="s">
        <v>36</v>
      </c>
      <c r="H3745" t="s">
        <v>43</v>
      </c>
      <c r="I3745" s="187">
        <v>4525.8617035892257</v>
      </c>
      <c r="J3745" s="187">
        <v>593.55563325760329</v>
      </c>
      <c r="K3745" s="187">
        <v>3400.7926367500659</v>
      </c>
      <c r="L3745" s="187">
        <v>2087.3373102892383</v>
      </c>
      <c r="M3745" s="187">
        <v>10607.546875</v>
      </c>
      <c r="N3745" s="187">
        <v>6613.19921875</v>
      </c>
      <c r="O3745" t="s">
        <v>4203</v>
      </c>
    </row>
    <row r="3746" spans="1:15" hidden="1" x14ac:dyDescent="0.45">
      <c r="A3746" s="187">
        <v>2020</v>
      </c>
      <c r="B3746" t="s">
        <v>316</v>
      </c>
      <c r="C3746" t="s">
        <v>323</v>
      </c>
      <c r="D3746" t="s">
        <v>35</v>
      </c>
      <c r="E3746" t="s">
        <v>349</v>
      </c>
      <c r="F3746" t="s">
        <v>391</v>
      </c>
      <c r="G3746" t="s">
        <v>36</v>
      </c>
      <c r="H3746" t="s">
        <v>43</v>
      </c>
      <c r="I3746" s="187">
        <v>482.70223169755178</v>
      </c>
      <c r="J3746" s="187">
        <v>3.194216132043556</v>
      </c>
      <c r="K3746" s="187">
        <v>777.46124105794843</v>
      </c>
      <c r="L3746" s="187">
        <v>1220.4108532083656</v>
      </c>
      <c r="M3746" s="187">
        <v>2483.7685546875</v>
      </c>
      <c r="N3746" s="187">
        <v>1703.113037109375</v>
      </c>
      <c r="O3746" t="s">
        <v>4207</v>
      </c>
    </row>
    <row r="3747" spans="1:15" hidden="1" x14ac:dyDescent="0.45">
      <c r="A3747" s="187">
        <v>2020</v>
      </c>
      <c r="B3747" t="s">
        <v>311</v>
      </c>
      <c r="C3747" t="s">
        <v>323</v>
      </c>
      <c r="D3747" t="s">
        <v>35</v>
      </c>
      <c r="E3747" t="s">
        <v>349</v>
      </c>
      <c r="F3747" t="s">
        <v>391</v>
      </c>
      <c r="G3747" t="s">
        <v>36</v>
      </c>
      <c r="H3747" t="s">
        <v>43</v>
      </c>
      <c r="I3747" s="187"/>
      <c r="J3747" s="187">
        <v>0</v>
      </c>
      <c r="K3747" s="187">
        <v>130.65155002797113</v>
      </c>
      <c r="L3747" s="187">
        <v>712.88941456414727</v>
      </c>
      <c r="M3747" s="187">
        <v>843.54095458984375</v>
      </c>
      <c r="N3747" s="187">
        <v>712.889404296875</v>
      </c>
      <c r="O3747" t="s">
        <v>4206</v>
      </c>
    </row>
    <row r="3748" spans="1:15" hidden="1" x14ac:dyDescent="0.45">
      <c r="A3748" s="187">
        <v>2020</v>
      </c>
      <c r="B3748" t="s">
        <v>313</v>
      </c>
      <c r="C3748" t="s">
        <v>323</v>
      </c>
      <c r="D3748" t="s">
        <v>35</v>
      </c>
      <c r="E3748" t="s">
        <v>349</v>
      </c>
      <c r="F3748" t="s">
        <v>391</v>
      </c>
      <c r="G3748" t="s">
        <v>36</v>
      </c>
      <c r="H3748" t="s">
        <v>43</v>
      </c>
      <c r="I3748" s="187">
        <v>479.15674981282513</v>
      </c>
      <c r="J3748" s="187">
        <v>0</v>
      </c>
      <c r="K3748" s="187">
        <v>167.13533072180203</v>
      </c>
      <c r="L3748" s="187">
        <v>660.03842286716656</v>
      </c>
      <c r="M3748" s="187">
        <v>1306.3304443359375</v>
      </c>
      <c r="N3748" s="187">
        <v>1139.1951904296875</v>
      </c>
      <c r="O3748" t="s">
        <v>4205</v>
      </c>
    </row>
    <row r="3749" spans="1:15" hidden="1" x14ac:dyDescent="0.45">
      <c r="A3749" s="187">
        <v>2020</v>
      </c>
      <c r="B3749" t="s">
        <v>312</v>
      </c>
      <c r="C3749" t="s">
        <v>323</v>
      </c>
      <c r="D3749" t="s">
        <v>35</v>
      </c>
      <c r="E3749" t="s">
        <v>349</v>
      </c>
      <c r="F3749" t="s">
        <v>391</v>
      </c>
      <c r="G3749" t="s">
        <v>36</v>
      </c>
      <c r="H3749" t="s">
        <v>43</v>
      </c>
      <c r="I3749" s="187">
        <v>432.80098258366911</v>
      </c>
      <c r="J3749" s="187">
        <v>0</v>
      </c>
      <c r="K3749" s="187">
        <v>695.8371188329545</v>
      </c>
      <c r="L3749" s="187">
        <v>435.27413105557577</v>
      </c>
      <c r="M3749" s="187">
        <v>1563.9122314453125</v>
      </c>
      <c r="N3749" s="187">
        <v>868.07513427734375</v>
      </c>
      <c r="O3749" t="s">
        <v>4209</v>
      </c>
    </row>
    <row r="3750" spans="1:15" hidden="1" x14ac:dyDescent="0.45">
      <c r="A3750" s="187">
        <v>2020</v>
      </c>
      <c r="B3750" t="s">
        <v>314</v>
      </c>
      <c r="C3750" t="s">
        <v>323</v>
      </c>
      <c r="D3750" t="s">
        <v>35</v>
      </c>
      <c r="E3750" t="s">
        <v>349</v>
      </c>
      <c r="F3750" t="s">
        <v>391</v>
      </c>
      <c r="G3750" t="s">
        <v>36</v>
      </c>
      <c r="H3750" t="s">
        <v>43</v>
      </c>
      <c r="I3750" s="187">
        <v>594.05853716043885</v>
      </c>
      <c r="J3750" s="187">
        <v>0</v>
      </c>
      <c r="K3750" s="187">
        <v>291.81547898812175</v>
      </c>
      <c r="L3750" s="187">
        <v>654.62921153758168</v>
      </c>
      <c r="M3750" s="187">
        <v>1540.5032958984375</v>
      </c>
      <c r="N3750" s="187">
        <v>1248.687744140625</v>
      </c>
      <c r="O3750" t="s">
        <v>4210</v>
      </c>
    </row>
    <row r="3751" spans="1:15" hidden="1" x14ac:dyDescent="0.45">
      <c r="A3751" s="187">
        <v>2020</v>
      </c>
      <c r="B3751" t="s">
        <v>315</v>
      </c>
      <c r="C3751" t="s">
        <v>323</v>
      </c>
      <c r="D3751" t="s">
        <v>35</v>
      </c>
      <c r="E3751" t="s">
        <v>349</v>
      </c>
      <c r="F3751" t="s">
        <v>391</v>
      </c>
      <c r="G3751" t="s">
        <v>36</v>
      </c>
      <c r="H3751" t="s">
        <v>43</v>
      </c>
      <c r="I3751" s="187">
        <v>577.72669245435088</v>
      </c>
      <c r="J3751" s="187">
        <v>3.3983923085550054</v>
      </c>
      <c r="K3751" s="187">
        <v>151.91080290436415</v>
      </c>
      <c r="L3751" s="187">
        <v>1224.5540285159871</v>
      </c>
      <c r="M3751" s="187">
        <v>1957.5899658203125</v>
      </c>
      <c r="N3751" s="187">
        <v>1802.28076171875</v>
      </c>
      <c r="O3751" t="s">
        <v>4208</v>
      </c>
    </row>
    <row r="3752" spans="1:15" hidden="1" x14ac:dyDescent="0.45">
      <c r="A3752" s="187">
        <v>2020</v>
      </c>
      <c r="B3752" t="s">
        <v>311</v>
      </c>
      <c r="C3752" t="s">
        <v>323</v>
      </c>
      <c r="D3752" t="s">
        <v>35</v>
      </c>
      <c r="E3752" t="s">
        <v>349</v>
      </c>
      <c r="F3752" t="s">
        <v>392</v>
      </c>
      <c r="G3752" t="s">
        <v>36</v>
      </c>
      <c r="H3752" t="s">
        <v>43</v>
      </c>
      <c r="I3752" s="187"/>
      <c r="J3752" s="187">
        <v>0</v>
      </c>
      <c r="K3752" s="187">
        <v>0.89810568779787392</v>
      </c>
      <c r="L3752" s="187">
        <v>0</v>
      </c>
      <c r="M3752" s="187">
        <v>0.8981056809425354</v>
      </c>
      <c r="N3752" s="187">
        <v>0</v>
      </c>
      <c r="O3752" t="s">
        <v>4212</v>
      </c>
    </row>
    <row r="3753" spans="1:15" hidden="1" x14ac:dyDescent="0.45">
      <c r="A3753" s="187">
        <v>2020</v>
      </c>
      <c r="B3753" t="s">
        <v>314</v>
      </c>
      <c r="C3753" t="s">
        <v>323</v>
      </c>
      <c r="D3753" t="s">
        <v>35</v>
      </c>
      <c r="E3753" t="s">
        <v>349</v>
      </c>
      <c r="F3753" t="s">
        <v>392</v>
      </c>
      <c r="G3753" t="s">
        <v>36</v>
      </c>
      <c r="H3753" t="s">
        <v>43</v>
      </c>
      <c r="I3753" s="187">
        <v>116.48206610988997</v>
      </c>
      <c r="J3753" s="187">
        <v>0</v>
      </c>
      <c r="K3753" s="187">
        <v>0.28957870641768607</v>
      </c>
      <c r="L3753" s="187">
        <v>0</v>
      </c>
      <c r="M3753" s="187">
        <v>116.77164459228516</v>
      </c>
      <c r="N3753" s="187">
        <v>116.48206329345703</v>
      </c>
      <c r="O3753" t="s">
        <v>4213</v>
      </c>
    </row>
    <row r="3754" spans="1:15" hidden="1" x14ac:dyDescent="0.45">
      <c r="A3754" s="187">
        <v>2020</v>
      </c>
      <c r="B3754" t="s">
        <v>315</v>
      </c>
      <c r="C3754" t="s">
        <v>323</v>
      </c>
      <c r="D3754" t="s">
        <v>35</v>
      </c>
      <c r="E3754" t="s">
        <v>349</v>
      </c>
      <c r="F3754" t="s">
        <v>392</v>
      </c>
      <c r="G3754" t="s">
        <v>36</v>
      </c>
      <c r="H3754" t="s">
        <v>43</v>
      </c>
      <c r="I3754" s="187">
        <v>113.27974361850018</v>
      </c>
      <c r="J3754" s="187">
        <v>0</v>
      </c>
      <c r="K3754" s="187">
        <v>5.604149734322641E-3</v>
      </c>
      <c r="L3754" s="187">
        <v>203.90353851330033</v>
      </c>
      <c r="M3754" s="187">
        <v>317.18890380859375</v>
      </c>
      <c r="N3754" s="187">
        <v>317.18328857421875</v>
      </c>
      <c r="O3754" t="s">
        <v>4216</v>
      </c>
    </row>
    <row r="3755" spans="1:15" hidden="1" x14ac:dyDescent="0.45">
      <c r="A3755" s="187">
        <v>2020</v>
      </c>
      <c r="B3755" t="s">
        <v>316</v>
      </c>
      <c r="C3755" t="s">
        <v>323</v>
      </c>
      <c r="D3755" t="s">
        <v>35</v>
      </c>
      <c r="E3755" t="s">
        <v>349</v>
      </c>
      <c r="F3755" t="s">
        <v>392</v>
      </c>
      <c r="G3755" t="s">
        <v>36</v>
      </c>
      <c r="H3755" t="s">
        <v>43</v>
      </c>
      <c r="I3755" s="187">
        <v>112.35930607922869</v>
      </c>
      <c r="J3755" s="187"/>
      <c r="K3755" s="187">
        <v>0.15012681474588394</v>
      </c>
      <c r="L3755" s="187">
        <v>147.594814377185</v>
      </c>
      <c r="M3755" s="187">
        <v>260.104248046875</v>
      </c>
      <c r="N3755" s="187">
        <v>259.95413208007813</v>
      </c>
      <c r="O3755" t="s">
        <v>4214</v>
      </c>
    </row>
    <row r="3756" spans="1:15" hidden="1" x14ac:dyDescent="0.45">
      <c r="A3756" s="187">
        <v>2020</v>
      </c>
      <c r="B3756" t="s">
        <v>313</v>
      </c>
      <c r="C3756" t="s">
        <v>323</v>
      </c>
      <c r="D3756" t="s">
        <v>35</v>
      </c>
      <c r="E3756" t="s">
        <v>349</v>
      </c>
      <c r="F3756" t="s">
        <v>392</v>
      </c>
      <c r="G3756" t="s">
        <v>36</v>
      </c>
      <c r="H3756" t="s">
        <v>43</v>
      </c>
      <c r="I3756" s="187">
        <v>119.78918745320628</v>
      </c>
      <c r="J3756" s="187">
        <v>0</v>
      </c>
      <c r="K3756" s="187">
        <v>0.3038238886256972</v>
      </c>
      <c r="L3756" s="187">
        <v>0</v>
      </c>
      <c r="M3756" s="187">
        <v>120.09300994873047</v>
      </c>
      <c r="N3756" s="187">
        <v>119.7891845703125</v>
      </c>
      <c r="O3756" t="s">
        <v>4211</v>
      </c>
    </row>
    <row r="3757" spans="1:15" hidden="1" x14ac:dyDescent="0.45">
      <c r="A3757" s="187">
        <v>2020</v>
      </c>
      <c r="B3757" t="s">
        <v>312</v>
      </c>
      <c r="C3757" t="s">
        <v>323</v>
      </c>
      <c r="D3757" t="s">
        <v>35</v>
      </c>
      <c r="E3757" t="s">
        <v>349</v>
      </c>
      <c r="F3757" t="s">
        <v>392</v>
      </c>
      <c r="G3757" t="s">
        <v>36</v>
      </c>
      <c r="H3757" t="s">
        <v>43</v>
      </c>
      <c r="I3757" s="187">
        <v>61.828711797667012</v>
      </c>
      <c r="J3757" s="187">
        <v>0</v>
      </c>
      <c r="K3757" s="187">
        <v>0.49430322748523958</v>
      </c>
      <c r="L3757" s="187">
        <v>0</v>
      </c>
      <c r="M3757" s="187">
        <v>62.323017120361328</v>
      </c>
      <c r="N3757" s="187">
        <v>61.828712463378906</v>
      </c>
      <c r="O3757" t="s">
        <v>4215</v>
      </c>
    </row>
    <row r="3758" spans="1:15" hidden="1" x14ac:dyDescent="0.45">
      <c r="A3758" s="187">
        <v>2020</v>
      </c>
      <c r="B3758" t="s">
        <v>315</v>
      </c>
      <c r="C3758" t="s">
        <v>323</v>
      </c>
      <c r="D3758" t="s">
        <v>35</v>
      </c>
      <c r="E3758" t="s">
        <v>349</v>
      </c>
      <c r="F3758" t="s">
        <v>393</v>
      </c>
      <c r="G3758" t="s">
        <v>36</v>
      </c>
      <c r="H3758" t="s">
        <v>43</v>
      </c>
      <c r="I3758" s="187">
        <v>22.655948723700035</v>
      </c>
      <c r="J3758" s="187">
        <v>0</v>
      </c>
      <c r="K3758" s="187">
        <v>0.38817342791225795</v>
      </c>
      <c r="L3758" s="187">
        <v>0</v>
      </c>
      <c r="M3758" s="187">
        <v>23.044122695922852</v>
      </c>
      <c r="N3758" s="187">
        <v>22.655948638916016</v>
      </c>
      <c r="O3758" t="s">
        <v>4217</v>
      </c>
    </row>
    <row r="3759" spans="1:15" hidden="1" x14ac:dyDescent="0.45">
      <c r="A3759" s="187">
        <v>2020</v>
      </c>
      <c r="B3759" t="s">
        <v>312</v>
      </c>
      <c r="C3759" t="s">
        <v>323</v>
      </c>
      <c r="D3759" t="s">
        <v>35</v>
      </c>
      <c r="E3759" t="s">
        <v>349</v>
      </c>
      <c r="F3759" t="s">
        <v>393</v>
      </c>
      <c r="G3759" t="s">
        <v>36</v>
      </c>
      <c r="H3759" t="s">
        <v>43</v>
      </c>
      <c r="I3759" s="187">
        <v>24.731484719066806</v>
      </c>
      <c r="J3759" s="187">
        <v>0</v>
      </c>
      <c r="K3759" s="187">
        <v>45.746859110136896</v>
      </c>
      <c r="L3759" s="187">
        <v>0</v>
      </c>
      <c r="M3759" s="187">
        <v>70.478347778320313</v>
      </c>
      <c r="N3759" s="187">
        <v>24.731485366821289</v>
      </c>
      <c r="O3759" t="s">
        <v>4222</v>
      </c>
    </row>
    <row r="3760" spans="1:15" hidden="1" x14ac:dyDescent="0.45">
      <c r="A3760" s="187">
        <v>2020</v>
      </c>
      <c r="B3760" t="s">
        <v>316</v>
      </c>
      <c r="C3760" t="s">
        <v>323</v>
      </c>
      <c r="D3760" t="s">
        <v>35</v>
      </c>
      <c r="E3760" t="s">
        <v>349</v>
      </c>
      <c r="F3760" t="s">
        <v>393</v>
      </c>
      <c r="G3760" t="s">
        <v>36</v>
      </c>
      <c r="H3760" t="s">
        <v>43</v>
      </c>
      <c r="I3760" s="187">
        <v>22.029076772714181</v>
      </c>
      <c r="J3760" s="187"/>
      <c r="K3760" s="187">
        <v>9.4647547895390911</v>
      </c>
      <c r="L3760" s="187">
        <v>0</v>
      </c>
      <c r="M3760" s="187">
        <v>31.493831634521484</v>
      </c>
      <c r="N3760" s="187">
        <v>22.029077529907227</v>
      </c>
      <c r="O3760" t="s">
        <v>4219</v>
      </c>
    </row>
    <row r="3761" spans="1:15" hidden="1" x14ac:dyDescent="0.45">
      <c r="A3761" s="187">
        <v>2020</v>
      </c>
      <c r="B3761" t="s">
        <v>311</v>
      </c>
      <c r="C3761" t="s">
        <v>323</v>
      </c>
      <c r="D3761" t="s">
        <v>35</v>
      </c>
      <c r="E3761" t="s">
        <v>349</v>
      </c>
      <c r="F3761" t="s">
        <v>393</v>
      </c>
      <c r="G3761" t="s">
        <v>36</v>
      </c>
      <c r="H3761" t="s">
        <v>43</v>
      </c>
      <c r="I3761" s="187"/>
      <c r="J3761" s="187">
        <v>0</v>
      </c>
      <c r="K3761" s="187">
        <v>90.451289628770397</v>
      </c>
      <c r="L3761" s="187">
        <v>24.230588330445077</v>
      </c>
      <c r="M3761" s="187">
        <v>114.68187713623047</v>
      </c>
      <c r="N3761" s="187">
        <v>24.230588912963867</v>
      </c>
      <c r="O3761" t="s">
        <v>4220</v>
      </c>
    </row>
    <row r="3762" spans="1:15" hidden="1" x14ac:dyDescent="0.45">
      <c r="A3762" s="187">
        <v>2020</v>
      </c>
      <c r="B3762" t="s">
        <v>313</v>
      </c>
      <c r="C3762" t="s">
        <v>323</v>
      </c>
      <c r="D3762" t="s">
        <v>35</v>
      </c>
      <c r="E3762" t="s">
        <v>349</v>
      </c>
      <c r="F3762" t="s">
        <v>393</v>
      </c>
      <c r="G3762" t="s">
        <v>36</v>
      </c>
      <c r="H3762" t="s">
        <v>43</v>
      </c>
      <c r="I3762" s="187">
        <v>23.957837490641257</v>
      </c>
      <c r="J3762" s="187">
        <v>0</v>
      </c>
      <c r="K3762" s="187">
        <v>22.921767806984978</v>
      </c>
      <c r="L3762" s="187">
        <v>0</v>
      </c>
      <c r="M3762" s="187">
        <v>46.879604339599609</v>
      </c>
      <c r="N3762" s="187">
        <v>23.95783805847168</v>
      </c>
      <c r="O3762" t="s">
        <v>4218</v>
      </c>
    </row>
    <row r="3763" spans="1:15" hidden="1" x14ac:dyDescent="0.45">
      <c r="A3763" s="187">
        <v>2020</v>
      </c>
      <c r="B3763" t="s">
        <v>314</v>
      </c>
      <c r="C3763" t="s">
        <v>323</v>
      </c>
      <c r="D3763" t="s">
        <v>35</v>
      </c>
      <c r="E3763" t="s">
        <v>349</v>
      </c>
      <c r="F3763" t="s">
        <v>393</v>
      </c>
      <c r="G3763" t="s">
        <v>36</v>
      </c>
      <c r="H3763" t="s">
        <v>43</v>
      </c>
      <c r="I3763" s="187">
        <v>23.296413221977996</v>
      </c>
      <c r="J3763" s="187">
        <v>0</v>
      </c>
      <c r="K3763" s="187">
        <v>21.847050606776623</v>
      </c>
      <c r="L3763" s="187">
        <v>0</v>
      </c>
      <c r="M3763" s="187">
        <v>45.143463134765625</v>
      </c>
      <c r="N3763" s="187">
        <v>23.296413421630859</v>
      </c>
      <c r="O3763" t="s">
        <v>4221</v>
      </c>
    </row>
    <row r="3764" spans="1:15" hidden="1" x14ac:dyDescent="0.45">
      <c r="A3764" s="187">
        <v>2020</v>
      </c>
      <c r="B3764" t="s">
        <v>312</v>
      </c>
      <c r="C3764" t="s">
        <v>323</v>
      </c>
      <c r="D3764" t="s">
        <v>35</v>
      </c>
      <c r="E3764" t="s">
        <v>349</v>
      </c>
      <c r="F3764" t="s">
        <v>394</v>
      </c>
      <c r="G3764" t="s">
        <v>36</v>
      </c>
      <c r="H3764" t="s">
        <v>43</v>
      </c>
      <c r="I3764" s="187">
        <v>74.194454157200411</v>
      </c>
      <c r="J3764" s="187">
        <v>0</v>
      </c>
      <c r="K3764" s="187">
        <v>19.743015741459256</v>
      </c>
      <c r="L3764" s="187">
        <v>0</v>
      </c>
      <c r="M3764" s="187">
        <v>93.937469482421875</v>
      </c>
      <c r="N3764" s="187">
        <v>74.194450378417969</v>
      </c>
      <c r="O3764" t="s">
        <v>4226</v>
      </c>
    </row>
    <row r="3765" spans="1:15" hidden="1" x14ac:dyDescent="0.45">
      <c r="A3765" s="187">
        <v>2020</v>
      </c>
      <c r="B3765" t="s">
        <v>313</v>
      </c>
      <c r="C3765" t="s">
        <v>323</v>
      </c>
      <c r="D3765" t="s">
        <v>35</v>
      </c>
      <c r="E3765" t="s">
        <v>349</v>
      </c>
      <c r="F3765" t="s">
        <v>394</v>
      </c>
      <c r="G3765" t="s">
        <v>36</v>
      </c>
      <c r="H3765" t="s">
        <v>43</v>
      </c>
      <c r="I3765" s="187">
        <v>0</v>
      </c>
      <c r="J3765" s="187">
        <v>0</v>
      </c>
      <c r="K3765" s="187">
        <v>9.8703995140598799</v>
      </c>
      <c r="L3765" s="187">
        <v>0</v>
      </c>
      <c r="M3765" s="187">
        <v>9.8703994750976563</v>
      </c>
      <c r="N3765" s="187">
        <v>0</v>
      </c>
      <c r="O3765" t="s">
        <v>4223</v>
      </c>
    </row>
    <row r="3766" spans="1:15" hidden="1" x14ac:dyDescent="0.45">
      <c r="A3766" s="187">
        <v>2020</v>
      </c>
      <c r="B3766" t="s">
        <v>315</v>
      </c>
      <c r="C3766" t="s">
        <v>323</v>
      </c>
      <c r="D3766" t="s">
        <v>35</v>
      </c>
      <c r="E3766" t="s">
        <v>349</v>
      </c>
      <c r="F3766" t="s">
        <v>394</v>
      </c>
      <c r="G3766" t="s">
        <v>36</v>
      </c>
      <c r="H3766" t="s">
        <v>43</v>
      </c>
      <c r="I3766" s="187">
        <v>0</v>
      </c>
      <c r="J3766" s="187">
        <v>0</v>
      </c>
      <c r="K3766" s="187">
        <v>0.17685429775832862</v>
      </c>
      <c r="L3766" s="187">
        <v>0</v>
      </c>
      <c r="M3766" s="187">
        <v>0.17685429751873016</v>
      </c>
      <c r="N3766" s="187">
        <v>0</v>
      </c>
      <c r="O3766" t="s">
        <v>4228</v>
      </c>
    </row>
    <row r="3767" spans="1:15" hidden="1" x14ac:dyDescent="0.45">
      <c r="A3767" s="187">
        <v>2020</v>
      </c>
      <c r="B3767" t="s">
        <v>311</v>
      </c>
      <c r="C3767" t="s">
        <v>323</v>
      </c>
      <c r="D3767" t="s">
        <v>35</v>
      </c>
      <c r="E3767" t="s">
        <v>349</v>
      </c>
      <c r="F3767" t="s">
        <v>394</v>
      </c>
      <c r="G3767" t="s">
        <v>36</v>
      </c>
      <c r="H3767" t="s">
        <v>43</v>
      </c>
      <c r="I3767" s="187"/>
      <c r="J3767" s="187">
        <v>0</v>
      </c>
      <c r="K3767" s="187">
        <v>39.161249711468493</v>
      </c>
      <c r="L3767" s="187">
        <v>0</v>
      </c>
      <c r="M3767" s="187">
        <v>39.161251068115234</v>
      </c>
      <c r="N3767" s="187">
        <v>0</v>
      </c>
      <c r="O3767" t="s">
        <v>4225</v>
      </c>
    </row>
    <row r="3768" spans="1:15" hidden="1" x14ac:dyDescent="0.45">
      <c r="A3768" s="187">
        <v>2020</v>
      </c>
      <c r="B3768" t="s">
        <v>316</v>
      </c>
      <c r="C3768" t="s">
        <v>323</v>
      </c>
      <c r="D3768" t="s">
        <v>35</v>
      </c>
      <c r="E3768" t="s">
        <v>349</v>
      </c>
      <c r="F3768" t="s">
        <v>394</v>
      </c>
      <c r="G3768" t="s">
        <v>36</v>
      </c>
      <c r="H3768" t="s">
        <v>43</v>
      </c>
      <c r="I3768" s="187">
        <v>0</v>
      </c>
      <c r="J3768" s="187"/>
      <c r="K3768" s="187">
        <v>4.3764643628519462</v>
      </c>
      <c r="L3768" s="187">
        <v>0</v>
      </c>
      <c r="M3768" s="187">
        <v>4.3764643669128418</v>
      </c>
      <c r="N3768" s="187">
        <v>0</v>
      </c>
      <c r="O3768" t="s">
        <v>4224</v>
      </c>
    </row>
    <row r="3769" spans="1:15" hidden="1" x14ac:dyDescent="0.45">
      <c r="A3769" s="187">
        <v>2020</v>
      </c>
      <c r="B3769" t="s">
        <v>314</v>
      </c>
      <c r="C3769" t="s">
        <v>323</v>
      </c>
      <c r="D3769" t="s">
        <v>35</v>
      </c>
      <c r="E3769" t="s">
        <v>349</v>
      </c>
      <c r="F3769" t="s">
        <v>394</v>
      </c>
      <c r="G3769" t="s">
        <v>36</v>
      </c>
      <c r="H3769" t="s">
        <v>43</v>
      </c>
      <c r="I3769" s="187">
        <v>0</v>
      </c>
      <c r="J3769" s="187">
        <v>0</v>
      </c>
      <c r="K3769" s="187">
        <v>9.4076128642685966</v>
      </c>
      <c r="L3769" s="187">
        <v>0</v>
      </c>
      <c r="M3769" s="187">
        <v>9.4076128005981445</v>
      </c>
      <c r="N3769" s="187">
        <v>0</v>
      </c>
      <c r="O3769" t="s">
        <v>4227</v>
      </c>
    </row>
    <row r="3770" spans="1:15" hidden="1" x14ac:dyDescent="0.45">
      <c r="A3770" s="187">
        <v>2020</v>
      </c>
      <c r="B3770" t="s">
        <v>315</v>
      </c>
      <c r="C3770" t="s">
        <v>323</v>
      </c>
      <c r="D3770" t="s">
        <v>35</v>
      </c>
      <c r="E3770" t="s">
        <v>349</v>
      </c>
      <c r="F3770" t="s">
        <v>395</v>
      </c>
      <c r="G3770" t="s">
        <v>36</v>
      </c>
      <c r="H3770" t="s">
        <v>43</v>
      </c>
      <c r="I3770" s="187">
        <v>67.967846171100106</v>
      </c>
      <c r="J3770" s="187">
        <v>0</v>
      </c>
      <c r="K3770" s="187">
        <v>1.0361480774146593E-3</v>
      </c>
      <c r="L3770" s="187">
        <v>512.02444115562082</v>
      </c>
      <c r="M3770" s="187">
        <v>579.99334716796875</v>
      </c>
      <c r="N3770" s="187">
        <v>579.9923095703125</v>
      </c>
      <c r="O3770" t="s">
        <v>4234</v>
      </c>
    </row>
    <row r="3771" spans="1:15" hidden="1" x14ac:dyDescent="0.45">
      <c r="A3771" s="187">
        <v>2020</v>
      </c>
      <c r="B3771" t="s">
        <v>313</v>
      </c>
      <c r="C3771" t="s">
        <v>323</v>
      </c>
      <c r="D3771" t="s">
        <v>35</v>
      </c>
      <c r="E3771" t="s">
        <v>349</v>
      </c>
      <c r="F3771" t="s">
        <v>395</v>
      </c>
      <c r="G3771" t="s">
        <v>36</v>
      </c>
      <c r="H3771" t="s">
        <v>43</v>
      </c>
      <c r="I3771" s="187">
        <v>71.87351247192376</v>
      </c>
      <c r="J3771" s="187">
        <v>0</v>
      </c>
      <c r="K3771" s="187">
        <v>4.846082844096912E-2</v>
      </c>
      <c r="L3771" s="187">
        <v>294.68140113488744</v>
      </c>
      <c r="M3771" s="187">
        <v>366.60336303710938</v>
      </c>
      <c r="N3771" s="187">
        <v>366.55490112304688</v>
      </c>
      <c r="O3771" t="s">
        <v>4232</v>
      </c>
    </row>
    <row r="3772" spans="1:15" hidden="1" x14ac:dyDescent="0.45">
      <c r="A3772" s="187">
        <v>2020</v>
      </c>
      <c r="B3772" t="s">
        <v>314</v>
      </c>
      <c r="C3772" t="s">
        <v>323</v>
      </c>
      <c r="D3772" t="s">
        <v>35</v>
      </c>
      <c r="E3772" t="s">
        <v>349</v>
      </c>
      <c r="F3772" t="s">
        <v>395</v>
      </c>
      <c r="G3772" t="s">
        <v>36</v>
      </c>
      <c r="H3772" t="s">
        <v>43</v>
      </c>
      <c r="I3772" s="187">
        <v>69.889239665933985</v>
      </c>
      <c r="J3772" s="187">
        <v>0</v>
      </c>
      <c r="K3772" s="187">
        <v>4.6188678827535579E-2</v>
      </c>
      <c r="L3772" s="187">
        <v>292.36998593582382</v>
      </c>
      <c r="M3772" s="187">
        <v>362.305419921875</v>
      </c>
      <c r="N3772" s="187">
        <v>362.25921630859375</v>
      </c>
      <c r="O3772" t="s">
        <v>4231</v>
      </c>
    </row>
    <row r="3773" spans="1:15" hidden="1" x14ac:dyDescent="0.45">
      <c r="A3773" s="187">
        <v>2020</v>
      </c>
      <c r="B3773" t="s">
        <v>311</v>
      </c>
      <c r="C3773" t="s">
        <v>323</v>
      </c>
      <c r="D3773" t="s">
        <v>35</v>
      </c>
      <c r="E3773" t="s">
        <v>349</v>
      </c>
      <c r="F3773" t="s">
        <v>395</v>
      </c>
      <c r="G3773" t="s">
        <v>36</v>
      </c>
      <c r="H3773" t="s">
        <v>43</v>
      </c>
      <c r="I3773" s="187"/>
      <c r="J3773" s="187">
        <v>0</v>
      </c>
      <c r="K3773" s="187">
        <v>0.14090499993434322</v>
      </c>
      <c r="L3773" s="187">
        <v>73.967059113990231</v>
      </c>
      <c r="M3773" s="187">
        <v>74.107963562011719</v>
      </c>
      <c r="N3773" s="187">
        <v>73.967056274414063</v>
      </c>
      <c r="O3773" t="s">
        <v>4229</v>
      </c>
    </row>
    <row r="3774" spans="1:15" hidden="1" x14ac:dyDescent="0.45">
      <c r="A3774" s="187">
        <v>2020</v>
      </c>
      <c r="B3774" t="s">
        <v>316</v>
      </c>
      <c r="C3774" t="s">
        <v>323</v>
      </c>
      <c r="D3774" t="s">
        <v>35</v>
      </c>
      <c r="E3774" t="s">
        <v>349</v>
      </c>
      <c r="F3774" t="s">
        <v>395</v>
      </c>
      <c r="G3774" t="s">
        <v>36</v>
      </c>
      <c r="H3774" t="s">
        <v>43</v>
      </c>
      <c r="I3774" s="187">
        <v>67.415583647537218</v>
      </c>
      <c r="J3774" s="187"/>
      <c r="K3774" s="187">
        <v>3.6068620960512332E-2</v>
      </c>
      <c r="L3774" s="187">
        <v>449.3931661633693</v>
      </c>
      <c r="M3774" s="187">
        <v>516.8448486328125</v>
      </c>
      <c r="N3774" s="187">
        <v>516.80877685546875</v>
      </c>
      <c r="O3774" t="s">
        <v>4233</v>
      </c>
    </row>
    <row r="3775" spans="1:15" hidden="1" x14ac:dyDescent="0.45">
      <c r="A3775" s="187">
        <v>2020</v>
      </c>
      <c r="B3775" t="s">
        <v>312</v>
      </c>
      <c r="C3775" t="s">
        <v>323</v>
      </c>
      <c r="D3775" t="s">
        <v>35</v>
      </c>
      <c r="E3775" t="s">
        <v>349</v>
      </c>
      <c r="F3775" t="s">
        <v>395</v>
      </c>
      <c r="G3775" t="s">
        <v>36</v>
      </c>
      <c r="H3775" t="s">
        <v>43</v>
      </c>
      <c r="I3775" s="187">
        <v>0</v>
      </c>
      <c r="J3775" s="187">
        <v>0</v>
      </c>
      <c r="K3775" s="187">
        <v>7.6526540898009338E-2</v>
      </c>
      <c r="L3775" s="187">
        <v>60.59213756171367</v>
      </c>
      <c r="M3775" s="187">
        <v>60.668663024902344</v>
      </c>
      <c r="N3775" s="187">
        <v>60.592136383056641</v>
      </c>
      <c r="O3775" t="s">
        <v>4230</v>
      </c>
    </row>
    <row r="3776" spans="1:15" hidden="1" x14ac:dyDescent="0.45">
      <c r="A3776" s="187">
        <v>2020</v>
      </c>
      <c r="B3776" t="s">
        <v>316</v>
      </c>
      <c r="C3776" t="s">
        <v>323</v>
      </c>
      <c r="D3776" t="s">
        <v>35</v>
      </c>
      <c r="E3776" t="s">
        <v>349</v>
      </c>
      <c r="F3776" t="s">
        <v>396</v>
      </c>
      <c r="G3776" t="s">
        <v>36</v>
      </c>
      <c r="H3776" t="s">
        <v>43</v>
      </c>
      <c r="I3776" s="187">
        <v>280.89826519807173</v>
      </c>
      <c r="J3776" s="187">
        <v>3.194216132043556</v>
      </c>
      <c r="K3776" s="187">
        <v>763.43382646985094</v>
      </c>
      <c r="L3776" s="187">
        <v>623.42287266781136</v>
      </c>
      <c r="M3776" s="187">
        <v>1670.9490966796875</v>
      </c>
      <c r="N3776" s="187">
        <v>904.32110595703125</v>
      </c>
      <c r="O3776" t="s">
        <v>4240</v>
      </c>
    </row>
    <row r="3777" spans="1:15" hidden="1" x14ac:dyDescent="0.45">
      <c r="A3777" s="187">
        <v>2020</v>
      </c>
      <c r="B3777" t="s">
        <v>311</v>
      </c>
      <c r="C3777" t="s">
        <v>323</v>
      </c>
      <c r="D3777" t="s">
        <v>35</v>
      </c>
      <c r="E3777" t="s">
        <v>349</v>
      </c>
      <c r="F3777" t="s">
        <v>396</v>
      </c>
      <c r="G3777" t="s">
        <v>36</v>
      </c>
      <c r="H3777" t="s">
        <v>43</v>
      </c>
      <c r="I3777" s="187"/>
      <c r="J3777" s="187">
        <v>0</v>
      </c>
      <c r="K3777" s="187">
        <v>0</v>
      </c>
      <c r="L3777" s="187">
        <v>614.69176711971193</v>
      </c>
      <c r="M3777" s="187">
        <v>614.6917724609375</v>
      </c>
      <c r="N3777" s="187">
        <v>614.6917724609375</v>
      </c>
      <c r="O3777" t="s">
        <v>4239</v>
      </c>
    </row>
    <row r="3778" spans="1:15" hidden="1" x14ac:dyDescent="0.45">
      <c r="A3778" s="187">
        <v>2020</v>
      </c>
      <c r="B3778" t="s">
        <v>313</v>
      </c>
      <c r="C3778" t="s">
        <v>323</v>
      </c>
      <c r="D3778" t="s">
        <v>35</v>
      </c>
      <c r="E3778" t="s">
        <v>349</v>
      </c>
      <c r="F3778" t="s">
        <v>396</v>
      </c>
      <c r="G3778" t="s">
        <v>36</v>
      </c>
      <c r="H3778" t="s">
        <v>43</v>
      </c>
      <c r="I3778" s="187">
        <v>263.53621239705382</v>
      </c>
      <c r="J3778" s="187">
        <v>0</v>
      </c>
      <c r="K3778" s="187">
        <v>133.99087868369048</v>
      </c>
      <c r="L3778" s="187">
        <v>365.35702173227912</v>
      </c>
      <c r="M3778" s="187">
        <v>762.88409423828125</v>
      </c>
      <c r="N3778" s="187">
        <v>628.89324951171875</v>
      </c>
      <c r="O3778" t="s">
        <v>4235</v>
      </c>
    </row>
    <row r="3779" spans="1:15" hidden="1" x14ac:dyDescent="0.45">
      <c r="A3779" s="187">
        <v>2020</v>
      </c>
      <c r="B3779" t="s">
        <v>315</v>
      </c>
      <c r="C3779" t="s">
        <v>323</v>
      </c>
      <c r="D3779" t="s">
        <v>35</v>
      </c>
      <c r="E3779" t="s">
        <v>349</v>
      </c>
      <c r="F3779" t="s">
        <v>396</v>
      </c>
      <c r="G3779" t="s">
        <v>36</v>
      </c>
      <c r="H3779" t="s">
        <v>43</v>
      </c>
      <c r="I3779" s="187">
        <v>373.82315394105058</v>
      </c>
      <c r="J3779" s="187">
        <v>3.3983923085550054</v>
      </c>
      <c r="K3779" s="187">
        <v>151.33913488088191</v>
      </c>
      <c r="L3779" s="187">
        <v>508.62604884706582</v>
      </c>
      <c r="M3779" s="187">
        <v>1037.186767578125</v>
      </c>
      <c r="N3779" s="187">
        <v>882.44921875</v>
      </c>
      <c r="O3779" t="s">
        <v>4237</v>
      </c>
    </row>
    <row r="3780" spans="1:15" hidden="1" x14ac:dyDescent="0.45">
      <c r="A3780" s="187">
        <v>2020</v>
      </c>
      <c r="B3780" t="s">
        <v>312</v>
      </c>
      <c r="C3780" t="s">
        <v>323</v>
      </c>
      <c r="D3780" t="s">
        <v>35</v>
      </c>
      <c r="E3780" t="s">
        <v>349</v>
      </c>
      <c r="F3780" t="s">
        <v>396</v>
      </c>
      <c r="G3780" t="s">
        <v>36</v>
      </c>
      <c r="H3780" t="s">
        <v>43</v>
      </c>
      <c r="I3780" s="187">
        <v>272.04633190973487</v>
      </c>
      <c r="J3780" s="187">
        <v>0</v>
      </c>
      <c r="K3780" s="187">
        <v>629.77641421297517</v>
      </c>
      <c r="L3780" s="187">
        <v>374.68199349386208</v>
      </c>
      <c r="M3780" s="187">
        <v>1276.5047607421875</v>
      </c>
      <c r="N3780" s="187">
        <v>646.72833251953125</v>
      </c>
      <c r="O3780" t="s">
        <v>4238</v>
      </c>
    </row>
    <row r="3781" spans="1:15" hidden="1" x14ac:dyDescent="0.45">
      <c r="A3781" s="187">
        <v>2020</v>
      </c>
      <c r="B3781" t="s">
        <v>314</v>
      </c>
      <c r="C3781" t="s">
        <v>323</v>
      </c>
      <c r="D3781" t="s">
        <v>35</v>
      </c>
      <c r="E3781" t="s">
        <v>349</v>
      </c>
      <c r="F3781" t="s">
        <v>396</v>
      </c>
      <c r="G3781" t="s">
        <v>36</v>
      </c>
      <c r="H3781" t="s">
        <v>43</v>
      </c>
      <c r="I3781" s="187">
        <v>384.39081816263695</v>
      </c>
      <c r="J3781" s="187">
        <v>0</v>
      </c>
      <c r="K3781" s="187">
        <v>260.22504813183127</v>
      </c>
      <c r="L3781" s="187">
        <v>362.25922560175781</v>
      </c>
      <c r="M3781" s="187">
        <v>1006.8750610351563</v>
      </c>
      <c r="N3781" s="187">
        <v>746.6500244140625</v>
      </c>
      <c r="O3781" t="s">
        <v>4236</v>
      </c>
    </row>
    <row r="3782" spans="1:15" hidden="1" x14ac:dyDescent="0.45">
      <c r="A3782" s="187">
        <v>2020</v>
      </c>
      <c r="B3782" t="s">
        <v>315</v>
      </c>
      <c r="C3782" t="s">
        <v>323</v>
      </c>
      <c r="D3782" t="s">
        <v>35</v>
      </c>
      <c r="E3782" t="s">
        <v>349</v>
      </c>
      <c r="F3782" t="s">
        <v>397</v>
      </c>
      <c r="G3782" t="s">
        <v>36</v>
      </c>
      <c r="H3782" t="s">
        <v>43</v>
      </c>
      <c r="I3782" s="187">
        <v>0</v>
      </c>
      <c r="J3782" s="187">
        <v>0</v>
      </c>
      <c r="K3782" s="187">
        <v>9.6354975375557419E-4</v>
      </c>
      <c r="L3782" s="187">
        <v>0</v>
      </c>
      <c r="M3782" s="187">
        <v>9.6354976994916797E-4</v>
      </c>
      <c r="N3782" s="187">
        <v>0</v>
      </c>
      <c r="O3782" t="s">
        <v>4246</v>
      </c>
    </row>
    <row r="3783" spans="1:15" hidden="1" x14ac:dyDescent="0.45">
      <c r="A3783" s="187">
        <v>2020</v>
      </c>
      <c r="B3783" t="s">
        <v>316</v>
      </c>
      <c r="C3783" t="s">
        <v>323</v>
      </c>
      <c r="D3783" t="s">
        <v>35</v>
      </c>
      <c r="E3783" t="s">
        <v>349</v>
      </c>
      <c r="F3783" t="s">
        <v>397</v>
      </c>
      <c r="G3783" t="s">
        <v>36</v>
      </c>
      <c r="H3783" t="s">
        <v>43</v>
      </c>
      <c r="I3783" s="187">
        <v>0</v>
      </c>
      <c r="J3783" s="187"/>
      <c r="K3783" s="187">
        <v>1.6259290236834853E-2</v>
      </c>
      <c r="L3783" s="187">
        <v>0</v>
      </c>
      <c r="M3783" s="187">
        <v>1.6259290277957916E-2</v>
      </c>
      <c r="N3783" s="187">
        <v>0</v>
      </c>
      <c r="O3783" t="s">
        <v>4244</v>
      </c>
    </row>
    <row r="3784" spans="1:15" hidden="1" x14ac:dyDescent="0.45">
      <c r="A3784" s="187">
        <v>2020</v>
      </c>
      <c r="B3784" t="s">
        <v>314</v>
      </c>
      <c r="C3784" t="s">
        <v>323</v>
      </c>
      <c r="D3784" t="s">
        <v>35</v>
      </c>
      <c r="E3784" t="s">
        <v>349</v>
      </c>
      <c r="F3784" t="s">
        <v>397</v>
      </c>
      <c r="G3784" t="s">
        <v>36</v>
      </c>
      <c r="H3784" t="s">
        <v>43</v>
      </c>
      <c r="I3784" s="187">
        <v>0</v>
      </c>
      <c r="J3784" s="187">
        <v>0</v>
      </c>
      <c r="K3784" s="187">
        <v>5.8161467476287747E-2</v>
      </c>
      <c r="L3784" s="187"/>
      <c r="M3784" s="187">
        <v>5.8161467313766479E-2</v>
      </c>
      <c r="N3784" s="187">
        <v>0</v>
      </c>
      <c r="O3784" t="s">
        <v>4241</v>
      </c>
    </row>
    <row r="3785" spans="1:15" hidden="1" x14ac:dyDescent="0.45">
      <c r="A3785" s="187">
        <v>2020</v>
      </c>
      <c r="B3785" t="s">
        <v>312</v>
      </c>
      <c r="C3785" t="s">
        <v>323</v>
      </c>
      <c r="D3785" t="s">
        <v>35</v>
      </c>
      <c r="E3785" t="s">
        <v>349</v>
      </c>
      <c r="F3785" t="s">
        <v>397</v>
      </c>
      <c r="G3785" t="s">
        <v>36</v>
      </c>
      <c r="H3785" t="s">
        <v>43</v>
      </c>
      <c r="I3785" s="187">
        <v>0</v>
      </c>
      <c r="J3785" s="187">
        <v>0</v>
      </c>
      <c r="K3785" s="187">
        <v>0.11706820455537395</v>
      </c>
      <c r="L3785" s="187">
        <v>0</v>
      </c>
      <c r="M3785" s="187">
        <v>0.11706820130348206</v>
      </c>
      <c r="N3785" s="187">
        <v>0</v>
      </c>
      <c r="O3785" t="s">
        <v>4243</v>
      </c>
    </row>
    <row r="3786" spans="1:15" hidden="1" x14ac:dyDescent="0.45">
      <c r="A3786" s="187">
        <v>2020</v>
      </c>
      <c r="B3786" t="s">
        <v>311</v>
      </c>
      <c r="C3786" t="s">
        <v>323</v>
      </c>
      <c r="D3786" t="s">
        <v>35</v>
      </c>
      <c r="E3786" t="s">
        <v>349</v>
      </c>
      <c r="F3786" t="s">
        <v>397</v>
      </c>
      <c r="G3786" t="s">
        <v>36</v>
      </c>
      <c r="H3786" t="s">
        <v>43</v>
      </c>
      <c r="I3786" s="187"/>
      <c r="J3786" s="187">
        <v>0</v>
      </c>
      <c r="K3786" s="187">
        <v>0.21549617529999521</v>
      </c>
      <c r="L3786" s="187">
        <v>0</v>
      </c>
      <c r="M3786" s="187">
        <v>0.21549618244171143</v>
      </c>
      <c r="N3786" s="187">
        <v>0</v>
      </c>
      <c r="O3786" t="s">
        <v>4245</v>
      </c>
    </row>
    <row r="3787" spans="1:15" hidden="1" x14ac:dyDescent="0.45">
      <c r="A3787" s="187">
        <v>2020</v>
      </c>
      <c r="B3787" t="s">
        <v>313</v>
      </c>
      <c r="C3787" t="s">
        <v>323</v>
      </c>
      <c r="D3787" t="s">
        <v>35</v>
      </c>
      <c r="E3787" t="s">
        <v>349</v>
      </c>
      <c r="F3787" t="s">
        <v>397</v>
      </c>
      <c r="G3787" t="s">
        <v>36</v>
      </c>
      <c r="H3787" t="s">
        <v>43</v>
      </c>
      <c r="I3787" s="187">
        <v>0</v>
      </c>
      <c r="J3787" s="187">
        <v>0</v>
      </c>
      <c r="K3787" s="187">
        <v>6.1022591872948242E-2</v>
      </c>
      <c r="L3787" s="187">
        <v>0</v>
      </c>
      <c r="M3787" s="187">
        <v>6.1022590845823288E-2</v>
      </c>
      <c r="N3787" s="187">
        <v>0</v>
      </c>
      <c r="O3787" t="s">
        <v>4242</v>
      </c>
    </row>
    <row r="3788" spans="1:15" hidden="1" x14ac:dyDescent="0.45">
      <c r="A3788" s="187">
        <v>2020</v>
      </c>
      <c r="B3788" t="s">
        <v>311</v>
      </c>
      <c r="C3788" t="s">
        <v>323</v>
      </c>
      <c r="D3788" t="s">
        <v>35</v>
      </c>
      <c r="E3788" t="s">
        <v>349</v>
      </c>
      <c r="F3788" t="s">
        <v>398</v>
      </c>
      <c r="G3788" t="s">
        <v>36</v>
      </c>
      <c r="H3788" t="s">
        <v>43</v>
      </c>
      <c r="I3788" s="187"/>
      <c r="J3788" s="187">
        <v>803.43529727265252</v>
      </c>
      <c r="K3788" s="187">
        <v>31.349216145238646</v>
      </c>
      <c r="L3788" s="187">
        <v>0</v>
      </c>
      <c r="M3788" s="187">
        <v>834.7845458984375</v>
      </c>
      <c r="N3788" s="187">
        <v>0</v>
      </c>
      <c r="O3788" t="s">
        <v>4252</v>
      </c>
    </row>
    <row r="3789" spans="1:15" hidden="1" x14ac:dyDescent="0.45">
      <c r="A3789" s="187">
        <v>2020</v>
      </c>
      <c r="B3789" t="s">
        <v>315</v>
      </c>
      <c r="C3789" t="s">
        <v>323</v>
      </c>
      <c r="D3789" t="s">
        <v>35</v>
      </c>
      <c r="E3789" t="s">
        <v>349</v>
      </c>
      <c r="F3789" t="s">
        <v>398</v>
      </c>
      <c r="G3789" t="s">
        <v>36</v>
      </c>
      <c r="H3789" t="s">
        <v>43</v>
      </c>
      <c r="I3789" s="187">
        <v>0</v>
      </c>
      <c r="J3789" s="187">
        <v>365.89357188775557</v>
      </c>
      <c r="K3789" s="187">
        <v>9.8289769076436273E-2</v>
      </c>
      <c r="L3789" s="187">
        <v>0</v>
      </c>
      <c r="M3789" s="187">
        <v>365.99188232421875</v>
      </c>
      <c r="N3789" s="187">
        <v>0</v>
      </c>
      <c r="O3789" t="s">
        <v>4249</v>
      </c>
    </row>
    <row r="3790" spans="1:15" hidden="1" x14ac:dyDescent="0.45">
      <c r="A3790" s="187">
        <v>2020</v>
      </c>
      <c r="B3790" t="s">
        <v>316</v>
      </c>
      <c r="C3790" t="s">
        <v>323</v>
      </c>
      <c r="D3790" t="s">
        <v>35</v>
      </c>
      <c r="E3790" t="s">
        <v>349</v>
      </c>
      <c r="F3790" t="s">
        <v>398</v>
      </c>
      <c r="G3790" t="s">
        <v>36</v>
      </c>
      <c r="H3790" t="s">
        <v>43</v>
      </c>
      <c r="I3790" s="187">
        <v>0</v>
      </c>
      <c r="J3790" s="187">
        <v>214.78349853396327</v>
      </c>
      <c r="K3790" s="187">
        <v>1.5192209695939121</v>
      </c>
      <c r="L3790" s="187">
        <v>0</v>
      </c>
      <c r="M3790" s="187">
        <v>216.30271911621094</v>
      </c>
      <c r="N3790" s="187">
        <v>0</v>
      </c>
      <c r="O3790" t="s">
        <v>4250</v>
      </c>
    </row>
    <row r="3791" spans="1:15" hidden="1" x14ac:dyDescent="0.45">
      <c r="A3791" s="187">
        <v>2020</v>
      </c>
      <c r="B3791" t="s">
        <v>313</v>
      </c>
      <c r="C3791" t="s">
        <v>323</v>
      </c>
      <c r="D3791" t="s">
        <v>35</v>
      </c>
      <c r="E3791" t="s">
        <v>349</v>
      </c>
      <c r="F3791" t="s">
        <v>398</v>
      </c>
      <c r="G3791" t="s">
        <v>36</v>
      </c>
      <c r="H3791" t="s">
        <v>43</v>
      </c>
      <c r="I3791" s="187">
        <v>0</v>
      </c>
      <c r="J3791" s="187">
        <v>539.05134353942822</v>
      </c>
      <c r="K3791" s="187">
        <v>6.6570156109940637</v>
      </c>
      <c r="L3791" s="187">
        <v>0</v>
      </c>
      <c r="M3791" s="187">
        <v>545.7083740234375</v>
      </c>
      <c r="N3791" s="187">
        <v>0</v>
      </c>
      <c r="O3791" t="s">
        <v>4251</v>
      </c>
    </row>
    <row r="3792" spans="1:15" hidden="1" x14ac:dyDescent="0.45">
      <c r="A3792" s="187">
        <v>2020</v>
      </c>
      <c r="B3792" t="s">
        <v>312</v>
      </c>
      <c r="C3792" t="s">
        <v>323</v>
      </c>
      <c r="D3792" t="s">
        <v>35</v>
      </c>
      <c r="E3792" t="s">
        <v>349</v>
      </c>
      <c r="F3792" t="s">
        <v>398</v>
      </c>
      <c r="G3792" t="s">
        <v>36</v>
      </c>
      <c r="H3792" t="s">
        <v>43</v>
      </c>
      <c r="I3792" s="187">
        <v>0</v>
      </c>
      <c r="J3792" s="187">
        <v>593.55563325760329</v>
      </c>
      <c r="K3792" s="187">
        <v>15.645473570683532</v>
      </c>
      <c r="L3792" s="187">
        <v>0</v>
      </c>
      <c r="M3792" s="187">
        <v>609.2010498046875</v>
      </c>
      <c r="N3792" s="187">
        <v>0</v>
      </c>
      <c r="O3792" t="s">
        <v>4247</v>
      </c>
    </row>
    <row r="3793" spans="1:15" hidden="1" x14ac:dyDescent="0.45">
      <c r="A3793" s="187">
        <v>2020</v>
      </c>
      <c r="B3793" t="s">
        <v>314</v>
      </c>
      <c r="C3793" t="s">
        <v>323</v>
      </c>
      <c r="D3793" t="s">
        <v>35</v>
      </c>
      <c r="E3793" t="s">
        <v>349</v>
      </c>
      <c r="F3793" t="s">
        <v>398</v>
      </c>
      <c r="G3793" t="s">
        <v>36</v>
      </c>
      <c r="H3793" t="s">
        <v>43</v>
      </c>
      <c r="I3793" s="187">
        <v>0</v>
      </c>
      <c r="J3793" s="187">
        <v>529.99340079999934</v>
      </c>
      <c r="K3793" s="187">
        <v>6.3448926875164666</v>
      </c>
      <c r="L3793" s="187">
        <v>0</v>
      </c>
      <c r="M3793" s="187">
        <v>536.33831787109375</v>
      </c>
      <c r="N3793" s="187">
        <v>0</v>
      </c>
      <c r="O3793" t="s">
        <v>4248</v>
      </c>
    </row>
    <row r="3794" spans="1:15" hidden="1" x14ac:dyDescent="0.45">
      <c r="A3794" s="187">
        <v>2020</v>
      </c>
      <c r="B3794" t="s">
        <v>315</v>
      </c>
      <c r="C3794" t="s">
        <v>323</v>
      </c>
      <c r="D3794" t="s">
        <v>35</v>
      </c>
      <c r="E3794" t="s">
        <v>349</v>
      </c>
      <c r="F3794" t="s">
        <v>399</v>
      </c>
      <c r="G3794" t="s">
        <v>36</v>
      </c>
      <c r="H3794" t="s">
        <v>43</v>
      </c>
      <c r="I3794" s="187">
        <v>0</v>
      </c>
      <c r="J3794" s="187">
        <v>214.09871543896534</v>
      </c>
      <c r="K3794" s="187">
        <v>6.6740616973277697E-2</v>
      </c>
      <c r="L3794" s="187">
        <v>0</v>
      </c>
      <c r="M3794" s="187">
        <v>214.16545104980469</v>
      </c>
      <c r="N3794" s="187">
        <v>0</v>
      </c>
      <c r="O3794" t="s">
        <v>4257</v>
      </c>
    </row>
    <row r="3795" spans="1:15" hidden="1" x14ac:dyDescent="0.45">
      <c r="A3795" s="187">
        <v>2020</v>
      </c>
      <c r="B3795" t="s">
        <v>311</v>
      </c>
      <c r="C3795" t="s">
        <v>323</v>
      </c>
      <c r="D3795" t="s">
        <v>35</v>
      </c>
      <c r="E3795" t="s">
        <v>349</v>
      </c>
      <c r="F3795" t="s">
        <v>399</v>
      </c>
      <c r="G3795" t="s">
        <v>36</v>
      </c>
      <c r="H3795" t="s">
        <v>43</v>
      </c>
      <c r="I3795" s="187"/>
      <c r="J3795" s="187">
        <v>637.647061327502</v>
      </c>
      <c r="K3795" s="187">
        <v>21.703355441101447</v>
      </c>
      <c r="L3795" s="187">
        <v>0</v>
      </c>
      <c r="M3795" s="187">
        <v>659.35040283203125</v>
      </c>
      <c r="N3795" s="187">
        <v>0</v>
      </c>
      <c r="O3795" t="s">
        <v>4255</v>
      </c>
    </row>
    <row r="3796" spans="1:15" hidden="1" x14ac:dyDescent="0.45">
      <c r="A3796" s="187">
        <v>2020</v>
      </c>
      <c r="B3796" t="s">
        <v>314</v>
      </c>
      <c r="C3796" t="s">
        <v>323</v>
      </c>
      <c r="D3796" t="s">
        <v>35</v>
      </c>
      <c r="E3796" t="s">
        <v>349</v>
      </c>
      <c r="F3796" t="s">
        <v>399</v>
      </c>
      <c r="G3796" t="s">
        <v>36</v>
      </c>
      <c r="H3796" t="s">
        <v>43</v>
      </c>
      <c r="I3796" s="187">
        <v>0</v>
      </c>
      <c r="J3796" s="187">
        <v>361.09440494065893</v>
      </c>
      <c r="K3796" s="187">
        <v>4.3879487516118214</v>
      </c>
      <c r="L3796" s="187"/>
      <c r="M3796" s="187">
        <v>365.48233032226563</v>
      </c>
      <c r="N3796" s="187">
        <v>0</v>
      </c>
      <c r="O3796" t="s">
        <v>4258</v>
      </c>
    </row>
    <row r="3797" spans="1:15" hidden="1" x14ac:dyDescent="0.45">
      <c r="A3797" s="187">
        <v>2020</v>
      </c>
      <c r="B3797" t="s">
        <v>313</v>
      </c>
      <c r="C3797" t="s">
        <v>323</v>
      </c>
      <c r="D3797" t="s">
        <v>35</v>
      </c>
      <c r="E3797" t="s">
        <v>349</v>
      </c>
      <c r="F3797" t="s">
        <v>399</v>
      </c>
      <c r="G3797" t="s">
        <v>36</v>
      </c>
      <c r="H3797" t="s">
        <v>43</v>
      </c>
      <c r="I3797" s="187">
        <v>0</v>
      </c>
      <c r="J3797" s="187">
        <v>359.36756235961883</v>
      </c>
      <c r="K3797" s="187">
        <v>4.6038041584522844</v>
      </c>
      <c r="L3797" s="187">
        <v>0</v>
      </c>
      <c r="M3797" s="187">
        <v>363.97134399414063</v>
      </c>
      <c r="N3797" s="187">
        <v>0</v>
      </c>
      <c r="O3797" t="s">
        <v>4256</v>
      </c>
    </row>
    <row r="3798" spans="1:15" hidden="1" x14ac:dyDescent="0.45">
      <c r="A3798" s="187">
        <v>2020</v>
      </c>
      <c r="B3798" t="s">
        <v>312</v>
      </c>
      <c r="C3798" t="s">
        <v>323</v>
      </c>
      <c r="D3798" t="s">
        <v>35</v>
      </c>
      <c r="E3798" t="s">
        <v>349</v>
      </c>
      <c r="F3798" t="s">
        <v>399</v>
      </c>
      <c r="G3798" t="s">
        <v>36</v>
      </c>
      <c r="H3798" t="s">
        <v>43</v>
      </c>
      <c r="I3798" s="187">
        <v>0</v>
      </c>
      <c r="J3798" s="187">
        <v>432.80098258366911</v>
      </c>
      <c r="K3798" s="187">
        <v>10.834448092352984</v>
      </c>
      <c r="L3798" s="187">
        <v>0</v>
      </c>
      <c r="M3798" s="187">
        <v>443.63543701171875</v>
      </c>
      <c r="N3798" s="187">
        <v>0</v>
      </c>
      <c r="O3798" t="s">
        <v>4253</v>
      </c>
    </row>
    <row r="3799" spans="1:15" hidden="1" x14ac:dyDescent="0.45">
      <c r="A3799" s="187">
        <v>2020</v>
      </c>
      <c r="B3799" t="s">
        <v>316</v>
      </c>
      <c r="C3799" t="s">
        <v>323</v>
      </c>
      <c r="D3799" t="s">
        <v>35</v>
      </c>
      <c r="E3799" t="s">
        <v>349</v>
      </c>
      <c r="F3799" t="s">
        <v>399</v>
      </c>
      <c r="G3799" t="s">
        <v>36</v>
      </c>
      <c r="H3799" t="s">
        <v>43</v>
      </c>
      <c r="I3799" s="187">
        <v>0</v>
      </c>
      <c r="J3799" s="187">
        <v>181.739883374892</v>
      </c>
      <c r="K3799" s="187">
        <v>1.0250680093631184</v>
      </c>
      <c r="L3799" s="187">
        <v>0</v>
      </c>
      <c r="M3799" s="187">
        <v>182.76495361328125</v>
      </c>
      <c r="N3799" s="187">
        <v>0</v>
      </c>
      <c r="O3799" t="s">
        <v>4254</v>
      </c>
    </row>
    <row r="3800" spans="1:15" hidden="1" x14ac:dyDescent="0.45">
      <c r="A3800" s="187">
        <v>2020</v>
      </c>
      <c r="B3800" t="s">
        <v>315</v>
      </c>
      <c r="C3800" t="s">
        <v>323</v>
      </c>
      <c r="D3800" t="s">
        <v>35</v>
      </c>
      <c r="E3800" t="s">
        <v>349</v>
      </c>
      <c r="F3800" t="s">
        <v>400</v>
      </c>
      <c r="G3800" t="s">
        <v>36</v>
      </c>
      <c r="H3800" t="s">
        <v>43</v>
      </c>
      <c r="I3800" s="187">
        <v>0</v>
      </c>
      <c r="J3800" s="187">
        <v>151.79485644879023</v>
      </c>
      <c r="K3800" s="187">
        <v>3.040745217994319E-2</v>
      </c>
      <c r="L3800" s="187">
        <v>0</v>
      </c>
      <c r="M3800" s="187">
        <v>151.82527160644531</v>
      </c>
      <c r="N3800" s="187">
        <v>0</v>
      </c>
      <c r="O3800" t="s">
        <v>4264</v>
      </c>
    </row>
    <row r="3801" spans="1:15" hidden="1" x14ac:dyDescent="0.45">
      <c r="A3801" s="187">
        <v>2020</v>
      </c>
      <c r="B3801" t="s">
        <v>312</v>
      </c>
      <c r="C3801" t="s">
        <v>323</v>
      </c>
      <c r="D3801" t="s">
        <v>35</v>
      </c>
      <c r="E3801" t="s">
        <v>349</v>
      </c>
      <c r="F3801" t="s">
        <v>400</v>
      </c>
      <c r="G3801" t="s">
        <v>36</v>
      </c>
      <c r="H3801" t="s">
        <v>43</v>
      </c>
      <c r="I3801" s="187">
        <v>0</v>
      </c>
      <c r="J3801" s="187">
        <v>160.75465067393424</v>
      </c>
      <c r="K3801" s="187">
        <v>4.6758331259937744</v>
      </c>
      <c r="L3801" s="187">
        <v>0</v>
      </c>
      <c r="M3801" s="187">
        <v>165.43048095703125</v>
      </c>
      <c r="N3801" s="187">
        <v>0</v>
      </c>
      <c r="O3801" t="s">
        <v>4261</v>
      </c>
    </row>
    <row r="3802" spans="1:15" hidden="1" x14ac:dyDescent="0.45">
      <c r="A3802" s="187">
        <v>2020</v>
      </c>
      <c r="B3802" t="s">
        <v>313</v>
      </c>
      <c r="C3802" t="s">
        <v>323</v>
      </c>
      <c r="D3802" t="s">
        <v>35</v>
      </c>
      <c r="E3802" t="s">
        <v>349</v>
      </c>
      <c r="F3802" t="s">
        <v>400</v>
      </c>
      <c r="G3802" t="s">
        <v>36</v>
      </c>
      <c r="H3802" t="s">
        <v>43</v>
      </c>
      <c r="I3802" s="187">
        <v>0</v>
      </c>
      <c r="J3802" s="187">
        <v>179.68378117980942</v>
      </c>
      <c r="K3802" s="187">
        <v>1.9824555728449045</v>
      </c>
      <c r="L3802" s="187">
        <v>0</v>
      </c>
      <c r="M3802" s="187">
        <v>181.66622924804688</v>
      </c>
      <c r="N3802" s="187">
        <v>0</v>
      </c>
      <c r="O3802" t="s">
        <v>4263</v>
      </c>
    </row>
    <row r="3803" spans="1:15" hidden="1" x14ac:dyDescent="0.45">
      <c r="A3803" s="187">
        <v>2020</v>
      </c>
      <c r="B3803" t="s">
        <v>314</v>
      </c>
      <c r="C3803" t="s">
        <v>323</v>
      </c>
      <c r="D3803" t="s">
        <v>35</v>
      </c>
      <c r="E3803" t="s">
        <v>349</v>
      </c>
      <c r="F3803" t="s">
        <v>400</v>
      </c>
      <c r="G3803" t="s">
        <v>36</v>
      </c>
      <c r="H3803" t="s">
        <v>43</v>
      </c>
      <c r="I3803" s="187">
        <v>0</v>
      </c>
      <c r="J3803" s="187">
        <v>168.89899585934046</v>
      </c>
      <c r="K3803" s="187">
        <v>1.8895055385924826</v>
      </c>
      <c r="L3803" s="187"/>
      <c r="M3803" s="187">
        <v>170.78851318359375</v>
      </c>
      <c r="N3803" s="187">
        <v>0</v>
      </c>
      <c r="O3803" t="s">
        <v>4262</v>
      </c>
    </row>
    <row r="3804" spans="1:15" hidden="1" x14ac:dyDescent="0.45">
      <c r="A3804" s="187">
        <v>2020</v>
      </c>
      <c r="B3804" t="s">
        <v>316</v>
      </c>
      <c r="C3804" t="s">
        <v>323</v>
      </c>
      <c r="D3804" t="s">
        <v>35</v>
      </c>
      <c r="E3804" t="s">
        <v>349</v>
      </c>
      <c r="F3804" t="s">
        <v>400</v>
      </c>
      <c r="G3804" t="s">
        <v>36</v>
      </c>
      <c r="H3804" t="s">
        <v>43</v>
      </c>
      <c r="I3804" s="187">
        <v>0</v>
      </c>
      <c r="J3804" s="187">
        <v>33.043615159071273</v>
      </c>
      <c r="K3804" s="187">
        <v>0.47398730471449829</v>
      </c>
      <c r="L3804" s="187">
        <v>0</v>
      </c>
      <c r="M3804" s="187">
        <v>33.517601013183594</v>
      </c>
      <c r="N3804" s="187">
        <v>0</v>
      </c>
      <c r="O3804" t="s">
        <v>4259</v>
      </c>
    </row>
    <row r="3805" spans="1:15" hidden="1" x14ac:dyDescent="0.45">
      <c r="A3805" s="187">
        <v>2020</v>
      </c>
      <c r="B3805" t="s">
        <v>311</v>
      </c>
      <c r="C3805" t="s">
        <v>323</v>
      </c>
      <c r="D3805" t="s">
        <v>35</v>
      </c>
      <c r="E3805" t="s">
        <v>349</v>
      </c>
      <c r="F3805" t="s">
        <v>400</v>
      </c>
      <c r="G3805" t="s">
        <v>36</v>
      </c>
      <c r="H3805" t="s">
        <v>43</v>
      </c>
      <c r="I3805" s="187"/>
      <c r="J3805" s="187">
        <v>165.78823594515052</v>
      </c>
      <c r="K3805" s="187">
        <v>9.3965550463018452</v>
      </c>
      <c r="L3805" s="187">
        <v>0</v>
      </c>
      <c r="M3805" s="187">
        <v>175.18479919433594</v>
      </c>
      <c r="N3805" s="187">
        <v>0</v>
      </c>
      <c r="O3805" t="s">
        <v>4260</v>
      </c>
    </row>
    <row r="3806" spans="1:15" hidden="1" x14ac:dyDescent="0.45">
      <c r="A3806" s="187">
        <v>2020</v>
      </c>
      <c r="B3806" t="s">
        <v>313</v>
      </c>
      <c r="C3806" t="s">
        <v>323</v>
      </c>
      <c r="D3806" t="s">
        <v>35</v>
      </c>
      <c r="E3806" t="s">
        <v>349</v>
      </c>
      <c r="F3806" t="s">
        <v>401</v>
      </c>
      <c r="G3806" t="s">
        <v>36</v>
      </c>
      <c r="H3806" t="s">
        <v>43</v>
      </c>
      <c r="I3806" s="187">
        <v>0</v>
      </c>
      <c r="J3806" s="187">
        <v>0</v>
      </c>
      <c r="K3806" s="187">
        <v>9.7332878239256293E-3</v>
      </c>
      <c r="L3806" s="187">
        <v>0</v>
      </c>
      <c r="M3806" s="187">
        <v>9.7332876175642014E-3</v>
      </c>
      <c r="N3806" s="187">
        <v>0</v>
      </c>
      <c r="O3806" t="s">
        <v>4266</v>
      </c>
    </row>
    <row r="3807" spans="1:15" hidden="1" x14ac:dyDescent="0.45">
      <c r="A3807" s="187">
        <v>2020</v>
      </c>
      <c r="B3807" t="s">
        <v>311</v>
      </c>
      <c r="C3807" t="s">
        <v>323</v>
      </c>
      <c r="D3807" t="s">
        <v>35</v>
      </c>
      <c r="E3807" t="s">
        <v>349</v>
      </c>
      <c r="F3807" t="s">
        <v>401</v>
      </c>
      <c r="G3807" t="s">
        <v>36</v>
      </c>
      <c r="H3807" t="s">
        <v>43</v>
      </c>
      <c r="I3807" s="187"/>
      <c r="J3807" s="187">
        <v>0</v>
      </c>
      <c r="K3807" s="187">
        <v>3.380948253534595E-2</v>
      </c>
      <c r="L3807" s="187">
        <v>0</v>
      </c>
      <c r="M3807" s="187">
        <v>3.3809483051300049E-2</v>
      </c>
      <c r="N3807" s="187">
        <v>0</v>
      </c>
      <c r="O3807" t="s">
        <v>4270</v>
      </c>
    </row>
    <row r="3808" spans="1:15" hidden="1" x14ac:dyDescent="0.45">
      <c r="A3808" s="187">
        <v>2020</v>
      </c>
      <c r="B3808" t="s">
        <v>312</v>
      </c>
      <c r="C3808" t="s">
        <v>323</v>
      </c>
      <c r="D3808" t="s">
        <v>35</v>
      </c>
      <c r="E3808" t="s">
        <v>349</v>
      </c>
      <c r="F3808" t="s">
        <v>401</v>
      </c>
      <c r="G3808" t="s">
        <v>36</v>
      </c>
      <c r="H3808" t="s">
        <v>43</v>
      </c>
      <c r="I3808" s="187">
        <v>0</v>
      </c>
      <c r="J3808" s="187">
        <v>0</v>
      </c>
      <c r="K3808" s="187">
        <v>1.8124147781395754E-2</v>
      </c>
      <c r="L3808" s="187">
        <v>0</v>
      </c>
      <c r="M3808" s="187">
        <v>1.812414824962616E-2</v>
      </c>
      <c r="N3808" s="187">
        <v>0</v>
      </c>
      <c r="O3808" t="s">
        <v>4265</v>
      </c>
    </row>
    <row r="3809" spans="1:15" hidden="1" x14ac:dyDescent="0.45">
      <c r="A3809" s="187">
        <v>2020</v>
      </c>
      <c r="B3809" t="s">
        <v>314</v>
      </c>
      <c r="C3809" t="s">
        <v>323</v>
      </c>
      <c r="D3809" t="s">
        <v>35</v>
      </c>
      <c r="E3809" t="s">
        <v>349</v>
      </c>
      <c r="F3809" t="s">
        <v>401</v>
      </c>
      <c r="G3809" t="s">
        <v>36</v>
      </c>
      <c r="H3809" t="s">
        <v>43</v>
      </c>
      <c r="I3809" s="187">
        <v>0</v>
      </c>
      <c r="J3809" s="187">
        <v>0</v>
      </c>
      <c r="K3809" s="187">
        <v>9.2769298358753218E-3</v>
      </c>
      <c r="L3809" s="187"/>
      <c r="M3809" s="187">
        <v>9.2769302427768707E-3</v>
      </c>
      <c r="N3809" s="187">
        <v>0</v>
      </c>
      <c r="O3809" t="s">
        <v>4267</v>
      </c>
    </row>
    <row r="3810" spans="1:15" hidden="1" x14ac:dyDescent="0.45">
      <c r="A3810" s="187">
        <v>2020</v>
      </c>
      <c r="B3810" t="s">
        <v>315</v>
      </c>
      <c r="C3810" t="s">
        <v>323</v>
      </c>
      <c r="D3810" t="s">
        <v>35</v>
      </c>
      <c r="E3810" t="s">
        <v>349</v>
      </c>
      <c r="F3810" t="s">
        <v>401</v>
      </c>
      <c r="G3810" t="s">
        <v>36</v>
      </c>
      <c r="H3810" t="s">
        <v>43</v>
      </c>
      <c r="I3810" s="187">
        <v>0</v>
      </c>
      <c r="J3810" s="187">
        <v>0</v>
      </c>
      <c r="K3810" s="187">
        <v>1.7815016945969849E-4</v>
      </c>
      <c r="L3810" s="187">
        <v>0</v>
      </c>
      <c r="M3810" s="187">
        <v>1.7815016326494515E-4</v>
      </c>
      <c r="N3810" s="187">
        <v>0</v>
      </c>
      <c r="O3810" t="s">
        <v>4268</v>
      </c>
    </row>
    <row r="3811" spans="1:15" hidden="1" x14ac:dyDescent="0.45">
      <c r="A3811" s="187">
        <v>2020</v>
      </c>
      <c r="B3811" t="s">
        <v>316</v>
      </c>
      <c r="C3811" t="s">
        <v>323</v>
      </c>
      <c r="D3811" t="s">
        <v>35</v>
      </c>
      <c r="E3811" t="s">
        <v>349</v>
      </c>
      <c r="F3811" t="s">
        <v>401</v>
      </c>
      <c r="G3811" t="s">
        <v>36</v>
      </c>
      <c r="H3811" t="s">
        <v>43</v>
      </c>
      <c r="I3811" s="187">
        <v>0</v>
      </c>
      <c r="J3811" s="187"/>
      <c r="K3811" s="187">
        <v>3.9063652794607421E-3</v>
      </c>
      <c r="L3811" s="187">
        <v>0</v>
      </c>
      <c r="M3811" s="187">
        <v>3.9063654839992523E-3</v>
      </c>
      <c r="N3811" s="187">
        <v>0</v>
      </c>
      <c r="O3811" t="s">
        <v>4269</v>
      </c>
    </row>
    <row r="3812" spans="1:15" hidden="1" x14ac:dyDescent="0.45">
      <c r="A3812" s="187">
        <v>2020</v>
      </c>
      <c r="B3812" t="s">
        <v>311</v>
      </c>
      <c r="C3812" t="s">
        <v>323</v>
      </c>
      <c r="D3812" t="s">
        <v>35</v>
      </c>
      <c r="E3812" t="s">
        <v>349</v>
      </c>
      <c r="F3812" t="s">
        <v>402</v>
      </c>
      <c r="G3812" t="s">
        <v>36</v>
      </c>
      <c r="H3812" t="s">
        <v>43</v>
      </c>
      <c r="I3812" s="187"/>
      <c r="J3812" s="187">
        <v>0</v>
      </c>
      <c r="K3812" s="187">
        <v>17.495452684900641</v>
      </c>
      <c r="L3812" s="187">
        <v>0</v>
      </c>
      <c r="M3812" s="187">
        <v>17.495452880859375</v>
      </c>
      <c r="N3812" s="187">
        <v>0</v>
      </c>
      <c r="O3812" t="s">
        <v>4273</v>
      </c>
    </row>
    <row r="3813" spans="1:15" hidden="1" x14ac:dyDescent="0.45">
      <c r="A3813" s="187">
        <v>2020</v>
      </c>
      <c r="B3813" t="s">
        <v>313</v>
      </c>
      <c r="C3813" t="s">
        <v>323</v>
      </c>
      <c r="D3813" t="s">
        <v>35</v>
      </c>
      <c r="E3813" t="s">
        <v>349</v>
      </c>
      <c r="F3813" t="s">
        <v>402</v>
      </c>
      <c r="G3813" t="s">
        <v>36</v>
      </c>
      <c r="H3813" t="s">
        <v>43</v>
      </c>
      <c r="I3813" s="187">
        <v>0</v>
      </c>
      <c r="J3813" s="187">
        <v>0</v>
      </c>
      <c r="K3813" s="187">
        <v>6.0834591428685103</v>
      </c>
      <c r="L3813" s="187">
        <v>0</v>
      </c>
      <c r="M3813" s="187">
        <v>6.0834593772888184</v>
      </c>
      <c r="N3813" s="187">
        <v>0</v>
      </c>
      <c r="O3813" t="s">
        <v>4271</v>
      </c>
    </row>
    <row r="3814" spans="1:15" hidden="1" x14ac:dyDescent="0.45">
      <c r="A3814" s="187">
        <v>2020</v>
      </c>
      <c r="B3814" t="s">
        <v>312</v>
      </c>
      <c r="C3814" t="s">
        <v>323</v>
      </c>
      <c r="D3814" t="s">
        <v>35</v>
      </c>
      <c r="E3814" t="s">
        <v>349</v>
      </c>
      <c r="F3814" t="s">
        <v>402</v>
      </c>
      <c r="G3814" t="s">
        <v>36</v>
      </c>
      <c r="H3814" t="s">
        <v>43</v>
      </c>
      <c r="I3814" s="187">
        <v>0</v>
      </c>
      <c r="J3814" s="187">
        <v>0</v>
      </c>
      <c r="K3814" s="187">
        <v>9.7557770119057601</v>
      </c>
      <c r="L3814" s="187">
        <v>0</v>
      </c>
      <c r="M3814" s="187">
        <v>9.7557773590087891</v>
      </c>
      <c r="N3814" s="187">
        <v>0</v>
      </c>
      <c r="O3814" t="s">
        <v>4276</v>
      </c>
    </row>
    <row r="3815" spans="1:15" hidden="1" x14ac:dyDescent="0.45">
      <c r="A3815" s="187">
        <v>2020</v>
      </c>
      <c r="B3815" t="s">
        <v>314</v>
      </c>
      <c r="C3815" t="s">
        <v>323</v>
      </c>
      <c r="D3815" t="s">
        <v>35</v>
      </c>
      <c r="E3815" t="s">
        <v>349</v>
      </c>
      <c r="F3815" t="s">
        <v>402</v>
      </c>
      <c r="G3815" t="s">
        <v>36</v>
      </c>
      <c r="H3815" t="s">
        <v>43</v>
      </c>
      <c r="I3815" s="187">
        <v>0</v>
      </c>
      <c r="J3815" s="187">
        <v>0</v>
      </c>
      <c r="K3815" s="187">
        <v>57.499600852940496</v>
      </c>
      <c r="L3815" s="187">
        <v>0</v>
      </c>
      <c r="M3815" s="187">
        <v>57.499599456787109</v>
      </c>
      <c r="N3815" s="187">
        <v>0</v>
      </c>
      <c r="O3815" t="s">
        <v>4272</v>
      </c>
    </row>
    <row r="3816" spans="1:15" hidden="1" x14ac:dyDescent="0.45">
      <c r="A3816" s="187">
        <v>2020</v>
      </c>
      <c r="B3816" t="s">
        <v>315</v>
      </c>
      <c r="C3816" t="s">
        <v>323</v>
      </c>
      <c r="D3816" t="s">
        <v>35</v>
      </c>
      <c r="E3816" t="s">
        <v>349</v>
      </c>
      <c r="F3816" t="s">
        <v>402</v>
      </c>
      <c r="G3816" t="s">
        <v>36</v>
      </c>
      <c r="H3816" t="s">
        <v>43</v>
      </c>
      <c r="I3816" s="187">
        <v>0</v>
      </c>
      <c r="J3816" s="187">
        <v>0</v>
      </c>
      <c r="K3816" s="187">
        <v>0.11417197193757096</v>
      </c>
      <c r="L3816" s="187">
        <v>0</v>
      </c>
      <c r="M3816" s="187">
        <v>0.11417197436094284</v>
      </c>
      <c r="N3816" s="187">
        <v>0</v>
      </c>
      <c r="O3816" t="s">
        <v>4274</v>
      </c>
    </row>
    <row r="3817" spans="1:15" hidden="1" x14ac:dyDescent="0.45">
      <c r="A3817" s="187">
        <v>2020</v>
      </c>
      <c r="B3817" t="s">
        <v>316</v>
      </c>
      <c r="C3817" t="s">
        <v>323</v>
      </c>
      <c r="D3817" t="s">
        <v>35</v>
      </c>
      <c r="E3817" t="s">
        <v>349</v>
      </c>
      <c r="F3817" t="s">
        <v>402</v>
      </c>
      <c r="G3817" t="s">
        <v>36</v>
      </c>
      <c r="H3817" t="s">
        <v>43</v>
      </c>
      <c r="I3817" s="187">
        <v>0</v>
      </c>
      <c r="J3817" s="187"/>
      <c r="K3817" s="187">
        <v>3.0983884331750837</v>
      </c>
      <c r="L3817" s="187">
        <v>0</v>
      </c>
      <c r="M3817" s="187">
        <v>3.0983884334564209</v>
      </c>
      <c r="N3817" s="187">
        <v>0</v>
      </c>
      <c r="O3817" t="s">
        <v>4275</v>
      </c>
    </row>
    <row r="3818" spans="1:15" hidden="1" x14ac:dyDescent="0.45">
      <c r="A3818" s="187">
        <v>2020</v>
      </c>
      <c r="B3818" t="s">
        <v>315</v>
      </c>
      <c r="C3818" t="s">
        <v>323</v>
      </c>
      <c r="D3818" t="s">
        <v>35</v>
      </c>
      <c r="E3818" t="s">
        <v>349</v>
      </c>
      <c r="F3818" t="s">
        <v>403</v>
      </c>
      <c r="G3818" t="s">
        <v>36</v>
      </c>
      <c r="H3818" t="s">
        <v>43</v>
      </c>
      <c r="I3818" s="187">
        <v>3636.2797701538557</v>
      </c>
      <c r="J3818" s="187">
        <v>28.319935904625044</v>
      </c>
      <c r="K3818" s="187">
        <v>1437.4908013939253</v>
      </c>
      <c r="L3818" s="187">
        <v>1591.5803978399276</v>
      </c>
      <c r="M3818" s="187">
        <v>6693.6708984375</v>
      </c>
      <c r="N3818" s="187">
        <v>5227.8603515625</v>
      </c>
      <c r="O3818" t="s">
        <v>4280</v>
      </c>
    </row>
    <row r="3819" spans="1:15" hidden="1" x14ac:dyDescent="0.45">
      <c r="A3819" s="187">
        <v>2020</v>
      </c>
      <c r="B3819" t="s">
        <v>313</v>
      </c>
      <c r="C3819" t="s">
        <v>323</v>
      </c>
      <c r="D3819" t="s">
        <v>35</v>
      </c>
      <c r="E3819" t="s">
        <v>349</v>
      </c>
      <c r="F3819" t="s">
        <v>403</v>
      </c>
      <c r="G3819" t="s">
        <v>36</v>
      </c>
      <c r="H3819" t="s">
        <v>43</v>
      </c>
      <c r="I3819" s="187">
        <v>3665.5491360681121</v>
      </c>
      <c r="J3819" s="187">
        <v>0</v>
      </c>
      <c r="K3819" s="187">
        <v>1552.3165367699912</v>
      </c>
      <c r="L3819" s="187">
        <v>1296.119008243692</v>
      </c>
      <c r="M3819" s="187">
        <v>6513.98486328125</v>
      </c>
      <c r="N3819" s="187">
        <v>4961.66796875</v>
      </c>
      <c r="O3819" t="s">
        <v>4281</v>
      </c>
    </row>
    <row r="3820" spans="1:15" hidden="1" x14ac:dyDescent="0.45">
      <c r="A3820" s="187">
        <v>2020</v>
      </c>
      <c r="B3820" t="s">
        <v>314</v>
      </c>
      <c r="C3820" t="s">
        <v>323</v>
      </c>
      <c r="D3820" t="s">
        <v>35</v>
      </c>
      <c r="E3820" t="s">
        <v>349</v>
      </c>
      <c r="F3820" t="s">
        <v>403</v>
      </c>
      <c r="G3820" t="s">
        <v>36</v>
      </c>
      <c r="H3820" t="s">
        <v>43</v>
      </c>
      <c r="I3820" s="187">
        <v>3739.0743221274683</v>
      </c>
      <c r="J3820" s="187">
        <v>0</v>
      </c>
      <c r="K3820" s="187">
        <v>1574.6035788102909</v>
      </c>
      <c r="L3820" s="187">
        <v>1283.6323685309876</v>
      </c>
      <c r="M3820" s="187">
        <v>6597.31005859375</v>
      </c>
      <c r="N3820" s="187">
        <v>5022.70654296875</v>
      </c>
      <c r="O3820" t="s">
        <v>4282</v>
      </c>
    </row>
    <row r="3821" spans="1:15" hidden="1" x14ac:dyDescent="0.45">
      <c r="A3821" s="187">
        <v>2020</v>
      </c>
      <c r="B3821" t="s">
        <v>312</v>
      </c>
      <c r="C3821" t="s">
        <v>323</v>
      </c>
      <c r="D3821" t="s">
        <v>35</v>
      </c>
      <c r="E3821" t="s">
        <v>349</v>
      </c>
      <c r="F3821" t="s">
        <v>403</v>
      </c>
      <c r="G3821" t="s">
        <v>36</v>
      </c>
      <c r="H3821" t="s">
        <v>43</v>
      </c>
      <c r="I3821" s="187">
        <v>3783.917162017221</v>
      </c>
      <c r="J3821" s="187">
        <v>0</v>
      </c>
      <c r="K3821" s="187">
        <v>1870.7028772458495</v>
      </c>
      <c r="L3821" s="187">
        <v>1330.553877885794</v>
      </c>
      <c r="M3821" s="187">
        <v>6985.173828125</v>
      </c>
      <c r="N3821" s="187">
        <v>5114.47119140625</v>
      </c>
      <c r="O3821" t="s">
        <v>4279</v>
      </c>
    </row>
    <row r="3822" spans="1:15" hidden="1" x14ac:dyDescent="0.45">
      <c r="A3822" s="187">
        <v>2020</v>
      </c>
      <c r="B3822" t="s">
        <v>316</v>
      </c>
      <c r="C3822" t="s">
        <v>323</v>
      </c>
      <c r="D3822" t="s">
        <v>35</v>
      </c>
      <c r="E3822" t="s">
        <v>349</v>
      </c>
      <c r="F3822" t="s">
        <v>403</v>
      </c>
      <c r="G3822" t="s">
        <v>36</v>
      </c>
      <c r="H3822" t="s">
        <v>43</v>
      </c>
      <c r="I3822" s="187">
        <v>3518.9013319880469</v>
      </c>
      <c r="J3822" s="187"/>
      <c r="K3822" s="187">
        <v>2065.1800562687681</v>
      </c>
      <c r="L3822" s="187">
        <v>1297.5126219128654</v>
      </c>
      <c r="M3822" s="187">
        <v>6881.59423828125</v>
      </c>
      <c r="N3822" s="187">
        <v>4816.4140625</v>
      </c>
      <c r="O3822" t="s">
        <v>4278</v>
      </c>
    </row>
    <row r="3823" spans="1:15" hidden="1" x14ac:dyDescent="0.45">
      <c r="A3823" s="187">
        <v>2020</v>
      </c>
      <c r="B3823" t="s">
        <v>311</v>
      </c>
      <c r="C3823" t="s">
        <v>323</v>
      </c>
      <c r="D3823" t="s">
        <v>35</v>
      </c>
      <c r="E3823" t="s">
        <v>349</v>
      </c>
      <c r="F3823" t="s">
        <v>403</v>
      </c>
      <c r="G3823" t="s">
        <v>36</v>
      </c>
      <c r="H3823" t="s">
        <v>43</v>
      </c>
      <c r="I3823" s="187"/>
      <c r="J3823" s="187">
        <v>0</v>
      </c>
      <c r="K3823" s="187">
        <v>2756.3453816040128</v>
      </c>
      <c r="L3823" s="187">
        <v>2829.8776581714537</v>
      </c>
      <c r="M3823" s="187">
        <v>5586.22314453125</v>
      </c>
      <c r="N3823" s="187">
        <v>2829.877685546875</v>
      </c>
      <c r="O3823" t="s">
        <v>4277</v>
      </c>
    </row>
    <row r="3824" spans="1:15" hidden="1" x14ac:dyDescent="0.45">
      <c r="A3824" s="187">
        <v>2020</v>
      </c>
      <c r="B3824" t="s">
        <v>313</v>
      </c>
      <c r="C3824" t="s">
        <v>323</v>
      </c>
      <c r="D3824" t="s">
        <v>35</v>
      </c>
      <c r="E3824" t="s">
        <v>349</v>
      </c>
      <c r="F3824" t="s">
        <v>404</v>
      </c>
      <c r="G3824" t="s">
        <v>36</v>
      </c>
      <c r="H3824" t="s">
        <v>43</v>
      </c>
      <c r="I3824" s="187">
        <v>3665.5491360681121</v>
      </c>
      <c r="J3824" s="187">
        <v>0</v>
      </c>
      <c r="K3824" s="187">
        <v>2377.9516100618757</v>
      </c>
      <c r="L3824" s="187">
        <v>1413.5124119478342</v>
      </c>
      <c r="M3824" s="187">
        <v>7457.0126953125</v>
      </c>
      <c r="N3824" s="187">
        <v>5079.0615234375</v>
      </c>
      <c r="O3824" t="s">
        <v>4287</v>
      </c>
    </row>
    <row r="3825" spans="1:15" hidden="1" x14ac:dyDescent="0.45">
      <c r="A3825" s="187">
        <v>2020</v>
      </c>
      <c r="B3825" t="s">
        <v>311</v>
      </c>
      <c r="C3825" t="s">
        <v>323</v>
      </c>
      <c r="D3825" t="s">
        <v>35</v>
      </c>
      <c r="E3825" t="s">
        <v>349</v>
      </c>
      <c r="F3825" t="s">
        <v>404</v>
      </c>
      <c r="G3825" t="s">
        <v>36</v>
      </c>
      <c r="H3825" t="s">
        <v>43</v>
      </c>
      <c r="I3825" s="187"/>
      <c r="J3825" s="187">
        <v>0</v>
      </c>
      <c r="K3825" s="187">
        <v>3969.9565403780089</v>
      </c>
      <c r="L3825" s="187">
        <v>2891.0917760588941</v>
      </c>
      <c r="M3825" s="187">
        <v>6861.04833984375</v>
      </c>
      <c r="N3825" s="187">
        <v>2891.091796875</v>
      </c>
      <c r="O3825" t="s">
        <v>4283</v>
      </c>
    </row>
    <row r="3826" spans="1:15" hidden="1" x14ac:dyDescent="0.45">
      <c r="A3826" s="187">
        <v>2020</v>
      </c>
      <c r="B3826" t="s">
        <v>312</v>
      </c>
      <c r="C3826" t="s">
        <v>323</v>
      </c>
      <c r="D3826" t="s">
        <v>35</v>
      </c>
      <c r="E3826" t="s">
        <v>349</v>
      </c>
      <c r="F3826" t="s">
        <v>404</v>
      </c>
      <c r="G3826" t="s">
        <v>36</v>
      </c>
      <c r="H3826" t="s">
        <v>43</v>
      </c>
      <c r="I3826" s="187">
        <v>3783.917162017221</v>
      </c>
      <c r="J3826" s="187">
        <v>0</v>
      </c>
      <c r="K3826" s="187">
        <v>2689.3100443464268</v>
      </c>
      <c r="L3826" s="187">
        <v>1451.7381530092214</v>
      </c>
      <c r="M3826" s="187">
        <v>7924.96533203125</v>
      </c>
      <c r="N3826" s="187">
        <v>5235.6552734375</v>
      </c>
      <c r="O3826" t="s">
        <v>4286</v>
      </c>
    </row>
    <row r="3827" spans="1:15" hidden="1" x14ac:dyDescent="0.45">
      <c r="A3827" s="187">
        <v>2020</v>
      </c>
      <c r="B3827" t="s">
        <v>316</v>
      </c>
      <c r="C3827" t="s">
        <v>323</v>
      </c>
      <c r="D3827" t="s">
        <v>35</v>
      </c>
      <c r="E3827" t="s">
        <v>349</v>
      </c>
      <c r="F3827" t="s">
        <v>404</v>
      </c>
      <c r="G3827" t="s">
        <v>36</v>
      </c>
      <c r="H3827" t="s">
        <v>43</v>
      </c>
      <c r="I3827" s="187">
        <v>3518.9013319880469</v>
      </c>
      <c r="J3827" s="187">
        <v>0</v>
      </c>
      <c r="K3827" s="187">
        <v>3023.9537576028993</v>
      </c>
      <c r="L3827" s="187">
        <v>1450.6147054832288</v>
      </c>
      <c r="M3827" s="187">
        <v>7993.4697265625</v>
      </c>
      <c r="N3827" s="187">
        <v>4969.51611328125</v>
      </c>
      <c r="O3827" t="s">
        <v>4284</v>
      </c>
    </row>
    <row r="3828" spans="1:15" hidden="1" x14ac:dyDescent="0.45">
      <c r="A3828" s="187">
        <v>2020</v>
      </c>
      <c r="B3828" t="s">
        <v>315</v>
      </c>
      <c r="C3828" t="s">
        <v>323</v>
      </c>
      <c r="D3828" t="s">
        <v>35</v>
      </c>
      <c r="E3828" t="s">
        <v>349</v>
      </c>
      <c r="F3828" t="s">
        <v>404</v>
      </c>
      <c r="G3828" t="s">
        <v>36</v>
      </c>
      <c r="H3828" t="s">
        <v>43</v>
      </c>
      <c r="I3828" s="187">
        <v>3636.2797701538557</v>
      </c>
      <c r="J3828" s="187">
        <v>73.631833352025112</v>
      </c>
      <c r="K3828" s="187">
        <v>2517.1240327268551</v>
      </c>
      <c r="L3828" s="187">
        <v>1874.7797568861779</v>
      </c>
      <c r="M3828" s="187">
        <v>8101.8154296875</v>
      </c>
      <c r="N3828" s="187">
        <v>5511.0595703125</v>
      </c>
      <c r="O3828" t="s">
        <v>4288</v>
      </c>
    </row>
    <row r="3829" spans="1:15" hidden="1" x14ac:dyDescent="0.45">
      <c r="A3829" s="187">
        <v>2020</v>
      </c>
      <c r="B3829" t="s">
        <v>314</v>
      </c>
      <c r="C3829" t="s">
        <v>323</v>
      </c>
      <c r="D3829" t="s">
        <v>35</v>
      </c>
      <c r="E3829" t="s">
        <v>349</v>
      </c>
      <c r="F3829" t="s">
        <v>404</v>
      </c>
      <c r="G3829" t="s">
        <v>36</v>
      </c>
      <c r="H3829" t="s">
        <v>43</v>
      </c>
      <c r="I3829" s="187">
        <v>3739.0743221274683</v>
      </c>
      <c r="J3829" s="187">
        <v>0</v>
      </c>
      <c r="K3829" s="187">
        <v>2627.9398859629409</v>
      </c>
      <c r="L3829" s="187">
        <v>1400.1144346408776</v>
      </c>
      <c r="M3829" s="187">
        <v>7767.12841796875</v>
      </c>
      <c r="N3829" s="187">
        <v>5139.1884765625</v>
      </c>
      <c r="O3829" t="s">
        <v>4285</v>
      </c>
    </row>
    <row r="3830" spans="1:15" hidden="1" x14ac:dyDescent="0.45">
      <c r="A3830" s="187">
        <v>2020</v>
      </c>
      <c r="B3830" t="s">
        <v>312</v>
      </c>
      <c r="C3830" t="s">
        <v>323</v>
      </c>
      <c r="D3830" t="s">
        <v>35</v>
      </c>
      <c r="E3830" t="s">
        <v>349</v>
      </c>
      <c r="F3830" t="s">
        <v>405</v>
      </c>
      <c r="G3830" t="s">
        <v>36</v>
      </c>
      <c r="H3830" t="s">
        <v>43</v>
      </c>
      <c r="I3830" s="187">
        <v>0</v>
      </c>
      <c r="J3830" s="187">
        <v>0</v>
      </c>
      <c r="K3830" s="187">
        <v>807.34102999595859</v>
      </c>
      <c r="L3830" s="187">
        <v>0</v>
      </c>
      <c r="M3830" s="187">
        <v>807.34100341796875</v>
      </c>
      <c r="N3830" s="187">
        <v>0</v>
      </c>
      <c r="O3830" t="s">
        <v>4293</v>
      </c>
    </row>
    <row r="3831" spans="1:15" hidden="1" x14ac:dyDescent="0.45">
      <c r="A3831" s="187">
        <v>2020</v>
      </c>
      <c r="B3831" t="s">
        <v>314</v>
      </c>
      <c r="C3831" t="s">
        <v>323</v>
      </c>
      <c r="D3831" t="s">
        <v>35</v>
      </c>
      <c r="E3831" t="s">
        <v>349</v>
      </c>
      <c r="F3831" t="s">
        <v>405</v>
      </c>
      <c r="G3831" t="s">
        <v>36</v>
      </c>
      <c r="H3831" t="s">
        <v>43</v>
      </c>
      <c r="I3831" s="187">
        <v>0</v>
      </c>
      <c r="J3831" s="187">
        <v>0</v>
      </c>
      <c r="K3831" s="187">
        <v>994.91187138372732</v>
      </c>
      <c r="L3831" s="187">
        <v>0</v>
      </c>
      <c r="M3831" s="187">
        <v>994.911865234375</v>
      </c>
      <c r="N3831" s="187">
        <v>0</v>
      </c>
      <c r="O3831" t="s">
        <v>4290</v>
      </c>
    </row>
    <row r="3832" spans="1:15" hidden="1" x14ac:dyDescent="0.45">
      <c r="A3832" s="187">
        <v>2020</v>
      </c>
      <c r="B3832" t="s">
        <v>315</v>
      </c>
      <c r="C3832" t="s">
        <v>323</v>
      </c>
      <c r="D3832" t="s">
        <v>35</v>
      </c>
      <c r="E3832" t="s">
        <v>349</v>
      </c>
      <c r="F3832" t="s">
        <v>405</v>
      </c>
      <c r="G3832" t="s">
        <v>36</v>
      </c>
      <c r="H3832" t="s">
        <v>43</v>
      </c>
      <c r="I3832" s="187">
        <v>0</v>
      </c>
      <c r="J3832" s="187">
        <v>0</v>
      </c>
      <c r="K3832" s="187">
        <v>809.23371711045343</v>
      </c>
      <c r="L3832" s="187">
        <v>0</v>
      </c>
      <c r="M3832" s="187">
        <v>809.23370361328125</v>
      </c>
      <c r="N3832" s="187">
        <v>0</v>
      </c>
      <c r="O3832" t="s">
        <v>4289</v>
      </c>
    </row>
    <row r="3833" spans="1:15" hidden="1" x14ac:dyDescent="0.45">
      <c r="A3833" s="187">
        <v>2020</v>
      </c>
      <c r="B3833" t="s">
        <v>316</v>
      </c>
      <c r="C3833" t="s">
        <v>323</v>
      </c>
      <c r="D3833" t="s">
        <v>35</v>
      </c>
      <c r="E3833" t="s">
        <v>349</v>
      </c>
      <c r="F3833" t="s">
        <v>405</v>
      </c>
      <c r="G3833" t="s">
        <v>36</v>
      </c>
      <c r="H3833" t="s">
        <v>43</v>
      </c>
      <c r="I3833" s="187">
        <v>0</v>
      </c>
      <c r="J3833" s="187"/>
      <c r="K3833" s="187">
        <v>954.9309115881465</v>
      </c>
      <c r="L3833" s="187">
        <v>123.36282992719941</v>
      </c>
      <c r="M3833" s="187">
        <v>1078.293701171875</v>
      </c>
      <c r="N3833" s="187">
        <v>123.36283111572266</v>
      </c>
      <c r="O3833" t="s">
        <v>4294</v>
      </c>
    </row>
    <row r="3834" spans="1:15" hidden="1" x14ac:dyDescent="0.45">
      <c r="A3834" s="187">
        <v>2020</v>
      </c>
      <c r="B3834" t="s">
        <v>311</v>
      </c>
      <c r="C3834" t="s">
        <v>323</v>
      </c>
      <c r="D3834" t="s">
        <v>35</v>
      </c>
      <c r="E3834" t="s">
        <v>349</v>
      </c>
      <c r="F3834" t="s">
        <v>405</v>
      </c>
      <c r="G3834" t="s">
        <v>36</v>
      </c>
      <c r="H3834" t="s">
        <v>43</v>
      </c>
      <c r="I3834" s="187"/>
      <c r="J3834" s="187">
        <v>0</v>
      </c>
      <c r="K3834" s="187">
        <v>1193.3708211686342</v>
      </c>
      <c r="L3834" s="187">
        <v>0</v>
      </c>
      <c r="M3834" s="187">
        <v>1193.370849609375</v>
      </c>
      <c r="N3834" s="187">
        <v>0</v>
      </c>
      <c r="O3834" t="s">
        <v>4292</v>
      </c>
    </row>
    <row r="3835" spans="1:15" hidden="1" x14ac:dyDescent="0.45">
      <c r="A3835" s="187">
        <v>2020</v>
      </c>
      <c r="B3835" t="s">
        <v>313</v>
      </c>
      <c r="C3835" t="s">
        <v>323</v>
      </c>
      <c r="D3835" t="s">
        <v>35</v>
      </c>
      <c r="E3835" t="s">
        <v>349</v>
      </c>
      <c r="F3835" t="s">
        <v>405</v>
      </c>
      <c r="G3835" t="s">
        <v>36</v>
      </c>
      <c r="H3835" t="s">
        <v>43</v>
      </c>
      <c r="I3835" s="187">
        <v>0</v>
      </c>
      <c r="J3835" s="187">
        <v>0</v>
      </c>
      <c r="K3835" s="187">
        <v>818.58128403052615</v>
      </c>
      <c r="L3835" s="187">
        <v>0</v>
      </c>
      <c r="M3835" s="187">
        <v>818.581298828125</v>
      </c>
      <c r="N3835" s="187">
        <v>0</v>
      </c>
      <c r="O3835" t="s">
        <v>4291</v>
      </c>
    </row>
    <row r="3836" spans="1:15" hidden="1" x14ac:dyDescent="0.45">
      <c r="A3836" s="187">
        <v>2020</v>
      </c>
      <c r="B3836" t="s">
        <v>311</v>
      </c>
      <c r="C3836" t="s">
        <v>323</v>
      </c>
      <c r="D3836" t="s">
        <v>35</v>
      </c>
      <c r="E3836" t="s">
        <v>349</v>
      </c>
      <c r="F3836" t="s">
        <v>406</v>
      </c>
      <c r="G3836" t="s">
        <v>36</v>
      </c>
      <c r="H3836" t="s">
        <v>43</v>
      </c>
      <c r="I3836" s="187"/>
      <c r="J3836" s="187">
        <v>0</v>
      </c>
      <c r="K3836" s="187">
        <v>2.7448849204616574</v>
      </c>
      <c r="L3836" s="187">
        <v>0</v>
      </c>
      <c r="M3836" s="187">
        <v>2.7448849678039551</v>
      </c>
      <c r="N3836" s="187">
        <v>0</v>
      </c>
      <c r="O3836" t="s">
        <v>4298</v>
      </c>
    </row>
    <row r="3837" spans="1:15" hidden="1" x14ac:dyDescent="0.45">
      <c r="A3837" s="187">
        <v>2020</v>
      </c>
      <c r="B3837" t="s">
        <v>313</v>
      </c>
      <c r="C3837" t="s">
        <v>323</v>
      </c>
      <c r="D3837" t="s">
        <v>35</v>
      </c>
      <c r="E3837" t="s">
        <v>349</v>
      </c>
      <c r="F3837" t="s">
        <v>406</v>
      </c>
      <c r="G3837" t="s">
        <v>36</v>
      </c>
      <c r="H3837" t="s">
        <v>43</v>
      </c>
      <c r="I3837" s="187">
        <v>0</v>
      </c>
      <c r="J3837" s="187">
        <v>0</v>
      </c>
      <c r="K3837" s="187">
        <v>0.97033011848977246</v>
      </c>
      <c r="L3837" s="187">
        <v>0</v>
      </c>
      <c r="M3837" s="187">
        <v>0.97033011913299561</v>
      </c>
      <c r="N3837" s="187">
        <v>0</v>
      </c>
      <c r="O3837" t="s">
        <v>4300</v>
      </c>
    </row>
    <row r="3838" spans="1:15" hidden="1" x14ac:dyDescent="0.45">
      <c r="A3838" s="187">
        <v>2020</v>
      </c>
      <c r="B3838" t="s">
        <v>315</v>
      </c>
      <c r="C3838" t="s">
        <v>323</v>
      </c>
      <c r="D3838" t="s">
        <v>35</v>
      </c>
      <c r="E3838" t="s">
        <v>349</v>
      </c>
      <c r="F3838" t="s">
        <v>406</v>
      </c>
      <c r="G3838" t="s">
        <v>36</v>
      </c>
      <c r="H3838" t="s">
        <v>43</v>
      </c>
      <c r="I3838" s="187"/>
      <c r="J3838" s="187">
        <v>45.311897447400071</v>
      </c>
      <c r="K3838" s="187">
        <v>2.1109191371749967E-2</v>
      </c>
      <c r="L3838" s="187">
        <v>0</v>
      </c>
      <c r="M3838" s="187">
        <v>45.3330078125</v>
      </c>
      <c r="N3838" s="187">
        <v>0</v>
      </c>
      <c r="O3838" t="s">
        <v>4297</v>
      </c>
    </row>
    <row r="3839" spans="1:15" hidden="1" x14ac:dyDescent="0.45">
      <c r="A3839" s="187">
        <v>2020</v>
      </c>
      <c r="B3839" t="s">
        <v>314</v>
      </c>
      <c r="C3839" t="s">
        <v>323</v>
      </c>
      <c r="D3839" t="s">
        <v>35</v>
      </c>
      <c r="E3839" t="s">
        <v>349</v>
      </c>
      <c r="F3839" t="s">
        <v>406</v>
      </c>
      <c r="G3839" t="s">
        <v>36</v>
      </c>
      <c r="H3839" t="s">
        <v>43</v>
      </c>
      <c r="I3839" s="187">
        <v>0</v>
      </c>
      <c r="J3839" s="187">
        <v>0</v>
      </c>
      <c r="K3839" s="187">
        <v>0.92483491598172762</v>
      </c>
      <c r="L3839" s="187">
        <v>0</v>
      </c>
      <c r="M3839" s="187">
        <v>0.92483490705490112</v>
      </c>
      <c r="N3839" s="187">
        <v>0</v>
      </c>
      <c r="O3839" t="s">
        <v>4299</v>
      </c>
    </row>
    <row r="3840" spans="1:15" hidden="1" x14ac:dyDescent="0.45">
      <c r="A3840" s="187">
        <v>2020</v>
      </c>
      <c r="B3840" t="s">
        <v>316</v>
      </c>
      <c r="C3840" t="s">
        <v>323</v>
      </c>
      <c r="D3840" t="s">
        <v>35</v>
      </c>
      <c r="E3840" t="s">
        <v>349</v>
      </c>
      <c r="F3840" t="s">
        <v>406</v>
      </c>
      <c r="G3840" t="s">
        <v>36</v>
      </c>
      <c r="H3840" t="s">
        <v>43</v>
      </c>
      <c r="I3840" s="187">
        <v>0</v>
      </c>
      <c r="J3840" s="187"/>
      <c r="K3840" s="187">
        <v>0.74440131280872202</v>
      </c>
      <c r="L3840" s="187">
        <v>0</v>
      </c>
      <c r="M3840" s="187">
        <v>0.74440133571624756</v>
      </c>
      <c r="N3840" s="187">
        <v>0</v>
      </c>
      <c r="O3840" t="s">
        <v>4296</v>
      </c>
    </row>
    <row r="3841" spans="1:15" hidden="1" x14ac:dyDescent="0.45">
      <c r="A3841" s="187">
        <v>2020</v>
      </c>
      <c r="B3841" t="s">
        <v>312</v>
      </c>
      <c r="C3841" t="s">
        <v>323</v>
      </c>
      <c r="D3841" t="s">
        <v>35</v>
      </c>
      <c r="E3841" t="s">
        <v>349</v>
      </c>
      <c r="F3841" t="s">
        <v>406</v>
      </c>
      <c r="G3841" t="s">
        <v>36</v>
      </c>
      <c r="H3841" t="s">
        <v>43</v>
      </c>
      <c r="I3841" s="187">
        <v>0</v>
      </c>
      <c r="J3841" s="187">
        <v>0</v>
      </c>
      <c r="K3841" s="187">
        <v>1.510360092714059</v>
      </c>
      <c r="L3841" s="187">
        <v>0</v>
      </c>
      <c r="M3841" s="187">
        <v>1.5103601217269897</v>
      </c>
      <c r="N3841" s="187">
        <v>0</v>
      </c>
      <c r="O3841" t="s">
        <v>4295</v>
      </c>
    </row>
    <row r="3842" spans="1:15" hidden="1" x14ac:dyDescent="0.45">
      <c r="A3842" s="187">
        <v>2020</v>
      </c>
      <c r="B3842" t="s">
        <v>312</v>
      </c>
      <c r="C3842" t="s">
        <v>323</v>
      </c>
      <c r="D3842" t="s">
        <v>35</v>
      </c>
      <c r="E3842" t="s">
        <v>349</v>
      </c>
      <c r="F3842" t="s">
        <v>407</v>
      </c>
      <c r="G3842" t="s">
        <v>36</v>
      </c>
      <c r="H3842" t="s">
        <v>43</v>
      </c>
      <c r="I3842" s="187">
        <v>0</v>
      </c>
      <c r="J3842" s="187">
        <v>0</v>
      </c>
      <c r="K3842" s="187">
        <v>0</v>
      </c>
      <c r="L3842" s="187">
        <v>121.18427512342734</v>
      </c>
      <c r="M3842" s="187">
        <v>121.18427276611328</v>
      </c>
      <c r="N3842" s="187">
        <v>121.18427276611328</v>
      </c>
      <c r="O3842" t="s">
        <v>4304</v>
      </c>
    </row>
    <row r="3843" spans="1:15" hidden="1" x14ac:dyDescent="0.45">
      <c r="A3843" s="187">
        <v>2020</v>
      </c>
      <c r="B3843" t="s">
        <v>311</v>
      </c>
      <c r="C3843" t="s">
        <v>323</v>
      </c>
      <c r="D3843" t="s">
        <v>35</v>
      </c>
      <c r="E3843" t="s">
        <v>349</v>
      </c>
      <c r="F3843" t="s">
        <v>407</v>
      </c>
      <c r="G3843" t="s">
        <v>36</v>
      </c>
      <c r="H3843" t="s">
        <v>43</v>
      </c>
      <c r="I3843" s="187"/>
      <c r="J3843" s="187">
        <v>0</v>
      </c>
      <c r="K3843" s="187">
        <v>0</v>
      </c>
      <c r="L3843" s="187">
        <v>61.214117887440189</v>
      </c>
      <c r="M3843" s="187">
        <v>61.214118957519531</v>
      </c>
      <c r="N3843" s="187">
        <v>61.214118957519531</v>
      </c>
      <c r="O3843" t="s">
        <v>4305</v>
      </c>
    </row>
    <row r="3844" spans="1:15" hidden="1" x14ac:dyDescent="0.45">
      <c r="A3844" s="187">
        <v>2020</v>
      </c>
      <c r="B3844" t="s">
        <v>313</v>
      </c>
      <c r="C3844" t="s">
        <v>323</v>
      </c>
      <c r="D3844" t="s">
        <v>35</v>
      </c>
      <c r="E3844" t="s">
        <v>349</v>
      </c>
      <c r="F3844" t="s">
        <v>407</v>
      </c>
      <c r="G3844" t="s">
        <v>36</v>
      </c>
      <c r="H3844" t="s">
        <v>43</v>
      </c>
      <c r="I3844" s="187">
        <v>0</v>
      </c>
      <c r="J3844" s="187">
        <v>0</v>
      </c>
      <c r="K3844" s="187">
        <v>0</v>
      </c>
      <c r="L3844" s="187">
        <v>117.39340370414216</v>
      </c>
      <c r="M3844" s="187">
        <v>117.39340209960938</v>
      </c>
      <c r="N3844" s="187">
        <v>117.39340209960938</v>
      </c>
      <c r="O3844" t="s">
        <v>4306</v>
      </c>
    </row>
    <row r="3845" spans="1:15" hidden="1" x14ac:dyDescent="0.45">
      <c r="A3845" s="187">
        <v>2020</v>
      </c>
      <c r="B3845" t="s">
        <v>314</v>
      </c>
      <c r="C3845" t="s">
        <v>323</v>
      </c>
      <c r="D3845" t="s">
        <v>35</v>
      </c>
      <c r="E3845" t="s">
        <v>349</v>
      </c>
      <c r="F3845" t="s">
        <v>407</v>
      </c>
      <c r="G3845" t="s">
        <v>36</v>
      </c>
      <c r="H3845" t="s">
        <v>43</v>
      </c>
      <c r="I3845" s="187">
        <v>0</v>
      </c>
      <c r="J3845" s="187">
        <v>0</v>
      </c>
      <c r="K3845" s="187">
        <v>0</v>
      </c>
      <c r="L3845" s="187">
        <v>116.48206610988997</v>
      </c>
      <c r="M3845" s="187">
        <v>116.48206329345703</v>
      </c>
      <c r="N3845" s="187">
        <v>116.48206329345703</v>
      </c>
      <c r="O3845" t="s">
        <v>4301</v>
      </c>
    </row>
    <row r="3846" spans="1:15" hidden="1" x14ac:dyDescent="0.45">
      <c r="A3846" s="187">
        <v>2020</v>
      </c>
      <c r="B3846" t="s">
        <v>315</v>
      </c>
      <c r="C3846" t="s">
        <v>323</v>
      </c>
      <c r="D3846" t="s">
        <v>35</v>
      </c>
      <c r="E3846" t="s">
        <v>349</v>
      </c>
      <c r="F3846" t="s">
        <v>407</v>
      </c>
      <c r="G3846" t="s">
        <v>36</v>
      </c>
      <c r="H3846" t="s">
        <v>43</v>
      </c>
      <c r="I3846" s="187">
        <v>0</v>
      </c>
      <c r="J3846" s="187">
        <v>0</v>
      </c>
      <c r="K3846" s="187">
        <v>270.26423305916649</v>
      </c>
      <c r="L3846" s="187">
        <v>283.19935904625044</v>
      </c>
      <c r="M3846" s="187">
        <v>553.46356201171875</v>
      </c>
      <c r="N3846" s="187">
        <v>283.19937133789063</v>
      </c>
      <c r="O3846" t="s">
        <v>4302</v>
      </c>
    </row>
    <row r="3847" spans="1:15" hidden="1" x14ac:dyDescent="0.45">
      <c r="A3847" s="187">
        <v>2020</v>
      </c>
      <c r="B3847" t="s">
        <v>316</v>
      </c>
      <c r="C3847" t="s">
        <v>323</v>
      </c>
      <c r="D3847" t="s">
        <v>35</v>
      </c>
      <c r="E3847" t="s">
        <v>349</v>
      </c>
      <c r="F3847" t="s">
        <v>407</v>
      </c>
      <c r="G3847" t="s">
        <v>36</v>
      </c>
      <c r="H3847" t="s">
        <v>43</v>
      </c>
      <c r="I3847" s="187">
        <v>0</v>
      </c>
      <c r="J3847" s="187"/>
      <c r="K3847" s="187">
        <v>0</v>
      </c>
      <c r="L3847" s="187">
        <v>29.739253643164144</v>
      </c>
      <c r="M3847" s="187">
        <v>29.739253997802734</v>
      </c>
      <c r="N3847" s="187">
        <v>29.739253997802734</v>
      </c>
      <c r="O3847" t="s">
        <v>4303</v>
      </c>
    </row>
    <row r="3848" spans="1:15" hidden="1" x14ac:dyDescent="0.45">
      <c r="A3848" s="187">
        <v>2020</v>
      </c>
      <c r="B3848" t="s">
        <v>313</v>
      </c>
      <c r="C3848" t="s">
        <v>323</v>
      </c>
      <c r="D3848" t="s">
        <v>35</v>
      </c>
      <c r="E3848" t="s">
        <v>349</v>
      </c>
      <c r="F3848" t="s">
        <v>408</v>
      </c>
      <c r="G3848" t="s">
        <v>36</v>
      </c>
      <c r="H3848" t="s">
        <v>43</v>
      </c>
      <c r="I3848" s="187"/>
      <c r="J3848" s="187"/>
      <c r="K3848" s="187"/>
      <c r="L3848" s="187">
        <v>82.654539342712326</v>
      </c>
      <c r="M3848" s="187">
        <v>82.654541015625</v>
      </c>
      <c r="N3848" s="187">
        <v>82.654541015625</v>
      </c>
      <c r="O3848" t="s">
        <v>4307</v>
      </c>
    </row>
    <row r="3849" spans="1:15" hidden="1" x14ac:dyDescent="0.45">
      <c r="A3849" s="187">
        <v>2020</v>
      </c>
      <c r="B3849" t="s">
        <v>313</v>
      </c>
      <c r="C3849" t="s">
        <v>323</v>
      </c>
      <c r="D3849" t="s">
        <v>35</v>
      </c>
      <c r="E3849" t="s">
        <v>349</v>
      </c>
      <c r="F3849" t="s">
        <v>409</v>
      </c>
      <c r="G3849" t="s">
        <v>36</v>
      </c>
      <c r="H3849" t="s">
        <v>43</v>
      </c>
      <c r="I3849" s="187"/>
      <c r="J3849" s="187"/>
      <c r="K3849" s="187"/>
      <c r="L3849" s="187">
        <v>0</v>
      </c>
      <c r="M3849" s="187">
        <v>0</v>
      </c>
      <c r="N3849" s="187">
        <v>0</v>
      </c>
      <c r="O3849" t="s">
        <v>4308</v>
      </c>
    </row>
    <row r="3850" spans="1:15" hidden="1" x14ac:dyDescent="0.45">
      <c r="A3850" s="187">
        <v>2020</v>
      </c>
      <c r="B3850" t="s">
        <v>313</v>
      </c>
      <c r="C3850" t="s">
        <v>323</v>
      </c>
      <c r="D3850" t="s">
        <v>35</v>
      </c>
      <c r="E3850" t="s">
        <v>349</v>
      </c>
      <c r="F3850" t="s">
        <v>410</v>
      </c>
      <c r="G3850" t="s">
        <v>36</v>
      </c>
      <c r="H3850" t="s">
        <v>43</v>
      </c>
      <c r="I3850" s="187"/>
      <c r="J3850" s="187"/>
      <c r="K3850" s="187"/>
      <c r="L3850" s="187">
        <v>111.40394433148184</v>
      </c>
      <c r="M3850" s="187">
        <v>111.40394592285156</v>
      </c>
      <c r="N3850" s="187">
        <v>111.40394592285156</v>
      </c>
      <c r="O3850" t="s">
        <v>4309</v>
      </c>
    </row>
    <row r="3851" spans="1:15" hidden="1" x14ac:dyDescent="0.45">
      <c r="A3851" s="187">
        <v>2020</v>
      </c>
      <c r="B3851" t="s">
        <v>313</v>
      </c>
      <c r="C3851" t="s">
        <v>323</v>
      </c>
      <c r="D3851" t="s">
        <v>35</v>
      </c>
      <c r="E3851" t="s">
        <v>349</v>
      </c>
      <c r="F3851" t="s">
        <v>411</v>
      </c>
      <c r="G3851" t="s">
        <v>36</v>
      </c>
      <c r="H3851" t="s">
        <v>43</v>
      </c>
      <c r="I3851" s="187"/>
      <c r="J3851" s="187"/>
      <c r="K3851" s="187"/>
      <c r="L3851" s="187">
        <v>194.05848367419418</v>
      </c>
      <c r="M3851" s="187">
        <v>194.05848693847656</v>
      </c>
      <c r="N3851" s="187">
        <v>194.05848693847656</v>
      </c>
      <c r="O3851" t="s">
        <v>4310</v>
      </c>
    </row>
    <row r="3852" spans="1:15" hidden="1" x14ac:dyDescent="0.45">
      <c r="A3852" s="187">
        <v>2020</v>
      </c>
      <c r="B3852" t="s">
        <v>313</v>
      </c>
      <c r="C3852" t="s">
        <v>323</v>
      </c>
      <c r="D3852" t="s">
        <v>35</v>
      </c>
      <c r="E3852" t="s">
        <v>349</v>
      </c>
      <c r="F3852" t="s">
        <v>423</v>
      </c>
      <c r="G3852" t="s">
        <v>36</v>
      </c>
      <c r="H3852" t="s">
        <v>43</v>
      </c>
      <c r="I3852" s="187">
        <v>59.894593726603141</v>
      </c>
      <c r="J3852" s="187">
        <v>0</v>
      </c>
      <c r="K3852" s="187">
        <v>308.37792038999254</v>
      </c>
      <c r="L3852" s="187"/>
      <c r="M3852" s="187">
        <v>368.27252197265625</v>
      </c>
      <c r="N3852" s="187">
        <v>59.89459228515625</v>
      </c>
      <c r="O3852" t="s">
        <v>4313</v>
      </c>
    </row>
    <row r="3853" spans="1:15" hidden="1" x14ac:dyDescent="0.45">
      <c r="A3853" s="187">
        <v>2020</v>
      </c>
      <c r="B3853" t="s">
        <v>311</v>
      </c>
      <c r="C3853" t="s">
        <v>323</v>
      </c>
      <c r="D3853" t="s">
        <v>35</v>
      </c>
      <c r="E3853" t="s">
        <v>349</v>
      </c>
      <c r="F3853" t="s">
        <v>423</v>
      </c>
      <c r="G3853" t="s">
        <v>36</v>
      </c>
      <c r="H3853" t="s">
        <v>43</v>
      </c>
      <c r="I3853" s="187"/>
      <c r="J3853" s="187">
        <v>0</v>
      </c>
      <c r="K3853" s="187">
        <v>0</v>
      </c>
      <c r="L3853" s="187">
        <v>147.93411822798046</v>
      </c>
      <c r="M3853" s="187">
        <v>147.93411254882813</v>
      </c>
      <c r="N3853" s="187">
        <v>147.93411254882813</v>
      </c>
      <c r="O3853" t="s">
        <v>4314</v>
      </c>
    </row>
    <row r="3854" spans="1:15" hidden="1" x14ac:dyDescent="0.45">
      <c r="A3854" s="187">
        <v>2020</v>
      </c>
      <c r="B3854" t="s">
        <v>314</v>
      </c>
      <c r="C3854" t="s">
        <v>323</v>
      </c>
      <c r="D3854" t="s">
        <v>35</v>
      </c>
      <c r="E3854" t="s">
        <v>349</v>
      </c>
      <c r="F3854" t="s">
        <v>423</v>
      </c>
      <c r="G3854" t="s">
        <v>36</v>
      </c>
      <c r="H3854" t="s">
        <v>43</v>
      </c>
      <c r="I3854" s="187">
        <v>58.241033054944985</v>
      </c>
      <c r="J3854" s="187">
        <v>0</v>
      </c>
      <c r="K3854" s="187">
        <v>369.83273738129941</v>
      </c>
      <c r="L3854" s="187">
        <v>81.537446276922978</v>
      </c>
      <c r="M3854" s="187">
        <v>509.6112060546875</v>
      </c>
      <c r="N3854" s="187">
        <v>139.77847290039063</v>
      </c>
      <c r="O3854" t="s">
        <v>4315</v>
      </c>
    </row>
    <row r="3855" spans="1:15" hidden="1" x14ac:dyDescent="0.45">
      <c r="A3855" s="187">
        <v>2020</v>
      </c>
      <c r="B3855" t="s">
        <v>316</v>
      </c>
      <c r="C3855" t="s">
        <v>323</v>
      </c>
      <c r="D3855" t="s">
        <v>35</v>
      </c>
      <c r="E3855" t="s">
        <v>349</v>
      </c>
      <c r="F3855" t="s">
        <v>423</v>
      </c>
      <c r="G3855" t="s">
        <v>36</v>
      </c>
      <c r="H3855" t="s">
        <v>43</v>
      </c>
      <c r="I3855" s="187">
        <v>56.179653039614344</v>
      </c>
      <c r="J3855" s="187"/>
      <c r="K3855" s="187">
        <v>493.82330109907195</v>
      </c>
      <c r="L3855" s="187">
        <v>27.536345965892725</v>
      </c>
      <c r="M3855" s="187">
        <v>577.53924560546875</v>
      </c>
      <c r="N3855" s="187">
        <v>83.715995788574219</v>
      </c>
      <c r="O3855" t="s">
        <v>4316</v>
      </c>
    </row>
    <row r="3856" spans="1:15" hidden="1" x14ac:dyDescent="0.45">
      <c r="A3856" s="187">
        <v>2020</v>
      </c>
      <c r="B3856" t="s">
        <v>315</v>
      </c>
      <c r="C3856" t="s">
        <v>323</v>
      </c>
      <c r="D3856" t="s">
        <v>35</v>
      </c>
      <c r="E3856" t="s">
        <v>349</v>
      </c>
      <c r="F3856" t="s">
        <v>423</v>
      </c>
      <c r="G3856" t="s">
        <v>36</v>
      </c>
      <c r="H3856" t="s">
        <v>43</v>
      </c>
      <c r="I3856" s="187">
        <v>56.639871809250089</v>
      </c>
      <c r="J3856" s="187">
        <v>0</v>
      </c>
      <c r="K3856" s="187">
        <v>502.98444331448076</v>
      </c>
      <c r="L3856" s="187">
        <v>83.827010277690135</v>
      </c>
      <c r="M3856" s="187">
        <v>643.45135498046875</v>
      </c>
      <c r="N3856" s="187">
        <v>140.46688842773438</v>
      </c>
      <c r="O3856" t="s">
        <v>4311</v>
      </c>
    </row>
    <row r="3857" spans="1:15" hidden="1" x14ac:dyDescent="0.45">
      <c r="A3857" s="187">
        <v>2020</v>
      </c>
      <c r="B3857" t="s">
        <v>312</v>
      </c>
      <c r="C3857" t="s">
        <v>323</v>
      </c>
      <c r="D3857" t="s">
        <v>35</v>
      </c>
      <c r="E3857" t="s">
        <v>349</v>
      </c>
      <c r="F3857" t="s">
        <v>423</v>
      </c>
      <c r="G3857" t="s">
        <v>36</v>
      </c>
      <c r="H3857" t="s">
        <v>43</v>
      </c>
      <c r="I3857" s="187">
        <v>0</v>
      </c>
      <c r="J3857" s="187">
        <v>0</v>
      </c>
      <c r="K3857" s="187">
        <v>0</v>
      </c>
      <c r="L3857" s="187">
        <v>85.323622280780484</v>
      </c>
      <c r="M3857" s="187">
        <v>85.323623657226563</v>
      </c>
      <c r="N3857" s="187">
        <v>85.323623657226563</v>
      </c>
      <c r="O3857" t="s">
        <v>4312</v>
      </c>
    </row>
    <row r="3858" spans="1:15" hidden="1" x14ac:dyDescent="0.45">
      <c r="A3858" s="187">
        <v>2020</v>
      </c>
      <c r="B3858" t="s">
        <v>311</v>
      </c>
      <c r="C3858" t="s">
        <v>323</v>
      </c>
      <c r="D3858" t="s">
        <v>35</v>
      </c>
      <c r="E3858" t="s">
        <v>349</v>
      </c>
      <c r="F3858" t="s">
        <v>424</v>
      </c>
      <c r="G3858" t="s">
        <v>36</v>
      </c>
      <c r="H3858" t="s">
        <v>43</v>
      </c>
      <c r="I3858" s="187"/>
      <c r="J3858" s="187">
        <v>0</v>
      </c>
      <c r="K3858" s="187">
        <v>0</v>
      </c>
      <c r="L3858" s="187">
        <v>0</v>
      </c>
      <c r="M3858" s="187">
        <v>0</v>
      </c>
      <c r="N3858" s="187">
        <v>0</v>
      </c>
      <c r="O3858" t="s">
        <v>4320</v>
      </c>
    </row>
    <row r="3859" spans="1:15" hidden="1" x14ac:dyDescent="0.45">
      <c r="A3859" s="187">
        <v>2020</v>
      </c>
      <c r="B3859" t="s">
        <v>314</v>
      </c>
      <c r="C3859" t="s">
        <v>323</v>
      </c>
      <c r="D3859" t="s">
        <v>35</v>
      </c>
      <c r="E3859" t="s">
        <v>349</v>
      </c>
      <c r="F3859" t="s">
        <v>424</v>
      </c>
      <c r="G3859" t="s">
        <v>36</v>
      </c>
      <c r="H3859" t="s">
        <v>43</v>
      </c>
      <c r="I3859" s="187">
        <v>145.60258263736247</v>
      </c>
      <c r="J3859" s="187">
        <v>0</v>
      </c>
      <c r="K3859" s="187">
        <v>0</v>
      </c>
      <c r="L3859" s="187">
        <v>69.889239665933985</v>
      </c>
      <c r="M3859" s="187">
        <v>215.4918212890625</v>
      </c>
      <c r="N3859" s="187">
        <v>215.4918212890625</v>
      </c>
      <c r="O3859" t="s">
        <v>4318</v>
      </c>
    </row>
    <row r="3860" spans="1:15" hidden="1" x14ac:dyDescent="0.45">
      <c r="A3860" s="187">
        <v>2020</v>
      </c>
      <c r="B3860" t="s">
        <v>313</v>
      </c>
      <c r="C3860" t="s">
        <v>323</v>
      </c>
      <c r="D3860" t="s">
        <v>35</v>
      </c>
      <c r="E3860" t="s">
        <v>349</v>
      </c>
      <c r="F3860" t="s">
        <v>424</v>
      </c>
      <c r="G3860" t="s">
        <v>36</v>
      </c>
      <c r="H3860" t="s">
        <v>43</v>
      </c>
      <c r="I3860" s="187">
        <v>119.78918745320628</v>
      </c>
      <c r="J3860" s="187">
        <v>0</v>
      </c>
      <c r="K3860" s="187">
        <v>0</v>
      </c>
      <c r="L3860" s="187"/>
      <c r="M3860" s="187">
        <v>119.7891845703125</v>
      </c>
      <c r="N3860" s="187">
        <v>119.7891845703125</v>
      </c>
      <c r="O3860" t="s">
        <v>4321</v>
      </c>
    </row>
    <row r="3861" spans="1:15" hidden="1" x14ac:dyDescent="0.45">
      <c r="A3861" s="187">
        <v>2020</v>
      </c>
      <c r="B3861" t="s">
        <v>316</v>
      </c>
      <c r="C3861" t="s">
        <v>323</v>
      </c>
      <c r="D3861" t="s">
        <v>35</v>
      </c>
      <c r="E3861" t="s">
        <v>349</v>
      </c>
      <c r="F3861" t="s">
        <v>424</v>
      </c>
      <c r="G3861" t="s">
        <v>36</v>
      </c>
      <c r="H3861" t="s">
        <v>43</v>
      </c>
      <c r="I3861" s="187">
        <v>140.44913259903586</v>
      </c>
      <c r="J3861" s="187"/>
      <c r="K3861" s="187">
        <v>0</v>
      </c>
      <c r="L3861" s="187">
        <v>4.4058153545428365</v>
      </c>
      <c r="M3861" s="187">
        <v>144.85494995117188</v>
      </c>
      <c r="N3861" s="187">
        <v>144.85494995117188</v>
      </c>
      <c r="O3861" t="s">
        <v>4319</v>
      </c>
    </row>
    <row r="3862" spans="1:15" hidden="1" x14ac:dyDescent="0.45">
      <c r="A3862" s="187">
        <v>2020</v>
      </c>
      <c r="B3862" t="s">
        <v>312</v>
      </c>
      <c r="C3862" t="s">
        <v>323</v>
      </c>
      <c r="D3862" t="s">
        <v>35</v>
      </c>
      <c r="E3862" t="s">
        <v>349</v>
      </c>
      <c r="F3862" t="s">
        <v>424</v>
      </c>
      <c r="G3862" t="s">
        <v>36</v>
      </c>
      <c r="H3862" t="s">
        <v>43</v>
      </c>
      <c r="I3862" s="187">
        <v>0</v>
      </c>
      <c r="J3862" s="187">
        <v>0</v>
      </c>
      <c r="K3862" s="187">
        <v>0</v>
      </c>
      <c r="L3862" s="187">
        <v>0</v>
      </c>
      <c r="M3862" s="187">
        <v>0</v>
      </c>
      <c r="N3862" s="187">
        <v>0</v>
      </c>
      <c r="O3862" t="s">
        <v>4322</v>
      </c>
    </row>
    <row r="3863" spans="1:15" hidden="1" x14ac:dyDescent="0.45">
      <c r="A3863" s="187">
        <v>2020</v>
      </c>
      <c r="B3863" t="s">
        <v>315</v>
      </c>
      <c r="C3863" t="s">
        <v>323</v>
      </c>
      <c r="D3863" t="s">
        <v>35</v>
      </c>
      <c r="E3863" t="s">
        <v>349</v>
      </c>
      <c r="F3863" t="s">
        <v>424</v>
      </c>
      <c r="G3863" t="s">
        <v>36</v>
      </c>
      <c r="H3863" t="s">
        <v>43</v>
      </c>
      <c r="I3863" s="187">
        <v>141.59967952312522</v>
      </c>
      <c r="J3863" s="187">
        <v>0</v>
      </c>
      <c r="K3863" s="187">
        <v>0</v>
      </c>
      <c r="L3863" s="187">
        <v>71.366238479655109</v>
      </c>
      <c r="M3863" s="187">
        <v>212.96592712402344</v>
      </c>
      <c r="N3863" s="187">
        <v>212.96592712402344</v>
      </c>
      <c r="O3863" t="s">
        <v>4317</v>
      </c>
    </row>
    <row r="3864" spans="1:15" hidden="1" x14ac:dyDescent="0.45">
      <c r="A3864" s="187">
        <v>2020</v>
      </c>
      <c r="B3864" t="s">
        <v>311</v>
      </c>
      <c r="C3864" t="s">
        <v>323</v>
      </c>
      <c r="D3864" t="s">
        <v>35</v>
      </c>
      <c r="E3864" t="s">
        <v>349</v>
      </c>
      <c r="F3864" t="s">
        <v>446</v>
      </c>
      <c r="G3864" t="s">
        <v>36</v>
      </c>
      <c r="H3864" t="s">
        <v>43</v>
      </c>
      <c r="I3864" s="187"/>
      <c r="J3864" s="187">
        <v>0</v>
      </c>
      <c r="K3864" s="187">
        <v>0</v>
      </c>
      <c r="L3864" s="187">
        <v>270.36235400286085</v>
      </c>
      <c r="M3864" s="187">
        <v>270.36236572265625</v>
      </c>
      <c r="N3864" s="187">
        <v>270.36236572265625</v>
      </c>
      <c r="O3864" t="s">
        <v>4323</v>
      </c>
    </row>
    <row r="3865" spans="1:15" hidden="1" x14ac:dyDescent="0.45">
      <c r="A3865" s="187">
        <v>2020</v>
      </c>
      <c r="B3865" t="s">
        <v>315</v>
      </c>
      <c r="C3865" t="s">
        <v>323</v>
      </c>
      <c r="D3865" t="s">
        <v>35</v>
      </c>
      <c r="E3865" t="s">
        <v>349</v>
      </c>
      <c r="F3865" t="s">
        <v>446</v>
      </c>
      <c r="G3865" t="s">
        <v>36</v>
      </c>
      <c r="H3865" t="s">
        <v>43</v>
      </c>
      <c r="I3865" s="187">
        <v>113.27974361850018</v>
      </c>
      <c r="J3865" s="187">
        <v>0</v>
      </c>
      <c r="K3865" s="187">
        <v>0</v>
      </c>
      <c r="L3865" s="187">
        <v>113.27974361850018</v>
      </c>
      <c r="M3865" s="187">
        <v>226.55949401855469</v>
      </c>
      <c r="N3865" s="187">
        <v>226.55949401855469</v>
      </c>
      <c r="O3865" t="s">
        <v>4328</v>
      </c>
    </row>
    <row r="3866" spans="1:15" hidden="1" x14ac:dyDescent="0.45">
      <c r="A3866" s="187">
        <v>2020</v>
      </c>
      <c r="B3866" t="s">
        <v>316</v>
      </c>
      <c r="C3866" t="s">
        <v>323</v>
      </c>
      <c r="D3866" t="s">
        <v>35</v>
      </c>
      <c r="E3866" t="s">
        <v>349</v>
      </c>
      <c r="F3866" t="s">
        <v>446</v>
      </c>
      <c r="G3866" t="s">
        <v>36</v>
      </c>
      <c r="H3866" t="s">
        <v>43</v>
      </c>
      <c r="I3866" s="187">
        <v>56.179653039614344</v>
      </c>
      <c r="J3866" s="187"/>
      <c r="K3866" s="187">
        <v>0</v>
      </c>
      <c r="L3866" s="187">
        <v>0</v>
      </c>
      <c r="M3866" s="187">
        <v>56.179653167724609</v>
      </c>
      <c r="N3866" s="187">
        <v>56.179653167724609</v>
      </c>
      <c r="O3866" t="s">
        <v>4325</v>
      </c>
    </row>
    <row r="3867" spans="1:15" hidden="1" x14ac:dyDescent="0.45">
      <c r="A3867" s="187">
        <v>2020</v>
      </c>
      <c r="B3867" t="s">
        <v>313</v>
      </c>
      <c r="C3867" t="s">
        <v>323</v>
      </c>
      <c r="D3867" t="s">
        <v>35</v>
      </c>
      <c r="E3867" t="s">
        <v>349</v>
      </c>
      <c r="F3867" t="s">
        <v>446</v>
      </c>
      <c r="G3867" t="s">
        <v>36</v>
      </c>
      <c r="H3867" t="s">
        <v>43</v>
      </c>
      <c r="I3867" s="187">
        <v>119.78918745320628</v>
      </c>
      <c r="J3867" s="187">
        <v>0</v>
      </c>
      <c r="K3867" s="187">
        <v>0</v>
      </c>
      <c r="L3867" s="187"/>
      <c r="M3867" s="187">
        <v>119.7891845703125</v>
      </c>
      <c r="N3867" s="187">
        <v>119.7891845703125</v>
      </c>
      <c r="O3867" t="s">
        <v>4326</v>
      </c>
    </row>
    <row r="3868" spans="1:15" hidden="1" x14ac:dyDescent="0.45">
      <c r="A3868" s="187">
        <v>2020</v>
      </c>
      <c r="B3868" t="s">
        <v>314</v>
      </c>
      <c r="C3868" t="s">
        <v>323</v>
      </c>
      <c r="D3868" t="s">
        <v>35</v>
      </c>
      <c r="E3868" t="s">
        <v>349</v>
      </c>
      <c r="F3868" t="s">
        <v>446</v>
      </c>
      <c r="G3868" t="s">
        <v>36</v>
      </c>
      <c r="H3868" t="s">
        <v>43</v>
      </c>
      <c r="I3868" s="187">
        <v>116.48206610988997</v>
      </c>
      <c r="J3868" s="187">
        <v>0</v>
      </c>
      <c r="K3868" s="187">
        <v>0</v>
      </c>
      <c r="L3868" s="187">
        <v>110.65796280439548</v>
      </c>
      <c r="M3868" s="187">
        <v>227.14002990722656</v>
      </c>
      <c r="N3868" s="187">
        <v>227.14002990722656</v>
      </c>
      <c r="O3868" t="s">
        <v>4327</v>
      </c>
    </row>
    <row r="3869" spans="1:15" hidden="1" x14ac:dyDescent="0.45">
      <c r="A3869" s="187">
        <v>2020</v>
      </c>
      <c r="B3869" t="s">
        <v>312</v>
      </c>
      <c r="C3869" t="s">
        <v>323</v>
      </c>
      <c r="D3869" t="s">
        <v>35</v>
      </c>
      <c r="E3869" t="s">
        <v>349</v>
      </c>
      <c r="F3869" t="s">
        <v>446</v>
      </c>
      <c r="G3869" t="s">
        <v>36</v>
      </c>
      <c r="H3869" t="s">
        <v>43</v>
      </c>
      <c r="I3869" s="187">
        <v>309.14355898833509</v>
      </c>
      <c r="J3869" s="187">
        <v>0</v>
      </c>
      <c r="K3869" s="187">
        <v>0</v>
      </c>
      <c r="L3869" s="187">
        <v>115.00140394366065</v>
      </c>
      <c r="M3869" s="187">
        <v>424.14495849609375</v>
      </c>
      <c r="N3869" s="187">
        <v>424.14495849609375</v>
      </c>
      <c r="O3869" t="s">
        <v>4324</v>
      </c>
    </row>
    <row r="3870" spans="1:15" hidden="1" x14ac:dyDescent="0.45">
      <c r="A3870" s="187">
        <v>2020</v>
      </c>
      <c r="B3870" t="s">
        <v>313</v>
      </c>
      <c r="C3870" t="s">
        <v>323</v>
      </c>
      <c r="D3870" t="s">
        <v>35</v>
      </c>
      <c r="E3870" t="s">
        <v>349</v>
      </c>
      <c r="F3870" t="s">
        <v>447</v>
      </c>
      <c r="G3870" t="s">
        <v>36</v>
      </c>
      <c r="H3870" t="s">
        <v>43</v>
      </c>
      <c r="I3870" s="187">
        <v>299.47296863301568</v>
      </c>
      <c r="J3870" s="187">
        <v>0</v>
      </c>
      <c r="K3870" s="187">
        <v>308.37792038999254</v>
      </c>
      <c r="L3870" s="187"/>
      <c r="M3870" s="187">
        <v>607.85089111328125</v>
      </c>
      <c r="N3870" s="187">
        <v>299.47296142578125</v>
      </c>
      <c r="O3870" t="s">
        <v>4331</v>
      </c>
    </row>
    <row r="3871" spans="1:15" hidden="1" x14ac:dyDescent="0.45">
      <c r="A3871" s="187">
        <v>2020</v>
      </c>
      <c r="B3871" t="s">
        <v>311</v>
      </c>
      <c r="C3871" t="s">
        <v>323</v>
      </c>
      <c r="D3871" t="s">
        <v>35</v>
      </c>
      <c r="E3871" t="s">
        <v>349</v>
      </c>
      <c r="F3871" t="s">
        <v>447</v>
      </c>
      <c r="G3871" t="s">
        <v>36</v>
      </c>
      <c r="H3871" t="s">
        <v>43</v>
      </c>
      <c r="I3871" s="187"/>
      <c r="J3871" s="187">
        <v>0</v>
      </c>
      <c r="K3871" s="187">
        <v>0</v>
      </c>
      <c r="L3871" s="187">
        <v>418.29647223084129</v>
      </c>
      <c r="M3871" s="187">
        <v>418.29647827148438</v>
      </c>
      <c r="N3871" s="187">
        <v>418.29647827148438</v>
      </c>
      <c r="O3871" t="s">
        <v>4334</v>
      </c>
    </row>
    <row r="3872" spans="1:15" hidden="1" x14ac:dyDescent="0.45">
      <c r="A3872" s="187">
        <v>2020</v>
      </c>
      <c r="B3872" t="s">
        <v>315</v>
      </c>
      <c r="C3872" t="s">
        <v>323</v>
      </c>
      <c r="D3872" t="s">
        <v>35</v>
      </c>
      <c r="E3872" t="s">
        <v>349</v>
      </c>
      <c r="F3872" t="s">
        <v>447</v>
      </c>
      <c r="G3872" t="s">
        <v>36</v>
      </c>
      <c r="H3872" t="s">
        <v>43</v>
      </c>
      <c r="I3872" s="187">
        <v>311.51929495087552</v>
      </c>
      <c r="J3872" s="187">
        <v>0</v>
      </c>
      <c r="K3872" s="187">
        <v>502.98444331448076</v>
      </c>
      <c r="L3872" s="187">
        <v>268.47299237584542</v>
      </c>
      <c r="M3872" s="187">
        <v>1082.9766845703125</v>
      </c>
      <c r="N3872" s="187">
        <v>579.9923095703125</v>
      </c>
      <c r="O3872" t="s">
        <v>4332</v>
      </c>
    </row>
    <row r="3873" spans="1:15" hidden="1" x14ac:dyDescent="0.45">
      <c r="A3873" s="187">
        <v>2020</v>
      </c>
      <c r="B3873" t="s">
        <v>314</v>
      </c>
      <c r="C3873" t="s">
        <v>323</v>
      </c>
      <c r="D3873" t="s">
        <v>35</v>
      </c>
      <c r="E3873" t="s">
        <v>349</v>
      </c>
      <c r="F3873" t="s">
        <v>447</v>
      </c>
      <c r="G3873" t="s">
        <v>36</v>
      </c>
      <c r="H3873" t="s">
        <v>43</v>
      </c>
      <c r="I3873" s="187">
        <v>320.32568180219744</v>
      </c>
      <c r="J3873" s="187">
        <v>0</v>
      </c>
      <c r="K3873" s="187">
        <v>369.83273738129941</v>
      </c>
      <c r="L3873" s="187">
        <v>262.08464874725246</v>
      </c>
      <c r="M3873" s="187">
        <v>952.24310302734375</v>
      </c>
      <c r="N3873" s="187">
        <v>582.41033935546875</v>
      </c>
      <c r="O3873" t="s">
        <v>4333</v>
      </c>
    </row>
    <row r="3874" spans="1:15" hidden="1" x14ac:dyDescent="0.45">
      <c r="A3874" s="187">
        <v>2020</v>
      </c>
      <c r="B3874" t="s">
        <v>312</v>
      </c>
      <c r="C3874" t="s">
        <v>323</v>
      </c>
      <c r="D3874" t="s">
        <v>35</v>
      </c>
      <c r="E3874" t="s">
        <v>349</v>
      </c>
      <c r="F3874" t="s">
        <v>447</v>
      </c>
      <c r="G3874" t="s">
        <v>36</v>
      </c>
      <c r="H3874" t="s">
        <v>43</v>
      </c>
      <c r="I3874" s="187">
        <v>309.14355898833509</v>
      </c>
      <c r="J3874" s="187">
        <v>0</v>
      </c>
      <c r="K3874" s="187">
        <v>0</v>
      </c>
      <c r="L3874" s="187">
        <v>200.32502622444113</v>
      </c>
      <c r="M3874" s="187">
        <v>509.46856689453125</v>
      </c>
      <c r="N3874" s="187">
        <v>509.46856689453125</v>
      </c>
      <c r="O3874" t="s">
        <v>4330</v>
      </c>
    </row>
    <row r="3875" spans="1:15" hidden="1" x14ac:dyDescent="0.45">
      <c r="A3875" s="187">
        <v>2020</v>
      </c>
      <c r="B3875" t="s">
        <v>316</v>
      </c>
      <c r="C3875" t="s">
        <v>323</v>
      </c>
      <c r="D3875" t="s">
        <v>35</v>
      </c>
      <c r="E3875" t="s">
        <v>349</v>
      </c>
      <c r="F3875" t="s">
        <v>447</v>
      </c>
      <c r="G3875" t="s">
        <v>36</v>
      </c>
      <c r="H3875" t="s">
        <v>43</v>
      </c>
      <c r="I3875" s="187">
        <v>252.80843867826454</v>
      </c>
      <c r="J3875" s="187">
        <v>0</v>
      </c>
      <c r="K3875" s="187">
        <v>493.82330109907195</v>
      </c>
      <c r="L3875" s="187">
        <v>31.942161320435563</v>
      </c>
      <c r="M3875" s="187">
        <v>778.5738525390625</v>
      </c>
      <c r="N3875" s="187">
        <v>284.7506103515625</v>
      </c>
      <c r="O3875" t="s">
        <v>4329</v>
      </c>
    </row>
    <row r="3876" spans="1:15" hidden="1" x14ac:dyDescent="0.45">
      <c r="A3876" s="187">
        <v>2020</v>
      </c>
      <c r="B3876" t="s">
        <v>34</v>
      </c>
      <c r="C3876" t="s">
        <v>324</v>
      </c>
      <c r="D3876" t="s">
        <v>35</v>
      </c>
      <c r="E3876" t="s">
        <v>348</v>
      </c>
      <c r="F3876" t="s">
        <v>382</v>
      </c>
      <c r="G3876" t="s">
        <v>36</v>
      </c>
      <c r="H3876" t="s">
        <v>43</v>
      </c>
      <c r="I3876" s="187">
        <v>17091.373046875</v>
      </c>
      <c r="J3876" s="187">
        <v>616.81414794921875</v>
      </c>
      <c r="K3876" s="187">
        <v>19789.8203125</v>
      </c>
      <c r="L3876" s="187">
        <v>24348.73828125</v>
      </c>
      <c r="M3876" s="187">
        <v>61846.74609375</v>
      </c>
      <c r="N3876" s="187">
        <v>41440.109375</v>
      </c>
      <c r="O3876" t="s">
        <v>4335</v>
      </c>
    </row>
    <row r="3877" spans="1:15" hidden="1" x14ac:dyDescent="0.45">
      <c r="A3877" s="187">
        <v>2020</v>
      </c>
      <c r="B3877" t="s">
        <v>34</v>
      </c>
      <c r="C3877" t="s">
        <v>324</v>
      </c>
      <c r="D3877" t="s">
        <v>35</v>
      </c>
      <c r="E3877" t="s">
        <v>348</v>
      </c>
      <c r="F3877" t="s">
        <v>382</v>
      </c>
      <c r="G3877" t="s">
        <v>37</v>
      </c>
      <c r="H3877" t="s">
        <v>43</v>
      </c>
      <c r="I3877" s="187">
        <v>15517.1033756</v>
      </c>
      <c r="J3877" s="187">
        <v>560</v>
      </c>
      <c r="K3877" s="187">
        <v>17967</v>
      </c>
      <c r="L3877" s="187">
        <v>22106</v>
      </c>
      <c r="M3877" s="187">
        <v>56150.1015625</v>
      </c>
      <c r="N3877" s="187">
        <v>37623.1015625</v>
      </c>
      <c r="O3877" t="s">
        <v>4336</v>
      </c>
    </row>
    <row r="3878" spans="1:15" hidden="1" x14ac:dyDescent="0.45">
      <c r="A3878" s="187">
        <v>2020</v>
      </c>
      <c r="B3878" t="s">
        <v>34</v>
      </c>
      <c r="C3878" t="s">
        <v>324</v>
      </c>
      <c r="D3878" t="s">
        <v>35</v>
      </c>
      <c r="E3878" t="s">
        <v>19</v>
      </c>
      <c r="F3878" t="s">
        <v>19</v>
      </c>
      <c r="G3878" t="s">
        <v>36</v>
      </c>
      <c r="H3878" t="s">
        <v>43</v>
      </c>
      <c r="I3878" s="187">
        <v>1119.1607666015625</v>
      </c>
      <c r="J3878" s="187">
        <v>30.840707778930664</v>
      </c>
      <c r="K3878" s="187">
        <v>169.62388610839844</v>
      </c>
      <c r="L3878" s="187">
        <v>2364.8212890625</v>
      </c>
      <c r="M3878" s="187">
        <v>3684.44677734375</v>
      </c>
      <c r="N3878" s="187">
        <v>3483.98193359375</v>
      </c>
      <c r="O3878" t="s">
        <v>4337</v>
      </c>
    </row>
    <row r="3879" spans="1:15" hidden="1" x14ac:dyDescent="0.45">
      <c r="A3879" s="187">
        <v>2020</v>
      </c>
      <c r="B3879" t="s">
        <v>34</v>
      </c>
      <c r="C3879" t="s">
        <v>324</v>
      </c>
      <c r="D3879" t="s">
        <v>35</v>
      </c>
      <c r="E3879" t="s">
        <v>19</v>
      </c>
      <c r="F3879" t="s">
        <v>19</v>
      </c>
      <c r="G3879" t="s">
        <v>37</v>
      </c>
      <c r="H3879" t="s">
        <v>43</v>
      </c>
      <c r="I3879" s="187">
        <v>1016.076000000001</v>
      </c>
      <c r="J3879" s="187">
        <v>28</v>
      </c>
      <c r="K3879" s="187">
        <v>154</v>
      </c>
      <c r="L3879" s="187">
        <v>2147</v>
      </c>
      <c r="M3879" s="187">
        <v>3345.075927734375</v>
      </c>
      <c r="N3879" s="187">
        <v>3163.075927734375</v>
      </c>
      <c r="O3879" t="s">
        <v>4338</v>
      </c>
    </row>
    <row r="3880" spans="1:15" hidden="1" x14ac:dyDescent="0.45">
      <c r="A3880" s="187">
        <v>2020</v>
      </c>
      <c r="B3880" t="s">
        <v>34</v>
      </c>
      <c r="C3880" t="s">
        <v>324</v>
      </c>
      <c r="D3880" t="s">
        <v>35</v>
      </c>
      <c r="E3880" t="s">
        <v>349</v>
      </c>
      <c r="F3880" t="s">
        <v>349</v>
      </c>
      <c r="G3880" t="s">
        <v>36</v>
      </c>
      <c r="H3880" t="s">
        <v>43</v>
      </c>
      <c r="I3880" s="187">
        <v>4624.5927734375</v>
      </c>
      <c r="J3880" s="187">
        <v>152.00062561035156</v>
      </c>
      <c r="K3880" s="187">
        <v>3872.711669921875</v>
      </c>
      <c r="L3880" s="187">
        <v>2224.936767578125</v>
      </c>
      <c r="M3880" s="187">
        <v>10874.2412109375</v>
      </c>
      <c r="N3880" s="187">
        <v>6849.529296875</v>
      </c>
      <c r="O3880" t="s">
        <v>4339</v>
      </c>
    </row>
    <row r="3881" spans="1:15" hidden="1" x14ac:dyDescent="0.45">
      <c r="A3881" s="187">
        <v>2020</v>
      </c>
      <c r="B3881" t="s">
        <v>34</v>
      </c>
      <c r="C3881" t="s">
        <v>324</v>
      </c>
      <c r="D3881" t="s">
        <v>35</v>
      </c>
      <c r="E3881" t="s">
        <v>349</v>
      </c>
      <c r="F3881" t="s">
        <v>349</v>
      </c>
      <c r="G3881" t="s">
        <v>37</v>
      </c>
      <c r="H3881" t="s">
        <v>43</v>
      </c>
      <c r="I3881" s="187">
        <v>4198.6261999999997</v>
      </c>
      <c r="J3881" s="187">
        <v>138</v>
      </c>
      <c r="K3881" s="187">
        <v>3516</v>
      </c>
      <c r="L3881" s="187">
        <v>2020</v>
      </c>
      <c r="M3881" s="187">
        <v>9872.6259765625</v>
      </c>
      <c r="N3881" s="187">
        <v>6218.6259765625</v>
      </c>
      <c r="O3881" t="s">
        <v>4340</v>
      </c>
    </row>
    <row r="3882" spans="1:15" hidden="1" x14ac:dyDescent="0.45">
      <c r="A3882" s="187">
        <v>2020</v>
      </c>
      <c r="B3882" t="s">
        <v>34</v>
      </c>
      <c r="C3882" t="s">
        <v>324</v>
      </c>
      <c r="D3882" t="s">
        <v>35</v>
      </c>
      <c r="E3882" t="s">
        <v>14</v>
      </c>
      <c r="F3882" t="s">
        <v>14</v>
      </c>
      <c r="G3882" t="s">
        <v>36</v>
      </c>
      <c r="H3882" t="s">
        <v>43</v>
      </c>
      <c r="I3882" s="187">
        <v>16345.6025390625</v>
      </c>
      <c r="J3882" s="187">
        <v>616.81414794921875</v>
      </c>
      <c r="K3882" s="187">
        <v>19421.7421875</v>
      </c>
      <c r="L3882" s="187">
        <v>17290.623046875</v>
      </c>
      <c r="M3882" s="187">
        <v>53674.78125</v>
      </c>
      <c r="N3882" s="187">
        <v>33636.2265625</v>
      </c>
      <c r="O3882" t="s">
        <v>4341</v>
      </c>
    </row>
    <row r="3883" spans="1:15" hidden="1" x14ac:dyDescent="0.45">
      <c r="A3883" s="187">
        <v>2020</v>
      </c>
      <c r="B3883" t="s">
        <v>34</v>
      </c>
      <c r="C3883" t="s">
        <v>324</v>
      </c>
      <c r="D3883" t="s">
        <v>35</v>
      </c>
      <c r="E3883" t="s">
        <v>14</v>
      </c>
      <c r="F3883" t="s">
        <v>14</v>
      </c>
      <c r="G3883" t="s">
        <v>37</v>
      </c>
      <c r="H3883" t="s">
        <v>43</v>
      </c>
      <c r="I3883" s="187">
        <v>14840.025052184379</v>
      </c>
      <c r="J3883" s="187">
        <v>560</v>
      </c>
      <c r="K3883" s="187">
        <v>17632.82473</v>
      </c>
      <c r="L3883" s="187">
        <v>15698</v>
      </c>
      <c r="M3883" s="187">
        <v>48730.8515625</v>
      </c>
      <c r="N3883" s="187">
        <v>30538.025390625</v>
      </c>
      <c r="O3883" t="s">
        <v>4342</v>
      </c>
    </row>
    <row r="3884" spans="1:15" hidden="1" x14ac:dyDescent="0.45">
      <c r="A3884" s="187">
        <v>2020</v>
      </c>
      <c r="B3884" t="s">
        <v>34</v>
      </c>
      <c r="C3884" t="s">
        <v>324</v>
      </c>
      <c r="D3884" t="s">
        <v>35</v>
      </c>
      <c r="E3884" t="s">
        <v>16</v>
      </c>
      <c r="F3884" t="s">
        <v>16</v>
      </c>
      <c r="G3884" t="s">
        <v>36</v>
      </c>
      <c r="H3884" t="s">
        <v>43</v>
      </c>
      <c r="I3884" s="187">
        <v>9159.943359375</v>
      </c>
      <c r="J3884" s="187">
        <v>191.65296936035156</v>
      </c>
      <c r="K3884" s="187">
        <v>7574.6982421875</v>
      </c>
      <c r="L3884" s="187">
        <v>17387.55078125</v>
      </c>
      <c r="M3884" s="187">
        <v>34313.84375</v>
      </c>
      <c r="N3884" s="187">
        <v>26547.494140625</v>
      </c>
      <c r="O3884" t="s">
        <v>4343</v>
      </c>
    </row>
    <row r="3885" spans="1:15" hidden="1" x14ac:dyDescent="0.45">
      <c r="A3885" s="187">
        <v>2020</v>
      </c>
      <c r="B3885" t="s">
        <v>34</v>
      </c>
      <c r="C3885" t="s">
        <v>324</v>
      </c>
      <c r="D3885" t="s">
        <v>35</v>
      </c>
      <c r="E3885" t="s">
        <v>16</v>
      </c>
      <c r="F3885" t="s">
        <v>16</v>
      </c>
      <c r="G3885" t="s">
        <v>37</v>
      </c>
      <c r="H3885" t="s">
        <v>43</v>
      </c>
      <c r="I3885" s="187">
        <v>8316.2297699999999</v>
      </c>
      <c r="J3885" s="187">
        <v>174</v>
      </c>
      <c r="K3885" s="187">
        <v>6877</v>
      </c>
      <c r="L3885" s="187">
        <v>15786</v>
      </c>
      <c r="M3885" s="187">
        <v>31153.23046875</v>
      </c>
      <c r="N3885" s="187">
        <v>24102.23046875</v>
      </c>
      <c r="O3885" t="s">
        <v>4344</v>
      </c>
    </row>
    <row r="3886" spans="1:15" hidden="1" x14ac:dyDescent="0.45">
      <c r="A3886" s="187">
        <v>2020</v>
      </c>
      <c r="B3886" t="s">
        <v>34</v>
      </c>
      <c r="C3886" t="s">
        <v>324</v>
      </c>
      <c r="D3886" t="s">
        <v>35</v>
      </c>
      <c r="E3886" t="s">
        <v>351</v>
      </c>
      <c r="F3886" t="s">
        <v>351</v>
      </c>
      <c r="G3886" t="s">
        <v>36</v>
      </c>
      <c r="H3886" t="s">
        <v>43</v>
      </c>
      <c r="I3886" s="187">
        <v>22.992866516113281</v>
      </c>
      <c r="J3886" s="187"/>
      <c r="K3886" s="187">
        <v>63.884323120117188</v>
      </c>
      <c r="L3886" s="187">
        <v>-67.188682556152344</v>
      </c>
      <c r="M3886" s="187">
        <v>19.688507080078125</v>
      </c>
      <c r="N3886" s="187">
        <v>-44.195816040039063</v>
      </c>
      <c r="O3886" t="s">
        <v>4345</v>
      </c>
    </row>
    <row r="3887" spans="1:15" hidden="1" x14ac:dyDescent="0.45">
      <c r="A3887" s="187">
        <v>2020</v>
      </c>
      <c r="B3887" t="s">
        <v>34</v>
      </c>
      <c r="C3887" t="s">
        <v>324</v>
      </c>
      <c r="D3887" t="s">
        <v>35</v>
      </c>
      <c r="E3887" t="s">
        <v>351</v>
      </c>
      <c r="F3887" t="s">
        <v>351</v>
      </c>
      <c r="G3887" t="s">
        <v>37</v>
      </c>
      <c r="H3887" t="s">
        <v>43</v>
      </c>
      <c r="I3887" s="187">
        <v>20.875016584383459</v>
      </c>
      <c r="J3887" s="187"/>
      <c r="K3887" s="187">
        <v>58</v>
      </c>
      <c r="L3887" s="187">
        <v>-61</v>
      </c>
      <c r="M3887" s="187">
        <v>17.875015258789063</v>
      </c>
      <c r="N3887" s="187">
        <v>-40.124984741210938</v>
      </c>
      <c r="O3887" t="s">
        <v>4346</v>
      </c>
    </row>
    <row r="3888" spans="1:15" hidden="1" x14ac:dyDescent="0.45">
      <c r="A3888" s="187">
        <v>2020</v>
      </c>
      <c r="B3888" t="s">
        <v>34</v>
      </c>
      <c r="C3888" t="s">
        <v>324</v>
      </c>
      <c r="D3888" t="s">
        <v>35</v>
      </c>
      <c r="E3888" t="s">
        <v>353</v>
      </c>
      <c r="F3888" t="s">
        <v>383</v>
      </c>
      <c r="G3888" t="s">
        <v>36</v>
      </c>
      <c r="H3888" t="s">
        <v>43</v>
      </c>
      <c r="I3888" s="187">
        <v>16320.3701171875</v>
      </c>
      <c r="J3888" s="187">
        <v>568.35015869140625</v>
      </c>
      <c r="K3888" s="187">
        <v>17166.158203125</v>
      </c>
      <c r="L3888" s="187">
        <v>23246.18359375</v>
      </c>
      <c r="M3888" s="187">
        <v>57301.0625</v>
      </c>
      <c r="N3888" s="187">
        <v>39566.5546875</v>
      </c>
      <c r="O3888" t="s">
        <v>4347</v>
      </c>
    </row>
    <row r="3889" spans="1:15" hidden="1" x14ac:dyDescent="0.45">
      <c r="A3889" s="187">
        <v>2020</v>
      </c>
      <c r="B3889" t="s">
        <v>34</v>
      </c>
      <c r="C3889" t="s">
        <v>324</v>
      </c>
      <c r="D3889" t="s">
        <v>35</v>
      </c>
      <c r="E3889" t="s">
        <v>353</v>
      </c>
      <c r="F3889" t="s">
        <v>383</v>
      </c>
      <c r="G3889" t="s">
        <v>37</v>
      </c>
      <c r="H3889" t="s">
        <v>43</v>
      </c>
      <c r="I3889" s="187">
        <v>14817.117</v>
      </c>
      <c r="J3889" s="187">
        <v>516</v>
      </c>
      <c r="K3889" s="187">
        <v>15585</v>
      </c>
      <c r="L3889" s="187">
        <v>21105</v>
      </c>
      <c r="M3889" s="187">
        <v>52023.1171875</v>
      </c>
      <c r="N3889" s="187">
        <v>35922.1171875</v>
      </c>
      <c r="O3889" t="s">
        <v>4348</v>
      </c>
    </row>
    <row r="3890" spans="1:15" hidden="1" x14ac:dyDescent="0.45">
      <c r="A3890" s="187">
        <v>2020</v>
      </c>
      <c r="B3890" t="s">
        <v>34</v>
      </c>
      <c r="C3890" t="s">
        <v>324</v>
      </c>
      <c r="D3890" t="s">
        <v>35</v>
      </c>
      <c r="E3890" t="s">
        <v>38</v>
      </c>
      <c r="F3890" t="s">
        <v>38</v>
      </c>
      <c r="G3890" t="s">
        <v>36</v>
      </c>
      <c r="H3890" t="s">
        <v>43</v>
      </c>
      <c r="I3890" s="187">
        <v>771.002685546875</v>
      </c>
      <c r="J3890" s="187">
        <v>48.463970184326172</v>
      </c>
      <c r="K3890" s="187">
        <v>2623.6630859375</v>
      </c>
      <c r="L3890" s="187">
        <v>1102.5552978515625</v>
      </c>
      <c r="M3890" s="187">
        <v>4545.68505859375</v>
      </c>
      <c r="N3890" s="187">
        <v>1873.5579833984375</v>
      </c>
      <c r="O3890" t="s">
        <v>4349</v>
      </c>
    </row>
    <row r="3891" spans="1:15" hidden="1" x14ac:dyDescent="0.45">
      <c r="A3891" s="187">
        <v>2020</v>
      </c>
      <c r="B3891" t="s">
        <v>34</v>
      </c>
      <c r="C3891" t="s">
        <v>324</v>
      </c>
      <c r="D3891" t="s">
        <v>35</v>
      </c>
      <c r="E3891" t="s">
        <v>38</v>
      </c>
      <c r="F3891" t="s">
        <v>38</v>
      </c>
      <c r="G3891" t="s">
        <v>37</v>
      </c>
      <c r="H3891" t="s">
        <v>43</v>
      </c>
      <c r="I3891" s="187">
        <v>699.98637559999997</v>
      </c>
      <c r="J3891" s="187">
        <v>44</v>
      </c>
      <c r="K3891" s="187">
        <v>2382</v>
      </c>
      <c r="L3891" s="187">
        <v>1001</v>
      </c>
      <c r="M3891" s="187">
        <v>4126.986328125</v>
      </c>
      <c r="N3891" s="187">
        <v>1700.986328125</v>
      </c>
      <c r="O3891" t="s">
        <v>4350</v>
      </c>
    </row>
    <row r="3892" spans="1:15" hidden="1" x14ac:dyDescent="0.45">
      <c r="A3892" s="187">
        <v>2020</v>
      </c>
      <c r="B3892" t="s">
        <v>34</v>
      </c>
      <c r="C3892" t="s">
        <v>324</v>
      </c>
      <c r="D3892" t="s">
        <v>35</v>
      </c>
      <c r="E3892" t="s">
        <v>354</v>
      </c>
      <c r="F3892" t="s">
        <v>384</v>
      </c>
      <c r="G3892" t="s">
        <v>36</v>
      </c>
      <c r="H3892" t="s">
        <v>43</v>
      </c>
      <c r="I3892" s="187">
        <v>0</v>
      </c>
      <c r="J3892" s="187">
        <v>0</v>
      </c>
      <c r="K3892" s="187">
        <v>0</v>
      </c>
      <c r="L3892" s="187">
        <v>16.521806716918945</v>
      </c>
      <c r="M3892" s="187">
        <v>16.521806716918945</v>
      </c>
      <c r="N3892" s="187">
        <v>16.521806716918945</v>
      </c>
      <c r="O3892" t="s">
        <v>4351</v>
      </c>
    </row>
    <row r="3893" spans="1:15" hidden="1" x14ac:dyDescent="0.45">
      <c r="A3893" s="187">
        <v>2020</v>
      </c>
      <c r="B3893" t="s">
        <v>34</v>
      </c>
      <c r="C3893" t="s">
        <v>324</v>
      </c>
      <c r="D3893" t="s">
        <v>35</v>
      </c>
      <c r="E3893" t="s">
        <v>354</v>
      </c>
      <c r="F3893" t="s">
        <v>384</v>
      </c>
      <c r="G3893" t="s">
        <v>37</v>
      </c>
      <c r="H3893" t="s">
        <v>43</v>
      </c>
      <c r="I3893" s="187">
        <v>0</v>
      </c>
      <c r="J3893" s="187">
        <v>0</v>
      </c>
      <c r="K3893" s="187">
        <v>0</v>
      </c>
      <c r="L3893" s="187">
        <v>15</v>
      </c>
      <c r="M3893" s="187">
        <v>15</v>
      </c>
      <c r="N3893" s="187">
        <v>15</v>
      </c>
      <c r="O3893" t="s">
        <v>4352</v>
      </c>
    </row>
    <row r="3894" spans="1:15" hidden="1" x14ac:dyDescent="0.45">
      <c r="A3894" s="187">
        <v>2020</v>
      </c>
      <c r="B3894" t="s">
        <v>34</v>
      </c>
      <c r="C3894" t="s">
        <v>324</v>
      </c>
      <c r="D3894" t="s">
        <v>35</v>
      </c>
      <c r="E3894" t="s">
        <v>354</v>
      </c>
      <c r="F3894" t="s">
        <v>385</v>
      </c>
      <c r="G3894" t="s">
        <v>36</v>
      </c>
      <c r="H3894" t="s">
        <v>43</v>
      </c>
      <c r="I3894" s="187">
        <v>1.9323024749755859</v>
      </c>
      <c r="J3894" s="187">
        <v>6.6087231636047363</v>
      </c>
      <c r="K3894" s="187">
        <v>1426.3826904296875</v>
      </c>
      <c r="L3894" s="187">
        <v>273.16055297851563</v>
      </c>
      <c r="M3894" s="187">
        <v>1708.084228515625</v>
      </c>
      <c r="N3894" s="187">
        <v>275.09286499023438</v>
      </c>
      <c r="O3894" t="s">
        <v>4353</v>
      </c>
    </row>
    <row r="3895" spans="1:15" hidden="1" x14ac:dyDescent="0.45">
      <c r="A3895" s="187">
        <v>2020</v>
      </c>
      <c r="B3895" t="s">
        <v>34</v>
      </c>
      <c r="C3895" t="s">
        <v>324</v>
      </c>
      <c r="D3895" t="s">
        <v>35</v>
      </c>
      <c r="E3895" t="s">
        <v>354</v>
      </c>
      <c r="F3895" t="s">
        <v>385</v>
      </c>
      <c r="G3895" t="s">
        <v>37</v>
      </c>
      <c r="H3895" t="s">
        <v>43</v>
      </c>
      <c r="I3895" s="187">
        <v>1.7543200000000001</v>
      </c>
      <c r="J3895" s="187">
        <v>6</v>
      </c>
      <c r="K3895" s="187">
        <v>1295</v>
      </c>
      <c r="L3895" s="187">
        <v>248</v>
      </c>
      <c r="M3895" s="187">
        <v>1550.7542724609375</v>
      </c>
      <c r="N3895" s="187">
        <v>249.75431823730469</v>
      </c>
      <c r="O3895" t="s">
        <v>4354</v>
      </c>
    </row>
    <row r="3896" spans="1:15" hidden="1" x14ac:dyDescent="0.45">
      <c r="A3896" s="187">
        <v>2020</v>
      </c>
      <c r="B3896" t="s">
        <v>34</v>
      </c>
      <c r="C3896" t="s">
        <v>324</v>
      </c>
      <c r="D3896" t="s">
        <v>35</v>
      </c>
      <c r="E3896" t="s">
        <v>354</v>
      </c>
      <c r="F3896" t="s">
        <v>386</v>
      </c>
      <c r="G3896" t="s">
        <v>36</v>
      </c>
      <c r="H3896" t="s">
        <v>43</v>
      </c>
      <c r="I3896" s="187">
        <v>0</v>
      </c>
      <c r="J3896" s="187">
        <v>84.811943054199219</v>
      </c>
      <c r="K3896" s="187">
        <v>2630.271728515625</v>
      </c>
      <c r="L3896" s="187">
        <v>301.79833984375</v>
      </c>
      <c r="M3896" s="187">
        <v>3016.882080078125</v>
      </c>
      <c r="N3896" s="187">
        <v>301.79833984375</v>
      </c>
      <c r="O3896" t="s">
        <v>4355</v>
      </c>
    </row>
    <row r="3897" spans="1:15" hidden="1" x14ac:dyDescent="0.45">
      <c r="A3897" s="187">
        <v>2020</v>
      </c>
      <c r="B3897" t="s">
        <v>34</v>
      </c>
      <c r="C3897" t="s">
        <v>324</v>
      </c>
      <c r="D3897" t="s">
        <v>35</v>
      </c>
      <c r="E3897" t="s">
        <v>354</v>
      </c>
      <c r="F3897" t="s">
        <v>386</v>
      </c>
      <c r="G3897" t="s">
        <v>37</v>
      </c>
      <c r="H3897" t="s">
        <v>43</v>
      </c>
      <c r="I3897" s="187">
        <v>0</v>
      </c>
      <c r="J3897" s="187">
        <v>77</v>
      </c>
      <c r="K3897" s="187">
        <v>2388</v>
      </c>
      <c r="L3897" s="187">
        <v>274</v>
      </c>
      <c r="M3897" s="187">
        <v>2739</v>
      </c>
      <c r="N3897" s="187">
        <v>274</v>
      </c>
      <c r="O3897" t="s">
        <v>4356</v>
      </c>
    </row>
    <row r="3898" spans="1:15" hidden="1" x14ac:dyDescent="0.45">
      <c r="A3898" s="187">
        <v>2020</v>
      </c>
      <c r="B3898" t="s">
        <v>34</v>
      </c>
      <c r="C3898" t="s">
        <v>324</v>
      </c>
      <c r="D3898" t="s">
        <v>35</v>
      </c>
      <c r="E3898" t="s">
        <v>354</v>
      </c>
      <c r="F3898" t="s">
        <v>387</v>
      </c>
      <c r="G3898" t="s">
        <v>36</v>
      </c>
      <c r="H3898" t="s">
        <v>43</v>
      </c>
      <c r="I3898" s="187">
        <v>1.9323024749755859</v>
      </c>
      <c r="J3898" s="187">
        <v>91.420669555664063</v>
      </c>
      <c r="K3898" s="187">
        <v>4056.654541015625</v>
      </c>
      <c r="L3898" s="187">
        <v>591.480712890625</v>
      </c>
      <c r="M3898" s="187">
        <v>4741.48828125</v>
      </c>
      <c r="N3898" s="187">
        <v>593.41302490234375</v>
      </c>
      <c r="O3898" t="s">
        <v>4357</v>
      </c>
    </row>
    <row r="3899" spans="1:15" hidden="1" x14ac:dyDescent="0.45">
      <c r="A3899" s="187">
        <v>2020</v>
      </c>
      <c r="B3899" t="s">
        <v>34</v>
      </c>
      <c r="C3899" t="s">
        <v>324</v>
      </c>
      <c r="D3899" t="s">
        <v>35</v>
      </c>
      <c r="E3899" t="s">
        <v>354</v>
      </c>
      <c r="F3899" t="s">
        <v>387</v>
      </c>
      <c r="G3899" t="s">
        <v>37</v>
      </c>
      <c r="H3899" t="s">
        <v>43</v>
      </c>
      <c r="I3899" s="187">
        <v>1.7543200000000001</v>
      </c>
      <c r="J3899" s="187">
        <v>83</v>
      </c>
      <c r="K3899" s="187">
        <v>3683</v>
      </c>
      <c r="L3899" s="187">
        <v>537</v>
      </c>
      <c r="M3899" s="187">
        <v>4304.75439453125</v>
      </c>
      <c r="N3899" s="187">
        <v>538.75433349609375</v>
      </c>
      <c r="O3899" t="s">
        <v>4358</v>
      </c>
    </row>
    <row r="3900" spans="1:15" hidden="1" x14ac:dyDescent="0.45">
      <c r="A3900" s="187">
        <v>2020</v>
      </c>
      <c r="B3900" t="s">
        <v>34</v>
      </c>
      <c r="C3900" t="s">
        <v>324</v>
      </c>
      <c r="D3900" t="s">
        <v>35</v>
      </c>
      <c r="E3900" t="s">
        <v>17</v>
      </c>
      <c r="F3900" t="s">
        <v>17</v>
      </c>
      <c r="G3900" t="s">
        <v>36</v>
      </c>
      <c r="H3900" t="s">
        <v>43</v>
      </c>
      <c r="I3900" s="187">
        <v>1414.7410888671875</v>
      </c>
      <c r="J3900" s="187">
        <v>102.43520355224609</v>
      </c>
      <c r="K3900" s="187">
        <v>1492.469970703125</v>
      </c>
      <c r="L3900" s="187">
        <v>677.39410400390625</v>
      </c>
      <c r="M3900" s="187">
        <v>3687.040283203125</v>
      </c>
      <c r="N3900" s="187">
        <v>2092.13525390625</v>
      </c>
      <c r="O3900" t="s">
        <v>4359</v>
      </c>
    </row>
    <row r="3901" spans="1:15" hidden="1" x14ac:dyDescent="0.45">
      <c r="A3901" s="187">
        <v>2020</v>
      </c>
      <c r="B3901" t="s">
        <v>34</v>
      </c>
      <c r="C3901" t="s">
        <v>324</v>
      </c>
      <c r="D3901" t="s">
        <v>35</v>
      </c>
      <c r="E3901" t="s">
        <v>17</v>
      </c>
      <c r="F3901" t="s">
        <v>17</v>
      </c>
      <c r="G3901" t="s">
        <v>37</v>
      </c>
      <c r="H3901" t="s">
        <v>43</v>
      </c>
      <c r="I3901" s="187">
        <v>1284.4307100000001</v>
      </c>
      <c r="J3901" s="187">
        <v>93</v>
      </c>
      <c r="K3901" s="187">
        <v>1355</v>
      </c>
      <c r="L3901" s="187">
        <v>615</v>
      </c>
      <c r="M3901" s="187">
        <v>3347.4306640625</v>
      </c>
      <c r="N3901" s="187">
        <v>1899.4306640625</v>
      </c>
      <c r="O3901" t="s">
        <v>4360</v>
      </c>
    </row>
    <row r="3902" spans="1:15" hidden="1" x14ac:dyDescent="0.45">
      <c r="A3902" s="187">
        <v>2020</v>
      </c>
      <c r="B3902" t="s">
        <v>34</v>
      </c>
      <c r="C3902" t="s">
        <v>324</v>
      </c>
      <c r="D3902" t="s">
        <v>35</v>
      </c>
      <c r="E3902" t="s">
        <v>45</v>
      </c>
      <c r="F3902" t="s">
        <v>45</v>
      </c>
      <c r="G3902" t="s">
        <v>36</v>
      </c>
      <c r="H3902" t="s">
        <v>43</v>
      </c>
      <c r="I3902" s="187">
        <v>768.76336669921875</v>
      </c>
      <c r="J3902" s="187">
        <v>0</v>
      </c>
      <c r="K3902" s="187">
        <v>431.96295166015625</v>
      </c>
      <c r="L3902" s="187">
        <v>6990.927734375</v>
      </c>
      <c r="M3902" s="187">
        <v>8191.654296875</v>
      </c>
      <c r="N3902" s="187">
        <v>7759.69091796875</v>
      </c>
      <c r="O3902" t="s">
        <v>4361</v>
      </c>
    </row>
    <row r="3903" spans="1:15" hidden="1" x14ac:dyDescent="0.45">
      <c r="A3903" s="187">
        <v>2020</v>
      </c>
      <c r="B3903" t="s">
        <v>34</v>
      </c>
      <c r="C3903" t="s">
        <v>324</v>
      </c>
      <c r="D3903" t="s">
        <v>35</v>
      </c>
      <c r="E3903" t="s">
        <v>45</v>
      </c>
      <c r="F3903" t="s">
        <v>45</v>
      </c>
      <c r="G3903" t="s">
        <v>37</v>
      </c>
      <c r="H3903" t="s">
        <v>43</v>
      </c>
      <c r="I3903" s="187">
        <v>697.95334000000003</v>
      </c>
      <c r="J3903" s="187">
        <v>0</v>
      </c>
      <c r="K3903" s="187">
        <v>392.17527000000001</v>
      </c>
      <c r="L3903" s="187">
        <v>6347</v>
      </c>
      <c r="M3903" s="187">
        <v>7437.12890625</v>
      </c>
      <c r="N3903" s="187">
        <v>7044.953125</v>
      </c>
      <c r="O3903" t="s">
        <v>4362</v>
      </c>
    </row>
    <row r="3904" spans="1:15" hidden="1" x14ac:dyDescent="0.45">
      <c r="A3904" s="187">
        <v>2020</v>
      </c>
      <c r="B3904" t="s">
        <v>34</v>
      </c>
      <c r="C3904" t="s">
        <v>324</v>
      </c>
      <c r="D3904" t="s">
        <v>35</v>
      </c>
      <c r="E3904" t="s">
        <v>356</v>
      </c>
      <c r="F3904" t="s">
        <v>356</v>
      </c>
      <c r="G3904" t="s">
        <v>36</v>
      </c>
      <c r="H3904" t="s">
        <v>43</v>
      </c>
      <c r="I3904" s="187">
        <v>0</v>
      </c>
      <c r="J3904" s="187"/>
      <c r="K3904" s="187">
        <v>0</v>
      </c>
      <c r="L3904" s="187">
        <v>0</v>
      </c>
      <c r="M3904" s="187">
        <v>0</v>
      </c>
      <c r="N3904" s="187">
        <v>0</v>
      </c>
      <c r="O3904" t="s">
        <v>4363</v>
      </c>
    </row>
    <row r="3905" spans="1:15" hidden="1" x14ac:dyDescent="0.45">
      <c r="A3905" s="187">
        <v>2020</v>
      </c>
      <c r="B3905" t="s">
        <v>34</v>
      </c>
      <c r="C3905" t="s">
        <v>324</v>
      </c>
      <c r="D3905" t="s">
        <v>35</v>
      </c>
      <c r="E3905" t="s">
        <v>356</v>
      </c>
      <c r="F3905" t="s">
        <v>356</v>
      </c>
      <c r="G3905" t="s">
        <v>37</v>
      </c>
      <c r="H3905" t="s">
        <v>43</v>
      </c>
      <c r="I3905" s="187">
        <v>0</v>
      </c>
      <c r="J3905" s="187"/>
      <c r="K3905" s="187">
        <v>0</v>
      </c>
      <c r="L3905" s="187">
        <v>0</v>
      </c>
      <c r="M3905" s="187">
        <v>0</v>
      </c>
      <c r="N3905" s="187">
        <v>0</v>
      </c>
      <c r="O3905" t="s">
        <v>4364</v>
      </c>
    </row>
    <row r="3906" spans="1:15" hidden="1" x14ac:dyDescent="0.45">
      <c r="A3906" s="187">
        <v>2020</v>
      </c>
      <c r="B3906" t="s">
        <v>34</v>
      </c>
      <c r="C3906" t="s">
        <v>325</v>
      </c>
      <c r="D3906" t="s">
        <v>35</v>
      </c>
      <c r="E3906" t="s">
        <v>357</v>
      </c>
      <c r="F3906" t="s">
        <v>412</v>
      </c>
      <c r="G3906" t="s">
        <v>36</v>
      </c>
      <c r="H3906" t="s">
        <v>43</v>
      </c>
      <c r="I3906" s="187">
        <v>4624.5927734375</v>
      </c>
      <c r="J3906" s="187">
        <v>152.00062561035156</v>
      </c>
      <c r="K3906" s="187">
        <v>3872.711669921875</v>
      </c>
      <c r="L3906" s="187">
        <v>2224.936767578125</v>
      </c>
      <c r="M3906" s="187">
        <v>10874.2412109375</v>
      </c>
      <c r="N3906" s="187">
        <v>6849.529296875</v>
      </c>
      <c r="O3906" t="s">
        <v>4365</v>
      </c>
    </row>
    <row r="3907" spans="1:15" hidden="1" x14ac:dyDescent="0.45">
      <c r="A3907" s="187">
        <v>2020</v>
      </c>
      <c r="B3907" t="s">
        <v>34</v>
      </c>
      <c r="C3907" t="s">
        <v>325</v>
      </c>
      <c r="D3907" t="s">
        <v>35</v>
      </c>
      <c r="E3907" t="s">
        <v>357</v>
      </c>
      <c r="F3907" t="s">
        <v>412</v>
      </c>
      <c r="G3907" t="s">
        <v>37</v>
      </c>
      <c r="H3907" t="s">
        <v>43</v>
      </c>
      <c r="I3907" s="187">
        <v>4198.6261999999997</v>
      </c>
      <c r="J3907" s="187">
        <v>138</v>
      </c>
      <c r="K3907" s="187">
        <v>3516</v>
      </c>
      <c r="L3907" s="187">
        <v>2020</v>
      </c>
      <c r="M3907" s="187">
        <v>9872.6259765625</v>
      </c>
      <c r="N3907" s="187">
        <v>6218.6259765625</v>
      </c>
      <c r="O3907" t="s">
        <v>4366</v>
      </c>
    </row>
    <row r="3908" spans="1:15" hidden="1" x14ac:dyDescent="0.45">
      <c r="A3908" s="187">
        <v>2020</v>
      </c>
      <c r="B3908" t="s">
        <v>34</v>
      </c>
      <c r="C3908" t="s">
        <v>325</v>
      </c>
      <c r="D3908" t="s">
        <v>35</v>
      </c>
      <c r="E3908" t="s">
        <v>357</v>
      </c>
      <c r="F3908" t="s">
        <v>413</v>
      </c>
      <c r="G3908" t="s">
        <v>36</v>
      </c>
      <c r="H3908" t="s">
        <v>43</v>
      </c>
      <c r="I3908" s="187">
        <v>4624.5927734375</v>
      </c>
      <c r="J3908" s="187">
        <v>152.00062561035156</v>
      </c>
      <c r="K3908" s="187">
        <v>3871.6103515625</v>
      </c>
      <c r="L3908" s="187">
        <v>2141.226318359375</v>
      </c>
      <c r="M3908" s="187">
        <v>10789.4296875</v>
      </c>
      <c r="N3908" s="187">
        <v>6765.8193359375</v>
      </c>
      <c r="O3908" t="s">
        <v>4367</v>
      </c>
    </row>
    <row r="3909" spans="1:15" hidden="1" x14ac:dyDescent="0.45">
      <c r="A3909" s="187">
        <v>2020</v>
      </c>
      <c r="B3909" t="s">
        <v>34</v>
      </c>
      <c r="C3909" t="s">
        <v>325</v>
      </c>
      <c r="D3909" t="s">
        <v>35</v>
      </c>
      <c r="E3909" t="s">
        <v>357</v>
      </c>
      <c r="F3909" t="s">
        <v>413</v>
      </c>
      <c r="G3909" t="s">
        <v>37</v>
      </c>
      <c r="H3909" t="s">
        <v>43</v>
      </c>
      <c r="I3909" s="187">
        <v>4198.6261999999997</v>
      </c>
      <c r="J3909" s="187">
        <v>138</v>
      </c>
      <c r="K3909" s="187">
        <v>3515</v>
      </c>
      <c r="L3909" s="187">
        <v>1944</v>
      </c>
      <c r="M3909" s="187">
        <v>9795.6259765625</v>
      </c>
      <c r="N3909" s="187">
        <v>6142.6259765625</v>
      </c>
      <c r="O3909" t="s">
        <v>4368</v>
      </c>
    </row>
    <row r="3910" spans="1:15" hidden="1" x14ac:dyDescent="0.45">
      <c r="A3910" s="187">
        <v>2020</v>
      </c>
      <c r="B3910" t="s">
        <v>34</v>
      </c>
      <c r="C3910" t="s">
        <v>325</v>
      </c>
      <c r="D3910" t="s">
        <v>35</v>
      </c>
      <c r="E3910" t="s">
        <v>357</v>
      </c>
      <c r="F3910" t="s">
        <v>414</v>
      </c>
      <c r="G3910" t="s">
        <v>36</v>
      </c>
      <c r="H3910" t="s">
        <v>43</v>
      </c>
      <c r="I3910" s="187"/>
      <c r="J3910" s="187"/>
      <c r="K3910" s="187">
        <v>1.1014537811279297</v>
      </c>
      <c r="L3910" s="187">
        <v>83.710494995117188</v>
      </c>
      <c r="M3910" s="187">
        <v>84.81195068359375</v>
      </c>
      <c r="N3910" s="187">
        <v>83.710494995117188</v>
      </c>
      <c r="O3910" t="s">
        <v>4369</v>
      </c>
    </row>
    <row r="3911" spans="1:15" hidden="1" x14ac:dyDescent="0.45">
      <c r="A3911" s="187">
        <v>2020</v>
      </c>
      <c r="B3911" t="s">
        <v>34</v>
      </c>
      <c r="C3911" t="s">
        <v>325</v>
      </c>
      <c r="D3911" t="s">
        <v>35</v>
      </c>
      <c r="E3911" t="s">
        <v>357</v>
      </c>
      <c r="F3911" t="s">
        <v>414</v>
      </c>
      <c r="G3911" t="s">
        <v>37</v>
      </c>
      <c r="H3911" t="s">
        <v>43</v>
      </c>
      <c r="I3911" s="187"/>
      <c r="J3911" s="187"/>
      <c r="K3911" s="187">
        <v>1</v>
      </c>
      <c r="L3911" s="187">
        <v>76</v>
      </c>
      <c r="M3911" s="187">
        <v>77</v>
      </c>
      <c r="N3911" s="187">
        <v>76</v>
      </c>
      <c r="O3911" t="s">
        <v>4370</v>
      </c>
    </row>
    <row r="3912" spans="1:15" hidden="1" x14ac:dyDescent="0.45">
      <c r="A3912" s="187">
        <v>2020</v>
      </c>
      <c r="B3912" t="s">
        <v>34</v>
      </c>
      <c r="C3912" t="s">
        <v>325</v>
      </c>
      <c r="D3912" t="s">
        <v>35</v>
      </c>
      <c r="E3912" t="s">
        <v>357</v>
      </c>
      <c r="F3912" t="s">
        <v>392</v>
      </c>
      <c r="G3912" t="s">
        <v>36</v>
      </c>
      <c r="H3912" t="s">
        <v>43</v>
      </c>
      <c r="I3912" s="187"/>
      <c r="J3912" s="187"/>
      <c r="K3912" s="187">
        <v>6.6087231636047363</v>
      </c>
      <c r="L3912" s="187">
        <v>147.59481811523438</v>
      </c>
      <c r="M3912" s="187">
        <v>154.20353698730469</v>
      </c>
      <c r="N3912" s="187">
        <v>147.59481811523438</v>
      </c>
      <c r="O3912" t="s">
        <v>4371</v>
      </c>
    </row>
    <row r="3913" spans="1:15" hidden="1" x14ac:dyDescent="0.45">
      <c r="A3913" s="187">
        <v>2020</v>
      </c>
      <c r="B3913" t="s">
        <v>34</v>
      </c>
      <c r="C3913" t="s">
        <v>325</v>
      </c>
      <c r="D3913" t="s">
        <v>35</v>
      </c>
      <c r="E3913" t="s">
        <v>357</v>
      </c>
      <c r="F3913" t="s">
        <v>392</v>
      </c>
      <c r="G3913" t="s">
        <v>37</v>
      </c>
      <c r="H3913" t="s">
        <v>43</v>
      </c>
      <c r="I3913" s="187"/>
      <c r="J3913" s="187"/>
      <c r="K3913" s="187">
        <v>6</v>
      </c>
      <c r="L3913" s="187">
        <v>134</v>
      </c>
      <c r="M3913" s="187">
        <v>140</v>
      </c>
      <c r="N3913" s="187">
        <v>134</v>
      </c>
      <c r="O3913" t="s">
        <v>4372</v>
      </c>
    </row>
    <row r="3914" spans="1:15" hidden="1" x14ac:dyDescent="0.45">
      <c r="A3914" s="187">
        <v>2020</v>
      </c>
      <c r="B3914" t="s">
        <v>34</v>
      </c>
      <c r="C3914" t="s">
        <v>325</v>
      </c>
      <c r="D3914" t="s">
        <v>35</v>
      </c>
      <c r="E3914" t="s">
        <v>357</v>
      </c>
      <c r="F3914" t="s">
        <v>393</v>
      </c>
      <c r="G3914" t="s">
        <v>36</v>
      </c>
      <c r="H3914" t="s">
        <v>43</v>
      </c>
      <c r="I3914" s="187">
        <v>192.08323669433594</v>
      </c>
      <c r="J3914" s="187"/>
      <c r="K3914" s="187">
        <v>0</v>
      </c>
      <c r="L3914" s="187">
        <v>24.231985092163086</v>
      </c>
      <c r="M3914" s="187">
        <v>216.31521606445313</v>
      </c>
      <c r="N3914" s="187">
        <v>216.31521606445313</v>
      </c>
      <c r="O3914" t="s">
        <v>4373</v>
      </c>
    </row>
    <row r="3915" spans="1:15" hidden="1" x14ac:dyDescent="0.45">
      <c r="A3915" s="187">
        <v>2020</v>
      </c>
      <c r="B3915" t="s">
        <v>34</v>
      </c>
      <c r="C3915" t="s">
        <v>325</v>
      </c>
      <c r="D3915" t="s">
        <v>35</v>
      </c>
      <c r="E3915" t="s">
        <v>357</v>
      </c>
      <c r="F3915" t="s">
        <v>393</v>
      </c>
      <c r="G3915" t="s">
        <v>37</v>
      </c>
      <c r="H3915" t="s">
        <v>43</v>
      </c>
      <c r="I3915" s="187">
        <v>174.39063999999999</v>
      </c>
      <c r="J3915" s="187"/>
      <c r="K3915" s="187">
        <v>0</v>
      </c>
      <c r="L3915" s="187">
        <v>22</v>
      </c>
      <c r="M3915" s="187">
        <v>196.39064025878906</v>
      </c>
      <c r="N3915" s="187">
        <v>196.39064025878906</v>
      </c>
      <c r="O3915" t="s">
        <v>4374</v>
      </c>
    </row>
    <row r="3916" spans="1:15" hidden="1" x14ac:dyDescent="0.45">
      <c r="A3916" s="187">
        <v>2020</v>
      </c>
      <c r="B3916" t="s">
        <v>34</v>
      </c>
      <c r="C3916" t="s">
        <v>325</v>
      </c>
      <c r="D3916" t="s">
        <v>35</v>
      </c>
      <c r="E3916" t="s">
        <v>357</v>
      </c>
      <c r="F3916" t="s">
        <v>394</v>
      </c>
      <c r="G3916" t="s">
        <v>36</v>
      </c>
      <c r="H3916" t="s">
        <v>43</v>
      </c>
      <c r="I3916" s="187"/>
      <c r="J3916" s="187"/>
      <c r="K3916" s="187">
        <v>0</v>
      </c>
      <c r="L3916" s="187">
        <v>0</v>
      </c>
      <c r="M3916" s="187">
        <v>0</v>
      </c>
      <c r="N3916" s="187">
        <v>0</v>
      </c>
      <c r="O3916" t="s">
        <v>4375</v>
      </c>
    </row>
    <row r="3917" spans="1:15" hidden="1" x14ac:dyDescent="0.45">
      <c r="A3917" s="187">
        <v>2020</v>
      </c>
      <c r="B3917" t="s">
        <v>34</v>
      </c>
      <c r="C3917" t="s">
        <v>325</v>
      </c>
      <c r="D3917" t="s">
        <v>35</v>
      </c>
      <c r="E3917" t="s">
        <v>357</v>
      </c>
      <c r="F3917" t="s">
        <v>394</v>
      </c>
      <c r="G3917" t="s">
        <v>37</v>
      </c>
      <c r="H3917" t="s">
        <v>43</v>
      </c>
      <c r="I3917" s="187"/>
      <c r="J3917" s="187"/>
      <c r="K3917" s="187">
        <v>0</v>
      </c>
      <c r="L3917" s="187">
        <v>0</v>
      </c>
      <c r="M3917" s="187">
        <v>0</v>
      </c>
      <c r="N3917" s="187">
        <v>0</v>
      </c>
      <c r="O3917" t="s">
        <v>4376</v>
      </c>
    </row>
    <row r="3918" spans="1:15" hidden="1" x14ac:dyDescent="0.45">
      <c r="A3918" s="187">
        <v>2020</v>
      </c>
      <c r="B3918" t="s">
        <v>34</v>
      </c>
      <c r="C3918" t="s">
        <v>325</v>
      </c>
      <c r="D3918" t="s">
        <v>35</v>
      </c>
      <c r="E3918" t="s">
        <v>357</v>
      </c>
      <c r="F3918" t="s">
        <v>395</v>
      </c>
      <c r="G3918" t="s">
        <v>36</v>
      </c>
      <c r="H3918" t="s">
        <v>43</v>
      </c>
      <c r="I3918" s="187"/>
      <c r="J3918" s="187"/>
      <c r="K3918" s="187">
        <v>0</v>
      </c>
      <c r="L3918" s="187">
        <v>449.39315795898438</v>
      </c>
      <c r="M3918" s="187">
        <v>449.39315795898438</v>
      </c>
      <c r="N3918" s="187">
        <v>449.39315795898438</v>
      </c>
      <c r="O3918" t="s">
        <v>4377</v>
      </c>
    </row>
    <row r="3919" spans="1:15" hidden="1" x14ac:dyDescent="0.45">
      <c r="A3919" s="187">
        <v>2020</v>
      </c>
      <c r="B3919" t="s">
        <v>34</v>
      </c>
      <c r="C3919" t="s">
        <v>325</v>
      </c>
      <c r="D3919" t="s">
        <v>35</v>
      </c>
      <c r="E3919" t="s">
        <v>357</v>
      </c>
      <c r="F3919" t="s">
        <v>395</v>
      </c>
      <c r="G3919" t="s">
        <v>37</v>
      </c>
      <c r="H3919" t="s">
        <v>43</v>
      </c>
      <c r="I3919" s="187"/>
      <c r="J3919" s="187"/>
      <c r="K3919" s="187">
        <v>0</v>
      </c>
      <c r="L3919" s="187">
        <v>408</v>
      </c>
      <c r="M3919" s="187">
        <v>408</v>
      </c>
      <c r="N3919" s="187">
        <v>408</v>
      </c>
      <c r="O3919" t="s">
        <v>4378</v>
      </c>
    </row>
    <row r="3920" spans="1:15" hidden="1" x14ac:dyDescent="0.45">
      <c r="A3920" s="187">
        <v>2020</v>
      </c>
      <c r="B3920" t="s">
        <v>34</v>
      </c>
      <c r="C3920" t="s">
        <v>325</v>
      </c>
      <c r="D3920" t="s">
        <v>35</v>
      </c>
      <c r="E3920" t="s">
        <v>357</v>
      </c>
      <c r="F3920" t="s">
        <v>396</v>
      </c>
      <c r="G3920" t="s">
        <v>36</v>
      </c>
      <c r="H3920" t="s">
        <v>43</v>
      </c>
      <c r="I3920" s="187"/>
      <c r="J3920" s="187"/>
      <c r="K3920" s="187">
        <v>309.50851440429688</v>
      </c>
      <c r="L3920" s="187">
        <v>408.63937377929688</v>
      </c>
      <c r="M3920" s="187">
        <v>718.14788818359375</v>
      </c>
      <c r="N3920" s="187">
        <v>408.63937377929688</v>
      </c>
      <c r="O3920" t="s">
        <v>4379</v>
      </c>
    </row>
    <row r="3921" spans="1:15" hidden="1" x14ac:dyDescent="0.45">
      <c r="A3921" s="187">
        <v>2020</v>
      </c>
      <c r="B3921" t="s">
        <v>34</v>
      </c>
      <c r="C3921" t="s">
        <v>325</v>
      </c>
      <c r="D3921" t="s">
        <v>35</v>
      </c>
      <c r="E3921" t="s">
        <v>357</v>
      </c>
      <c r="F3921" t="s">
        <v>396</v>
      </c>
      <c r="G3921" t="s">
        <v>37</v>
      </c>
      <c r="H3921" t="s">
        <v>43</v>
      </c>
      <c r="I3921" s="187"/>
      <c r="J3921" s="187"/>
      <c r="K3921" s="187">
        <v>281</v>
      </c>
      <c r="L3921" s="187">
        <v>371</v>
      </c>
      <c r="M3921" s="187">
        <v>652</v>
      </c>
      <c r="N3921" s="187">
        <v>371</v>
      </c>
      <c r="O3921" t="s">
        <v>4380</v>
      </c>
    </row>
    <row r="3922" spans="1:15" hidden="1" x14ac:dyDescent="0.45">
      <c r="A3922" s="187">
        <v>2020</v>
      </c>
      <c r="B3922" t="s">
        <v>34</v>
      </c>
      <c r="C3922" t="s">
        <v>325</v>
      </c>
      <c r="D3922" t="s">
        <v>35</v>
      </c>
      <c r="E3922" t="s">
        <v>357</v>
      </c>
      <c r="F3922" t="s">
        <v>415</v>
      </c>
      <c r="G3922" t="s">
        <v>36</v>
      </c>
      <c r="H3922" t="s">
        <v>43</v>
      </c>
      <c r="I3922" s="187">
        <v>192.08323669433594</v>
      </c>
      <c r="J3922" s="187">
        <v>0</v>
      </c>
      <c r="K3922" s="187">
        <v>316.11724853515625</v>
      </c>
      <c r="L3922" s="187">
        <v>1029.859375</v>
      </c>
      <c r="M3922" s="187">
        <v>1538.059814453125</v>
      </c>
      <c r="N3922" s="187">
        <v>1221.942626953125</v>
      </c>
      <c r="O3922" t="s">
        <v>4381</v>
      </c>
    </row>
    <row r="3923" spans="1:15" hidden="1" x14ac:dyDescent="0.45">
      <c r="A3923" s="187">
        <v>2020</v>
      </c>
      <c r="B3923" t="s">
        <v>34</v>
      </c>
      <c r="C3923" t="s">
        <v>325</v>
      </c>
      <c r="D3923" t="s">
        <v>35</v>
      </c>
      <c r="E3923" t="s">
        <v>357</v>
      </c>
      <c r="F3923" t="s">
        <v>415</v>
      </c>
      <c r="G3923" t="s">
        <v>37</v>
      </c>
      <c r="H3923" t="s">
        <v>43</v>
      </c>
      <c r="I3923" s="187">
        <v>174.39063999999999</v>
      </c>
      <c r="J3923" s="187">
        <v>0</v>
      </c>
      <c r="K3923" s="187">
        <v>287</v>
      </c>
      <c r="L3923" s="187">
        <v>935</v>
      </c>
      <c r="M3923" s="187">
        <v>1396.390625</v>
      </c>
      <c r="N3923" s="187">
        <v>1109.390625</v>
      </c>
      <c r="O3923" t="s">
        <v>4382</v>
      </c>
    </row>
    <row r="3924" spans="1:15" hidden="1" x14ac:dyDescent="0.45">
      <c r="A3924" s="187">
        <v>2020</v>
      </c>
      <c r="B3924" t="s">
        <v>34</v>
      </c>
      <c r="C3924" t="s">
        <v>325</v>
      </c>
      <c r="D3924" t="s">
        <v>35</v>
      </c>
      <c r="E3924" t="s">
        <v>357</v>
      </c>
      <c r="F3924" t="s">
        <v>416</v>
      </c>
      <c r="G3924" t="s">
        <v>36</v>
      </c>
      <c r="H3924" t="s">
        <v>43</v>
      </c>
      <c r="I3924" s="187"/>
      <c r="J3924" s="187"/>
      <c r="K3924" s="187">
        <v>0</v>
      </c>
      <c r="L3924" s="187">
        <v>0</v>
      </c>
      <c r="M3924" s="187">
        <v>0</v>
      </c>
      <c r="N3924" s="187">
        <v>0</v>
      </c>
      <c r="O3924" t="s">
        <v>4383</v>
      </c>
    </row>
    <row r="3925" spans="1:15" hidden="1" x14ac:dyDescent="0.45">
      <c r="A3925" s="187">
        <v>2020</v>
      </c>
      <c r="B3925" t="s">
        <v>34</v>
      </c>
      <c r="C3925" t="s">
        <v>325</v>
      </c>
      <c r="D3925" t="s">
        <v>35</v>
      </c>
      <c r="E3925" t="s">
        <v>357</v>
      </c>
      <c r="F3925" t="s">
        <v>416</v>
      </c>
      <c r="G3925" t="s">
        <v>37</v>
      </c>
      <c r="H3925" t="s">
        <v>43</v>
      </c>
      <c r="I3925" s="187"/>
      <c r="J3925" s="187"/>
      <c r="K3925" s="187">
        <v>0</v>
      </c>
      <c r="L3925" s="187">
        <v>0</v>
      </c>
      <c r="M3925" s="187">
        <v>0</v>
      </c>
      <c r="N3925" s="187">
        <v>0</v>
      </c>
      <c r="O3925" t="s">
        <v>4384</v>
      </c>
    </row>
    <row r="3926" spans="1:15" hidden="1" x14ac:dyDescent="0.45">
      <c r="A3926" s="187">
        <v>2020</v>
      </c>
      <c r="B3926" t="s">
        <v>34</v>
      </c>
      <c r="C3926" t="s">
        <v>325</v>
      </c>
      <c r="D3926" t="s">
        <v>35</v>
      </c>
      <c r="E3926" t="s">
        <v>357</v>
      </c>
      <c r="F3926" t="s">
        <v>417</v>
      </c>
      <c r="G3926" t="s">
        <v>36</v>
      </c>
      <c r="H3926" t="s">
        <v>43</v>
      </c>
      <c r="I3926" s="187"/>
      <c r="J3926" s="187">
        <v>126.66719055175781</v>
      </c>
      <c r="K3926" s="187">
        <v>0</v>
      </c>
      <c r="L3926" s="187">
        <v>0</v>
      </c>
      <c r="M3926" s="187">
        <v>126.66719055175781</v>
      </c>
      <c r="N3926" s="187">
        <v>0</v>
      </c>
      <c r="O3926" t="s">
        <v>4385</v>
      </c>
    </row>
    <row r="3927" spans="1:15" hidden="1" x14ac:dyDescent="0.45">
      <c r="A3927" s="187">
        <v>2020</v>
      </c>
      <c r="B3927" t="s">
        <v>34</v>
      </c>
      <c r="C3927" t="s">
        <v>325</v>
      </c>
      <c r="D3927" t="s">
        <v>35</v>
      </c>
      <c r="E3927" t="s">
        <v>357</v>
      </c>
      <c r="F3927" t="s">
        <v>417</v>
      </c>
      <c r="G3927" t="s">
        <v>37</v>
      </c>
      <c r="H3927" t="s">
        <v>43</v>
      </c>
      <c r="I3927" s="187"/>
      <c r="J3927" s="187">
        <v>115</v>
      </c>
      <c r="K3927" s="187">
        <v>0</v>
      </c>
      <c r="L3927" s="187">
        <v>0</v>
      </c>
      <c r="M3927" s="187">
        <v>115</v>
      </c>
      <c r="N3927" s="187">
        <v>0</v>
      </c>
      <c r="O3927" t="s">
        <v>4386</v>
      </c>
    </row>
    <row r="3928" spans="1:15" hidden="1" x14ac:dyDescent="0.45">
      <c r="A3928" s="187">
        <v>2020</v>
      </c>
      <c r="B3928" t="s">
        <v>34</v>
      </c>
      <c r="C3928" t="s">
        <v>325</v>
      </c>
      <c r="D3928" t="s">
        <v>35</v>
      </c>
      <c r="E3928" t="s">
        <v>357</v>
      </c>
      <c r="F3928" t="s">
        <v>418</v>
      </c>
      <c r="G3928" t="s">
        <v>36</v>
      </c>
      <c r="H3928" t="s">
        <v>43</v>
      </c>
      <c r="I3928" s="187"/>
      <c r="J3928" s="187">
        <v>16.521806716918945</v>
      </c>
      <c r="K3928" s="187">
        <v>68.290138244628906</v>
      </c>
      <c r="L3928" s="187">
        <v>0</v>
      </c>
      <c r="M3928" s="187">
        <v>84.811943054199219</v>
      </c>
      <c r="N3928" s="187">
        <v>0</v>
      </c>
      <c r="O3928" t="s">
        <v>4387</v>
      </c>
    </row>
    <row r="3929" spans="1:15" hidden="1" x14ac:dyDescent="0.45">
      <c r="A3929" s="187">
        <v>2020</v>
      </c>
      <c r="B3929" t="s">
        <v>34</v>
      </c>
      <c r="C3929" t="s">
        <v>325</v>
      </c>
      <c r="D3929" t="s">
        <v>35</v>
      </c>
      <c r="E3929" t="s">
        <v>357</v>
      </c>
      <c r="F3929" t="s">
        <v>418</v>
      </c>
      <c r="G3929" t="s">
        <v>37</v>
      </c>
      <c r="H3929" t="s">
        <v>43</v>
      </c>
      <c r="I3929" s="187"/>
      <c r="J3929" s="187">
        <v>15</v>
      </c>
      <c r="K3929" s="187">
        <v>62</v>
      </c>
      <c r="L3929" s="187">
        <v>0</v>
      </c>
      <c r="M3929" s="187">
        <v>77</v>
      </c>
      <c r="N3929" s="187">
        <v>0</v>
      </c>
      <c r="O3929" t="s">
        <v>4388</v>
      </c>
    </row>
    <row r="3930" spans="1:15" hidden="1" x14ac:dyDescent="0.45">
      <c r="A3930" s="187">
        <v>2020</v>
      </c>
      <c r="B3930" t="s">
        <v>34</v>
      </c>
      <c r="C3930" t="s">
        <v>325</v>
      </c>
      <c r="D3930" t="s">
        <v>35</v>
      </c>
      <c r="E3930" t="s">
        <v>357</v>
      </c>
      <c r="F3930" t="s">
        <v>419</v>
      </c>
      <c r="G3930" t="s">
        <v>36</v>
      </c>
      <c r="H3930" t="s">
        <v>43</v>
      </c>
      <c r="I3930" s="187"/>
      <c r="J3930" s="187"/>
      <c r="K3930" s="187">
        <v>0</v>
      </c>
      <c r="L3930" s="187">
        <v>0</v>
      </c>
      <c r="M3930" s="187">
        <v>0</v>
      </c>
      <c r="N3930" s="187">
        <v>0</v>
      </c>
      <c r="O3930" t="s">
        <v>4389</v>
      </c>
    </row>
    <row r="3931" spans="1:15" hidden="1" x14ac:dyDescent="0.45">
      <c r="A3931" s="187">
        <v>2020</v>
      </c>
      <c r="B3931" t="s">
        <v>34</v>
      </c>
      <c r="C3931" t="s">
        <v>325</v>
      </c>
      <c r="D3931" t="s">
        <v>35</v>
      </c>
      <c r="E3931" t="s">
        <v>357</v>
      </c>
      <c r="F3931" t="s">
        <v>419</v>
      </c>
      <c r="G3931" t="s">
        <v>37</v>
      </c>
      <c r="H3931" t="s">
        <v>43</v>
      </c>
      <c r="I3931" s="187"/>
      <c r="J3931" s="187"/>
      <c r="K3931" s="187">
        <v>0</v>
      </c>
      <c r="L3931" s="187">
        <v>0</v>
      </c>
      <c r="M3931" s="187">
        <v>0</v>
      </c>
      <c r="N3931" s="187">
        <v>0</v>
      </c>
      <c r="O3931" t="s">
        <v>4390</v>
      </c>
    </row>
    <row r="3932" spans="1:15" hidden="1" x14ac:dyDescent="0.45">
      <c r="A3932" s="187">
        <v>2020</v>
      </c>
      <c r="B3932" t="s">
        <v>34</v>
      </c>
      <c r="C3932" t="s">
        <v>325</v>
      </c>
      <c r="D3932" t="s">
        <v>35</v>
      </c>
      <c r="E3932" t="s">
        <v>357</v>
      </c>
      <c r="F3932" t="s">
        <v>420</v>
      </c>
      <c r="G3932" t="s">
        <v>36</v>
      </c>
      <c r="H3932" t="s">
        <v>43</v>
      </c>
      <c r="I3932" s="187">
        <v>0</v>
      </c>
      <c r="J3932" s="187">
        <v>143.18899536132813</v>
      </c>
      <c r="K3932" s="187">
        <v>68.290138244628906</v>
      </c>
      <c r="L3932" s="187">
        <v>0</v>
      </c>
      <c r="M3932" s="187">
        <v>211.4791259765625</v>
      </c>
      <c r="N3932" s="187">
        <v>0</v>
      </c>
      <c r="O3932" t="s">
        <v>4391</v>
      </c>
    </row>
    <row r="3933" spans="1:15" hidden="1" x14ac:dyDescent="0.45">
      <c r="A3933" s="187">
        <v>2020</v>
      </c>
      <c r="B3933" t="s">
        <v>34</v>
      </c>
      <c r="C3933" t="s">
        <v>325</v>
      </c>
      <c r="D3933" t="s">
        <v>35</v>
      </c>
      <c r="E3933" t="s">
        <v>357</v>
      </c>
      <c r="F3933" t="s">
        <v>420</v>
      </c>
      <c r="G3933" t="s">
        <v>37</v>
      </c>
      <c r="H3933" t="s">
        <v>43</v>
      </c>
      <c r="I3933" s="187">
        <v>0</v>
      </c>
      <c r="J3933" s="187">
        <v>130</v>
      </c>
      <c r="K3933" s="187">
        <v>62</v>
      </c>
      <c r="L3933" s="187">
        <v>0</v>
      </c>
      <c r="M3933" s="187">
        <v>192</v>
      </c>
      <c r="N3933" s="187">
        <v>0</v>
      </c>
      <c r="O3933" t="s">
        <v>4392</v>
      </c>
    </row>
    <row r="3934" spans="1:15" hidden="1" x14ac:dyDescent="0.45">
      <c r="A3934" s="187">
        <v>2020</v>
      </c>
      <c r="B3934" t="s">
        <v>34</v>
      </c>
      <c r="C3934" t="s">
        <v>325</v>
      </c>
      <c r="D3934" t="s">
        <v>35</v>
      </c>
      <c r="E3934" t="s">
        <v>357</v>
      </c>
      <c r="F3934" t="s">
        <v>402</v>
      </c>
      <c r="G3934" t="s">
        <v>36</v>
      </c>
      <c r="H3934" t="s">
        <v>43</v>
      </c>
      <c r="I3934" s="187">
        <v>42.403087615966797</v>
      </c>
      <c r="J3934" s="187"/>
      <c r="K3934" s="187">
        <v>0</v>
      </c>
      <c r="L3934" s="187">
        <v>0</v>
      </c>
      <c r="M3934" s="187">
        <v>42.403087615966797</v>
      </c>
      <c r="N3934" s="187">
        <v>42.403087615966797</v>
      </c>
      <c r="O3934" t="s">
        <v>4393</v>
      </c>
    </row>
    <row r="3935" spans="1:15" hidden="1" x14ac:dyDescent="0.45">
      <c r="A3935" s="187">
        <v>2020</v>
      </c>
      <c r="B3935" t="s">
        <v>34</v>
      </c>
      <c r="C3935" t="s">
        <v>325</v>
      </c>
      <c r="D3935" t="s">
        <v>35</v>
      </c>
      <c r="E3935" t="s">
        <v>357</v>
      </c>
      <c r="F3935" t="s">
        <v>402</v>
      </c>
      <c r="G3935" t="s">
        <v>37</v>
      </c>
      <c r="H3935" t="s">
        <v>43</v>
      </c>
      <c r="I3935" s="187">
        <v>38.497380000000007</v>
      </c>
      <c r="J3935" s="187"/>
      <c r="K3935" s="187">
        <v>0</v>
      </c>
      <c r="L3935" s="187">
        <v>0</v>
      </c>
      <c r="M3935" s="187">
        <v>38.497379302978516</v>
      </c>
      <c r="N3935" s="187">
        <v>38.497379302978516</v>
      </c>
      <c r="O3935" t="s">
        <v>4394</v>
      </c>
    </row>
    <row r="3936" spans="1:15" hidden="1" x14ac:dyDescent="0.45">
      <c r="A3936" s="187">
        <v>2020</v>
      </c>
      <c r="B3936" t="s">
        <v>34</v>
      </c>
      <c r="C3936" t="s">
        <v>325</v>
      </c>
      <c r="D3936" t="s">
        <v>35</v>
      </c>
      <c r="E3936" t="s">
        <v>357</v>
      </c>
      <c r="F3936" t="s">
        <v>403</v>
      </c>
      <c r="G3936" t="s">
        <v>36</v>
      </c>
      <c r="H3936" t="s">
        <v>43</v>
      </c>
      <c r="I3936" s="187">
        <v>4150.3623046875</v>
      </c>
      <c r="J3936" s="187"/>
      <c r="K3936" s="187">
        <v>2895.72216796875</v>
      </c>
      <c r="L3936" s="187">
        <v>1072.8160400390625</v>
      </c>
      <c r="M3936" s="187">
        <v>8118.900390625</v>
      </c>
      <c r="N3936" s="187">
        <v>5223.17822265625</v>
      </c>
      <c r="O3936" t="s">
        <v>4395</v>
      </c>
    </row>
    <row r="3937" spans="1:15" hidden="1" x14ac:dyDescent="0.45">
      <c r="A3937" s="187">
        <v>2020</v>
      </c>
      <c r="B3937" t="s">
        <v>34</v>
      </c>
      <c r="C3937" t="s">
        <v>325</v>
      </c>
      <c r="D3937" t="s">
        <v>35</v>
      </c>
      <c r="E3937" t="s">
        <v>357</v>
      </c>
      <c r="F3937" t="s">
        <v>403</v>
      </c>
      <c r="G3937" t="s">
        <v>37</v>
      </c>
      <c r="H3937" t="s">
        <v>43</v>
      </c>
      <c r="I3937" s="187">
        <v>3768.0765200000001</v>
      </c>
      <c r="J3937" s="187"/>
      <c r="K3937" s="187">
        <v>2629</v>
      </c>
      <c r="L3937" s="187">
        <v>974</v>
      </c>
      <c r="M3937" s="187">
        <v>7371.076171875</v>
      </c>
      <c r="N3937" s="187">
        <v>4742.076171875</v>
      </c>
      <c r="O3937" t="s">
        <v>4396</v>
      </c>
    </row>
    <row r="3938" spans="1:15" hidden="1" x14ac:dyDescent="0.45">
      <c r="A3938" s="187">
        <v>2020</v>
      </c>
      <c r="B3938" t="s">
        <v>34</v>
      </c>
      <c r="C3938" t="s">
        <v>325</v>
      </c>
      <c r="D3938" t="s">
        <v>35</v>
      </c>
      <c r="E3938" t="s">
        <v>357</v>
      </c>
      <c r="F3938" t="s">
        <v>405</v>
      </c>
      <c r="G3938" t="s">
        <v>36</v>
      </c>
      <c r="H3938" t="s">
        <v>43</v>
      </c>
      <c r="I3938" s="187">
        <v>2.68215012550354</v>
      </c>
      <c r="J3938" s="187">
        <v>5.5072693824768066</v>
      </c>
      <c r="K3938" s="187">
        <v>333.74050903320313</v>
      </c>
      <c r="L3938" s="187">
        <v>50.666877746582031</v>
      </c>
      <c r="M3938" s="187">
        <v>392.5968017578125</v>
      </c>
      <c r="N3938" s="187">
        <v>53.349029541015625</v>
      </c>
      <c r="O3938" t="s">
        <v>4397</v>
      </c>
    </row>
    <row r="3939" spans="1:15" hidden="1" x14ac:dyDescent="0.45">
      <c r="A3939" s="187">
        <v>2020</v>
      </c>
      <c r="B3939" t="s">
        <v>34</v>
      </c>
      <c r="C3939" t="s">
        <v>325</v>
      </c>
      <c r="D3939" t="s">
        <v>35</v>
      </c>
      <c r="E3939" t="s">
        <v>357</v>
      </c>
      <c r="F3939" t="s">
        <v>405</v>
      </c>
      <c r="G3939" t="s">
        <v>37</v>
      </c>
      <c r="H3939" t="s">
        <v>43</v>
      </c>
      <c r="I3939" s="187">
        <v>2.4350999999999989</v>
      </c>
      <c r="J3939" s="187">
        <v>5</v>
      </c>
      <c r="K3939" s="187">
        <v>303</v>
      </c>
      <c r="L3939" s="187">
        <v>46</v>
      </c>
      <c r="M3939" s="187">
        <v>356.43508911132813</v>
      </c>
      <c r="N3939" s="187">
        <v>48.435100555419922</v>
      </c>
      <c r="O3939" t="s">
        <v>4398</v>
      </c>
    </row>
    <row r="3940" spans="1:15" hidden="1" x14ac:dyDescent="0.45">
      <c r="A3940" s="187">
        <v>2020</v>
      </c>
      <c r="B3940" t="s">
        <v>34</v>
      </c>
      <c r="C3940" t="s">
        <v>325</v>
      </c>
      <c r="D3940" t="s">
        <v>35</v>
      </c>
      <c r="E3940" t="s">
        <v>357</v>
      </c>
      <c r="F3940" t="s">
        <v>406</v>
      </c>
      <c r="G3940" t="s">
        <v>36</v>
      </c>
      <c r="H3940" t="s">
        <v>43</v>
      </c>
      <c r="I3940" s="187"/>
      <c r="J3940" s="187"/>
      <c r="K3940" s="187">
        <v>0</v>
      </c>
      <c r="L3940" s="187">
        <v>0</v>
      </c>
      <c r="M3940" s="187">
        <v>0</v>
      </c>
      <c r="N3940" s="187">
        <v>0</v>
      </c>
      <c r="O3940" t="s">
        <v>4399</v>
      </c>
    </row>
    <row r="3941" spans="1:15" hidden="1" x14ac:dyDescent="0.45">
      <c r="A3941" s="187">
        <v>2020</v>
      </c>
      <c r="B3941" t="s">
        <v>34</v>
      </c>
      <c r="C3941" t="s">
        <v>325</v>
      </c>
      <c r="D3941" t="s">
        <v>35</v>
      </c>
      <c r="E3941" t="s">
        <v>357</v>
      </c>
      <c r="F3941" t="s">
        <v>406</v>
      </c>
      <c r="G3941" t="s">
        <v>37</v>
      </c>
      <c r="H3941" t="s">
        <v>43</v>
      </c>
      <c r="I3941" s="187"/>
      <c r="J3941" s="187"/>
      <c r="K3941" s="187">
        <v>0</v>
      </c>
      <c r="L3941" s="187">
        <v>0</v>
      </c>
      <c r="M3941" s="187">
        <v>0</v>
      </c>
      <c r="N3941" s="187">
        <v>0</v>
      </c>
      <c r="O3941" t="s">
        <v>4400</v>
      </c>
    </row>
    <row r="3942" spans="1:15" hidden="1" x14ac:dyDescent="0.45">
      <c r="A3942" s="187">
        <v>2020</v>
      </c>
      <c r="B3942" t="s">
        <v>34</v>
      </c>
      <c r="C3942" t="s">
        <v>325</v>
      </c>
      <c r="D3942" t="s">
        <v>35</v>
      </c>
      <c r="E3942" t="s">
        <v>357</v>
      </c>
      <c r="F3942" t="s">
        <v>421</v>
      </c>
      <c r="G3942" t="s">
        <v>36</v>
      </c>
      <c r="H3942" t="s">
        <v>43</v>
      </c>
      <c r="I3942" s="187"/>
      <c r="J3942" s="187">
        <v>3.3043615818023682</v>
      </c>
      <c r="K3942" s="187">
        <v>0</v>
      </c>
      <c r="L3942" s="187">
        <v>26.434892654418945</v>
      </c>
      <c r="M3942" s="187">
        <v>29.739253997802734</v>
      </c>
      <c r="N3942" s="187">
        <v>26.434892654418945</v>
      </c>
      <c r="O3942" t="s">
        <v>4401</v>
      </c>
    </row>
    <row r="3943" spans="1:15" hidden="1" x14ac:dyDescent="0.45">
      <c r="A3943" s="187">
        <v>2020</v>
      </c>
      <c r="B3943" t="s">
        <v>34</v>
      </c>
      <c r="C3943" t="s">
        <v>325</v>
      </c>
      <c r="D3943" t="s">
        <v>35</v>
      </c>
      <c r="E3943" t="s">
        <v>357</v>
      </c>
      <c r="F3943" t="s">
        <v>421</v>
      </c>
      <c r="G3943" t="s">
        <v>37</v>
      </c>
      <c r="H3943" t="s">
        <v>43</v>
      </c>
      <c r="I3943" s="187"/>
      <c r="J3943" s="187">
        <v>3</v>
      </c>
      <c r="K3943" s="187">
        <v>0</v>
      </c>
      <c r="L3943" s="187">
        <v>24</v>
      </c>
      <c r="M3943" s="187">
        <v>27</v>
      </c>
      <c r="N3943" s="187">
        <v>24</v>
      </c>
      <c r="O3943" t="s">
        <v>4402</v>
      </c>
    </row>
    <row r="3944" spans="1:15" hidden="1" x14ac:dyDescent="0.45">
      <c r="A3944" s="187">
        <v>2020</v>
      </c>
      <c r="B3944" t="s">
        <v>34</v>
      </c>
      <c r="C3944" t="s">
        <v>325</v>
      </c>
      <c r="D3944" t="s">
        <v>35</v>
      </c>
      <c r="E3944" t="s">
        <v>357</v>
      </c>
      <c r="F3944" t="s">
        <v>422</v>
      </c>
      <c r="G3944" t="s">
        <v>36</v>
      </c>
      <c r="H3944" t="s">
        <v>43</v>
      </c>
      <c r="I3944" s="187">
        <v>4195.44775390625</v>
      </c>
      <c r="J3944" s="187">
        <v>8.8116302490234375</v>
      </c>
      <c r="K3944" s="187">
        <v>3229.462646484375</v>
      </c>
      <c r="L3944" s="187">
        <v>1149.9178466796875</v>
      </c>
      <c r="M3944" s="187">
        <v>8583.6396484375</v>
      </c>
      <c r="N3944" s="187">
        <v>5345.36572265625</v>
      </c>
      <c r="O3944" t="s">
        <v>4403</v>
      </c>
    </row>
    <row r="3945" spans="1:15" hidden="1" x14ac:dyDescent="0.45">
      <c r="A3945" s="187">
        <v>2020</v>
      </c>
      <c r="B3945" t="s">
        <v>34</v>
      </c>
      <c r="C3945" t="s">
        <v>325</v>
      </c>
      <c r="D3945" t="s">
        <v>35</v>
      </c>
      <c r="E3945" t="s">
        <v>357</v>
      </c>
      <c r="F3945" t="s">
        <v>422</v>
      </c>
      <c r="G3945" t="s">
        <v>37</v>
      </c>
      <c r="H3945" t="s">
        <v>43</v>
      </c>
      <c r="I3945" s="187">
        <v>3809.009</v>
      </c>
      <c r="J3945" s="187">
        <v>8</v>
      </c>
      <c r="K3945" s="187">
        <v>2932</v>
      </c>
      <c r="L3945" s="187">
        <v>1044</v>
      </c>
      <c r="M3945" s="187">
        <v>7793.0087890625</v>
      </c>
      <c r="N3945" s="187">
        <v>4853.0087890625</v>
      </c>
      <c r="O3945" t="s">
        <v>4404</v>
      </c>
    </row>
    <row r="3946" spans="1:15" hidden="1" x14ac:dyDescent="0.45">
      <c r="A3946" s="187">
        <v>2020</v>
      </c>
      <c r="B3946" t="s">
        <v>34</v>
      </c>
      <c r="C3946" t="s">
        <v>325</v>
      </c>
      <c r="D3946" t="s">
        <v>35</v>
      </c>
      <c r="E3946" t="s">
        <v>357</v>
      </c>
      <c r="F3946" t="s">
        <v>423</v>
      </c>
      <c r="G3946" t="s">
        <v>36</v>
      </c>
      <c r="H3946" t="s">
        <v>43</v>
      </c>
      <c r="I3946" s="187">
        <v>6.5859451293945313</v>
      </c>
      <c r="J3946" s="187"/>
      <c r="K3946" s="187">
        <v>241.2183837890625</v>
      </c>
      <c r="L3946" s="187">
        <v>27.536346435546875</v>
      </c>
      <c r="M3946" s="187">
        <v>275.34066772460938</v>
      </c>
      <c r="N3946" s="187">
        <v>34.122291564941406</v>
      </c>
      <c r="O3946" t="s">
        <v>4405</v>
      </c>
    </row>
    <row r="3947" spans="1:15" hidden="1" x14ac:dyDescent="0.45">
      <c r="A3947" s="187">
        <v>2020</v>
      </c>
      <c r="B3947" t="s">
        <v>34</v>
      </c>
      <c r="C3947" t="s">
        <v>325</v>
      </c>
      <c r="D3947" t="s">
        <v>35</v>
      </c>
      <c r="E3947" t="s">
        <v>357</v>
      </c>
      <c r="F3947" t="s">
        <v>423</v>
      </c>
      <c r="G3947" t="s">
        <v>37</v>
      </c>
      <c r="H3947" t="s">
        <v>43</v>
      </c>
      <c r="I3947" s="187">
        <v>5.9793199999999977</v>
      </c>
      <c r="J3947" s="187"/>
      <c r="K3947" s="187">
        <v>219</v>
      </c>
      <c r="L3947" s="187">
        <v>25</v>
      </c>
      <c r="M3947" s="187">
        <v>249.97932434082031</v>
      </c>
      <c r="N3947" s="187">
        <v>30.979320526123047</v>
      </c>
      <c r="O3947" t="s">
        <v>4406</v>
      </c>
    </row>
    <row r="3948" spans="1:15" hidden="1" x14ac:dyDescent="0.45">
      <c r="A3948" s="187">
        <v>2020</v>
      </c>
      <c r="B3948" t="s">
        <v>34</v>
      </c>
      <c r="C3948" t="s">
        <v>325</v>
      </c>
      <c r="D3948" t="s">
        <v>35</v>
      </c>
      <c r="E3948" t="s">
        <v>357</v>
      </c>
      <c r="F3948" t="s">
        <v>424</v>
      </c>
      <c r="G3948" t="s">
        <v>36</v>
      </c>
      <c r="H3948" t="s">
        <v>43</v>
      </c>
      <c r="I3948" s="187"/>
      <c r="J3948" s="187"/>
      <c r="K3948" s="187">
        <v>2.2029075622558594</v>
      </c>
      <c r="L3948" s="187">
        <v>17.623260498046875</v>
      </c>
      <c r="M3948" s="187">
        <v>19.826168060302734</v>
      </c>
      <c r="N3948" s="187">
        <v>17.623260498046875</v>
      </c>
      <c r="O3948" t="s">
        <v>4407</v>
      </c>
    </row>
    <row r="3949" spans="1:15" hidden="1" x14ac:dyDescent="0.45">
      <c r="A3949" s="187">
        <v>2020</v>
      </c>
      <c r="B3949" t="s">
        <v>34</v>
      </c>
      <c r="C3949" t="s">
        <v>325</v>
      </c>
      <c r="D3949" t="s">
        <v>35</v>
      </c>
      <c r="E3949" t="s">
        <v>357</v>
      </c>
      <c r="F3949" t="s">
        <v>424</v>
      </c>
      <c r="G3949" t="s">
        <v>37</v>
      </c>
      <c r="H3949" t="s">
        <v>43</v>
      </c>
      <c r="I3949" s="187"/>
      <c r="J3949" s="187"/>
      <c r="K3949" s="187">
        <v>2</v>
      </c>
      <c r="L3949" s="187">
        <v>16</v>
      </c>
      <c r="M3949" s="187">
        <v>18</v>
      </c>
      <c r="N3949" s="187">
        <v>16</v>
      </c>
      <c r="O3949" t="s">
        <v>4408</v>
      </c>
    </row>
    <row r="3950" spans="1:15" hidden="1" x14ac:dyDescent="0.45">
      <c r="A3950" s="187">
        <v>2020</v>
      </c>
      <c r="B3950" t="s">
        <v>34</v>
      </c>
      <c r="C3950" t="s">
        <v>325</v>
      </c>
      <c r="D3950" t="s">
        <v>35</v>
      </c>
      <c r="E3950" t="s">
        <v>357</v>
      </c>
      <c r="F3950" t="s">
        <v>446</v>
      </c>
      <c r="G3950" t="s">
        <v>36</v>
      </c>
      <c r="H3950" t="s">
        <v>43</v>
      </c>
      <c r="I3950" s="187">
        <v>230.47618103027344</v>
      </c>
      <c r="J3950" s="187"/>
      <c r="K3950" s="187">
        <v>15.420353889465332</v>
      </c>
      <c r="L3950" s="187">
        <v>0</v>
      </c>
      <c r="M3950" s="187">
        <v>245.89653015136719</v>
      </c>
      <c r="N3950" s="187">
        <v>230.47618103027344</v>
      </c>
      <c r="O3950" t="s">
        <v>4409</v>
      </c>
    </row>
    <row r="3951" spans="1:15" hidden="1" x14ac:dyDescent="0.45">
      <c r="A3951" s="187">
        <v>2020</v>
      </c>
      <c r="B3951" t="s">
        <v>34</v>
      </c>
      <c r="C3951" t="s">
        <v>325</v>
      </c>
      <c r="D3951" t="s">
        <v>35</v>
      </c>
      <c r="E3951" t="s">
        <v>357</v>
      </c>
      <c r="F3951" t="s">
        <v>446</v>
      </c>
      <c r="G3951" t="s">
        <v>37</v>
      </c>
      <c r="H3951" t="s">
        <v>43</v>
      </c>
      <c r="I3951" s="187">
        <v>209.24724000000001</v>
      </c>
      <c r="J3951" s="187"/>
      <c r="K3951" s="187">
        <v>14</v>
      </c>
      <c r="L3951" s="187">
        <v>0</v>
      </c>
      <c r="M3951" s="187">
        <v>223.24723815917969</v>
      </c>
      <c r="N3951" s="187">
        <v>209.24723815917969</v>
      </c>
      <c r="O3951" t="s">
        <v>4410</v>
      </c>
    </row>
    <row r="3952" spans="1:15" hidden="1" x14ac:dyDescent="0.45">
      <c r="A3952" s="187">
        <v>2020</v>
      </c>
      <c r="B3952" t="s">
        <v>34</v>
      </c>
      <c r="C3952" t="s">
        <v>325</v>
      </c>
      <c r="D3952" t="s">
        <v>35</v>
      </c>
      <c r="E3952" t="s">
        <v>357</v>
      </c>
      <c r="F3952" t="s">
        <v>426</v>
      </c>
      <c r="G3952" t="s">
        <v>36</v>
      </c>
      <c r="H3952" t="s">
        <v>43</v>
      </c>
      <c r="I3952" s="187">
        <v>237.06211853027344</v>
      </c>
      <c r="J3952" s="187">
        <v>0</v>
      </c>
      <c r="K3952" s="187">
        <v>258.84164428710938</v>
      </c>
      <c r="L3952" s="187">
        <v>45.15960693359375</v>
      </c>
      <c r="M3952" s="187">
        <v>541.0633544921875</v>
      </c>
      <c r="N3952" s="187">
        <v>282.22174072265625</v>
      </c>
      <c r="O3952" t="s">
        <v>4411</v>
      </c>
    </row>
    <row r="3953" spans="1:15" hidden="1" x14ac:dyDescent="0.45">
      <c r="A3953" s="187">
        <v>2020</v>
      </c>
      <c r="B3953" t="s">
        <v>34</v>
      </c>
      <c r="C3953" t="s">
        <v>325</v>
      </c>
      <c r="D3953" t="s">
        <v>35</v>
      </c>
      <c r="E3953" t="s">
        <v>357</v>
      </c>
      <c r="F3953" t="s">
        <v>426</v>
      </c>
      <c r="G3953" t="s">
        <v>37</v>
      </c>
      <c r="H3953" t="s">
        <v>43</v>
      </c>
      <c r="I3953" s="187">
        <v>215.22656000000001</v>
      </c>
      <c r="J3953" s="187">
        <v>0</v>
      </c>
      <c r="K3953" s="187">
        <v>235</v>
      </c>
      <c r="L3953" s="187">
        <v>41</v>
      </c>
      <c r="M3953" s="187">
        <v>491.2265625</v>
      </c>
      <c r="N3953" s="187">
        <v>256.2265625</v>
      </c>
      <c r="O3953" t="s">
        <v>4412</v>
      </c>
    </row>
    <row r="3954" spans="1:15" hidden="1" x14ac:dyDescent="0.45">
      <c r="A3954" s="187">
        <v>2020</v>
      </c>
      <c r="B3954" t="s">
        <v>34</v>
      </c>
      <c r="C3954" t="s">
        <v>325</v>
      </c>
      <c r="D3954" t="s">
        <v>35</v>
      </c>
      <c r="E3954" t="s">
        <v>358</v>
      </c>
      <c r="F3954" t="s">
        <v>427</v>
      </c>
      <c r="G3954" t="s">
        <v>36</v>
      </c>
      <c r="H3954" t="s">
        <v>43</v>
      </c>
      <c r="I3954" s="187">
        <v>1.6521807909011841</v>
      </c>
      <c r="J3954" s="187"/>
      <c r="K3954" s="187">
        <v>209.27622985839844</v>
      </c>
      <c r="L3954" s="187">
        <v>0</v>
      </c>
      <c r="M3954" s="187">
        <v>210.92840576171875</v>
      </c>
      <c r="N3954" s="187">
        <v>1.6521807909011841</v>
      </c>
      <c r="O3954" t="s">
        <v>4413</v>
      </c>
    </row>
    <row r="3955" spans="1:15" hidden="1" x14ac:dyDescent="0.45">
      <c r="A3955" s="187">
        <v>2020</v>
      </c>
      <c r="B3955" t="s">
        <v>34</v>
      </c>
      <c r="C3955" t="s">
        <v>325</v>
      </c>
      <c r="D3955" t="s">
        <v>35</v>
      </c>
      <c r="E3955" t="s">
        <v>358</v>
      </c>
      <c r="F3955" t="s">
        <v>427</v>
      </c>
      <c r="G3955" t="s">
        <v>37</v>
      </c>
      <c r="H3955" t="s">
        <v>43</v>
      </c>
      <c r="I3955" s="187">
        <v>1.5</v>
      </c>
      <c r="J3955" s="187"/>
      <c r="K3955" s="187">
        <v>190</v>
      </c>
      <c r="L3955" s="187">
        <v>0</v>
      </c>
      <c r="M3955" s="187">
        <v>191.5</v>
      </c>
      <c r="N3955" s="187">
        <v>1.5</v>
      </c>
      <c r="O3955" t="s">
        <v>4414</v>
      </c>
    </row>
    <row r="3956" spans="1:15" hidden="1" x14ac:dyDescent="0.45">
      <c r="A3956" s="187">
        <v>2020</v>
      </c>
      <c r="B3956" t="s">
        <v>34</v>
      </c>
      <c r="C3956" t="s">
        <v>325</v>
      </c>
      <c r="D3956" t="s">
        <v>35</v>
      </c>
      <c r="E3956" t="s">
        <v>358</v>
      </c>
      <c r="F3956" t="s">
        <v>392</v>
      </c>
      <c r="G3956" t="s">
        <v>36</v>
      </c>
      <c r="H3956" t="s">
        <v>43</v>
      </c>
      <c r="I3956" s="187"/>
      <c r="J3956" s="187"/>
      <c r="K3956" s="187">
        <v>0</v>
      </c>
      <c r="L3956" s="187">
        <v>0</v>
      </c>
      <c r="M3956" s="187">
        <v>0</v>
      </c>
      <c r="N3956" s="187">
        <v>0</v>
      </c>
      <c r="O3956" t="s">
        <v>4415</v>
      </c>
    </row>
    <row r="3957" spans="1:15" hidden="1" x14ac:dyDescent="0.45">
      <c r="A3957" s="187">
        <v>2020</v>
      </c>
      <c r="B3957" t="s">
        <v>34</v>
      </c>
      <c r="C3957" t="s">
        <v>325</v>
      </c>
      <c r="D3957" t="s">
        <v>35</v>
      </c>
      <c r="E3957" t="s">
        <v>358</v>
      </c>
      <c r="F3957" t="s">
        <v>392</v>
      </c>
      <c r="G3957" t="s">
        <v>37</v>
      </c>
      <c r="H3957" t="s">
        <v>43</v>
      </c>
      <c r="I3957" s="187"/>
      <c r="J3957" s="187"/>
      <c r="K3957" s="187">
        <v>0</v>
      </c>
      <c r="L3957" s="187">
        <v>0</v>
      </c>
      <c r="M3957" s="187">
        <v>0</v>
      </c>
      <c r="N3957" s="187">
        <v>0</v>
      </c>
      <c r="O3957" t="s">
        <v>4416</v>
      </c>
    </row>
    <row r="3958" spans="1:15" hidden="1" x14ac:dyDescent="0.45">
      <c r="A3958" s="187">
        <v>2020</v>
      </c>
      <c r="B3958" t="s">
        <v>34</v>
      </c>
      <c r="C3958" t="s">
        <v>325</v>
      </c>
      <c r="D3958" t="s">
        <v>35</v>
      </c>
      <c r="E3958" t="s">
        <v>358</v>
      </c>
      <c r="F3958" t="s">
        <v>393</v>
      </c>
      <c r="G3958" t="s">
        <v>36</v>
      </c>
      <c r="H3958" t="s">
        <v>43</v>
      </c>
      <c r="I3958" s="187">
        <v>45.270942687988281</v>
      </c>
      <c r="J3958" s="187"/>
      <c r="K3958" s="187">
        <v>0</v>
      </c>
      <c r="L3958" s="187">
        <v>0</v>
      </c>
      <c r="M3958" s="187">
        <v>45.270942687988281</v>
      </c>
      <c r="N3958" s="187">
        <v>45.270942687988281</v>
      </c>
      <c r="O3958" t="s">
        <v>4417</v>
      </c>
    </row>
    <row r="3959" spans="1:15" hidden="1" x14ac:dyDescent="0.45">
      <c r="A3959" s="187">
        <v>2020</v>
      </c>
      <c r="B3959" t="s">
        <v>34</v>
      </c>
      <c r="C3959" t="s">
        <v>325</v>
      </c>
      <c r="D3959" t="s">
        <v>35</v>
      </c>
      <c r="E3959" t="s">
        <v>358</v>
      </c>
      <c r="F3959" t="s">
        <v>393</v>
      </c>
      <c r="G3959" t="s">
        <v>37</v>
      </c>
      <c r="H3959" t="s">
        <v>43</v>
      </c>
      <c r="I3959" s="187">
        <v>41.101080000000003</v>
      </c>
      <c r="J3959" s="187"/>
      <c r="K3959" s="187">
        <v>0</v>
      </c>
      <c r="L3959" s="187">
        <v>0</v>
      </c>
      <c r="M3959" s="187">
        <v>41.101081848144531</v>
      </c>
      <c r="N3959" s="187">
        <v>41.101081848144531</v>
      </c>
      <c r="O3959" t="s">
        <v>4418</v>
      </c>
    </row>
    <row r="3960" spans="1:15" hidden="1" x14ac:dyDescent="0.45">
      <c r="A3960" s="187">
        <v>2020</v>
      </c>
      <c r="B3960" t="s">
        <v>34</v>
      </c>
      <c r="C3960" t="s">
        <v>325</v>
      </c>
      <c r="D3960" t="s">
        <v>35</v>
      </c>
      <c r="E3960" t="s">
        <v>358</v>
      </c>
      <c r="F3960" t="s">
        <v>394</v>
      </c>
      <c r="G3960" t="s">
        <v>36</v>
      </c>
      <c r="H3960" t="s">
        <v>43</v>
      </c>
      <c r="I3960" s="187"/>
      <c r="J3960" s="187"/>
      <c r="K3960" s="187">
        <v>0</v>
      </c>
      <c r="L3960" s="187">
        <v>0</v>
      </c>
      <c r="M3960" s="187">
        <v>0</v>
      </c>
      <c r="N3960" s="187">
        <v>0</v>
      </c>
      <c r="O3960" t="s">
        <v>4419</v>
      </c>
    </row>
    <row r="3961" spans="1:15" hidden="1" x14ac:dyDescent="0.45">
      <c r="A3961" s="187">
        <v>2020</v>
      </c>
      <c r="B3961" t="s">
        <v>34</v>
      </c>
      <c r="C3961" t="s">
        <v>325</v>
      </c>
      <c r="D3961" t="s">
        <v>35</v>
      </c>
      <c r="E3961" t="s">
        <v>358</v>
      </c>
      <c r="F3961" t="s">
        <v>394</v>
      </c>
      <c r="G3961" t="s">
        <v>37</v>
      </c>
      <c r="H3961" t="s">
        <v>43</v>
      </c>
      <c r="I3961" s="187"/>
      <c r="J3961" s="187"/>
      <c r="K3961" s="187">
        <v>0</v>
      </c>
      <c r="L3961" s="187">
        <v>0</v>
      </c>
      <c r="M3961" s="187">
        <v>0</v>
      </c>
      <c r="N3961" s="187">
        <v>0</v>
      </c>
      <c r="O3961" t="s">
        <v>4420</v>
      </c>
    </row>
    <row r="3962" spans="1:15" hidden="1" x14ac:dyDescent="0.45">
      <c r="A3962" s="187">
        <v>2020</v>
      </c>
      <c r="B3962" t="s">
        <v>34</v>
      </c>
      <c r="C3962" t="s">
        <v>325</v>
      </c>
      <c r="D3962" t="s">
        <v>35</v>
      </c>
      <c r="E3962" t="s">
        <v>358</v>
      </c>
      <c r="F3962" t="s">
        <v>395</v>
      </c>
      <c r="G3962" t="s">
        <v>36</v>
      </c>
      <c r="H3962" t="s">
        <v>43</v>
      </c>
      <c r="I3962" s="187"/>
      <c r="J3962" s="187"/>
      <c r="K3962" s="187">
        <v>0</v>
      </c>
      <c r="L3962" s="187">
        <v>0</v>
      </c>
      <c r="M3962" s="187">
        <v>0</v>
      </c>
      <c r="N3962" s="187">
        <v>0</v>
      </c>
      <c r="O3962" t="s">
        <v>4421</v>
      </c>
    </row>
    <row r="3963" spans="1:15" hidden="1" x14ac:dyDescent="0.45">
      <c r="A3963" s="187">
        <v>2020</v>
      </c>
      <c r="B3963" t="s">
        <v>34</v>
      </c>
      <c r="C3963" t="s">
        <v>325</v>
      </c>
      <c r="D3963" t="s">
        <v>35</v>
      </c>
      <c r="E3963" t="s">
        <v>358</v>
      </c>
      <c r="F3963" t="s">
        <v>395</v>
      </c>
      <c r="G3963" t="s">
        <v>37</v>
      </c>
      <c r="H3963" t="s">
        <v>43</v>
      </c>
      <c r="I3963" s="187"/>
      <c r="J3963" s="187"/>
      <c r="K3963" s="187">
        <v>0</v>
      </c>
      <c r="L3963" s="187">
        <v>0</v>
      </c>
      <c r="M3963" s="187">
        <v>0</v>
      </c>
      <c r="N3963" s="187">
        <v>0</v>
      </c>
      <c r="O3963" t="s">
        <v>4422</v>
      </c>
    </row>
    <row r="3964" spans="1:15" hidden="1" x14ac:dyDescent="0.45">
      <c r="A3964" s="187">
        <v>2020</v>
      </c>
      <c r="B3964" t="s">
        <v>34</v>
      </c>
      <c r="C3964" t="s">
        <v>325</v>
      </c>
      <c r="D3964" t="s">
        <v>35</v>
      </c>
      <c r="E3964" t="s">
        <v>358</v>
      </c>
      <c r="F3964" t="s">
        <v>396</v>
      </c>
      <c r="G3964" t="s">
        <v>36</v>
      </c>
      <c r="H3964" t="s">
        <v>43</v>
      </c>
      <c r="I3964" s="187"/>
      <c r="J3964" s="187"/>
      <c r="K3964" s="187">
        <v>221.39222717285156</v>
      </c>
      <c r="L3964" s="187">
        <v>113.44974517822266</v>
      </c>
      <c r="M3964" s="187">
        <v>334.84197998046875</v>
      </c>
      <c r="N3964" s="187">
        <v>113.44974517822266</v>
      </c>
      <c r="O3964" t="s">
        <v>4423</v>
      </c>
    </row>
    <row r="3965" spans="1:15" hidden="1" x14ac:dyDescent="0.45">
      <c r="A3965" s="187">
        <v>2020</v>
      </c>
      <c r="B3965" t="s">
        <v>34</v>
      </c>
      <c r="C3965" t="s">
        <v>325</v>
      </c>
      <c r="D3965" t="s">
        <v>35</v>
      </c>
      <c r="E3965" t="s">
        <v>358</v>
      </c>
      <c r="F3965" t="s">
        <v>396</v>
      </c>
      <c r="G3965" t="s">
        <v>37</v>
      </c>
      <c r="H3965" t="s">
        <v>43</v>
      </c>
      <c r="I3965" s="187"/>
      <c r="J3965" s="187"/>
      <c r="K3965" s="187">
        <v>201</v>
      </c>
      <c r="L3965" s="187">
        <v>103</v>
      </c>
      <c r="M3965" s="187">
        <v>304</v>
      </c>
      <c r="N3965" s="187">
        <v>103</v>
      </c>
      <c r="O3965" t="s">
        <v>4424</v>
      </c>
    </row>
    <row r="3966" spans="1:15" hidden="1" x14ac:dyDescent="0.45">
      <c r="A3966" s="187">
        <v>2020</v>
      </c>
      <c r="B3966" t="s">
        <v>34</v>
      </c>
      <c r="C3966" t="s">
        <v>325</v>
      </c>
      <c r="D3966" t="s">
        <v>35</v>
      </c>
      <c r="E3966" t="s">
        <v>358</v>
      </c>
      <c r="F3966" t="s">
        <v>415</v>
      </c>
      <c r="G3966" t="s">
        <v>36</v>
      </c>
      <c r="H3966" t="s">
        <v>43</v>
      </c>
      <c r="I3966" s="187">
        <v>45.270942687988281</v>
      </c>
      <c r="J3966" s="187">
        <v>0</v>
      </c>
      <c r="K3966" s="187">
        <v>221.39222717285156</v>
      </c>
      <c r="L3966" s="187">
        <v>113.44974517822266</v>
      </c>
      <c r="M3966" s="187">
        <v>380.1129150390625</v>
      </c>
      <c r="N3966" s="187">
        <v>158.72068786621094</v>
      </c>
      <c r="O3966" t="s">
        <v>4425</v>
      </c>
    </row>
    <row r="3967" spans="1:15" hidden="1" x14ac:dyDescent="0.45">
      <c r="A3967" s="187">
        <v>2020</v>
      </c>
      <c r="B3967" t="s">
        <v>34</v>
      </c>
      <c r="C3967" t="s">
        <v>325</v>
      </c>
      <c r="D3967" t="s">
        <v>35</v>
      </c>
      <c r="E3967" t="s">
        <v>358</v>
      </c>
      <c r="F3967" t="s">
        <v>415</v>
      </c>
      <c r="G3967" t="s">
        <v>37</v>
      </c>
      <c r="H3967" t="s">
        <v>43</v>
      </c>
      <c r="I3967" s="187">
        <v>41.101080000000003</v>
      </c>
      <c r="J3967" s="187">
        <v>0</v>
      </c>
      <c r="K3967" s="187">
        <v>201</v>
      </c>
      <c r="L3967" s="187">
        <v>103</v>
      </c>
      <c r="M3967" s="187">
        <v>345.10107421875</v>
      </c>
      <c r="N3967" s="187">
        <v>144.10107421875</v>
      </c>
      <c r="O3967" t="s">
        <v>4426</v>
      </c>
    </row>
    <row r="3968" spans="1:15" hidden="1" x14ac:dyDescent="0.45">
      <c r="A3968" s="187">
        <v>2020</v>
      </c>
      <c r="B3968" t="s">
        <v>34</v>
      </c>
      <c r="C3968" t="s">
        <v>325</v>
      </c>
      <c r="D3968" t="s">
        <v>35</v>
      </c>
      <c r="E3968" t="s">
        <v>358</v>
      </c>
      <c r="F3968" t="s">
        <v>416</v>
      </c>
      <c r="G3968" t="s">
        <v>36</v>
      </c>
      <c r="H3968" t="s">
        <v>43</v>
      </c>
      <c r="I3968" s="187"/>
      <c r="J3968" s="187"/>
      <c r="K3968" s="187">
        <v>18.724716186523438</v>
      </c>
      <c r="L3968" s="187">
        <v>0</v>
      </c>
      <c r="M3968" s="187">
        <v>18.724716186523438</v>
      </c>
      <c r="N3968" s="187">
        <v>0</v>
      </c>
      <c r="O3968" t="s">
        <v>4427</v>
      </c>
    </row>
    <row r="3969" spans="1:15" hidden="1" x14ac:dyDescent="0.45">
      <c r="A3969" s="187">
        <v>2020</v>
      </c>
      <c r="B3969" t="s">
        <v>34</v>
      </c>
      <c r="C3969" t="s">
        <v>325</v>
      </c>
      <c r="D3969" t="s">
        <v>35</v>
      </c>
      <c r="E3969" t="s">
        <v>358</v>
      </c>
      <c r="F3969" t="s">
        <v>416</v>
      </c>
      <c r="G3969" t="s">
        <v>37</v>
      </c>
      <c r="H3969" t="s">
        <v>43</v>
      </c>
      <c r="I3969" s="187"/>
      <c r="J3969" s="187"/>
      <c r="K3969" s="187">
        <v>17</v>
      </c>
      <c r="L3969" s="187">
        <v>0</v>
      </c>
      <c r="M3969" s="187">
        <v>17</v>
      </c>
      <c r="N3969" s="187">
        <v>0</v>
      </c>
      <c r="O3969" t="s">
        <v>4428</v>
      </c>
    </row>
    <row r="3970" spans="1:15" hidden="1" x14ac:dyDescent="0.45">
      <c r="A3970" s="187">
        <v>2020</v>
      </c>
      <c r="B3970" t="s">
        <v>34</v>
      </c>
      <c r="C3970" t="s">
        <v>325</v>
      </c>
      <c r="D3970" t="s">
        <v>35</v>
      </c>
      <c r="E3970" t="s">
        <v>358</v>
      </c>
      <c r="F3970" t="s">
        <v>417</v>
      </c>
      <c r="G3970" t="s">
        <v>36</v>
      </c>
      <c r="H3970" t="s">
        <v>43</v>
      </c>
      <c r="I3970" s="187"/>
      <c r="J3970" s="187">
        <v>25.333438873291016</v>
      </c>
      <c r="K3970" s="187">
        <v>7.710176944732666</v>
      </c>
      <c r="L3970" s="187">
        <v>0</v>
      </c>
      <c r="M3970" s="187">
        <v>33.043617248535156</v>
      </c>
      <c r="N3970" s="187">
        <v>0</v>
      </c>
      <c r="O3970" t="s">
        <v>4429</v>
      </c>
    </row>
    <row r="3971" spans="1:15" hidden="1" x14ac:dyDescent="0.45">
      <c r="A3971" s="187">
        <v>2020</v>
      </c>
      <c r="B3971" t="s">
        <v>34</v>
      </c>
      <c r="C3971" t="s">
        <v>325</v>
      </c>
      <c r="D3971" t="s">
        <v>35</v>
      </c>
      <c r="E3971" t="s">
        <v>358</v>
      </c>
      <c r="F3971" t="s">
        <v>417</v>
      </c>
      <c r="G3971" t="s">
        <v>37</v>
      </c>
      <c r="H3971" t="s">
        <v>43</v>
      </c>
      <c r="I3971" s="187"/>
      <c r="J3971" s="187">
        <v>23</v>
      </c>
      <c r="K3971" s="187">
        <v>7</v>
      </c>
      <c r="L3971" s="187">
        <v>0</v>
      </c>
      <c r="M3971" s="187">
        <v>30</v>
      </c>
      <c r="N3971" s="187">
        <v>0</v>
      </c>
      <c r="O3971" t="s">
        <v>4430</v>
      </c>
    </row>
    <row r="3972" spans="1:15" hidden="1" x14ac:dyDescent="0.45">
      <c r="A3972" s="187">
        <v>2020</v>
      </c>
      <c r="B3972" t="s">
        <v>34</v>
      </c>
      <c r="C3972" t="s">
        <v>325</v>
      </c>
      <c r="D3972" t="s">
        <v>35</v>
      </c>
      <c r="E3972" t="s">
        <v>358</v>
      </c>
      <c r="F3972" t="s">
        <v>418</v>
      </c>
      <c r="G3972" t="s">
        <v>36</v>
      </c>
      <c r="H3972" t="s">
        <v>43</v>
      </c>
      <c r="I3972" s="187"/>
      <c r="J3972" s="187"/>
      <c r="K3972" s="187">
        <v>0</v>
      </c>
      <c r="L3972" s="187">
        <v>0</v>
      </c>
      <c r="M3972" s="187">
        <v>0</v>
      </c>
      <c r="N3972" s="187">
        <v>0</v>
      </c>
      <c r="O3972" t="s">
        <v>4431</v>
      </c>
    </row>
    <row r="3973" spans="1:15" hidden="1" x14ac:dyDescent="0.45">
      <c r="A3973" s="187">
        <v>2020</v>
      </c>
      <c r="B3973" t="s">
        <v>34</v>
      </c>
      <c r="C3973" t="s">
        <v>325</v>
      </c>
      <c r="D3973" t="s">
        <v>35</v>
      </c>
      <c r="E3973" t="s">
        <v>358</v>
      </c>
      <c r="F3973" t="s">
        <v>418</v>
      </c>
      <c r="G3973" t="s">
        <v>37</v>
      </c>
      <c r="H3973" t="s">
        <v>43</v>
      </c>
      <c r="I3973" s="187"/>
      <c r="J3973" s="187"/>
      <c r="K3973" s="187">
        <v>0</v>
      </c>
      <c r="L3973" s="187">
        <v>0</v>
      </c>
      <c r="M3973" s="187">
        <v>0</v>
      </c>
      <c r="N3973" s="187">
        <v>0</v>
      </c>
      <c r="O3973" t="s">
        <v>4432</v>
      </c>
    </row>
    <row r="3974" spans="1:15" hidden="1" x14ac:dyDescent="0.45">
      <c r="A3974" s="187">
        <v>2020</v>
      </c>
      <c r="B3974" t="s">
        <v>34</v>
      </c>
      <c r="C3974" t="s">
        <v>325</v>
      </c>
      <c r="D3974" t="s">
        <v>35</v>
      </c>
      <c r="E3974" t="s">
        <v>358</v>
      </c>
      <c r="F3974" t="s">
        <v>419</v>
      </c>
      <c r="G3974" t="s">
        <v>36</v>
      </c>
      <c r="H3974" t="s">
        <v>43</v>
      </c>
      <c r="I3974" s="187"/>
      <c r="J3974" s="187"/>
      <c r="K3974" s="187">
        <v>0</v>
      </c>
      <c r="L3974" s="187">
        <v>0</v>
      </c>
      <c r="M3974" s="187">
        <v>0</v>
      </c>
      <c r="N3974" s="187">
        <v>0</v>
      </c>
      <c r="O3974" t="s">
        <v>4433</v>
      </c>
    </row>
    <row r="3975" spans="1:15" hidden="1" x14ac:dyDescent="0.45">
      <c r="A3975" s="187">
        <v>2020</v>
      </c>
      <c r="B3975" t="s">
        <v>34</v>
      </c>
      <c r="C3975" t="s">
        <v>325</v>
      </c>
      <c r="D3975" t="s">
        <v>35</v>
      </c>
      <c r="E3975" t="s">
        <v>358</v>
      </c>
      <c r="F3975" t="s">
        <v>419</v>
      </c>
      <c r="G3975" t="s">
        <v>37</v>
      </c>
      <c r="H3975" t="s">
        <v>43</v>
      </c>
      <c r="I3975" s="187"/>
      <c r="J3975" s="187"/>
      <c r="K3975" s="187">
        <v>0</v>
      </c>
      <c r="L3975" s="187">
        <v>0</v>
      </c>
      <c r="M3975" s="187">
        <v>0</v>
      </c>
      <c r="N3975" s="187">
        <v>0</v>
      </c>
      <c r="O3975" t="s">
        <v>4434</v>
      </c>
    </row>
    <row r="3976" spans="1:15" hidden="1" x14ac:dyDescent="0.45">
      <c r="A3976" s="187">
        <v>2020</v>
      </c>
      <c r="B3976" t="s">
        <v>34</v>
      </c>
      <c r="C3976" t="s">
        <v>325</v>
      </c>
      <c r="D3976" t="s">
        <v>35</v>
      </c>
      <c r="E3976" t="s">
        <v>358</v>
      </c>
      <c r="F3976" t="s">
        <v>420</v>
      </c>
      <c r="G3976" t="s">
        <v>36</v>
      </c>
      <c r="H3976" t="s">
        <v>43</v>
      </c>
      <c r="I3976" s="187">
        <v>0</v>
      </c>
      <c r="J3976" s="187">
        <v>25.333438873291016</v>
      </c>
      <c r="K3976" s="187">
        <v>26.434892654418945</v>
      </c>
      <c r="L3976" s="187">
        <v>0</v>
      </c>
      <c r="M3976" s="187">
        <v>51.768333435058594</v>
      </c>
      <c r="N3976" s="187">
        <v>0</v>
      </c>
      <c r="O3976" t="s">
        <v>4435</v>
      </c>
    </row>
    <row r="3977" spans="1:15" hidden="1" x14ac:dyDescent="0.45">
      <c r="A3977" s="187">
        <v>2020</v>
      </c>
      <c r="B3977" t="s">
        <v>34</v>
      </c>
      <c r="C3977" t="s">
        <v>325</v>
      </c>
      <c r="D3977" t="s">
        <v>35</v>
      </c>
      <c r="E3977" t="s">
        <v>358</v>
      </c>
      <c r="F3977" t="s">
        <v>420</v>
      </c>
      <c r="G3977" t="s">
        <v>37</v>
      </c>
      <c r="H3977" t="s">
        <v>43</v>
      </c>
      <c r="I3977" s="187">
        <v>0</v>
      </c>
      <c r="J3977" s="187">
        <v>23</v>
      </c>
      <c r="K3977" s="187">
        <v>24</v>
      </c>
      <c r="L3977" s="187">
        <v>0</v>
      </c>
      <c r="M3977" s="187">
        <v>47</v>
      </c>
      <c r="N3977" s="187">
        <v>0</v>
      </c>
      <c r="O3977" t="s">
        <v>4436</v>
      </c>
    </row>
    <row r="3978" spans="1:15" hidden="1" x14ac:dyDescent="0.45">
      <c r="A3978" s="187">
        <v>2020</v>
      </c>
      <c r="B3978" t="s">
        <v>34</v>
      </c>
      <c r="C3978" t="s">
        <v>325</v>
      </c>
      <c r="D3978" t="s">
        <v>35</v>
      </c>
      <c r="E3978" t="s">
        <v>358</v>
      </c>
      <c r="F3978" t="s">
        <v>402</v>
      </c>
      <c r="G3978" t="s">
        <v>36</v>
      </c>
      <c r="H3978" t="s">
        <v>43</v>
      </c>
      <c r="I3978" s="187"/>
      <c r="J3978" s="187"/>
      <c r="K3978" s="187">
        <v>0</v>
      </c>
      <c r="L3978" s="187">
        <v>0</v>
      </c>
      <c r="M3978" s="187">
        <v>0</v>
      </c>
      <c r="N3978" s="187">
        <v>0</v>
      </c>
      <c r="O3978" t="s">
        <v>4437</v>
      </c>
    </row>
    <row r="3979" spans="1:15" hidden="1" x14ac:dyDescent="0.45">
      <c r="A3979" s="187">
        <v>2020</v>
      </c>
      <c r="B3979" t="s">
        <v>34</v>
      </c>
      <c r="C3979" t="s">
        <v>325</v>
      </c>
      <c r="D3979" t="s">
        <v>35</v>
      </c>
      <c r="E3979" t="s">
        <v>358</v>
      </c>
      <c r="F3979" t="s">
        <v>402</v>
      </c>
      <c r="G3979" t="s">
        <v>37</v>
      </c>
      <c r="H3979" t="s">
        <v>43</v>
      </c>
      <c r="I3979" s="187"/>
      <c r="J3979" s="187"/>
      <c r="K3979" s="187">
        <v>0</v>
      </c>
      <c r="L3979" s="187">
        <v>0</v>
      </c>
      <c r="M3979" s="187">
        <v>0</v>
      </c>
      <c r="N3979" s="187">
        <v>0</v>
      </c>
      <c r="O3979" t="s">
        <v>4438</v>
      </c>
    </row>
    <row r="3980" spans="1:15" hidden="1" x14ac:dyDescent="0.45">
      <c r="A3980" s="187">
        <v>2020</v>
      </c>
      <c r="B3980" t="s">
        <v>34</v>
      </c>
      <c r="C3980" t="s">
        <v>325</v>
      </c>
      <c r="D3980" t="s">
        <v>35</v>
      </c>
      <c r="E3980" t="s">
        <v>358</v>
      </c>
      <c r="F3980" t="s">
        <v>403</v>
      </c>
      <c r="G3980" t="s">
        <v>36</v>
      </c>
      <c r="H3980" t="s">
        <v>43</v>
      </c>
      <c r="I3980" s="187">
        <v>705.0419921875</v>
      </c>
      <c r="J3980" s="187">
        <v>77.101768493652344</v>
      </c>
      <c r="K3980" s="187">
        <v>1244.642822265625</v>
      </c>
      <c r="L3980" s="187">
        <v>563.9443359375</v>
      </c>
      <c r="M3980" s="187">
        <v>2590.73095703125</v>
      </c>
      <c r="N3980" s="187">
        <v>1268.986328125</v>
      </c>
      <c r="O3980" t="s">
        <v>4439</v>
      </c>
    </row>
    <row r="3981" spans="1:15" hidden="1" x14ac:dyDescent="0.45">
      <c r="A3981" s="187">
        <v>2020</v>
      </c>
      <c r="B3981" t="s">
        <v>34</v>
      </c>
      <c r="C3981" t="s">
        <v>325</v>
      </c>
      <c r="D3981" t="s">
        <v>35</v>
      </c>
      <c r="E3981" t="s">
        <v>358</v>
      </c>
      <c r="F3981" t="s">
        <v>403</v>
      </c>
      <c r="G3981" t="s">
        <v>37</v>
      </c>
      <c r="H3981" t="s">
        <v>43</v>
      </c>
      <c r="I3981" s="187">
        <v>640.10125999999991</v>
      </c>
      <c r="J3981" s="187">
        <v>70</v>
      </c>
      <c r="K3981" s="187">
        <v>1130</v>
      </c>
      <c r="L3981" s="187">
        <v>512</v>
      </c>
      <c r="M3981" s="187">
        <v>2352.101318359375</v>
      </c>
      <c r="N3981" s="187">
        <v>1152.101318359375</v>
      </c>
      <c r="O3981" t="s">
        <v>4440</v>
      </c>
    </row>
    <row r="3982" spans="1:15" hidden="1" x14ac:dyDescent="0.45">
      <c r="A3982" s="187">
        <v>2020</v>
      </c>
      <c r="B3982" t="s">
        <v>34</v>
      </c>
      <c r="C3982" t="s">
        <v>325</v>
      </c>
      <c r="D3982" t="s">
        <v>35</v>
      </c>
      <c r="E3982" t="s">
        <v>358</v>
      </c>
      <c r="F3982" t="s">
        <v>405</v>
      </c>
      <c r="G3982" t="s">
        <v>36</v>
      </c>
      <c r="H3982" t="s">
        <v>43</v>
      </c>
      <c r="I3982" s="187"/>
      <c r="J3982" s="187"/>
      <c r="K3982" s="187">
        <v>0</v>
      </c>
      <c r="L3982" s="187">
        <v>0</v>
      </c>
      <c r="M3982" s="187">
        <v>0</v>
      </c>
      <c r="N3982" s="187">
        <v>0</v>
      </c>
      <c r="O3982" t="s">
        <v>4441</v>
      </c>
    </row>
    <row r="3983" spans="1:15" hidden="1" x14ac:dyDescent="0.45">
      <c r="A3983" s="187">
        <v>2020</v>
      </c>
      <c r="B3983" t="s">
        <v>34</v>
      </c>
      <c r="C3983" t="s">
        <v>325</v>
      </c>
      <c r="D3983" t="s">
        <v>35</v>
      </c>
      <c r="E3983" t="s">
        <v>358</v>
      </c>
      <c r="F3983" t="s">
        <v>405</v>
      </c>
      <c r="G3983" t="s">
        <v>37</v>
      </c>
      <c r="H3983" t="s">
        <v>43</v>
      </c>
      <c r="I3983" s="187"/>
      <c r="J3983" s="187"/>
      <c r="K3983" s="187">
        <v>0</v>
      </c>
      <c r="L3983" s="187">
        <v>0</v>
      </c>
      <c r="M3983" s="187">
        <v>0</v>
      </c>
      <c r="N3983" s="187">
        <v>0</v>
      </c>
      <c r="O3983" t="s">
        <v>4442</v>
      </c>
    </row>
    <row r="3984" spans="1:15" hidden="1" x14ac:dyDescent="0.45">
      <c r="A3984" s="187">
        <v>2020</v>
      </c>
      <c r="B3984" t="s">
        <v>34</v>
      </c>
      <c r="C3984" t="s">
        <v>325</v>
      </c>
      <c r="D3984" t="s">
        <v>35</v>
      </c>
      <c r="E3984" t="s">
        <v>358</v>
      </c>
      <c r="F3984" t="s">
        <v>406</v>
      </c>
      <c r="G3984" t="s">
        <v>36</v>
      </c>
      <c r="H3984" t="s">
        <v>43</v>
      </c>
      <c r="I3984" s="187"/>
      <c r="J3984" s="187"/>
      <c r="K3984" s="187">
        <v>0</v>
      </c>
      <c r="L3984" s="187">
        <v>0</v>
      </c>
      <c r="M3984" s="187">
        <v>0</v>
      </c>
      <c r="N3984" s="187">
        <v>0</v>
      </c>
      <c r="O3984" t="s">
        <v>4443</v>
      </c>
    </row>
    <row r="3985" spans="1:15" hidden="1" x14ac:dyDescent="0.45">
      <c r="A3985" s="187">
        <v>2020</v>
      </c>
      <c r="B3985" t="s">
        <v>34</v>
      </c>
      <c r="C3985" t="s">
        <v>325</v>
      </c>
      <c r="D3985" t="s">
        <v>35</v>
      </c>
      <c r="E3985" t="s">
        <v>358</v>
      </c>
      <c r="F3985" t="s">
        <v>406</v>
      </c>
      <c r="G3985" t="s">
        <v>37</v>
      </c>
      <c r="H3985" t="s">
        <v>43</v>
      </c>
      <c r="I3985" s="187"/>
      <c r="J3985" s="187"/>
      <c r="K3985" s="187">
        <v>0</v>
      </c>
      <c r="L3985" s="187">
        <v>0</v>
      </c>
      <c r="M3985" s="187">
        <v>0</v>
      </c>
      <c r="N3985" s="187">
        <v>0</v>
      </c>
      <c r="O3985" t="s">
        <v>4444</v>
      </c>
    </row>
    <row r="3986" spans="1:15" hidden="1" x14ac:dyDescent="0.45">
      <c r="A3986" s="187">
        <v>2020</v>
      </c>
      <c r="B3986" t="s">
        <v>34</v>
      </c>
      <c r="C3986" t="s">
        <v>325</v>
      </c>
      <c r="D3986" t="s">
        <v>35</v>
      </c>
      <c r="E3986" t="s">
        <v>358</v>
      </c>
      <c r="F3986" t="s">
        <v>421</v>
      </c>
      <c r="G3986" t="s">
        <v>36</v>
      </c>
      <c r="H3986" t="s">
        <v>43</v>
      </c>
      <c r="I3986" s="187"/>
      <c r="J3986" s="187"/>
      <c r="K3986" s="187">
        <v>0</v>
      </c>
      <c r="L3986" s="187">
        <v>0</v>
      </c>
      <c r="M3986" s="187">
        <v>0</v>
      </c>
      <c r="N3986" s="187">
        <v>0</v>
      </c>
      <c r="O3986" t="s">
        <v>4445</v>
      </c>
    </row>
    <row r="3987" spans="1:15" hidden="1" x14ac:dyDescent="0.45">
      <c r="A3987" s="187">
        <v>2020</v>
      </c>
      <c r="B3987" t="s">
        <v>34</v>
      </c>
      <c r="C3987" t="s">
        <v>325</v>
      </c>
      <c r="D3987" t="s">
        <v>35</v>
      </c>
      <c r="E3987" t="s">
        <v>358</v>
      </c>
      <c r="F3987" t="s">
        <v>421</v>
      </c>
      <c r="G3987" t="s">
        <v>37</v>
      </c>
      <c r="H3987" t="s">
        <v>43</v>
      </c>
      <c r="I3987" s="187"/>
      <c r="J3987" s="187"/>
      <c r="K3987" s="187">
        <v>0</v>
      </c>
      <c r="L3987" s="187">
        <v>0</v>
      </c>
      <c r="M3987" s="187">
        <v>0</v>
      </c>
      <c r="N3987" s="187">
        <v>0</v>
      </c>
      <c r="O3987" t="s">
        <v>4446</v>
      </c>
    </row>
    <row r="3988" spans="1:15" hidden="1" x14ac:dyDescent="0.45">
      <c r="A3988" s="187">
        <v>2020</v>
      </c>
      <c r="B3988" t="s">
        <v>34</v>
      </c>
      <c r="C3988" t="s">
        <v>325</v>
      </c>
      <c r="D3988" t="s">
        <v>35</v>
      </c>
      <c r="E3988" t="s">
        <v>358</v>
      </c>
      <c r="F3988" t="s">
        <v>422</v>
      </c>
      <c r="G3988" t="s">
        <v>36</v>
      </c>
      <c r="H3988" t="s">
        <v>43</v>
      </c>
      <c r="I3988" s="187">
        <v>705.0419921875</v>
      </c>
      <c r="J3988" s="187">
        <v>77.101768493652344</v>
      </c>
      <c r="K3988" s="187">
        <v>1244.642822265625</v>
      </c>
      <c r="L3988" s="187">
        <v>563.9443359375</v>
      </c>
      <c r="M3988" s="187">
        <v>2590.73095703125</v>
      </c>
      <c r="N3988" s="187">
        <v>1268.986328125</v>
      </c>
      <c r="O3988" t="s">
        <v>4447</v>
      </c>
    </row>
    <row r="3989" spans="1:15" hidden="1" x14ac:dyDescent="0.45">
      <c r="A3989" s="187">
        <v>2020</v>
      </c>
      <c r="B3989" t="s">
        <v>34</v>
      </c>
      <c r="C3989" t="s">
        <v>325</v>
      </c>
      <c r="D3989" t="s">
        <v>35</v>
      </c>
      <c r="E3989" t="s">
        <v>358</v>
      </c>
      <c r="F3989" t="s">
        <v>422</v>
      </c>
      <c r="G3989" t="s">
        <v>37</v>
      </c>
      <c r="H3989" t="s">
        <v>43</v>
      </c>
      <c r="I3989" s="187">
        <v>640.10125999999991</v>
      </c>
      <c r="J3989" s="187">
        <v>70</v>
      </c>
      <c r="K3989" s="187">
        <v>1130</v>
      </c>
      <c r="L3989" s="187">
        <v>512</v>
      </c>
      <c r="M3989" s="187">
        <v>2352.101318359375</v>
      </c>
      <c r="N3989" s="187">
        <v>1152.101318359375</v>
      </c>
      <c r="O3989" t="s">
        <v>4448</v>
      </c>
    </row>
    <row r="3990" spans="1:15" hidden="1" x14ac:dyDescent="0.45">
      <c r="A3990" s="187">
        <v>2020</v>
      </c>
      <c r="B3990" t="s">
        <v>34</v>
      </c>
      <c r="C3990" t="s">
        <v>325</v>
      </c>
      <c r="D3990" t="s">
        <v>35</v>
      </c>
      <c r="E3990" t="s">
        <v>358</v>
      </c>
      <c r="F3990" t="s">
        <v>423</v>
      </c>
      <c r="G3990" t="s">
        <v>36</v>
      </c>
      <c r="H3990" t="s">
        <v>43</v>
      </c>
      <c r="I3990" s="187"/>
      <c r="J3990" s="187"/>
      <c r="K3990" s="187">
        <v>0</v>
      </c>
      <c r="L3990" s="187">
        <v>0</v>
      </c>
      <c r="M3990" s="187">
        <v>0</v>
      </c>
      <c r="N3990" s="187">
        <v>0</v>
      </c>
      <c r="O3990" t="s">
        <v>4449</v>
      </c>
    </row>
    <row r="3991" spans="1:15" hidden="1" x14ac:dyDescent="0.45">
      <c r="A3991" s="187">
        <v>2020</v>
      </c>
      <c r="B3991" t="s">
        <v>34</v>
      </c>
      <c r="C3991" t="s">
        <v>325</v>
      </c>
      <c r="D3991" t="s">
        <v>35</v>
      </c>
      <c r="E3991" t="s">
        <v>358</v>
      </c>
      <c r="F3991" t="s">
        <v>423</v>
      </c>
      <c r="G3991" t="s">
        <v>37</v>
      </c>
      <c r="H3991" t="s">
        <v>43</v>
      </c>
      <c r="I3991" s="187"/>
      <c r="J3991" s="187"/>
      <c r="K3991" s="187">
        <v>0</v>
      </c>
      <c r="L3991" s="187">
        <v>0</v>
      </c>
      <c r="M3991" s="187">
        <v>0</v>
      </c>
      <c r="N3991" s="187">
        <v>0</v>
      </c>
      <c r="O3991" t="s">
        <v>4450</v>
      </c>
    </row>
    <row r="3992" spans="1:15" hidden="1" x14ac:dyDescent="0.45">
      <c r="A3992" s="187">
        <v>2020</v>
      </c>
      <c r="B3992" t="s">
        <v>34</v>
      </c>
      <c r="C3992" t="s">
        <v>325</v>
      </c>
      <c r="D3992" t="s">
        <v>35</v>
      </c>
      <c r="E3992" t="s">
        <v>358</v>
      </c>
      <c r="F3992" t="s">
        <v>424</v>
      </c>
      <c r="G3992" t="s">
        <v>36</v>
      </c>
      <c r="H3992" t="s">
        <v>43</v>
      </c>
      <c r="I3992" s="187"/>
      <c r="J3992" s="187"/>
      <c r="K3992" s="187">
        <v>0</v>
      </c>
      <c r="L3992" s="187">
        <v>0</v>
      </c>
      <c r="M3992" s="187">
        <v>0</v>
      </c>
      <c r="N3992" s="187">
        <v>0</v>
      </c>
      <c r="O3992" t="s">
        <v>4451</v>
      </c>
    </row>
    <row r="3993" spans="1:15" hidden="1" x14ac:dyDescent="0.45">
      <c r="A3993" s="187">
        <v>2020</v>
      </c>
      <c r="B3993" t="s">
        <v>34</v>
      </c>
      <c r="C3993" t="s">
        <v>325</v>
      </c>
      <c r="D3993" t="s">
        <v>35</v>
      </c>
      <c r="E3993" t="s">
        <v>358</v>
      </c>
      <c r="F3993" t="s">
        <v>424</v>
      </c>
      <c r="G3993" t="s">
        <v>37</v>
      </c>
      <c r="H3993" t="s">
        <v>43</v>
      </c>
      <c r="I3993" s="187"/>
      <c r="J3993" s="187"/>
      <c r="K3993" s="187">
        <v>0</v>
      </c>
      <c r="L3993" s="187">
        <v>0</v>
      </c>
      <c r="M3993" s="187">
        <v>0</v>
      </c>
      <c r="N3993" s="187">
        <v>0</v>
      </c>
      <c r="O3993" t="s">
        <v>4452</v>
      </c>
    </row>
    <row r="3994" spans="1:15" hidden="1" x14ac:dyDescent="0.45">
      <c r="A3994" s="187">
        <v>2020</v>
      </c>
      <c r="B3994" t="s">
        <v>34</v>
      </c>
      <c r="C3994" t="s">
        <v>325</v>
      </c>
      <c r="D3994" t="s">
        <v>35</v>
      </c>
      <c r="E3994" t="s">
        <v>358</v>
      </c>
      <c r="F3994" t="s">
        <v>446</v>
      </c>
      <c r="G3994" t="s">
        <v>36</v>
      </c>
      <c r="H3994" t="s">
        <v>43</v>
      </c>
      <c r="I3994" s="187">
        <v>664.42822265625</v>
      </c>
      <c r="J3994" s="187"/>
      <c r="K3994" s="187">
        <v>0</v>
      </c>
      <c r="L3994" s="187">
        <v>0</v>
      </c>
      <c r="M3994" s="187">
        <v>664.42822265625</v>
      </c>
      <c r="N3994" s="187">
        <v>664.42822265625</v>
      </c>
      <c r="O3994" t="s">
        <v>4453</v>
      </c>
    </row>
    <row r="3995" spans="1:15" hidden="1" x14ac:dyDescent="0.45">
      <c r="A3995" s="187">
        <v>2020</v>
      </c>
      <c r="B3995" t="s">
        <v>34</v>
      </c>
      <c r="C3995" t="s">
        <v>325</v>
      </c>
      <c r="D3995" t="s">
        <v>35</v>
      </c>
      <c r="E3995" t="s">
        <v>358</v>
      </c>
      <c r="F3995" t="s">
        <v>446</v>
      </c>
      <c r="G3995" t="s">
        <v>37</v>
      </c>
      <c r="H3995" t="s">
        <v>43</v>
      </c>
      <c r="I3995" s="187">
        <v>603.22836999999981</v>
      </c>
      <c r="J3995" s="187"/>
      <c r="K3995" s="187">
        <v>0</v>
      </c>
      <c r="L3995" s="187">
        <v>0</v>
      </c>
      <c r="M3995" s="187">
        <v>603.2283935546875</v>
      </c>
      <c r="N3995" s="187">
        <v>603.2283935546875</v>
      </c>
      <c r="O3995" t="s">
        <v>4454</v>
      </c>
    </row>
    <row r="3996" spans="1:15" hidden="1" x14ac:dyDescent="0.45">
      <c r="A3996" s="187">
        <v>2020</v>
      </c>
      <c r="B3996" t="s">
        <v>34</v>
      </c>
      <c r="C3996" t="s">
        <v>325</v>
      </c>
      <c r="D3996" t="s">
        <v>35</v>
      </c>
      <c r="E3996" t="s">
        <v>358</v>
      </c>
      <c r="F3996" t="s">
        <v>426</v>
      </c>
      <c r="G3996" t="s">
        <v>36</v>
      </c>
      <c r="H3996" t="s">
        <v>43</v>
      </c>
      <c r="I3996" s="187">
        <v>664.42822265625</v>
      </c>
      <c r="J3996" s="187">
        <v>0</v>
      </c>
      <c r="K3996" s="187">
        <v>0</v>
      </c>
      <c r="L3996" s="187">
        <v>0</v>
      </c>
      <c r="M3996" s="187">
        <v>664.42822265625</v>
      </c>
      <c r="N3996" s="187">
        <v>664.42822265625</v>
      </c>
      <c r="O3996" t="s">
        <v>4455</v>
      </c>
    </row>
    <row r="3997" spans="1:15" hidden="1" x14ac:dyDescent="0.45">
      <c r="A3997" s="187">
        <v>2020</v>
      </c>
      <c r="B3997" t="s">
        <v>34</v>
      </c>
      <c r="C3997" t="s">
        <v>325</v>
      </c>
      <c r="D3997" t="s">
        <v>35</v>
      </c>
      <c r="E3997" t="s">
        <v>358</v>
      </c>
      <c r="F3997" t="s">
        <v>426</v>
      </c>
      <c r="G3997" t="s">
        <v>37</v>
      </c>
      <c r="H3997" t="s">
        <v>43</v>
      </c>
      <c r="I3997" s="187">
        <v>603.22836999999981</v>
      </c>
      <c r="J3997" s="187">
        <v>0</v>
      </c>
      <c r="K3997" s="187">
        <v>0</v>
      </c>
      <c r="L3997" s="187">
        <v>0</v>
      </c>
      <c r="M3997" s="187">
        <v>603.2283935546875</v>
      </c>
      <c r="N3997" s="187">
        <v>603.2283935546875</v>
      </c>
      <c r="O3997" t="s">
        <v>4456</v>
      </c>
    </row>
    <row r="3998" spans="1:15" hidden="1" x14ac:dyDescent="0.45">
      <c r="A3998" s="187">
        <v>2020</v>
      </c>
      <c r="B3998" t="s">
        <v>34</v>
      </c>
      <c r="C3998" t="s">
        <v>325</v>
      </c>
      <c r="D3998" t="s">
        <v>35</v>
      </c>
      <c r="E3998" t="s">
        <v>358</v>
      </c>
      <c r="F3998" t="s">
        <v>428</v>
      </c>
      <c r="G3998" t="s">
        <v>36</v>
      </c>
      <c r="H3998" t="s">
        <v>43</v>
      </c>
      <c r="I3998" s="187">
        <v>1414.7410888671875</v>
      </c>
      <c r="J3998" s="187">
        <v>102.43520355224609</v>
      </c>
      <c r="K3998" s="187">
        <v>1492.469970703125</v>
      </c>
      <c r="L3998" s="187">
        <v>677.39410400390625</v>
      </c>
      <c r="M3998" s="187">
        <v>3687.040283203125</v>
      </c>
      <c r="N3998" s="187">
        <v>2092.13525390625</v>
      </c>
      <c r="O3998" t="s">
        <v>4457</v>
      </c>
    </row>
    <row r="3999" spans="1:15" hidden="1" x14ac:dyDescent="0.45">
      <c r="A3999" s="187">
        <v>2020</v>
      </c>
      <c r="B3999" t="s">
        <v>34</v>
      </c>
      <c r="C3999" t="s">
        <v>325</v>
      </c>
      <c r="D3999" t="s">
        <v>35</v>
      </c>
      <c r="E3999" t="s">
        <v>358</v>
      </c>
      <c r="F3999" t="s">
        <v>428</v>
      </c>
      <c r="G3999" t="s">
        <v>37</v>
      </c>
      <c r="H3999" t="s">
        <v>43</v>
      </c>
      <c r="I3999" s="187">
        <v>1284.4307100000001</v>
      </c>
      <c r="J3999" s="187">
        <v>93</v>
      </c>
      <c r="K3999" s="187">
        <v>1355</v>
      </c>
      <c r="L3999" s="187">
        <v>615</v>
      </c>
      <c r="M3999" s="187">
        <v>3347.4306640625</v>
      </c>
      <c r="N3999" s="187">
        <v>1899.4306640625</v>
      </c>
      <c r="O3999" t="s">
        <v>4458</v>
      </c>
    </row>
    <row r="4000" spans="1:15" hidden="1" x14ac:dyDescent="0.45">
      <c r="A4000" s="187">
        <v>2020</v>
      </c>
      <c r="B4000" t="s">
        <v>34</v>
      </c>
      <c r="C4000" t="s">
        <v>325</v>
      </c>
      <c r="D4000" t="s">
        <v>35</v>
      </c>
      <c r="E4000" t="s">
        <v>358</v>
      </c>
      <c r="F4000" t="s">
        <v>429</v>
      </c>
      <c r="G4000" t="s">
        <v>36</v>
      </c>
      <c r="H4000" t="s">
        <v>43</v>
      </c>
      <c r="I4000" s="187">
        <v>1413.0889892578125</v>
      </c>
      <c r="J4000" s="187">
        <v>102.43520355224609</v>
      </c>
      <c r="K4000" s="187">
        <v>1283.1937255859375</v>
      </c>
      <c r="L4000" s="187">
        <v>677.39410400390625</v>
      </c>
      <c r="M4000" s="187">
        <v>3476.11181640625</v>
      </c>
      <c r="N4000" s="187">
        <v>2090.483154296875</v>
      </c>
      <c r="O4000" t="s">
        <v>4459</v>
      </c>
    </row>
    <row r="4001" spans="1:15" hidden="1" x14ac:dyDescent="0.45">
      <c r="A4001" s="187">
        <v>2020</v>
      </c>
      <c r="B4001" t="s">
        <v>34</v>
      </c>
      <c r="C4001" t="s">
        <v>325</v>
      </c>
      <c r="D4001" t="s">
        <v>35</v>
      </c>
      <c r="E4001" t="s">
        <v>358</v>
      </c>
      <c r="F4001" t="s">
        <v>429</v>
      </c>
      <c r="G4001" t="s">
        <v>37</v>
      </c>
      <c r="H4001" t="s">
        <v>43</v>
      </c>
      <c r="I4001" s="187">
        <v>1282.9307100000001</v>
      </c>
      <c r="J4001" s="187">
        <v>93</v>
      </c>
      <c r="K4001" s="187">
        <v>1165</v>
      </c>
      <c r="L4001" s="187">
        <v>615</v>
      </c>
      <c r="M4001" s="187">
        <v>3155.9306640625</v>
      </c>
      <c r="N4001" s="187">
        <v>1897.9306640625</v>
      </c>
      <c r="O4001" t="s">
        <v>4460</v>
      </c>
    </row>
    <row r="4002" spans="1:15" hidden="1" x14ac:dyDescent="0.45">
      <c r="A4002" s="187">
        <v>2020</v>
      </c>
      <c r="B4002" t="s">
        <v>34</v>
      </c>
      <c r="C4002" t="s">
        <v>326</v>
      </c>
      <c r="D4002" t="s">
        <v>337</v>
      </c>
      <c r="E4002" t="s">
        <v>155</v>
      </c>
      <c r="F4002" t="s">
        <v>155</v>
      </c>
      <c r="G4002" t="s">
        <v>453</v>
      </c>
      <c r="H4002" t="s">
        <v>455</v>
      </c>
      <c r="I4002" s="187">
        <v>4857</v>
      </c>
      <c r="J4002" s="187">
        <v>671</v>
      </c>
      <c r="K4002" s="187">
        <v>6070.2633400000004</v>
      </c>
      <c r="L4002" s="187">
        <v>6820.9670000000006</v>
      </c>
      <c r="M4002" s="187">
        <v>18419.23046875</v>
      </c>
      <c r="N4002" s="187">
        <v>11677.966796875</v>
      </c>
      <c r="O4002" t="s">
        <v>4461</v>
      </c>
    </row>
    <row r="4003" spans="1:15" hidden="1" x14ac:dyDescent="0.45">
      <c r="A4003" s="187">
        <v>2020</v>
      </c>
      <c r="B4003" t="s">
        <v>34</v>
      </c>
      <c r="C4003" t="s">
        <v>327</v>
      </c>
      <c r="D4003" t="s">
        <v>337</v>
      </c>
      <c r="E4003" t="s">
        <v>359</v>
      </c>
      <c r="F4003" t="s">
        <v>430</v>
      </c>
      <c r="G4003" t="s">
        <v>453</v>
      </c>
      <c r="H4003" t="s">
        <v>456</v>
      </c>
      <c r="I4003" s="187">
        <v>65346</v>
      </c>
      <c r="J4003" s="187">
        <v>10849</v>
      </c>
      <c r="K4003" s="187">
        <v>111591</v>
      </c>
      <c r="L4003" s="187">
        <v>113960</v>
      </c>
      <c r="M4003" s="187">
        <v>301746</v>
      </c>
      <c r="N4003" s="187">
        <v>179306</v>
      </c>
      <c r="O4003" t="s">
        <v>4462</v>
      </c>
    </row>
    <row r="4004" spans="1:15" hidden="1" x14ac:dyDescent="0.45">
      <c r="A4004" s="187">
        <v>2020</v>
      </c>
      <c r="B4004" t="s">
        <v>34</v>
      </c>
      <c r="C4004" t="s">
        <v>327</v>
      </c>
      <c r="D4004" t="s">
        <v>337</v>
      </c>
      <c r="E4004" t="s">
        <v>360</v>
      </c>
      <c r="F4004" t="s">
        <v>151</v>
      </c>
      <c r="G4004" t="s">
        <v>453</v>
      </c>
      <c r="H4004" t="s">
        <v>457</v>
      </c>
      <c r="I4004" s="187">
        <v>28256.97700546448</v>
      </c>
      <c r="J4004" s="187">
        <v>3573.5382513661202</v>
      </c>
      <c r="K4004" s="187">
        <v>24227.33217213114</v>
      </c>
      <c r="L4004" s="187">
        <v>39004.955262295087</v>
      </c>
      <c r="M4004" s="187">
        <v>95062.8046875</v>
      </c>
      <c r="N4004" s="187">
        <v>67261.9296875</v>
      </c>
      <c r="O4004" t="s">
        <v>4463</v>
      </c>
    </row>
    <row r="4005" spans="1:15" hidden="1" x14ac:dyDescent="0.45">
      <c r="A4005" s="187">
        <v>2020</v>
      </c>
      <c r="B4005" t="s">
        <v>34</v>
      </c>
      <c r="C4005" t="s">
        <v>327</v>
      </c>
      <c r="D4005" t="s">
        <v>337</v>
      </c>
      <c r="E4005" t="s">
        <v>360</v>
      </c>
      <c r="F4005" t="s">
        <v>6</v>
      </c>
      <c r="G4005" t="s">
        <v>453</v>
      </c>
      <c r="H4005" t="s">
        <v>454</v>
      </c>
      <c r="I4005" s="187">
        <v>0.82341279275614188</v>
      </c>
      <c r="J4005" s="187">
        <v>1.0039600661981221</v>
      </c>
      <c r="K4005" s="187">
        <v>0.70383665860904832</v>
      </c>
      <c r="L4005" s="187">
        <v>0.7704832878866178</v>
      </c>
      <c r="M4005" s="187">
        <v>0.82542318105697632</v>
      </c>
      <c r="N4005" s="187">
        <v>1.5938960313796997</v>
      </c>
      <c r="O4005" t="s">
        <v>4464</v>
      </c>
    </row>
    <row r="4006" spans="1:15" hidden="1" x14ac:dyDescent="0.45">
      <c r="A4006" s="187">
        <v>2020</v>
      </c>
      <c r="B4006" t="s">
        <v>34</v>
      </c>
      <c r="C4006" t="s">
        <v>327</v>
      </c>
      <c r="D4006" t="s">
        <v>337</v>
      </c>
      <c r="E4006" t="s">
        <v>360</v>
      </c>
      <c r="F4006" t="s">
        <v>152</v>
      </c>
      <c r="G4006" t="s">
        <v>453</v>
      </c>
      <c r="H4006" t="s">
        <v>457</v>
      </c>
      <c r="I4006" s="187">
        <v>39052.851999999999</v>
      </c>
      <c r="J4006" s="187">
        <v>4302</v>
      </c>
      <c r="K4006" s="187">
        <v>42595.851000000002</v>
      </c>
      <c r="L4006" s="187">
        <v>60891.536999999997</v>
      </c>
      <c r="M4006" s="187">
        <v>146842.234375</v>
      </c>
      <c r="N4006" s="187">
        <v>99944.390625</v>
      </c>
      <c r="O4006" t="s">
        <v>4465</v>
      </c>
    </row>
    <row r="4007" spans="1:15" hidden="1" x14ac:dyDescent="0.45">
      <c r="A4007" s="187">
        <v>2020</v>
      </c>
      <c r="B4007" t="s">
        <v>34</v>
      </c>
      <c r="C4007" t="s">
        <v>327</v>
      </c>
      <c r="D4007" t="s">
        <v>337</v>
      </c>
      <c r="E4007" t="s">
        <v>360</v>
      </c>
      <c r="F4007" t="s">
        <v>153</v>
      </c>
      <c r="G4007" t="s">
        <v>453</v>
      </c>
      <c r="H4007" t="s">
        <v>458</v>
      </c>
      <c r="I4007" s="187">
        <v>1046665.544</v>
      </c>
      <c r="J4007" s="187">
        <v>108563</v>
      </c>
      <c r="K4007" s="187">
        <v>1049865.2239999999</v>
      </c>
      <c r="L4007" s="187">
        <v>1544032.368</v>
      </c>
      <c r="M4007" s="187">
        <v>3749126</v>
      </c>
      <c r="N4007" s="187">
        <v>2590698</v>
      </c>
      <c r="O4007" t="s">
        <v>4466</v>
      </c>
    </row>
    <row r="4008" spans="1:15" hidden="1" x14ac:dyDescent="0.45">
      <c r="A4008" s="187">
        <v>2020</v>
      </c>
      <c r="B4008" t="s">
        <v>34</v>
      </c>
      <c r="C4008" t="s">
        <v>327</v>
      </c>
      <c r="D4008" t="s">
        <v>337</v>
      </c>
      <c r="E4008" t="s">
        <v>360</v>
      </c>
      <c r="F4008" t="s">
        <v>432</v>
      </c>
      <c r="G4008" t="s">
        <v>453</v>
      </c>
      <c r="H4008" t="s">
        <v>456</v>
      </c>
      <c r="I4008" s="187">
        <v>0</v>
      </c>
      <c r="J4008" s="187">
        <v>0</v>
      </c>
      <c r="K4008" s="187">
        <v>0</v>
      </c>
      <c r="L4008" s="187">
        <v>0</v>
      </c>
      <c r="M4008" s="187">
        <v>0</v>
      </c>
      <c r="N4008" s="187">
        <v>0</v>
      </c>
      <c r="O4008" t="s">
        <v>4467</v>
      </c>
    </row>
    <row r="4009" spans="1:15" hidden="1" x14ac:dyDescent="0.45">
      <c r="A4009" s="187">
        <v>2020</v>
      </c>
      <c r="B4009" t="s">
        <v>34</v>
      </c>
      <c r="C4009" t="s">
        <v>327</v>
      </c>
      <c r="D4009" t="s">
        <v>337</v>
      </c>
      <c r="E4009" t="s">
        <v>360</v>
      </c>
      <c r="F4009" t="s">
        <v>154</v>
      </c>
      <c r="G4009" t="s">
        <v>453</v>
      </c>
      <c r="H4009" t="s">
        <v>459</v>
      </c>
      <c r="I4009" s="187">
        <v>10342053.584000001</v>
      </c>
      <c r="J4009" s="187">
        <v>1307915</v>
      </c>
      <c r="K4009" s="187">
        <v>8867203.5749999993</v>
      </c>
      <c r="L4009" s="187">
        <v>14275813.626</v>
      </c>
      <c r="M4009" s="187">
        <v>34792984</v>
      </c>
      <c r="N4009" s="187">
        <v>24617868</v>
      </c>
      <c r="O4009" t="s">
        <v>4468</v>
      </c>
    </row>
    <row r="4010" spans="1:15" hidden="1" x14ac:dyDescent="0.45">
      <c r="A4010" s="187">
        <v>2020</v>
      </c>
      <c r="B4010" t="s">
        <v>314</v>
      </c>
      <c r="C4010" t="s">
        <v>328</v>
      </c>
      <c r="D4010" t="s">
        <v>39</v>
      </c>
      <c r="E4010" t="s">
        <v>349</v>
      </c>
      <c r="F4010" t="s">
        <v>349</v>
      </c>
      <c r="G4010" t="s">
        <v>36</v>
      </c>
      <c r="H4010" t="s">
        <v>43</v>
      </c>
      <c r="I4010" s="187">
        <v>0</v>
      </c>
      <c r="J4010" s="187">
        <v>22.192551404189587</v>
      </c>
      <c r="K4010" s="187">
        <v>2954.3196328214067</v>
      </c>
      <c r="L4010" s="187">
        <v>0</v>
      </c>
      <c r="M4010" s="187">
        <v>2976.51220703125</v>
      </c>
      <c r="N4010" s="187">
        <v>0</v>
      </c>
      <c r="O4010" t="s">
        <v>4469</v>
      </c>
    </row>
    <row r="4011" spans="1:15" hidden="1" x14ac:dyDescent="0.45">
      <c r="A4011" s="187">
        <v>2020</v>
      </c>
      <c r="B4011" t="s">
        <v>310</v>
      </c>
      <c r="C4011" t="s">
        <v>328</v>
      </c>
      <c r="D4011" t="s">
        <v>39</v>
      </c>
      <c r="E4011" t="s">
        <v>349</v>
      </c>
      <c r="F4011" t="s">
        <v>349</v>
      </c>
      <c r="G4011" t="s">
        <v>36</v>
      </c>
      <c r="H4011" t="s">
        <v>43</v>
      </c>
      <c r="I4011" s="187"/>
      <c r="J4011" s="187">
        <v>0</v>
      </c>
      <c r="K4011" s="187">
        <v>3561.333034336189</v>
      </c>
      <c r="L4011" s="187">
        <v>0</v>
      </c>
      <c r="M4011" s="187">
        <v>3561.3330078125</v>
      </c>
      <c r="N4011" s="187">
        <v>0</v>
      </c>
      <c r="O4011" t="s">
        <v>4472</v>
      </c>
    </row>
    <row r="4012" spans="1:15" hidden="1" x14ac:dyDescent="0.45">
      <c r="A4012" s="187">
        <v>2020</v>
      </c>
      <c r="B4012" t="s">
        <v>312</v>
      </c>
      <c r="C4012" t="s">
        <v>328</v>
      </c>
      <c r="D4012" t="s">
        <v>39</v>
      </c>
      <c r="E4012" t="s">
        <v>349</v>
      </c>
      <c r="F4012" t="s">
        <v>349</v>
      </c>
      <c r="G4012" t="s">
        <v>36</v>
      </c>
      <c r="H4012" t="s">
        <v>43</v>
      </c>
      <c r="I4012" s="187">
        <v>0</v>
      </c>
      <c r="J4012" s="187">
        <v>0</v>
      </c>
      <c r="K4012" s="187">
        <v>3489.5129152351756</v>
      </c>
      <c r="L4012" s="187">
        <v>0</v>
      </c>
      <c r="M4012" s="187">
        <v>3489.512939453125</v>
      </c>
      <c r="N4012" s="187">
        <v>0</v>
      </c>
      <c r="O4012" t="s">
        <v>4473</v>
      </c>
    </row>
    <row r="4013" spans="1:15" hidden="1" x14ac:dyDescent="0.45">
      <c r="A4013" s="187">
        <v>2020</v>
      </c>
      <c r="B4013" t="s">
        <v>313</v>
      </c>
      <c r="C4013" t="s">
        <v>328</v>
      </c>
      <c r="D4013" t="s">
        <v>39</v>
      </c>
      <c r="E4013" t="s">
        <v>349</v>
      </c>
      <c r="F4013" t="s">
        <v>349</v>
      </c>
      <c r="G4013" t="s">
        <v>36</v>
      </c>
      <c r="H4013" t="s">
        <v>43</v>
      </c>
      <c r="I4013" s="187">
        <v>0</v>
      </c>
      <c r="J4013" s="187">
        <v>0</v>
      </c>
      <c r="K4013" s="187">
        <v>2995.4637511995338</v>
      </c>
      <c r="L4013" s="187">
        <v>0</v>
      </c>
      <c r="M4013" s="187">
        <v>2995.4638671875</v>
      </c>
      <c r="N4013" s="187">
        <v>0</v>
      </c>
      <c r="O4013" t="s">
        <v>4470</v>
      </c>
    </row>
    <row r="4014" spans="1:15" hidden="1" x14ac:dyDescent="0.45">
      <c r="A4014" s="187">
        <v>2020</v>
      </c>
      <c r="B4014" t="s">
        <v>311</v>
      </c>
      <c r="C4014" t="s">
        <v>328</v>
      </c>
      <c r="D4014" t="s">
        <v>39</v>
      </c>
      <c r="E4014" t="s">
        <v>349</v>
      </c>
      <c r="F4014" t="s">
        <v>349</v>
      </c>
      <c r="G4014" t="s">
        <v>36</v>
      </c>
      <c r="H4014" t="s">
        <v>43</v>
      </c>
      <c r="I4014" s="187"/>
      <c r="J4014" s="187">
        <v>0</v>
      </c>
      <c r="K4014" s="187">
        <v>2796.8552645616105</v>
      </c>
      <c r="L4014" s="187">
        <v>0</v>
      </c>
      <c r="M4014" s="187">
        <v>2796.855224609375</v>
      </c>
      <c r="N4014" s="187">
        <v>0</v>
      </c>
      <c r="O4014" t="s">
        <v>4471</v>
      </c>
    </row>
    <row r="4015" spans="1:15" hidden="1" x14ac:dyDescent="0.45">
      <c r="A4015" s="187">
        <v>2020</v>
      </c>
      <c r="B4015" t="s">
        <v>315</v>
      </c>
      <c r="C4015" t="s">
        <v>328</v>
      </c>
      <c r="D4015" t="s">
        <v>39</v>
      </c>
      <c r="E4015" t="s">
        <v>349</v>
      </c>
      <c r="F4015" t="s">
        <v>349</v>
      </c>
      <c r="G4015" t="s">
        <v>36</v>
      </c>
      <c r="H4015" t="s">
        <v>43</v>
      </c>
      <c r="I4015" s="187">
        <v>0</v>
      </c>
      <c r="J4015" s="187">
        <v>21.603009729083823</v>
      </c>
      <c r="K4015" s="187">
        <v>2348.6913660634955</v>
      </c>
      <c r="L4015" s="187">
        <v>0</v>
      </c>
      <c r="M4015" s="187">
        <v>2370.29443359375</v>
      </c>
      <c r="N4015" s="187">
        <v>0</v>
      </c>
      <c r="O4015" t="s">
        <v>4476</v>
      </c>
    </row>
    <row r="4016" spans="1:15" hidden="1" x14ac:dyDescent="0.45">
      <c r="A4016" s="187">
        <v>2020</v>
      </c>
      <c r="B4016" t="s">
        <v>316</v>
      </c>
      <c r="C4016" t="s">
        <v>328</v>
      </c>
      <c r="D4016" t="s">
        <v>39</v>
      </c>
      <c r="E4016" t="s">
        <v>349</v>
      </c>
      <c r="F4016" t="s">
        <v>349</v>
      </c>
      <c r="G4016" t="s">
        <v>36</v>
      </c>
      <c r="H4016" t="s">
        <v>43</v>
      </c>
      <c r="I4016" s="187">
        <v>0</v>
      </c>
      <c r="J4016" s="187">
        <v>14.277794927815293</v>
      </c>
      <c r="K4016" s="187">
        <v>2789.5927696583367</v>
      </c>
      <c r="L4016" s="187">
        <v>0</v>
      </c>
      <c r="M4016" s="187">
        <v>2803.87060546875</v>
      </c>
      <c r="N4016" s="187">
        <v>0</v>
      </c>
      <c r="O4016" t="s">
        <v>4474</v>
      </c>
    </row>
    <row r="4017" spans="1:15" hidden="1" x14ac:dyDescent="0.45">
      <c r="A4017" s="187">
        <v>2020</v>
      </c>
      <c r="B4017" t="s">
        <v>309</v>
      </c>
      <c r="C4017" t="s">
        <v>328</v>
      </c>
      <c r="D4017" t="s">
        <v>39</v>
      </c>
      <c r="E4017" t="s">
        <v>349</v>
      </c>
      <c r="F4017" t="s">
        <v>349</v>
      </c>
      <c r="G4017" t="s">
        <v>36</v>
      </c>
      <c r="H4017" t="s">
        <v>43</v>
      </c>
      <c r="I4017" s="187"/>
      <c r="J4017" s="187">
        <v>0</v>
      </c>
      <c r="K4017" s="187">
        <v>3391.9100490702972</v>
      </c>
      <c r="L4017" s="187">
        <v>0</v>
      </c>
      <c r="M4017" s="187">
        <v>3391.91015625</v>
      </c>
      <c r="N4017" s="187">
        <v>0</v>
      </c>
      <c r="O4017" t="s">
        <v>4475</v>
      </c>
    </row>
    <row r="4018" spans="1:15" hidden="1" x14ac:dyDescent="0.45">
      <c r="A4018" s="187">
        <v>2020</v>
      </c>
      <c r="B4018" t="s">
        <v>316</v>
      </c>
      <c r="C4018" t="s">
        <v>328</v>
      </c>
      <c r="D4018" t="s">
        <v>39</v>
      </c>
      <c r="E4018" t="s">
        <v>349</v>
      </c>
      <c r="F4018" t="s">
        <v>349</v>
      </c>
      <c r="G4018" t="s">
        <v>37</v>
      </c>
      <c r="H4018" t="s">
        <v>43</v>
      </c>
      <c r="I4018" s="187">
        <v>0</v>
      </c>
      <c r="J4018" s="187">
        <v>13.5</v>
      </c>
      <c r="K4018" s="187">
        <v>2637.627349376</v>
      </c>
      <c r="L4018" s="187">
        <v>0</v>
      </c>
      <c r="M4018" s="187">
        <v>2651.12744140625</v>
      </c>
      <c r="N4018" s="187">
        <v>0</v>
      </c>
      <c r="O4018" t="s">
        <v>4481</v>
      </c>
    </row>
    <row r="4019" spans="1:15" hidden="1" x14ac:dyDescent="0.45">
      <c r="A4019" s="187">
        <v>2020</v>
      </c>
      <c r="B4019" t="s">
        <v>313</v>
      </c>
      <c r="C4019" t="s">
        <v>328</v>
      </c>
      <c r="D4019" t="s">
        <v>39</v>
      </c>
      <c r="E4019" t="s">
        <v>349</v>
      </c>
      <c r="F4019" t="s">
        <v>349</v>
      </c>
      <c r="G4019" t="s">
        <v>37</v>
      </c>
      <c r="H4019" t="s">
        <v>43</v>
      </c>
      <c r="I4019" s="187">
        <v>0</v>
      </c>
      <c r="J4019" s="187">
        <v>0</v>
      </c>
      <c r="K4019" s="187">
        <v>2773.3507503691012</v>
      </c>
      <c r="L4019" s="187">
        <v>0</v>
      </c>
      <c r="M4019" s="187">
        <v>2773.350830078125</v>
      </c>
      <c r="N4019" s="187">
        <v>0</v>
      </c>
      <c r="O4019" t="s">
        <v>4483</v>
      </c>
    </row>
    <row r="4020" spans="1:15" hidden="1" x14ac:dyDescent="0.45">
      <c r="A4020" s="187">
        <v>2020</v>
      </c>
      <c r="B4020" t="s">
        <v>311</v>
      </c>
      <c r="C4020" t="s">
        <v>328</v>
      </c>
      <c r="D4020" t="s">
        <v>39</v>
      </c>
      <c r="E4020" t="s">
        <v>349</v>
      </c>
      <c r="F4020" t="s">
        <v>349</v>
      </c>
      <c r="G4020" t="s">
        <v>37</v>
      </c>
      <c r="H4020" t="s">
        <v>43</v>
      </c>
      <c r="I4020" s="187"/>
      <c r="J4020" s="187">
        <v>0</v>
      </c>
      <c r="K4020" s="187">
        <v>2631.1128900796748</v>
      </c>
      <c r="L4020" s="187">
        <v>0</v>
      </c>
      <c r="M4020" s="187">
        <v>2631.11279296875</v>
      </c>
      <c r="N4020" s="187">
        <v>0</v>
      </c>
      <c r="O4020" t="s">
        <v>4478</v>
      </c>
    </row>
    <row r="4021" spans="1:15" hidden="1" x14ac:dyDescent="0.45">
      <c r="A4021" s="187">
        <v>2020</v>
      </c>
      <c r="B4021" t="s">
        <v>314</v>
      </c>
      <c r="C4021" t="s">
        <v>328</v>
      </c>
      <c r="D4021" t="s">
        <v>39</v>
      </c>
      <c r="E4021" t="s">
        <v>349</v>
      </c>
      <c r="F4021" t="s">
        <v>349</v>
      </c>
      <c r="G4021" t="s">
        <v>37</v>
      </c>
      <c r="H4021" t="s">
        <v>43</v>
      </c>
      <c r="I4021" s="187">
        <v>0</v>
      </c>
      <c r="J4021" s="187">
        <v>21</v>
      </c>
      <c r="K4021" s="187">
        <v>2774.570091852534</v>
      </c>
      <c r="L4021" s="187">
        <v>0</v>
      </c>
      <c r="M4021" s="187">
        <v>2795.570068359375</v>
      </c>
      <c r="N4021" s="187">
        <v>0</v>
      </c>
      <c r="O4021" t="s">
        <v>4477</v>
      </c>
    </row>
    <row r="4022" spans="1:15" hidden="1" x14ac:dyDescent="0.45">
      <c r="A4022" s="187">
        <v>2020</v>
      </c>
      <c r="B4022" t="s">
        <v>309</v>
      </c>
      <c r="C4022" t="s">
        <v>328</v>
      </c>
      <c r="D4022" t="s">
        <v>39</v>
      </c>
      <c r="E4022" t="s">
        <v>349</v>
      </c>
      <c r="F4022" t="s">
        <v>349</v>
      </c>
      <c r="G4022" t="s">
        <v>37</v>
      </c>
      <c r="H4022" t="s">
        <v>43</v>
      </c>
      <c r="I4022" s="187"/>
      <c r="J4022" s="187">
        <v>0</v>
      </c>
      <c r="K4022" s="187">
        <v>3328.4959237644171</v>
      </c>
      <c r="L4022" s="187">
        <v>0</v>
      </c>
      <c r="M4022" s="187">
        <v>3328.495849609375</v>
      </c>
      <c r="N4022" s="187">
        <v>0</v>
      </c>
      <c r="O4022" t="s">
        <v>4480</v>
      </c>
    </row>
    <row r="4023" spans="1:15" hidden="1" x14ac:dyDescent="0.45">
      <c r="A4023" s="187">
        <v>2020</v>
      </c>
      <c r="B4023" t="s">
        <v>310</v>
      </c>
      <c r="C4023" t="s">
        <v>328</v>
      </c>
      <c r="D4023" t="s">
        <v>39</v>
      </c>
      <c r="E4023" t="s">
        <v>349</v>
      </c>
      <c r="F4023" t="s">
        <v>349</v>
      </c>
      <c r="G4023" t="s">
        <v>37</v>
      </c>
      <c r="H4023" t="s">
        <v>43</v>
      </c>
      <c r="I4023" s="187"/>
      <c r="J4023" s="187">
        <v>0</v>
      </c>
      <c r="K4023" s="187">
        <v>3444.720964913125</v>
      </c>
      <c r="L4023" s="187">
        <v>0</v>
      </c>
      <c r="M4023" s="187">
        <v>3444.720947265625</v>
      </c>
      <c r="N4023" s="187">
        <v>0</v>
      </c>
      <c r="O4023" t="s">
        <v>4482</v>
      </c>
    </row>
    <row r="4024" spans="1:15" hidden="1" x14ac:dyDescent="0.45">
      <c r="A4024" s="187">
        <v>2020</v>
      </c>
      <c r="B4024" t="s">
        <v>312</v>
      </c>
      <c r="C4024" t="s">
        <v>328</v>
      </c>
      <c r="D4024" t="s">
        <v>39</v>
      </c>
      <c r="E4024" t="s">
        <v>349</v>
      </c>
      <c r="F4024" t="s">
        <v>349</v>
      </c>
      <c r="G4024" t="s">
        <v>37</v>
      </c>
      <c r="H4024" t="s">
        <v>43</v>
      </c>
      <c r="I4024" s="187">
        <v>0</v>
      </c>
      <c r="J4024" s="187">
        <v>0</v>
      </c>
      <c r="K4024" s="187">
        <v>3246.8019845672488</v>
      </c>
      <c r="L4024" s="187">
        <v>0</v>
      </c>
      <c r="M4024" s="187">
        <v>3246.802001953125</v>
      </c>
      <c r="N4024" s="187">
        <v>0</v>
      </c>
      <c r="O4024" t="s">
        <v>4479</v>
      </c>
    </row>
    <row r="4025" spans="1:15" hidden="1" x14ac:dyDescent="0.45">
      <c r="A4025" s="187">
        <v>2020</v>
      </c>
      <c r="B4025" t="s">
        <v>315</v>
      </c>
      <c r="C4025" t="s">
        <v>328</v>
      </c>
      <c r="D4025" t="s">
        <v>39</v>
      </c>
      <c r="E4025" t="s">
        <v>349</v>
      </c>
      <c r="F4025" t="s">
        <v>349</v>
      </c>
      <c r="G4025" t="s">
        <v>37</v>
      </c>
      <c r="H4025" t="s">
        <v>43</v>
      </c>
      <c r="I4025" s="187">
        <v>0</v>
      </c>
      <c r="J4025" s="187">
        <v>20</v>
      </c>
      <c r="K4025" s="187">
        <v>2214.6512804682502</v>
      </c>
      <c r="L4025" s="187">
        <v>0</v>
      </c>
      <c r="M4025" s="187">
        <v>2234.6513671875</v>
      </c>
      <c r="N4025" s="187">
        <v>0</v>
      </c>
      <c r="O4025" t="s">
        <v>4484</v>
      </c>
    </row>
    <row r="4026" spans="1:15" hidden="1" x14ac:dyDescent="0.45">
      <c r="A4026" s="187">
        <v>2020</v>
      </c>
      <c r="B4026" t="s">
        <v>313</v>
      </c>
      <c r="C4026" t="s">
        <v>328</v>
      </c>
      <c r="D4026" t="s">
        <v>39</v>
      </c>
      <c r="E4026" t="s">
        <v>21</v>
      </c>
      <c r="F4026" t="s">
        <v>21</v>
      </c>
      <c r="G4026" t="s">
        <v>36</v>
      </c>
      <c r="H4026" t="s">
        <v>43</v>
      </c>
      <c r="I4026" s="187">
        <v>1940.0044612941792</v>
      </c>
      <c r="J4026" s="187">
        <v>912.85735991632748</v>
      </c>
      <c r="K4026" s="187">
        <v>7404.5781896127501</v>
      </c>
      <c r="L4026" s="187">
        <v>5323.0994800120843</v>
      </c>
      <c r="M4026" s="187">
        <v>15580.5400390625</v>
      </c>
      <c r="N4026" s="187">
        <v>7263.10400390625</v>
      </c>
      <c r="O4026" t="s">
        <v>4485</v>
      </c>
    </row>
    <row r="4027" spans="1:15" hidden="1" x14ac:dyDescent="0.45">
      <c r="A4027" s="187">
        <v>2020</v>
      </c>
      <c r="B4027" t="s">
        <v>312</v>
      </c>
      <c r="C4027" t="s">
        <v>328</v>
      </c>
      <c r="D4027" t="s">
        <v>39</v>
      </c>
      <c r="E4027" t="s">
        <v>21</v>
      </c>
      <c r="F4027" t="s">
        <v>21</v>
      </c>
      <c r="G4027" t="s">
        <v>36</v>
      </c>
      <c r="H4027" t="s">
        <v>43</v>
      </c>
      <c r="I4027" s="187">
        <v>1901.6232069035862</v>
      </c>
      <c r="J4027" s="187">
        <v>887.21672074134676</v>
      </c>
      <c r="K4027" s="187">
        <v>7740.5942233494889</v>
      </c>
      <c r="L4027" s="187">
        <v>5028.7211779535683</v>
      </c>
      <c r="M4027" s="187">
        <v>15558.154296875</v>
      </c>
      <c r="N4027" s="187">
        <v>6930.34423828125</v>
      </c>
      <c r="O4027" t="s">
        <v>4491</v>
      </c>
    </row>
    <row r="4028" spans="1:15" hidden="1" x14ac:dyDescent="0.45">
      <c r="A4028" s="187">
        <v>2020</v>
      </c>
      <c r="B4028" t="s">
        <v>315</v>
      </c>
      <c r="C4028" t="s">
        <v>328</v>
      </c>
      <c r="D4028" t="s">
        <v>39</v>
      </c>
      <c r="E4028" t="s">
        <v>21</v>
      </c>
      <c r="F4028" t="s">
        <v>21</v>
      </c>
      <c r="G4028" t="s">
        <v>36</v>
      </c>
      <c r="H4028" t="s">
        <v>43</v>
      </c>
      <c r="I4028" s="187">
        <v>1906.4656085916472</v>
      </c>
      <c r="J4028" s="187">
        <v>1069.3489815896492</v>
      </c>
      <c r="K4028" s="187">
        <v>7022.1518939980697</v>
      </c>
      <c r="L4028" s="187">
        <v>5191.2032378988424</v>
      </c>
      <c r="M4028" s="187">
        <v>15189.169921875</v>
      </c>
      <c r="N4028" s="187">
        <v>7097.6689453125</v>
      </c>
      <c r="O4028" t="s">
        <v>4490</v>
      </c>
    </row>
    <row r="4029" spans="1:15" hidden="1" x14ac:dyDescent="0.45">
      <c r="A4029" s="187">
        <v>2020</v>
      </c>
      <c r="B4029" t="s">
        <v>310</v>
      </c>
      <c r="C4029" t="s">
        <v>328</v>
      </c>
      <c r="D4029" t="s">
        <v>39</v>
      </c>
      <c r="E4029" t="s">
        <v>21</v>
      </c>
      <c r="F4029" t="s">
        <v>21</v>
      </c>
      <c r="G4029" t="s">
        <v>36</v>
      </c>
      <c r="H4029" t="s">
        <v>43</v>
      </c>
      <c r="I4029" s="187"/>
      <c r="J4029" s="187">
        <v>1039.1238095670417</v>
      </c>
      <c r="K4029" s="187">
        <v>7598.9595581503854</v>
      </c>
      <c r="L4029" s="187">
        <v>9421.6878950891751</v>
      </c>
      <c r="M4029" s="187">
        <v>18059.771484375</v>
      </c>
      <c r="N4029" s="187">
        <v>9421.6875</v>
      </c>
      <c r="O4029" t="s">
        <v>4487</v>
      </c>
    </row>
    <row r="4030" spans="1:15" hidden="1" x14ac:dyDescent="0.45">
      <c r="A4030" s="187">
        <v>2020</v>
      </c>
      <c r="B4030" t="s">
        <v>311</v>
      </c>
      <c r="C4030" t="s">
        <v>328</v>
      </c>
      <c r="D4030" t="s">
        <v>39</v>
      </c>
      <c r="E4030" t="s">
        <v>21</v>
      </c>
      <c r="F4030" t="s">
        <v>21</v>
      </c>
      <c r="G4030" t="s">
        <v>36</v>
      </c>
      <c r="H4030" t="s">
        <v>43</v>
      </c>
      <c r="I4030" s="187"/>
      <c r="J4030" s="187">
        <v>891.27375513324205</v>
      </c>
      <c r="K4030" s="187">
        <v>7610.0861846690023</v>
      </c>
      <c r="L4030" s="187">
        <v>647.77543510337591</v>
      </c>
      <c r="M4030" s="187">
        <v>9149.1357421875</v>
      </c>
      <c r="N4030" s="187">
        <v>647.77545166015625</v>
      </c>
      <c r="O4030" t="s">
        <v>4486</v>
      </c>
    </row>
    <row r="4031" spans="1:15" hidden="1" x14ac:dyDescent="0.45">
      <c r="A4031" s="187">
        <v>2020</v>
      </c>
      <c r="B4031" t="s">
        <v>314</v>
      </c>
      <c r="C4031" t="s">
        <v>328</v>
      </c>
      <c r="D4031" t="s">
        <v>39</v>
      </c>
      <c r="E4031" t="s">
        <v>21</v>
      </c>
      <c r="F4031" t="s">
        <v>21</v>
      </c>
      <c r="G4031" t="s">
        <v>36</v>
      </c>
      <c r="H4031" t="s">
        <v>43</v>
      </c>
      <c r="I4031" s="187">
        <v>1958.4926614197309</v>
      </c>
      <c r="J4031" s="187">
        <v>909.89460757177301</v>
      </c>
      <c r="K4031" s="187">
        <v>6487.074125670847</v>
      </c>
      <c r="L4031" s="187">
        <v>5066.5594855764821</v>
      </c>
      <c r="M4031" s="187">
        <v>14422.0205078125</v>
      </c>
      <c r="N4031" s="187">
        <v>7025.05224609375</v>
      </c>
      <c r="O4031" t="s">
        <v>4492</v>
      </c>
    </row>
    <row r="4032" spans="1:15" hidden="1" x14ac:dyDescent="0.45">
      <c r="A4032" s="187">
        <v>2020</v>
      </c>
      <c r="B4032" t="s">
        <v>316</v>
      </c>
      <c r="C4032" t="s">
        <v>328</v>
      </c>
      <c r="D4032" t="s">
        <v>39</v>
      </c>
      <c r="E4032" t="s">
        <v>21</v>
      </c>
      <c r="F4032" t="s">
        <v>21</v>
      </c>
      <c r="G4032" t="s">
        <v>36</v>
      </c>
      <c r="H4032" t="s">
        <v>43</v>
      </c>
      <c r="I4032" s="187">
        <v>2232.691250309917</v>
      </c>
      <c r="J4032" s="187">
        <v>1041.7502225109677</v>
      </c>
      <c r="K4032" s="187">
        <v>7044.6256755926179</v>
      </c>
      <c r="L4032" s="187">
        <v>5255.2861478751247</v>
      </c>
      <c r="M4032" s="187">
        <v>15574.353515625</v>
      </c>
      <c r="N4032" s="187">
        <v>7487.9775390625</v>
      </c>
      <c r="O4032" t="s">
        <v>4488</v>
      </c>
    </row>
    <row r="4033" spans="1:15" hidden="1" x14ac:dyDescent="0.45">
      <c r="A4033" s="187">
        <v>2020</v>
      </c>
      <c r="B4033" t="s">
        <v>309</v>
      </c>
      <c r="C4033" t="s">
        <v>328</v>
      </c>
      <c r="D4033" t="s">
        <v>39</v>
      </c>
      <c r="E4033" t="s">
        <v>21</v>
      </c>
      <c r="F4033" t="s">
        <v>21</v>
      </c>
      <c r="G4033" t="s">
        <v>36</v>
      </c>
      <c r="H4033" t="s">
        <v>43</v>
      </c>
      <c r="I4033" s="187"/>
      <c r="J4033" s="187">
        <v>1033.8771229798922</v>
      </c>
      <c r="K4033" s="187">
        <v>7710.6285691099247</v>
      </c>
      <c r="L4033" s="187">
        <v>10187.50118991592</v>
      </c>
      <c r="M4033" s="187">
        <v>18932.0078125</v>
      </c>
      <c r="N4033" s="187">
        <v>10187.5009765625</v>
      </c>
      <c r="O4033" t="s">
        <v>4489</v>
      </c>
    </row>
    <row r="4034" spans="1:15" hidden="1" x14ac:dyDescent="0.45">
      <c r="A4034" s="187">
        <v>2020</v>
      </c>
      <c r="B4034" t="s">
        <v>312</v>
      </c>
      <c r="C4034" t="s">
        <v>328</v>
      </c>
      <c r="D4034" t="s">
        <v>39</v>
      </c>
      <c r="E4034" t="s">
        <v>21</v>
      </c>
      <c r="F4034" t="s">
        <v>21</v>
      </c>
      <c r="G4034" t="s">
        <v>37</v>
      </c>
      <c r="H4034" t="s">
        <v>43</v>
      </c>
      <c r="I4034" s="187">
        <v>1744.956541082664</v>
      </c>
      <c r="J4034" s="187">
        <v>828</v>
      </c>
      <c r="K4034" s="187">
        <v>7202.2019395240222</v>
      </c>
      <c r="L4034" s="187">
        <v>4668</v>
      </c>
      <c r="M4034" s="187">
        <v>14443.158203125</v>
      </c>
      <c r="N4034" s="187">
        <v>6412.95654296875</v>
      </c>
      <c r="O4034" t="s">
        <v>4497</v>
      </c>
    </row>
    <row r="4035" spans="1:15" hidden="1" x14ac:dyDescent="0.45">
      <c r="A4035" s="187">
        <v>2020</v>
      </c>
      <c r="B4035" t="s">
        <v>313</v>
      </c>
      <c r="C4035" t="s">
        <v>328</v>
      </c>
      <c r="D4035" t="s">
        <v>39</v>
      </c>
      <c r="E4035" t="s">
        <v>21</v>
      </c>
      <c r="F4035" t="s">
        <v>21</v>
      </c>
      <c r="G4035" t="s">
        <v>37</v>
      </c>
      <c r="H4035" t="s">
        <v>43</v>
      </c>
      <c r="I4035" s="187">
        <v>1800.3301794217559</v>
      </c>
      <c r="J4035" s="187">
        <v>849</v>
      </c>
      <c r="K4035" s="187">
        <v>6855.5302897942784</v>
      </c>
      <c r="L4035" s="187">
        <v>4954</v>
      </c>
      <c r="M4035" s="187">
        <v>14458.8603515625</v>
      </c>
      <c r="N4035" s="187">
        <v>6754.330078125</v>
      </c>
      <c r="O4035" t="s">
        <v>4499</v>
      </c>
    </row>
    <row r="4036" spans="1:15" hidden="1" x14ac:dyDescent="0.45">
      <c r="A4036" s="187">
        <v>2020</v>
      </c>
      <c r="B4036" t="s">
        <v>309</v>
      </c>
      <c r="C4036" t="s">
        <v>328</v>
      </c>
      <c r="D4036" t="s">
        <v>39</v>
      </c>
      <c r="E4036" t="s">
        <v>21</v>
      </c>
      <c r="F4036" t="s">
        <v>21</v>
      </c>
      <c r="G4036" t="s">
        <v>37</v>
      </c>
      <c r="H4036" t="s">
        <v>43</v>
      </c>
      <c r="I4036" s="187"/>
      <c r="J4036" s="187">
        <v>992.38440000000003</v>
      </c>
      <c r="K4036" s="187">
        <v>7566.472987389041</v>
      </c>
      <c r="L4036" s="187">
        <v>10425</v>
      </c>
      <c r="M4036" s="187">
        <v>18983.857421875</v>
      </c>
      <c r="N4036" s="187">
        <v>10425</v>
      </c>
      <c r="O4036" t="s">
        <v>4494</v>
      </c>
    </row>
    <row r="4037" spans="1:15" hidden="1" x14ac:dyDescent="0.45">
      <c r="A4037" s="187">
        <v>2020</v>
      </c>
      <c r="B4037" t="s">
        <v>310</v>
      </c>
      <c r="C4037" t="s">
        <v>328</v>
      </c>
      <c r="D4037" t="s">
        <v>39</v>
      </c>
      <c r="E4037" t="s">
        <v>21</v>
      </c>
      <c r="F4037" t="s">
        <v>21</v>
      </c>
      <c r="G4037" t="s">
        <v>37</v>
      </c>
      <c r="H4037" t="s">
        <v>43</v>
      </c>
      <c r="I4037" s="187"/>
      <c r="J4037" s="187">
        <v>1004</v>
      </c>
      <c r="K4037" s="187">
        <v>7350.1396946345176</v>
      </c>
      <c r="L4037" s="187">
        <v>9444</v>
      </c>
      <c r="M4037" s="187">
        <v>17798.140625</v>
      </c>
      <c r="N4037" s="187">
        <v>9444</v>
      </c>
      <c r="O4037" t="s">
        <v>4493</v>
      </c>
    </row>
    <row r="4038" spans="1:15" hidden="1" x14ac:dyDescent="0.45">
      <c r="A4038" s="187">
        <v>2020</v>
      </c>
      <c r="B4038" t="s">
        <v>311</v>
      </c>
      <c r="C4038" t="s">
        <v>328</v>
      </c>
      <c r="D4038" t="s">
        <v>39</v>
      </c>
      <c r="E4038" t="s">
        <v>21</v>
      </c>
      <c r="F4038" t="s">
        <v>21</v>
      </c>
      <c r="G4038" t="s">
        <v>37</v>
      </c>
      <c r="H4038" t="s">
        <v>43</v>
      </c>
      <c r="I4038" s="187"/>
      <c r="J4038" s="187">
        <v>846</v>
      </c>
      <c r="K4038" s="187">
        <v>7159.1104869841538</v>
      </c>
      <c r="L4038" s="187">
        <v>637</v>
      </c>
      <c r="M4038" s="187">
        <v>8642.1103515625</v>
      </c>
      <c r="N4038" s="187">
        <v>637</v>
      </c>
      <c r="O4038" t="s">
        <v>4495</v>
      </c>
    </row>
    <row r="4039" spans="1:15" hidden="1" x14ac:dyDescent="0.45">
      <c r="A4039" s="187">
        <v>2020</v>
      </c>
      <c r="B4039" t="s">
        <v>315</v>
      </c>
      <c r="C4039" t="s">
        <v>328</v>
      </c>
      <c r="D4039" t="s">
        <v>39</v>
      </c>
      <c r="E4039" t="s">
        <v>21</v>
      </c>
      <c r="F4039" t="s">
        <v>21</v>
      </c>
      <c r="G4039" t="s">
        <v>37</v>
      </c>
      <c r="H4039" t="s">
        <v>43</v>
      </c>
      <c r="I4039" s="187">
        <v>1800.4765</v>
      </c>
      <c r="J4039" s="187">
        <v>990</v>
      </c>
      <c r="K4039" s="187">
        <v>6621.3968801488509</v>
      </c>
      <c r="L4039" s="187">
        <v>4920</v>
      </c>
      <c r="M4039" s="187">
        <v>14331.873046875</v>
      </c>
      <c r="N4039" s="187">
        <v>6720.4765625</v>
      </c>
      <c r="O4039" t="s">
        <v>4500</v>
      </c>
    </row>
    <row r="4040" spans="1:15" hidden="1" x14ac:dyDescent="0.45">
      <c r="A4040" s="187">
        <v>2020</v>
      </c>
      <c r="B4040" t="s">
        <v>316</v>
      </c>
      <c r="C4040" t="s">
        <v>328</v>
      </c>
      <c r="D4040" t="s">
        <v>39</v>
      </c>
      <c r="E4040" t="s">
        <v>21</v>
      </c>
      <c r="F4040" t="s">
        <v>21</v>
      </c>
      <c r="G4040" t="s">
        <v>37</v>
      </c>
      <c r="H4040" t="s">
        <v>43</v>
      </c>
      <c r="I4040" s="187">
        <v>2111.0635102668398</v>
      </c>
      <c r="J4040" s="187">
        <v>985</v>
      </c>
      <c r="K4040" s="187">
        <v>6660.8637469099986</v>
      </c>
      <c r="L4040" s="187">
        <v>4969</v>
      </c>
      <c r="M4040" s="187">
        <v>14725.9267578125</v>
      </c>
      <c r="N4040" s="187">
        <v>7080.0634765625</v>
      </c>
      <c r="O4040" t="s">
        <v>4496</v>
      </c>
    </row>
    <row r="4041" spans="1:15" hidden="1" x14ac:dyDescent="0.45">
      <c r="A4041" s="187">
        <v>2020</v>
      </c>
      <c r="B4041" t="s">
        <v>314</v>
      </c>
      <c r="C4041" t="s">
        <v>328</v>
      </c>
      <c r="D4041" t="s">
        <v>39</v>
      </c>
      <c r="E4041" t="s">
        <v>21</v>
      </c>
      <c r="F4041" t="s">
        <v>21</v>
      </c>
      <c r="G4041" t="s">
        <v>37</v>
      </c>
      <c r="H4041" t="s">
        <v>43</v>
      </c>
      <c r="I4041" s="187">
        <v>1837.02617295</v>
      </c>
      <c r="J4041" s="187">
        <v>853</v>
      </c>
      <c r="K4041" s="187">
        <v>6092.3813566941917</v>
      </c>
      <c r="L4041" s="187">
        <v>4881</v>
      </c>
      <c r="M4041" s="187">
        <v>13663.4072265625</v>
      </c>
      <c r="N4041" s="187">
        <v>6718.0263671875</v>
      </c>
      <c r="O4041" t="s">
        <v>4498</v>
      </c>
    </row>
    <row r="4042" spans="1:15" hidden="1" x14ac:dyDescent="0.45">
      <c r="A4042" s="187">
        <v>2020</v>
      </c>
      <c r="B4042" t="s">
        <v>316</v>
      </c>
      <c r="C4042" t="s">
        <v>328</v>
      </c>
      <c r="D4042" t="s">
        <v>39</v>
      </c>
      <c r="E4042" t="s">
        <v>352</v>
      </c>
      <c r="F4042" t="s">
        <v>433</v>
      </c>
      <c r="G4042" t="s">
        <v>36</v>
      </c>
      <c r="H4042" t="s">
        <v>43</v>
      </c>
      <c r="I4042" s="187"/>
      <c r="J4042" s="187">
        <v>229.50233328414211</v>
      </c>
      <c r="K4042" s="187">
        <v>106.92319696856838</v>
      </c>
      <c r="L4042" s="187">
        <v>266.51883865255212</v>
      </c>
      <c r="M4042" s="187">
        <v>602.94439697265625</v>
      </c>
      <c r="N4042" s="187">
        <v>266.51882934570313</v>
      </c>
      <c r="O4042" t="s">
        <v>4505</v>
      </c>
    </row>
    <row r="4043" spans="1:15" hidden="1" x14ac:dyDescent="0.45">
      <c r="A4043" s="187">
        <v>2020</v>
      </c>
      <c r="B4043" t="s">
        <v>310</v>
      </c>
      <c r="C4043" t="s">
        <v>328</v>
      </c>
      <c r="D4043" t="s">
        <v>39</v>
      </c>
      <c r="E4043" t="s">
        <v>352</v>
      </c>
      <c r="F4043" t="s">
        <v>433</v>
      </c>
      <c r="G4043" t="s">
        <v>36</v>
      </c>
      <c r="H4043" t="s">
        <v>43</v>
      </c>
      <c r="I4043" s="187"/>
      <c r="J4043" s="187">
        <v>251.32294012954995</v>
      </c>
      <c r="K4043" s="187">
        <v>430.60386723498755</v>
      </c>
      <c r="L4043" s="187">
        <v>310.93907941609439</v>
      </c>
      <c r="M4043" s="187">
        <v>992.86590576171875</v>
      </c>
      <c r="N4043" s="187">
        <v>310.9390869140625</v>
      </c>
      <c r="O4043" t="s">
        <v>4506</v>
      </c>
    </row>
    <row r="4044" spans="1:15" hidden="1" x14ac:dyDescent="0.45">
      <c r="A4044" s="187">
        <v>2020</v>
      </c>
      <c r="B4044" t="s">
        <v>314</v>
      </c>
      <c r="C4044" t="s">
        <v>328</v>
      </c>
      <c r="D4044" t="s">
        <v>39</v>
      </c>
      <c r="E4044" t="s">
        <v>352</v>
      </c>
      <c r="F4044" t="s">
        <v>433</v>
      </c>
      <c r="G4044" t="s">
        <v>36</v>
      </c>
      <c r="H4044" t="s">
        <v>43</v>
      </c>
      <c r="I4044" s="187">
        <v>0</v>
      </c>
      <c r="J4044" s="187">
        <v>210.82923833980107</v>
      </c>
      <c r="K4044" s="187">
        <v>104.95523335583381</v>
      </c>
      <c r="L4044" s="187">
        <v>85.441322906129898</v>
      </c>
      <c r="M4044" s="187">
        <v>401.22579956054688</v>
      </c>
      <c r="N4044" s="187">
        <v>85.441322326660156</v>
      </c>
      <c r="O4044" t="s">
        <v>4501</v>
      </c>
    </row>
    <row r="4045" spans="1:15" hidden="1" x14ac:dyDescent="0.45">
      <c r="A4045" s="187">
        <v>2020</v>
      </c>
      <c r="B4045" t="s">
        <v>315</v>
      </c>
      <c r="C4045" t="s">
        <v>328</v>
      </c>
      <c r="D4045" t="s">
        <v>39</v>
      </c>
      <c r="E4045" t="s">
        <v>352</v>
      </c>
      <c r="F4045" t="s">
        <v>433</v>
      </c>
      <c r="G4045" t="s">
        <v>36</v>
      </c>
      <c r="H4045" t="s">
        <v>43</v>
      </c>
      <c r="I4045" s="187">
        <v>0</v>
      </c>
      <c r="J4045" s="187">
        <v>194.4270875617544</v>
      </c>
      <c r="K4045" s="187">
        <v>104.07909204167778</v>
      </c>
      <c r="L4045" s="187">
        <v>234.39265556055946</v>
      </c>
      <c r="M4045" s="187">
        <v>532.89886474609375</v>
      </c>
      <c r="N4045" s="187">
        <v>234.39265441894531</v>
      </c>
      <c r="O4045" t="s">
        <v>4508</v>
      </c>
    </row>
    <row r="4046" spans="1:15" hidden="1" x14ac:dyDescent="0.45">
      <c r="A4046" s="187">
        <v>2020</v>
      </c>
      <c r="B4046" t="s">
        <v>312</v>
      </c>
      <c r="C4046" t="s">
        <v>328</v>
      </c>
      <c r="D4046" t="s">
        <v>39</v>
      </c>
      <c r="E4046" t="s">
        <v>352</v>
      </c>
      <c r="F4046" t="s">
        <v>433</v>
      </c>
      <c r="G4046" t="s">
        <v>36</v>
      </c>
      <c r="H4046" t="s">
        <v>43</v>
      </c>
      <c r="I4046" s="187"/>
      <c r="J4046" s="187">
        <v>197.15927127585482</v>
      </c>
      <c r="K4046" s="187">
        <v>147.62938305010229</v>
      </c>
      <c r="L4046" s="187">
        <v>222.674000499789</v>
      </c>
      <c r="M4046" s="187">
        <v>567.462646484375</v>
      </c>
      <c r="N4046" s="187">
        <v>222.67399597167969</v>
      </c>
      <c r="O4046" t="s">
        <v>4504</v>
      </c>
    </row>
    <row r="4047" spans="1:15" hidden="1" x14ac:dyDescent="0.45">
      <c r="A4047" s="187">
        <v>2020</v>
      </c>
      <c r="B4047" t="s">
        <v>311</v>
      </c>
      <c r="C4047" t="s">
        <v>328</v>
      </c>
      <c r="D4047" t="s">
        <v>39</v>
      </c>
      <c r="E4047" t="s">
        <v>352</v>
      </c>
      <c r="F4047" t="s">
        <v>433</v>
      </c>
      <c r="G4047" t="s">
        <v>36</v>
      </c>
      <c r="H4047" t="s">
        <v>43</v>
      </c>
      <c r="I4047" s="187"/>
      <c r="J4047" s="187">
        <v>233.0127464400633</v>
      </c>
      <c r="K4047" s="187">
        <v>159.69295564523298</v>
      </c>
      <c r="L4047" s="187">
        <v>259.80921228067058</v>
      </c>
      <c r="M4047" s="187">
        <v>652.514892578125</v>
      </c>
      <c r="N4047" s="187">
        <v>259.8092041015625</v>
      </c>
      <c r="O4047" t="s">
        <v>4507</v>
      </c>
    </row>
    <row r="4048" spans="1:15" hidden="1" x14ac:dyDescent="0.45">
      <c r="A4048" s="187">
        <v>2020</v>
      </c>
      <c r="B4048" t="s">
        <v>313</v>
      </c>
      <c r="C4048" t="s">
        <v>328</v>
      </c>
      <c r="D4048" t="s">
        <v>39</v>
      </c>
      <c r="E4048" t="s">
        <v>352</v>
      </c>
      <c r="F4048" t="s">
        <v>433</v>
      </c>
      <c r="G4048" t="s">
        <v>36</v>
      </c>
      <c r="H4048" t="s">
        <v>43</v>
      </c>
      <c r="I4048" s="187"/>
      <c r="J4048" s="187">
        <v>182.5714719832655</v>
      </c>
      <c r="K4048" s="187">
        <v>143.8937056436107</v>
      </c>
      <c r="L4048" s="187">
        <v>265.8697060756304</v>
      </c>
      <c r="M4048" s="187">
        <v>592.33489990234375</v>
      </c>
      <c r="N4048" s="187">
        <v>265.86972045898438</v>
      </c>
      <c r="O4048" t="s">
        <v>4503</v>
      </c>
    </row>
    <row r="4049" spans="1:15" hidden="1" x14ac:dyDescent="0.45">
      <c r="A4049" s="187">
        <v>2020</v>
      </c>
      <c r="B4049" t="s">
        <v>309</v>
      </c>
      <c r="C4049" t="s">
        <v>328</v>
      </c>
      <c r="D4049" t="s">
        <v>39</v>
      </c>
      <c r="E4049" t="s">
        <v>352</v>
      </c>
      <c r="F4049" t="s">
        <v>433</v>
      </c>
      <c r="G4049" t="s">
        <v>36</v>
      </c>
      <c r="H4049" t="s">
        <v>43</v>
      </c>
      <c r="I4049" s="187"/>
      <c r="J4049" s="187">
        <v>185.812017494082</v>
      </c>
      <c r="K4049" s="187">
        <v>426.50014356340819</v>
      </c>
      <c r="L4049" s="187">
        <v>315.64220920469057</v>
      </c>
      <c r="M4049" s="187">
        <v>927.954345703125</v>
      </c>
      <c r="N4049" s="187">
        <v>315.6422119140625</v>
      </c>
      <c r="O4049" t="s">
        <v>4502</v>
      </c>
    </row>
    <row r="4050" spans="1:15" hidden="1" x14ac:dyDescent="0.45">
      <c r="A4050" s="187">
        <v>2020</v>
      </c>
      <c r="B4050" t="s">
        <v>316</v>
      </c>
      <c r="C4050" t="s">
        <v>328</v>
      </c>
      <c r="D4050" t="s">
        <v>39</v>
      </c>
      <c r="E4050" t="s">
        <v>352</v>
      </c>
      <c r="F4050" t="s">
        <v>361</v>
      </c>
      <c r="G4050" t="s">
        <v>36</v>
      </c>
      <c r="H4050" t="s">
        <v>43</v>
      </c>
      <c r="I4050" s="187"/>
      <c r="J4050" s="187"/>
      <c r="K4050" s="187">
        <v>0</v>
      </c>
      <c r="L4050" s="187"/>
      <c r="M4050" s="187">
        <v>0</v>
      </c>
      <c r="N4050" s="187">
        <v>0</v>
      </c>
      <c r="O4050" t="s">
        <v>4513</v>
      </c>
    </row>
    <row r="4051" spans="1:15" hidden="1" x14ac:dyDescent="0.45">
      <c r="A4051" s="187">
        <v>2020</v>
      </c>
      <c r="B4051" t="s">
        <v>310</v>
      </c>
      <c r="C4051" t="s">
        <v>328</v>
      </c>
      <c r="D4051" t="s">
        <v>39</v>
      </c>
      <c r="E4051" t="s">
        <v>352</v>
      </c>
      <c r="F4051" t="s">
        <v>361</v>
      </c>
      <c r="G4051" t="s">
        <v>36</v>
      </c>
      <c r="H4051" t="s">
        <v>43</v>
      </c>
      <c r="I4051" s="187"/>
      <c r="J4051" s="187">
        <v>0</v>
      </c>
      <c r="K4051" s="187">
        <v>0</v>
      </c>
      <c r="L4051" s="187"/>
      <c r="M4051" s="187">
        <v>0</v>
      </c>
      <c r="N4051" s="187">
        <v>0</v>
      </c>
      <c r="O4051" t="s">
        <v>4509</v>
      </c>
    </row>
    <row r="4052" spans="1:15" hidden="1" x14ac:dyDescent="0.45">
      <c r="A4052" s="187">
        <v>2020</v>
      </c>
      <c r="B4052" t="s">
        <v>313</v>
      </c>
      <c r="C4052" t="s">
        <v>328</v>
      </c>
      <c r="D4052" t="s">
        <v>39</v>
      </c>
      <c r="E4052" t="s">
        <v>352</v>
      </c>
      <c r="F4052" t="s">
        <v>361</v>
      </c>
      <c r="G4052" t="s">
        <v>36</v>
      </c>
      <c r="H4052" t="s">
        <v>43</v>
      </c>
      <c r="I4052" s="187"/>
      <c r="J4052" s="187">
        <v>0</v>
      </c>
      <c r="K4052" s="187">
        <v>0</v>
      </c>
      <c r="L4052" s="187">
        <v>0</v>
      </c>
      <c r="M4052" s="187">
        <v>0</v>
      </c>
      <c r="N4052" s="187">
        <v>0</v>
      </c>
      <c r="O4052" t="s">
        <v>4512</v>
      </c>
    </row>
    <row r="4053" spans="1:15" hidden="1" x14ac:dyDescent="0.45">
      <c r="A4053" s="187">
        <v>2020</v>
      </c>
      <c r="B4053" t="s">
        <v>311</v>
      </c>
      <c r="C4053" t="s">
        <v>328</v>
      </c>
      <c r="D4053" t="s">
        <v>39</v>
      </c>
      <c r="E4053" t="s">
        <v>352</v>
      </c>
      <c r="F4053" t="s">
        <v>361</v>
      </c>
      <c r="G4053" t="s">
        <v>36</v>
      </c>
      <c r="H4053" t="s">
        <v>43</v>
      </c>
      <c r="I4053" s="187"/>
      <c r="J4053" s="187"/>
      <c r="K4053" s="187">
        <v>0</v>
      </c>
      <c r="L4053" s="187">
        <v>0</v>
      </c>
      <c r="M4053" s="187">
        <v>0</v>
      </c>
      <c r="N4053" s="187">
        <v>0</v>
      </c>
      <c r="O4053" t="s">
        <v>4516</v>
      </c>
    </row>
    <row r="4054" spans="1:15" hidden="1" x14ac:dyDescent="0.45">
      <c r="A4054" s="187">
        <v>2020</v>
      </c>
      <c r="B4054" t="s">
        <v>309</v>
      </c>
      <c r="C4054" t="s">
        <v>328</v>
      </c>
      <c r="D4054" t="s">
        <v>39</v>
      </c>
      <c r="E4054" t="s">
        <v>352</v>
      </c>
      <c r="F4054" t="s">
        <v>361</v>
      </c>
      <c r="G4054" t="s">
        <v>36</v>
      </c>
      <c r="H4054" t="s">
        <v>43</v>
      </c>
      <c r="I4054" s="187"/>
      <c r="J4054" s="187"/>
      <c r="K4054" s="187">
        <v>0</v>
      </c>
      <c r="L4054" s="187"/>
      <c r="M4054" s="187">
        <v>0</v>
      </c>
      <c r="N4054" s="187">
        <v>0</v>
      </c>
      <c r="O4054" t="s">
        <v>4515</v>
      </c>
    </row>
    <row r="4055" spans="1:15" hidden="1" x14ac:dyDescent="0.45">
      <c r="A4055" s="187">
        <v>2020</v>
      </c>
      <c r="B4055" t="s">
        <v>314</v>
      </c>
      <c r="C4055" t="s">
        <v>328</v>
      </c>
      <c r="D4055" t="s">
        <v>39</v>
      </c>
      <c r="E4055" t="s">
        <v>352</v>
      </c>
      <c r="F4055" t="s">
        <v>361</v>
      </c>
      <c r="G4055" t="s">
        <v>36</v>
      </c>
      <c r="H4055" t="s">
        <v>43</v>
      </c>
      <c r="I4055" s="187"/>
      <c r="J4055" s="187">
        <v>0</v>
      </c>
      <c r="K4055" s="187"/>
      <c r="L4055" s="187">
        <v>0</v>
      </c>
      <c r="M4055" s="187">
        <v>0</v>
      </c>
      <c r="N4055" s="187">
        <v>0</v>
      </c>
      <c r="O4055" t="s">
        <v>4510</v>
      </c>
    </row>
    <row r="4056" spans="1:15" hidden="1" x14ac:dyDescent="0.45">
      <c r="A4056" s="187">
        <v>2020</v>
      </c>
      <c r="B4056" t="s">
        <v>315</v>
      </c>
      <c r="C4056" t="s">
        <v>328</v>
      </c>
      <c r="D4056" t="s">
        <v>39</v>
      </c>
      <c r="E4056" t="s">
        <v>352</v>
      </c>
      <c r="F4056" t="s">
        <v>361</v>
      </c>
      <c r="G4056" t="s">
        <v>36</v>
      </c>
      <c r="H4056" t="s">
        <v>43</v>
      </c>
      <c r="I4056" s="187"/>
      <c r="J4056" s="187">
        <v>0</v>
      </c>
      <c r="K4056" s="187">
        <v>0</v>
      </c>
      <c r="L4056" s="187">
        <v>0</v>
      </c>
      <c r="M4056" s="187">
        <v>0</v>
      </c>
      <c r="N4056" s="187">
        <v>0</v>
      </c>
      <c r="O4056" t="s">
        <v>4514</v>
      </c>
    </row>
    <row r="4057" spans="1:15" hidden="1" x14ac:dyDescent="0.45">
      <c r="A4057" s="187">
        <v>2020</v>
      </c>
      <c r="B4057" t="s">
        <v>312</v>
      </c>
      <c r="C4057" t="s">
        <v>328</v>
      </c>
      <c r="D4057" t="s">
        <v>39</v>
      </c>
      <c r="E4057" t="s">
        <v>352</v>
      </c>
      <c r="F4057" t="s">
        <v>361</v>
      </c>
      <c r="G4057" t="s">
        <v>36</v>
      </c>
      <c r="H4057" t="s">
        <v>43</v>
      </c>
      <c r="I4057" s="187"/>
      <c r="J4057" s="187"/>
      <c r="K4057" s="187">
        <v>0</v>
      </c>
      <c r="L4057" s="187"/>
      <c r="M4057" s="187">
        <v>0</v>
      </c>
      <c r="N4057" s="187">
        <v>0</v>
      </c>
      <c r="O4057" t="s">
        <v>4511</v>
      </c>
    </row>
    <row r="4058" spans="1:15" hidden="1" x14ac:dyDescent="0.45">
      <c r="A4058" s="187">
        <v>2020</v>
      </c>
      <c r="B4058" t="s">
        <v>316</v>
      </c>
      <c r="C4058" t="s">
        <v>328</v>
      </c>
      <c r="D4058" t="s">
        <v>39</v>
      </c>
      <c r="E4058" t="s">
        <v>40</v>
      </c>
      <c r="F4058" t="s">
        <v>40</v>
      </c>
      <c r="G4058" t="s">
        <v>36</v>
      </c>
      <c r="H4058" t="s">
        <v>43</v>
      </c>
      <c r="I4058" s="187">
        <v>3954.4516720203956</v>
      </c>
      <c r="J4058" s="187">
        <v>557.89161662389381</v>
      </c>
      <c r="K4058" s="187">
        <v>6695.5105963927563</v>
      </c>
      <c r="L4058" s="187">
        <v>5399.1217115923755</v>
      </c>
      <c r="M4058" s="187">
        <v>16606.974609375</v>
      </c>
      <c r="N4058" s="187">
        <v>9353.5732421875</v>
      </c>
      <c r="O4058" t="s">
        <v>4518</v>
      </c>
    </row>
    <row r="4059" spans="1:15" hidden="1" x14ac:dyDescent="0.45">
      <c r="A4059" s="187">
        <v>2020</v>
      </c>
      <c r="B4059" t="s">
        <v>314</v>
      </c>
      <c r="C4059" t="s">
        <v>328</v>
      </c>
      <c r="D4059" t="s">
        <v>39</v>
      </c>
      <c r="E4059" t="s">
        <v>40</v>
      </c>
      <c r="F4059" t="s">
        <v>40</v>
      </c>
      <c r="G4059" t="s">
        <v>36</v>
      </c>
      <c r="H4059" t="s">
        <v>43</v>
      </c>
      <c r="I4059" s="187">
        <v>5489.3275898262937</v>
      </c>
      <c r="J4059" s="187">
        <v>160.89599768037451</v>
      </c>
      <c r="K4059" s="187">
        <v>6362.7178638808809</v>
      </c>
      <c r="L4059" s="187">
        <v>5185.289635588897</v>
      </c>
      <c r="M4059" s="187">
        <v>17198.23046875</v>
      </c>
      <c r="N4059" s="187">
        <v>10674.6171875</v>
      </c>
      <c r="O4059" t="s">
        <v>4519</v>
      </c>
    </row>
    <row r="4060" spans="1:15" hidden="1" x14ac:dyDescent="0.45">
      <c r="A4060" s="187">
        <v>2020</v>
      </c>
      <c r="B4060" t="s">
        <v>310</v>
      </c>
      <c r="C4060" t="s">
        <v>328</v>
      </c>
      <c r="D4060" t="s">
        <v>39</v>
      </c>
      <c r="E4060" t="s">
        <v>40</v>
      </c>
      <c r="F4060" t="s">
        <v>40</v>
      </c>
      <c r="G4060" t="s">
        <v>36</v>
      </c>
      <c r="H4060" t="s">
        <v>43</v>
      </c>
      <c r="I4060" s="187"/>
      <c r="J4060" s="187">
        <v>140.27326890951625</v>
      </c>
      <c r="K4060" s="187">
        <v>6160.2103371019721</v>
      </c>
      <c r="L4060" s="187">
        <v>9830.8182627419301</v>
      </c>
      <c r="M4060" s="187">
        <v>16131.3017578125</v>
      </c>
      <c r="N4060" s="187">
        <v>9830.818359375</v>
      </c>
      <c r="O4060" t="s">
        <v>4523</v>
      </c>
    </row>
    <row r="4061" spans="1:15" hidden="1" x14ac:dyDescent="0.45">
      <c r="A4061" s="187">
        <v>2020</v>
      </c>
      <c r="B4061" t="s">
        <v>313</v>
      </c>
      <c r="C4061" t="s">
        <v>328</v>
      </c>
      <c r="D4061" t="s">
        <v>39</v>
      </c>
      <c r="E4061" t="s">
        <v>40</v>
      </c>
      <c r="F4061" t="s">
        <v>40</v>
      </c>
      <c r="G4061" t="s">
        <v>36</v>
      </c>
      <c r="H4061" t="s">
        <v>43</v>
      </c>
      <c r="I4061" s="187">
        <v>5438.3522859883205</v>
      </c>
      <c r="J4061" s="187">
        <v>136.92860398744912</v>
      </c>
      <c r="K4061" s="187">
        <v>6187.6355829416843</v>
      </c>
      <c r="L4061" s="187">
        <v>5151.9387250277732</v>
      </c>
      <c r="M4061" s="187">
        <v>16914.85546875</v>
      </c>
      <c r="N4061" s="187">
        <v>10590.291015625</v>
      </c>
      <c r="O4061" t="s">
        <v>4520</v>
      </c>
    </row>
    <row r="4062" spans="1:15" hidden="1" x14ac:dyDescent="0.45">
      <c r="A4062" s="187">
        <v>2020</v>
      </c>
      <c r="B4062" t="s">
        <v>312</v>
      </c>
      <c r="C4062" t="s">
        <v>328</v>
      </c>
      <c r="D4062" t="s">
        <v>39</v>
      </c>
      <c r="E4062" t="s">
        <v>40</v>
      </c>
      <c r="F4062" t="s">
        <v>40</v>
      </c>
      <c r="G4062" t="s">
        <v>36</v>
      </c>
      <c r="H4062" t="s">
        <v>43</v>
      </c>
      <c r="I4062" s="187">
        <v>4773.5328772395942</v>
      </c>
      <c r="J4062" s="187">
        <v>168.16526079411148</v>
      </c>
      <c r="K4062" s="187">
        <v>6367.5336024381077</v>
      </c>
      <c r="L4062" s="187">
        <v>5123.8215323336863</v>
      </c>
      <c r="M4062" s="187">
        <v>16433.052734375</v>
      </c>
      <c r="N4062" s="187">
        <v>9897.3544921875</v>
      </c>
      <c r="O4062" t="s">
        <v>4517</v>
      </c>
    </row>
    <row r="4063" spans="1:15" hidden="1" x14ac:dyDescent="0.45">
      <c r="A4063" s="187">
        <v>2020</v>
      </c>
      <c r="B4063" t="s">
        <v>311</v>
      </c>
      <c r="C4063" t="s">
        <v>328</v>
      </c>
      <c r="D4063" t="s">
        <v>39</v>
      </c>
      <c r="E4063" t="s">
        <v>40</v>
      </c>
      <c r="F4063" t="s">
        <v>40</v>
      </c>
      <c r="G4063" t="s">
        <v>36</v>
      </c>
      <c r="H4063" t="s">
        <v>43</v>
      </c>
      <c r="I4063" s="187"/>
      <c r="J4063" s="187">
        <v>168.93424116904589</v>
      </c>
      <c r="K4063" s="187">
        <v>6159.5595161569117</v>
      </c>
      <c r="L4063" s="187">
        <v>9603.6203445272076</v>
      </c>
      <c r="M4063" s="187">
        <v>15932.1142578125</v>
      </c>
      <c r="N4063" s="187">
        <v>9603.6201171875</v>
      </c>
      <c r="O4063" t="s">
        <v>4524</v>
      </c>
    </row>
    <row r="4064" spans="1:15" hidden="1" x14ac:dyDescent="0.45">
      <c r="A4064" s="187">
        <v>2020</v>
      </c>
      <c r="B4064" t="s">
        <v>315</v>
      </c>
      <c r="C4064" t="s">
        <v>328</v>
      </c>
      <c r="D4064" t="s">
        <v>39</v>
      </c>
      <c r="E4064" t="s">
        <v>40</v>
      </c>
      <c r="F4064" t="s">
        <v>40</v>
      </c>
      <c r="G4064" t="s">
        <v>36</v>
      </c>
      <c r="H4064" t="s">
        <v>43</v>
      </c>
      <c r="I4064" s="187">
        <v>5343.5044564888831</v>
      </c>
      <c r="J4064" s="187">
        <v>172.82407783267058</v>
      </c>
      <c r="K4064" s="187">
        <v>6267.1117202324576</v>
      </c>
      <c r="L4064" s="187">
        <v>5648.1068936689653</v>
      </c>
      <c r="M4064" s="187">
        <v>17431.546875</v>
      </c>
      <c r="N4064" s="187">
        <v>10991.611328125</v>
      </c>
      <c r="O4064" t="s">
        <v>4522</v>
      </c>
    </row>
    <row r="4065" spans="1:15" hidden="1" x14ac:dyDescent="0.45">
      <c r="A4065" s="187">
        <v>2020</v>
      </c>
      <c r="B4065" t="s">
        <v>309</v>
      </c>
      <c r="C4065" t="s">
        <v>328</v>
      </c>
      <c r="D4065" t="s">
        <v>39</v>
      </c>
      <c r="E4065" t="s">
        <v>40</v>
      </c>
      <c r="F4065" t="s">
        <v>40</v>
      </c>
      <c r="G4065" t="s">
        <v>36</v>
      </c>
      <c r="H4065" t="s">
        <v>43</v>
      </c>
      <c r="I4065" s="187"/>
      <c r="J4065" s="187">
        <v>624.13780235191655</v>
      </c>
      <c r="K4065" s="187">
        <v>6045.8624970047504</v>
      </c>
      <c r="L4065" s="187">
        <v>10319.713586979016</v>
      </c>
      <c r="M4065" s="187">
        <v>16989.71484375</v>
      </c>
      <c r="N4065" s="187">
        <v>10319.7138671875</v>
      </c>
      <c r="O4065" t="s">
        <v>4521</v>
      </c>
    </row>
    <row r="4066" spans="1:15" hidden="1" x14ac:dyDescent="0.45">
      <c r="A4066" s="187">
        <v>2020</v>
      </c>
      <c r="B4066" t="s">
        <v>316</v>
      </c>
      <c r="C4066" t="s">
        <v>328</v>
      </c>
      <c r="D4066" t="s">
        <v>39</v>
      </c>
      <c r="E4066" t="s">
        <v>40</v>
      </c>
      <c r="F4066" t="s">
        <v>40</v>
      </c>
      <c r="G4066" t="s">
        <v>37</v>
      </c>
      <c r="H4066" t="s">
        <v>43</v>
      </c>
      <c r="I4066" s="187">
        <v>3739.0295799999999</v>
      </c>
      <c r="J4066" s="187">
        <v>527.5</v>
      </c>
      <c r="K4066" s="187">
        <v>6330.7670062699999</v>
      </c>
      <c r="L4066" s="187">
        <v>5105</v>
      </c>
      <c r="M4066" s="187">
        <v>15702.2958984375</v>
      </c>
      <c r="N4066" s="187">
        <v>8844.029296875</v>
      </c>
      <c r="O4066" t="s">
        <v>4525</v>
      </c>
    </row>
    <row r="4067" spans="1:15" hidden="1" x14ac:dyDescent="0.45">
      <c r="A4067" s="187">
        <v>2020</v>
      </c>
      <c r="B4067" t="s">
        <v>314</v>
      </c>
      <c r="C4067" t="s">
        <v>328</v>
      </c>
      <c r="D4067" t="s">
        <v>39</v>
      </c>
      <c r="E4067" t="s">
        <v>40</v>
      </c>
      <c r="F4067" t="s">
        <v>40</v>
      </c>
      <c r="G4067" t="s">
        <v>37</v>
      </c>
      <c r="H4067" t="s">
        <v>43</v>
      </c>
      <c r="I4067" s="187">
        <v>5148.8773244099993</v>
      </c>
      <c r="J4067" s="187">
        <v>151</v>
      </c>
      <c r="K4067" s="187">
        <v>5975.5912975334259</v>
      </c>
      <c r="L4067" s="187">
        <v>4995</v>
      </c>
      <c r="M4067" s="187">
        <v>16270.46875</v>
      </c>
      <c r="N4067" s="187">
        <v>10143.876953125</v>
      </c>
      <c r="O4067" t="s">
        <v>4530</v>
      </c>
    </row>
    <row r="4068" spans="1:15" hidden="1" x14ac:dyDescent="0.45">
      <c r="A4068" s="187">
        <v>2020</v>
      </c>
      <c r="B4068" t="s">
        <v>310</v>
      </c>
      <c r="C4068" t="s">
        <v>328</v>
      </c>
      <c r="D4068" t="s">
        <v>39</v>
      </c>
      <c r="E4068" t="s">
        <v>40</v>
      </c>
      <c r="F4068" t="s">
        <v>40</v>
      </c>
      <c r="G4068" t="s">
        <v>37</v>
      </c>
      <c r="H4068" t="s">
        <v>43</v>
      </c>
      <c r="I4068" s="187"/>
      <c r="J4068" s="187">
        <v>135</v>
      </c>
      <c r="K4068" s="187">
        <v>5958.5007894228111</v>
      </c>
      <c r="L4068" s="187">
        <v>9853</v>
      </c>
      <c r="M4068" s="187">
        <v>15946.5009765625</v>
      </c>
      <c r="N4068" s="187">
        <v>9853</v>
      </c>
      <c r="O4068" t="s">
        <v>4526</v>
      </c>
    </row>
    <row r="4069" spans="1:15" hidden="1" x14ac:dyDescent="0.45">
      <c r="A4069" s="187">
        <v>2020</v>
      </c>
      <c r="B4069" t="s">
        <v>313</v>
      </c>
      <c r="C4069" t="s">
        <v>328</v>
      </c>
      <c r="D4069" t="s">
        <v>39</v>
      </c>
      <c r="E4069" t="s">
        <v>40</v>
      </c>
      <c r="F4069" t="s">
        <v>40</v>
      </c>
      <c r="G4069" t="s">
        <v>37</v>
      </c>
      <c r="H4069" t="s">
        <v>43</v>
      </c>
      <c r="I4069" s="187">
        <v>5046.8078512874126</v>
      </c>
      <c r="J4069" s="187">
        <v>127</v>
      </c>
      <c r="K4069" s="187">
        <v>5728.8237188949288</v>
      </c>
      <c r="L4069" s="187">
        <v>4795</v>
      </c>
      <c r="M4069" s="187">
        <v>15697.630859375</v>
      </c>
      <c r="N4069" s="187">
        <v>9841.8076171875</v>
      </c>
      <c r="O4069" t="s">
        <v>4532</v>
      </c>
    </row>
    <row r="4070" spans="1:15" hidden="1" x14ac:dyDescent="0.45">
      <c r="A4070" s="187">
        <v>2020</v>
      </c>
      <c r="B4070" t="s">
        <v>312</v>
      </c>
      <c r="C4070" t="s">
        <v>328</v>
      </c>
      <c r="D4070" t="s">
        <v>39</v>
      </c>
      <c r="E4070" t="s">
        <v>40</v>
      </c>
      <c r="F4070" t="s">
        <v>40</v>
      </c>
      <c r="G4070" t="s">
        <v>37</v>
      </c>
      <c r="H4070" t="s">
        <v>43</v>
      </c>
      <c r="I4070" s="187">
        <v>4380.2617616217894</v>
      </c>
      <c r="J4070" s="187">
        <v>157</v>
      </c>
      <c r="K4070" s="187">
        <v>5924.6437079890738</v>
      </c>
      <c r="L4070" s="187">
        <v>4757</v>
      </c>
      <c r="M4070" s="187">
        <v>15218.9052734375</v>
      </c>
      <c r="N4070" s="187">
        <v>9137.26171875</v>
      </c>
      <c r="O4070" t="s">
        <v>4531</v>
      </c>
    </row>
    <row r="4071" spans="1:15" hidden="1" x14ac:dyDescent="0.45">
      <c r="A4071" s="187">
        <v>2020</v>
      </c>
      <c r="B4071" t="s">
        <v>309</v>
      </c>
      <c r="C4071" t="s">
        <v>328</v>
      </c>
      <c r="D4071" t="s">
        <v>39</v>
      </c>
      <c r="E4071" t="s">
        <v>40</v>
      </c>
      <c r="F4071" t="s">
        <v>40</v>
      </c>
      <c r="G4071" t="s">
        <v>37</v>
      </c>
      <c r="H4071" t="s">
        <v>43</v>
      </c>
      <c r="I4071" s="187"/>
      <c r="J4071" s="187">
        <v>599.08920000000001</v>
      </c>
      <c r="K4071" s="187">
        <v>5932.8308787068909</v>
      </c>
      <c r="L4071" s="187">
        <v>10560</v>
      </c>
      <c r="M4071" s="187">
        <v>17091.919921875</v>
      </c>
      <c r="N4071" s="187">
        <v>10560</v>
      </c>
      <c r="O4071" t="s">
        <v>4527</v>
      </c>
    </row>
    <row r="4072" spans="1:15" hidden="1" x14ac:dyDescent="0.45">
      <c r="A4072" s="187">
        <v>2020</v>
      </c>
      <c r="B4072" t="s">
        <v>315</v>
      </c>
      <c r="C4072" t="s">
        <v>328</v>
      </c>
      <c r="D4072" t="s">
        <v>39</v>
      </c>
      <c r="E4072" t="s">
        <v>40</v>
      </c>
      <c r="F4072" t="s">
        <v>40</v>
      </c>
      <c r="G4072" t="s">
        <v>37</v>
      </c>
      <c r="H4072" t="s">
        <v>43</v>
      </c>
      <c r="I4072" s="187">
        <v>5046.4346999999998</v>
      </c>
      <c r="J4072" s="187">
        <v>160</v>
      </c>
      <c r="K4072" s="187">
        <v>5909.4469356835743</v>
      </c>
      <c r="L4072" s="187">
        <v>5353</v>
      </c>
      <c r="M4072" s="187">
        <v>16468.8828125</v>
      </c>
      <c r="N4072" s="187">
        <v>10399.4345703125</v>
      </c>
      <c r="O4072" t="s">
        <v>4529</v>
      </c>
    </row>
    <row r="4073" spans="1:15" hidden="1" x14ac:dyDescent="0.45">
      <c r="A4073" s="187">
        <v>2020</v>
      </c>
      <c r="B4073" t="s">
        <v>311</v>
      </c>
      <c r="C4073" t="s">
        <v>328</v>
      </c>
      <c r="D4073" t="s">
        <v>39</v>
      </c>
      <c r="E4073" t="s">
        <v>40</v>
      </c>
      <c r="F4073" t="s">
        <v>40</v>
      </c>
      <c r="G4073" t="s">
        <v>37</v>
      </c>
      <c r="H4073" t="s">
        <v>43</v>
      </c>
      <c r="I4073" s="187"/>
      <c r="J4073" s="187">
        <v>160</v>
      </c>
      <c r="K4073" s="187">
        <v>5794.5424082263498</v>
      </c>
      <c r="L4073" s="187">
        <v>9431</v>
      </c>
      <c r="M4073" s="187">
        <v>15385.54296875</v>
      </c>
      <c r="N4073" s="187">
        <v>9431</v>
      </c>
      <c r="O4073" t="s">
        <v>4528</v>
      </c>
    </row>
    <row r="4074" spans="1:15" hidden="1" x14ac:dyDescent="0.45">
      <c r="A4074" s="187">
        <v>2020</v>
      </c>
      <c r="B4074" t="s">
        <v>310</v>
      </c>
      <c r="C4074" t="s">
        <v>328</v>
      </c>
      <c r="D4074" t="s">
        <v>39</v>
      </c>
      <c r="E4074" t="s">
        <v>41</v>
      </c>
      <c r="F4074" t="s">
        <v>41</v>
      </c>
      <c r="G4074" t="s">
        <v>36</v>
      </c>
      <c r="H4074" t="s">
        <v>43</v>
      </c>
      <c r="I4074" s="187"/>
      <c r="J4074" s="187">
        <v>1810.6267885693817</v>
      </c>
      <c r="K4074" s="187">
        <v>11774.939415554512</v>
      </c>
      <c r="L4074" s="187">
        <v>14030.833722674362</v>
      </c>
      <c r="M4074" s="187">
        <v>27616.400390625</v>
      </c>
      <c r="N4074" s="187">
        <v>14030.833984375</v>
      </c>
      <c r="O4074" t="s">
        <v>4534</v>
      </c>
    </row>
    <row r="4075" spans="1:15" hidden="1" x14ac:dyDescent="0.45">
      <c r="A4075" s="187">
        <v>2020</v>
      </c>
      <c r="B4075" t="s">
        <v>314</v>
      </c>
      <c r="C4075" t="s">
        <v>328</v>
      </c>
      <c r="D4075" t="s">
        <v>39</v>
      </c>
      <c r="E4075" t="s">
        <v>41</v>
      </c>
      <c r="F4075" t="s">
        <v>41</v>
      </c>
      <c r="G4075" t="s">
        <v>36</v>
      </c>
      <c r="H4075" t="s">
        <v>43</v>
      </c>
      <c r="I4075" s="187">
        <v>3752.7604424484589</v>
      </c>
      <c r="J4075" s="187">
        <v>1675.5376310163138</v>
      </c>
      <c r="K4075" s="187">
        <v>11652.038283695216</v>
      </c>
      <c r="L4075" s="187">
        <v>7767.3929914663549</v>
      </c>
      <c r="M4075" s="187">
        <v>24847.728515625</v>
      </c>
      <c r="N4075" s="187">
        <v>11520.1533203125</v>
      </c>
      <c r="O4075" t="s">
        <v>4540</v>
      </c>
    </row>
    <row r="4076" spans="1:15" hidden="1" x14ac:dyDescent="0.45">
      <c r="A4076" s="187">
        <v>2020</v>
      </c>
      <c r="B4076" t="s">
        <v>313</v>
      </c>
      <c r="C4076" t="s">
        <v>328</v>
      </c>
      <c r="D4076" t="s">
        <v>39</v>
      </c>
      <c r="E4076" t="s">
        <v>41</v>
      </c>
      <c r="F4076" t="s">
        <v>41</v>
      </c>
      <c r="G4076" t="s">
        <v>36</v>
      </c>
      <c r="H4076" t="s">
        <v>43</v>
      </c>
      <c r="I4076" s="187">
        <v>3717.2418910284773</v>
      </c>
      <c r="J4076" s="187">
        <v>1688.7861158452058</v>
      </c>
      <c r="K4076" s="187">
        <v>12472.13138670749</v>
      </c>
      <c r="L4076" s="187">
        <v>8283.0394695407758</v>
      </c>
      <c r="M4076" s="187">
        <v>26161.19921875</v>
      </c>
      <c r="N4076" s="187">
        <v>12000.28125</v>
      </c>
      <c r="O4076" t="s">
        <v>4537</v>
      </c>
    </row>
    <row r="4077" spans="1:15" hidden="1" x14ac:dyDescent="0.45">
      <c r="A4077" s="187">
        <v>2020</v>
      </c>
      <c r="B4077" t="s">
        <v>316</v>
      </c>
      <c r="C4077" t="s">
        <v>328</v>
      </c>
      <c r="D4077" t="s">
        <v>39</v>
      </c>
      <c r="E4077" t="s">
        <v>41</v>
      </c>
      <c r="F4077" t="s">
        <v>41</v>
      </c>
      <c r="G4077" t="s">
        <v>36</v>
      </c>
      <c r="H4077" t="s">
        <v>43</v>
      </c>
      <c r="I4077" s="187">
        <v>4091.6229536116452</v>
      </c>
      <c r="J4077" s="187">
        <v>1891.0146171062031</v>
      </c>
      <c r="K4077" s="187">
        <v>11674.146401292292</v>
      </c>
      <c r="L4077" s="187">
        <v>8323.4256356967671</v>
      </c>
      <c r="M4077" s="187">
        <v>25980.208984375</v>
      </c>
      <c r="N4077" s="187">
        <v>12415.048828125</v>
      </c>
      <c r="O4077" t="s">
        <v>4535</v>
      </c>
    </row>
    <row r="4078" spans="1:15" hidden="1" x14ac:dyDescent="0.45">
      <c r="A4078" s="187">
        <v>2020</v>
      </c>
      <c r="B4078" t="s">
        <v>309</v>
      </c>
      <c r="C4078" t="s">
        <v>328</v>
      </c>
      <c r="D4078" t="s">
        <v>39</v>
      </c>
      <c r="E4078" t="s">
        <v>41</v>
      </c>
      <c r="F4078" t="s">
        <v>41</v>
      </c>
      <c r="G4078" t="s">
        <v>36</v>
      </c>
      <c r="H4078" t="s">
        <v>43</v>
      </c>
      <c r="I4078" s="187"/>
      <c r="J4078" s="187">
        <v>1057.6991765047746</v>
      </c>
      <c r="K4078" s="187">
        <v>12828.312736872058</v>
      </c>
      <c r="L4078" s="187">
        <v>15305.669389736884</v>
      </c>
      <c r="M4078" s="187">
        <v>29191.681640625</v>
      </c>
      <c r="N4078" s="187">
        <v>15305.6689453125</v>
      </c>
      <c r="O4078" t="s">
        <v>4536</v>
      </c>
    </row>
    <row r="4079" spans="1:15" hidden="1" x14ac:dyDescent="0.45">
      <c r="A4079" s="187">
        <v>2020</v>
      </c>
      <c r="B4079" t="s">
        <v>311</v>
      </c>
      <c r="C4079" t="s">
        <v>328</v>
      </c>
      <c r="D4079" t="s">
        <v>39</v>
      </c>
      <c r="E4079" t="s">
        <v>41</v>
      </c>
      <c r="F4079" t="s">
        <v>41</v>
      </c>
      <c r="G4079" t="s">
        <v>36</v>
      </c>
      <c r="H4079" t="s">
        <v>43</v>
      </c>
      <c r="I4079" s="187"/>
      <c r="J4079" s="187">
        <v>1683.5170930294573</v>
      </c>
      <c r="K4079" s="187">
        <v>12096.610276515959</v>
      </c>
      <c r="L4079" s="187">
        <v>12276.276546194735</v>
      </c>
      <c r="M4079" s="187">
        <v>26056.404296875</v>
      </c>
      <c r="N4079" s="187">
        <v>12276.2763671875</v>
      </c>
      <c r="O4079" t="s">
        <v>4533</v>
      </c>
    </row>
    <row r="4080" spans="1:15" hidden="1" x14ac:dyDescent="0.45">
      <c r="A4080" s="187">
        <v>2020</v>
      </c>
      <c r="B4080" t="s">
        <v>315</v>
      </c>
      <c r="C4080" t="s">
        <v>328</v>
      </c>
      <c r="D4080" t="s">
        <v>39</v>
      </c>
      <c r="E4080" t="s">
        <v>41</v>
      </c>
      <c r="F4080" t="s">
        <v>41</v>
      </c>
      <c r="G4080" t="s">
        <v>36</v>
      </c>
      <c r="H4080" t="s">
        <v>43</v>
      </c>
      <c r="I4080" s="187">
        <v>3653.0689451880744</v>
      </c>
      <c r="J4080" s="187">
        <v>1809.25206481077</v>
      </c>
      <c r="K4080" s="187">
        <v>12196.924888650841</v>
      </c>
      <c r="L4080" s="187">
        <v>7736.037783984917</v>
      </c>
      <c r="M4080" s="187">
        <v>25395.283203125</v>
      </c>
      <c r="N4080" s="187">
        <v>11389.1064453125</v>
      </c>
      <c r="O4080" t="s">
        <v>4538</v>
      </c>
    </row>
    <row r="4081" spans="1:15" hidden="1" x14ac:dyDescent="0.45">
      <c r="A4081" s="187">
        <v>2020</v>
      </c>
      <c r="B4081" t="s">
        <v>312</v>
      </c>
      <c r="C4081" t="s">
        <v>328</v>
      </c>
      <c r="D4081" t="s">
        <v>39</v>
      </c>
      <c r="E4081" t="s">
        <v>41</v>
      </c>
      <c r="F4081" t="s">
        <v>41</v>
      </c>
      <c r="G4081" t="s">
        <v>36</v>
      </c>
      <c r="H4081" t="s">
        <v>43</v>
      </c>
      <c r="I4081" s="187">
        <v>3454.5372982724912</v>
      </c>
      <c r="J4081" s="187">
        <v>1675.8538058447662</v>
      </c>
      <c r="K4081" s="187">
        <v>12537.592563348604</v>
      </c>
      <c r="L4081" s="187">
        <v>8532.3574045674359</v>
      </c>
      <c r="M4081" s="187">
        <v>26200.341796875</v>
      </c>
      <c r="N4081" s="187">
        <v>11986.89453125</v>
      </c>
      <c r="O4081" t="s">
        <v>4539</v>
      </c>
    </row>
    <row r="4082" spans="1:15" hidden="1" x14ac:dyDescent="0.45">
      <c r="A4082" s="187">
        <v>2020</v>
      </c>
      <c r="B4082" t="s">
        <v>310</v>
      </c>
      <c r="C4082" t="s">
        <v>328</v>
      </c>
      <c r="D4082" t="s">
        <v>39</v>
      </c>
      <c r="E4082" t="s">
        <v>41</v>
      </c>
      <c r="F4082" t="s">
        <v>41</v>
      </c>
      <c r="G4082" t="s">
        <v>37</v>
      </c>
      <c r="H4082" t="s">
        <v>43</v>
      </c>
      <c r="I4082" s="187"/>
      <c r="J4082" s="187">
        <v>1750</v>
      </c>
      <c r="K4082" s="187">
        <v>11389.38152491626</v>
      </c>
      <c r="L4082" s="187">
        <v>14063</v>
      </c>
      <c r="M4082" s="187">
        <v>27202.3828125</v>
      </c>
      <c r="N4082" s="187">
        <v>14063</v>
      </c>
      <c r="O4082" t="s">
        <v>4543</v>
      </c>
    </row>
    <row r="4083" spans="1:15" hidden="1" x14ac:dyDescent="0.45">
      <c r="A4083" s="187">
        <v>2020</v>
      </c>
      <c r="B4083" t="s">
        <v>309</v>
      </c>
      <c r="C4083" t="s">
        <v>328</v>
      </c>
      <c r="D4083" t="s">
        <v>39</v>
      </c>
      <c r="E4083" t="s">
        <v>41</v>
      </c>
      <c r="F4083" t="s">
        <v>41</v>
      </c>
      <c r="G4083" t="s">
        <v>37</v>
      </c>
      <c r="H4083" t="s">
        <v>43</v>
      </c>
      <c r="I4083" s="187"/>
      <c r="J4083" s="187">
        <v>1015.2504</v>
      </c>
      <c r="K4083" s="187">
        <v>12588.47847841877</v>
      </c>
      <c r="L4083" s="187">
        <v>15663</v>
      </c>
      <c r="M4083" s="187">
        <v>29266.728515625</v>
      </c>
      <c r="N4083" s="187">
        <v>15663</v>
      </c>
      <c r="O4083" t="s">
        <v>4541</v>
      </c>
    </row>
    <row r="4084" spans="1:15" hidden="1" x14ac:dyDescent="0.45">
      <c r="A4084" s="187">
        <v>2020</v>
      </c>
      <c r="B4084" t="s">
        <v>311</v>
      </c>
      <c r="C4084" t="s">
        <v>328</v>
      </c>
      <c r="D4084" t="s">
        <v>39</v>
      </c>
      <c r="E4084" t="s">
        <v>41</v>
      </c>
      <c r="F4084" t="s">
        <v>41</v>
      </c>
      <c r="G4084" t="s">
        <v>37</v>
      </c>
      <c r="H4084" t="s">
        <v>43</v>
      </c>
      <c r="I4084" s="187"/>
      <c r="J4084" s="187">
        <v>1598</v>
      </c>
      <c r="K4084" s="187">
        <v>11379.761987719499</v>
      </c>
      <c r="L4084" s="187">
        <v>12057</v>
      </c>
      <c r="M4084" s="187">
        <v>25034.76171875</v>
      </c>
      <c r="N4084" s="187">
        <v>12057</v>
      </c>
      <c r="O4084" t="s">
        <v>4542</v>
      </c>
    </row>
    <row r="4085" spans="1:15" hidden="1" x14ac:dyDescent="0.45">
      <c r="A4085" s="187">
        <v>2020</v>
      </c>
      <c r="B4085" t="s">
        <v>314</v>
      </c>
      <c r="C4085" t="s">
        <v>328</v>
      </c>
      <c r="D4085" t="s">
        <v>39</v>
      </c>
      <c r="E4085" t="s">
        <v>41</v>
      </c>
      <c r="F4085" t="s">
        <v>41</v>
      </c>
      <c r="G4085" t="s">
        <v>37</v>
      </c>
      <c r="H4085" t="s">
        <v>43</v>
      </c>
      <c r="I4085" s="187">
        <v>3520.0127574600001</v>
      </c>
      <c r="J4085" s="187">
        <v>1571</v>
      </c>
      <c r="K4085" s="187">
        <v>10943.09382501939</v>
      </c>
      <c r="L4085" s="187">
        <v>7483</v>
      </c>
      <c r="M4085" s="187">
        <v>23517.10546875</v>
      </c>
      <c r="N4085" s="187">
        <v>11003.0126953125</v>
      </c>
      <c r="O4085" t="s">
        <v>4545</v>
      </c>
    </row>
    <row r="4086" spans="1:15" hidden="1" x14ac:dyDescent="0.45">
      <c r="A4086" s="187">
        <v>2020</v>
      </c>
      <c r="B4086" t="s">
        <v>315</v>
      </c>
      <c r="C4086" t="s">
        <v>328</v>
      </c>
      <c r="D4086" t="s">
        <v>39</v>
      </c>
      <c r="E4086" t="s">
        <v>41</v>
      </c>
      <c r="F4086" t="s">
        <v>41</v>
      </c>
      <c r="G4086" t="s">
        <v>37</v>
      </c>
      <c r="H4086" t="s">
        <v>43</v>
      </c>
      <c r="I4086" s="187">
        <v>3449.9782</v>
      </c>
      <c r="J4086" s="187">
        <v>1675</v>
      </c>
      <c r="K4086" s="187">
        <v>11500.8449865845</v>
      </c>
      <c r="L4086" s="187">
        <v>7332</v>
      </c>
      <c r="M4086" s="187">
        <v>23957.82421875</v>
      </c>
      <c r="N4086" s="187">
        <v>10781.978515625</v>
      </c>
      <c r="O4086" t="s">
        <v>4547</v>
      </c>
    </row>
    <row r="4087" spans="1:15" hidden="1" x14ac:dyDescent="0.45">
      <c r="A4087" s="187">
        <v>2020</v>
      </c>
      <c r="B4087" t="s">
        <v>312</v>
      </c>
      <c r="C4087" t="s">
        <v>328</v>
      </c>
      <c r="D4087" t="s">
        <v>39</v>
      </c>
      <c r="E4087" t="s">
        <v>41</v>
      </c>
      <c r="F4087" t="s">
        <v>41</v>
      </c>
      <c r="G4087" t="s">
        <v>37</v>
      </c>
      <c r="H4087" t="s">
        <v>43</v>
      </c>
      <c r="I4087" s="187">
        <v>3169.932630791795</v>
      </c>
      <c r="J4087" s="187">
        <v>1564</v>
      </c>
      <c r="K4087" s="187">
        <v>11665.54800202892</v>
      </c>
      <c r="L4087" s="187">
        <v>7920</v>
      </c>
      <c r="M4087" s="187">
        <v>24319.48046875</v>
      </c>
      <c r="N4087" s="187">
        <v>11089.9326171875</v>
      </c>
      <c r="O4087" t="s">
        <v>4548</v>
      </c>
    </row>
    <row r="4088" spans="1:15" hidden="1" x14ac:dyDescent="0.45">
      <c r="A4088" s="187">
        <v>2020</v>
      </c>
      <c r="B4088" t="s">
        <v>316</v>
      </c>
      <c r="C4088" t="s">
        <v>328</v>
      </c>
      <c r="D4088" t="s">
        <v>39</v>
      </c>
      <c r="E4088" t="s">
        <v>41</v>
      </c>
      <c r="F4088" t="s">
        <v>41</v>
      </c>
      <c r="G4088" t="s">
        <v>37</v>
      </c>
      <c r="H4088" t="s">
        <v>43</v>
      </c>
      <c r="I4088" s="187">
        <v>3868.72834026684</v>
      </c>
      <c r="J4088" s="187">
        <v>1788</v>
      </c>
      <c r="K4088" s="187">
        <v>11038.187424195001</v>
      </c>
      <c r="L4088" s="187">
        <v>7870</v>
      </c>
      <c r="M4088" s="187">
        <v>24564.916015625</v>
      </c>
      <c r="N4088" s="187">
        <v>11738.728515625</v>
      </c>
      <c r="O4088" t="s">
        <v>4544</v>
      </c>
    </row>
    <row r="4089" spans="1:15" hidden="1" x14ac:dyDescent="0.45">
      <c r="A4089" s="187">
        <v>2020</v>
      </c>
      <c r="B4089" t="s">
        <v>313</v>
      </c>
      <c r="C4089" t="s">
        <v>328</v>
      </c>
      <c r="D4089" t="s">
        <v>39</v>
      </c>
      <c r="E4089" t="s">
        <v>41</v>
      </c>
      <c r="F4089" t="s">
        <v>41</v>
      </c>
      <c r="G4089" t="s">
        <v>37</v>
      </c>
      <c r="H4089" t="s">
        <v>43</v>
      </c>
      <c r="I4089" s="187">
        <v>3449.6120468532063</v>
      </c>
      <c r="J4089" s="187">
        <v>1571</v>
      </c>
      <c r="K4089" s="187">
        <v>11547.32549381571</v>
      </c>
      <c r="L4089" s="187">
        <v>7709</v>
      </c>
      <c r="M4089" s="187">
        <v>24276.9375</v>
      </c>
      <c r="N4089" s="187">
        <v>11158.6123046875</v>
      </c>
      <c r="O4089" t="s">
        <v>4546</v>
      </c>
    </row>
    <row r="4090" spans="1:15" hidden="1" x14ac:dyDescent="0.45">
      <c r="A4090" s="187">
        <v>2020</v>
      </c>
      <c r="B4090" t="s">
        <v>309</v>
      </c>
      <c r="C4090" t="s">
        <v>328</v>
      </c>
      <c r="D4090" t="s">
        <v>39</v>
      </c>
      <c r="E4090" t="s">
        <v>361</v>
      </c>
      <c r="F4090" t="s">
        <v>361</v>
      </c>
      <c r="G4090" t="s">
        <v>36</v>
      </c>
      <c r="H4090" t="s">
        <v>43</v>
      </c>
      <c r="I4090" s="187"/>
      <c r="J4090" s="187">
        <v>0</v>
      </c>
      <c r="K4090" s="187"/>
      <c r="L4090" s="187">
        <v>0</v>
      </c>
      <c r="M4090" s="187">
        <v>0</v>
      </c>
      <c r="N4090" s="187">
        <v>0</v>
      </c>
      <c r="O4090" t="s">
        <v>4555</v>
      </c>
    </row>
    <row r="4091" spans="1:15" hidden="1" x14ac:dyDescent="0.45">
      <c r="A4091" s="187">
        <v>2020</v>
      </c>
      <c r="B4091" t="s">
        <v>316</v>
      </c>
      <c r="C4091" t="s">
        <v>328</v>
      </c>
      <c r="D4091" t="s">
        <v>39</v>
      </c>
      <c r="E4091" t="s">
        <v>361</v>
      </c>
      <c r="F4091" t="s">
        <v>361</v>
      </c>
      <c r="G4091" t="s">
        <v>36</v>
      </c>
      <c r="H4091" t="s">
        <v>43</v>
      </c>
      <c r="I4091" s="187"/>
      <c r="J4091" s="187"/>
      <c r="K4091" s="187"/>
      <c r="L4091" s="187">
        <v>0</v>
      </c>
      <c r="M4091" s="187">
        <v>0</v>
      </c>
      <c r="N4091" s="187">
        <v>0</v>
      </c>
      <c r="O4091" t="s">
        <v>4550</v>
      </c>
    </row>
    <row r="4092" spans="1:15" hidden="1" x14ac:dyDescent="0.45">
      <c r="A4092" s="187">
        <v>2020</v>
      </c>
      <c r="B4092" t="s">
        <v>310</v>
      </c>
      <c r="C4092" t="s">
        <v>328</v>
      </c>
      <c r="D4092" t="s">
        <v>39</v>
      </c>
      <c r="E4092" t="s">
        <v>361</v>
      </c>
      <c r="F4092" t="s">
        <v>361</v>
      </c>
      <c r="G4092" t="s">
        <v>36</v>
      </c>
      <c r="H4092" t="s">
        <v>43</v>
      </c>
      <c r="I4092" s="187"/>
      <c r="J4092" s="187"/>
      <c r="K4092" s="187"/>
      <c r="L4092" s="187"/>
      <c r="M4092" s="187">
        <v>0</v>
      </c>
      <c r="N4092" s="187">
        <v>0</v>
      </c>
      <c r="O4092" t="s">
        <v>4549</v>
      </c>
    </row>
    <row r="4093" spans="1:15" hidden="1" x14ac:dyDescent="0.45">
      <c r="A4093" s="187">
        <v>2020</v>
      </c>
      <c r="B4093" t="s">
        <v>314</v>
      </c>
      <c r="C4093" t="s">
        <v>328</v>
      </c>
      <c r="D4093" t="s">
        <v>39</v>
      </c>
      <c r="E4093" t="s">
        <v>361</v>
      </c>
      <c r="F4093" t="s">
        <v>361</v>
      </c>
      <c r="G4093" t="s">
        <v>36</v>
      </c>
      <c r="H4093" t="s">
        <v>43</v>
      </c>
      <c r="I4093" s="187">
        <v>0</v>
      </c>
      <c r="J4093" s="187"/>
      <c r="K4093" s="187">
        <v>0</v>
      </c>
      <c r="L4093" s="187"/>
      <c r="M4093" s="187">
        <v>0</v>
      </c>
      <c r="N4093" s="187">
        <v>0</v>
      </c>
      <c r="O4093" t="s">
        <v>4552</v>
      </c>
    </row>
    <row r="4094" spans="1:15" hidden="1" x14ac:dyDescent="0.45">
      <c r="A4094" s="187">
        <v>2020</v>
      </c>
      <c r="B4094" t="s">
        <v>312</v>
      </c>
      <c r="C4094" t="s">
        <v>328</v>
      </c>
      <c r="D4094" t="s">
        <v>39</v>
      </c>
      <c r="E4094" t="s">
        <v>361</v>
      </c>
      <c r="F4094" t="s">
        <v>361</v>
      </c>
      <c r="G4094" t="s">
        <v>36</v>
      </c>
      <c r="H4094" t="s">
        <v>43</v>
      </c>
      <c r="I4094" s="187"/>
      <c r="J4094" s="187">
        <v>0</v>
      </c>
      <c r="K4094" s="187"/>
      <c r="L4094" s="187"/>
      <c r="M4094" s="187">
        <v>0</v>
      </c>
      <c r="N4094" s="187">
        <v>0</v>
      </c>
      <c r="O4094" t="s">
        <v>4553</v>
      </c>
    </row>
    <row r="4095" spans="1:15" hidden="1" x14ac:dyDescent="0.45">
      <c r="A4095" s="187">
        <v>2020</v>
      </c>
      <c r="B4095" t="s">
        <v>315</v>
      </c>
      <c r="C4095" t="s">
        <v>328</v>
      </c>
      <c r="D4095" t="s">
        <v>39</v>
      </c>
      <c r="E4095" t="s">
        <v>361</v>
      </c>
      <c r="F4095" t="s">
        <v>361</v>
      </c>
      <c r="G4095" t="s">
        <v>36</v>
      </c>
      <c r="H4095" t="s">
        <v>43</v>
      </c>
      <c r="I4095" s="187">
        <v>0</v>
      </c>
      <c r="J4095" s="187"/>
      <c r="K4095" s="187"/>
      <c r="L4095" s="187"/>
      <c r="M4095" s="187">
        <v>0</v>
      </c>
      <c r="N4095" s="187">
        <v>0</v>
      </c>
      <c r="O4095" t="s">
        <v>4551</v>
      </c>
    </row>
    <row r="4096" spans="1:15" hidden="1" x14ac:dyDescent="0.45">
      <c r="A4096" s="187">
        <v>2020</v>
      </c>
      <c r="B4096" t="s">
        <v>313</v>
      </c>
      <c r="C4096" t="s">
        <v>328</v>
      </c>
      <c r="D4096" t="s">
        <v>39</v>
      </c>
      <c r="E4096" t="s">
        <v>361</v>
      </c>
      <c r="F4096" t="s">
        <v>361</v>
      </c>
      <c r="G4096" t="s">
        <v>36</v>
      </c>
      <c r="H4096" t="s">
        <v>43</v>
      </c>
      <c r="I4096" s="187"/>
      <c r="J4096" s="187"/>
      <c r="K4096" s="187"/>
      <c r="L4096" s="187"/>
      <c r="M4096" s="187">
        <v>0</v>
      </c>
      <c r="N4096" s="187">
        <v>0</v>
      </c>
      <c r="O4096" t="s">
        <v>4556</v>
      </c>
    </row>
    <row r="4097" spans="1:15" hidden="1" x14ac:dyDescent="0.45">
      <c r="A4097" s="187">
        <v>2020</v>
      </c>
      <c r="B4097" t="s">
        <v>311</v>
      </c>
      <c r="C4097" t="s">
        <v>328</v>
      </c>
      <c r="D4097" t="s">
        <v>39</v>
      </c>
      <c r="E4097" t="s">
        <v>361</v>
      </c>
      <c r="F4097" t="s">
        <v>361</v>
      </c>
      <c r="G4097" t="s">
        <v>36</v>
      </c>
      <c r="H4097" t="s">
        <v>43</v>
      </c>
      <c r="I4097" s="187"/>
      <c r="J4097" s="187">
        <v>0</v>
      </c>
      <c r="K4097" s="187"/>
      <c r="L4097" s="187"/>
      <c r="M4097" s="187">
        <v>0</v>
      </c>
      <c r="N4097" s="187">
        <v>0</v>
      </c>
      <c r="O4097" t="s">
        <v>4554</v>
      </c>
    </row>
    <row r="4098" spans="1:15" hidden="1" x14ac:dyDescent="0.45">
      <c r="A4098" s="187">
        <v>2020</v>
      </c>
      <c r="B4098" t="s">
        <v>312</v>
      </c>
      <c r="C4098" t="s">
        <v>328</v>
      </c>
      <c r="D4098" t="s">
        <v>39</v>
      </c>
      <c r="E4098" t="s">
        <v>362</v>
      </c>
      <c r="F4098" t="s">
        <v>362</v>
      </c>
      <c r="G4098" t="s">
        <v>36</v>
      </c>
      <c r="H4098" t="s">
        <v>43</v>
      </c>
      <c r="I4098" s="187">
        <v>2140.2816419564324</v>
      </c>
      <c r="J4098" s="187">
        <v>98.57963563792741</v>
      </c>
      <c r="K4098" s="187">
        <v>2397.2998530103509</v>
      </c>
      <c r="L4098" s="187">
        <v>2854.1703918228163</v>
      </c>
      <c r="M4098" s="187">
        <v>7490.33154296875</v>
      </c>
      <c r="N4098" s="187">
        <v>4994.4521484375</v>
      </c>
      <c r="O4098" t="s">
        <v>4557</v>
      </c>
    </row>
    <row r="4099" spans="1:15" hidden="1" x14ac:dyDescent="0.45">
      <c r="A4099" s="187">
        <v>2020</v>
      </c>
      <c r="B4099" t="s">
        <v>313</v>
      </c>
      <c r="C4099" t="s">
        <v>328</v>
      </c>
      <c r="D4099" t="s">
        <v>39</v>
      </c>
      <c r="E4099" t="s">
        <v>362</v>
      </c>
      <c r="F4099" t="s">
        <v>362</v>
      </c>
      <c r="G4099" t="s">
        <v>36</v>
      </c>
      <c r="H4099" t="s">
        <v>43</v>
      </c>
      <c r="I4099" s="187">
        <v>2105.2772863070304</v>
      </c>
      <c r="J4099" s="187">
        <v>79.875018992678648</v>
      </c>
      <c r="K4099" s="187">
        <v>2766.0212332645351</v>
      </c>
      <c r="L4099" s="187">
        <v>2801.33102324323</v>
      </c>
      <c r="M4099" s="187">
        <v>7752.50439453125</v>
      </c>
      <c r="N4099" s="187">
        <v>4906.6083984375</v>
      </c>
      <c r="O4099" t="s">
        <v>4560</v>
      </c>
    </row>
    <row r="4100" spans="1:15" hidden="1" x14ac:dyDescent="0.45">
      <c r="A4100" s="187">
        <v>2020</v>
      </c>
      <c r="B4100" t="s">
        <v>314</v>
      </c>
      <c r="C4100" t="s">
        <v>328</v>
      </c>
      <c r="D4100" t="s">
        <v>39</v>
      </c>
      <c r="E4100" t="s">
        <v>362</v>
      </c>
      <c r="F4100" t="s">
        <v>362</v>
      </c>
      <c r="G4100" t="s">
        <v>36</v>
      </c>
      <c r="H4100" t="s">
        <v>43</v>
      </c>
      <c r="I4100" s="187">
        <v>2124.9367969511527</v>
      </c>
      <c r="J4100" s="187">
        <v>83.222067765710946</v>
      </c>
      <c r="K4100" s="187">
        <v>2960.4188552965047</v>
      </c>
      <c r="L4100" s="187">
        <v>2849.5236002979427</v>
      </c>
      <c r="M4100" s="187">
        <v>8018.10107421875</v>
      </c>
      <c r="N4100" s="187">
        <v>4974.46044921875</v>
      </c>
      <c r="O4100" t="s">
        <v>4559</v>
      </c>
    </row>
    <row r="4101" spans="1:15" hidden="1" x14ac:dyDescent="0.45">
      <c r="A4101" s="187">
        <v>2020</v>
      </c>
      <c r="B4101" t="s">
        <v>316</v>
      </c>
      <c r="C4101" t="s">
        <v>328</v>
      </c>
      <c r="D4101" t="s">
        <v>39</v>
      </c>
      <c r="E4101" t="s">
        <v>362</v>
      </c>
      <c r="F4101" t="s">
        <v>362</v>
      </c>
      <c r="G4101" t="s">
        <v>36</v>
      </c>
      <c r="H4101" t="s">
        <v>43</v>
      </c>
      <c r="I4101" s="187">
        <v>540.2956410025655</v>
      </c>
      <c r="J4101" s="187">
        <v>94.127685079671181</v>
      </c>
      <c r="K4101" s="187">
        <v>3205.4077466657363</v>
      </c>
      <c r="L4101" s="187">
        <v>3079.7732466517136</v>
      </c>
      <c r="M4101" s="187">
        <v>6919.6044921875</v>
      </c>
      <c r="N4101" s="187">
        <v>3620.06884765625</v>
      </c>
      <c r="O4101" t="s">
        <v>4564</v>
      </c>
    </row>
    <row r="4102" spans="1:15" hidden="1" x14ac:dyDescent="0.45">
      <c r="A4102" s="187">
        <v>2020</v>
      </c>
      <c r="B4102" t="s">
        <v>311</v>
      </c>
      <c r="C4102" t="s">
        <v>328</v>
      </c>
      <c r="D4102" t="s">
        <v>39</v>
      </c>
      <c r="E4102" t="s">
        <v>362</v>
      </c>
      <c r="F4102" t="s">
        <v>362</v>
      </c>
      <c r="G4102" t="s">
        <v>36</v>
      </c>
      <c r="H4102" t="s">
        <v>43</v>
      </c>
      <c r="I4102" s="187"/>
      <c r="J4102" s="187">
        <v>99.030417237026896</v>
      </c>
      <c r="K4102" s="187">
        <v>2920.3055249352292</v>
      </c>
      <c r="L4102" s="187">
        <v>5045.8910241595704</v>
      </c>
      <c r="M4102" s="187">
        <v>8065.22705078125</v>
      </c>
      <c r="N4102" s="187">
        <v>5045.89111328125</v>
      </c>
      <c r="O4102" t="s">
        <v>4563</v>
      </c>
    </row>
    <row r="4103" spans="1:15" hidden="1" x14ac:dyDescent="0.45">
      <c r="A4103" s="187">
        <v>2020</v>
      </c>
      <c r="B4103" t="s">
        <v>310</v>
      </c>
      <c r="C4103" t="s">
        <v>328</v>
      </c>
      <c r="D4103" t="s">
        <v>39</v>
      </c>
      <c r="E4103" t="s">
        <v>362</v>
      </c>
      <c r="F4103" t="s">
        <v>362</v>
      </c>
      <c r="G4103" t="s">
        <v>36</v>
      </c>
      <c r="H4103" t="s">
        <v>43</v>
      </c>
      <c r="I4103" s="187"/>
      <c r="J4103" s="187">
        <v>93.515512606344174</v>
      </c>
      <c r="K4103" s="187">
        <v>2178.8001356580253</v>
      </c>
      <c r="L4103" s="187">
        <v>5380.6488065875274</v>
      </c>
      <c r="M4103" s="187">
        <v>7652.96435546875</v>
      </c>
      <c r="N4103" s="187">
        <v>5380.64892578125</v>
      </c>
      <c r="O4103" t="s">
        <v>4561</v>
      </c>
    </row>
    <row r="4104" spans="1:15" hidden="1" x14ac:dyDescent="0.45">
      <c r="A4104" s="187">
        <v>2020</v>
      </c>
      <c r="B4104" t="s">
        <v>315</v>
      </c>
      <c r="C4104" t="s">
        <v>328</v>
      </c>
      <c r="D4104" t="s">
        <v>39</v>
      </c>
      <c r="E4104" t="s">
        <v>362</v>
      </c>
      <c r="F4104" t="s">
        <v>362</v>
      </c>
      <c r="G4104" t="s">
        <v>36</v>
      </c>
      <c r="H4104" t="s">
        <v>43</v>
      </c>
      <c r="I4104" s="187">
        <v>2068.488181559776</v>
      </c>
      <c r="J4104" s="187">
        <v>113.41580107769006</v>
      </c>
      <c r="K4104" s="187">
        <v>3295.9054861118511</v>
      </c>
      <c r="L4104" s="187">
        <v>3289.0582312530119</v>
      </c>
      <c r="M4104" s="187">
        <v>8766.8681640625</v>
      </c>
      <c r="N4104" s="187">
        <v>5357.54638671875</v>
      </c>
      <c r="O4104" t="s">
        <v>4562</v>
      </c>
    </row>
    <row r="4105" spans="1:15" hidden="1" x14ac:dyDescent="0.45">
      <c r="A4105" s="187">
        <v>2020</v>
      </c>
      <c r="B4105" t="s">
        <v>309</v>
      </c>
      <c r="C4105" t="s">
        <v>328</v>
      </c>
      <c r="D4105" t="s">
        <v>39</v>
      </c>
      <c r="E4105" t="s">
        <v>362</v>
      </c>
      <c r="F4105" t="s">
        <v>362</v>
      </c>
      <c r="G4105" t="s">
        <v>36</v>
      </c>
      <c r="H4105" t="s">
        <v>43</v>
      </c>
      <c r="I4105" s="187"/>
      <c r="J4105" s="187">
        <v>612.22677558947532</v>
      </c>
      <c r="K4105" s="187">
        <v>2234.5890236857604</v>
      </c>
      <c r="L4105" s="187">
        <v>5538.6274445351373</v>
      </c>
      <c r="M4105" s="187">
        <v>8385.443359375</v>
      </c>
      <c r="N4105" s="187">
        <v>5538.62744140625</v>
      </c>
      <c r="O4105" t="s">
        <v>4558</v>
      </c>
    </row>
    <row r="4106" spans="1:15" hidden="1" x14ac:dyDescent="0.45">
      <c r="A4106" s="187">
        <v>2020</v>
      </c>
      <c r="B4106" t="s">
        <v>315</v>
      </c>
      <c r="C4106" t="s">
        <v>328</v>
      </c>
      <c r="D4106" t="s">
        <v>39</v>
      </c>
      <c r="E4106" t="s">
        <v>362</v>
      </c>
      <c r="F4106" t="s">
        <v>362</v>
      </c>
      <c r="G4106" t="s">
        <v>37</v>
      </c>
      <c r="H4106" t="s">
        <v>43</v>
      </c>
      <c r="I4106" s="187">
        <v>1953.4915000000001</v>
      </c>
      <c r="J4106" s="187">
        <v>105</v>
      </c>
      <c r="K4106" s="187">
        <v>3107.8077820645472</v>
      </c>
      <c r="L4106" s="187">
        <v>3117</v>
      </c>
      <c r="M4106" s="187">
        <v>8283.298828125</v>
      </c>
      <c r="N4106" s="187">
        <v>5070.4912109375</v>
      </c>
      <c r="O4106" t="s">
        <v>4569</v>
      </c>
    </row>
    <row r="4107" spans="1:15" hidden="1" x14ac:dyDescent="0.45">
      <c r="A4107" s="187">
        <v>2020</v>
      </c>
      <c r="B4107" t="s">
        <v>312</v>
      </c>
      <c r="C4107" t="s">
        <v>328</v>
      </c>
      <c r="D4107" t="s">
        <v>39</v>
      </c>
      <c r="E4107" t="s">
        <v>362</v>
      </c>
      <c r="F4107" t="s">
        <v>362</v>
      </c>
      <c r="G4107" t="s">
        <v>37</v>
      </c>
      <c r="H4107" t="s">
        <v>43</v>
      </c>
      <c r="I4107" s="187">
        <v>1963.952920501129</v>
      </c>
      <c r="J4107" s="187">
        <v>92</v>
      </c>
      <c r="K4107" s="187">
        <v>2230.5571320208769</v>
      </c>
      <c r="L4107" s="187">
        <v>2650</v>
      </c>
      <c r="M4107" s="187">
        <v>6936.51025390625</v>
      </c>
      <c r="N4107" s="187">
        <v>4613.953125</v>
      </c>
      <c r="O4107" t="s">
        <v>4572</v>
      </c>
    </row>
    <row r="4108" spans="1:15" hidden="1" x14ac:dyDescent="0.45">
      <c r="A4108" s="187">
        <v>2020</v>
      </c>
      <c r="B4108" t="s">
        <v>313</v>
      </c>
      <c r="C4108" t="s">
        <v>328</v>
      </c>
      <c r="D4108" t="s">
        <v>39</v>
      </c>
      <c r="E4108" t="s">
        <v>362</v>
      </c>
      <c r="F4108" t="s">
        <v>362</v>
      </c>
      <c r="G4108" t="s">
        <v>37</v>
      </c>
      <c r="H4108" t="s">
        <v>43</v>
      </c>
      <c r="I4108" s="187">
        <v>1953.70387553709</v>
      </c>
      <c r="J4108" s="187">
        <v>74</v>
      </c>
      <c r="K4108" s="187">
        <v>2560.921346398919</v>
      </c>
      <c r="L4108" s="187">
        <v>2607</v>
      </c>
      <c r="M4108" s="187">
        <v>7195.625</v>
      </c>
      <c r="N4108" s="187">
        <v>4560.7041015625</v>
      </c>
      <c r="O4108" t="s">
        <v>4566</v>
      </c>
    </row>
    <row r="4109" spans="1:15" hidden="1" x14ac:dyDescent="0.45">
      <c r="A4109" s="187">
        <v>2020</v>
      </c>
      <c r="B4109" t="s">
        <v>316</v>
      </c>
      <c r="C4109" t="s">
        <v>328</v>
      </c>
      <c r="D4109" t="s">
        <v>39</v>
      </c>
      <c r="E4109" t="s">
        <v>362</v>
      </c>
      <c r="F4109" t="s">
        <v>362</v>
      </c>
      <c r="G4109" t="s">
        <v>37</v>
      </c>
      <c r="H4109" t="s">
        <v>43</v>
      </c>
      <c r="I4109" s="187">
        <v>510.86257999999998</v>
      </c>
      <c r="J4109" s="187">
        <v>89</v>
      </c>
      <c r="K4109" s="187">
        <v>3030.790454602</v>
      </c>
      <c r="L4109" s="187">
        <v>2912</v>
      </c>
      <c r="M4109" s="187">
        <v>6542.6533203125</v>
      </c>
      <c r="N4109" s="187">
        <v>3422.862548828125</v>
      </c>
      <c r="O4109" t="s">
        <v>4565</v>
      </c>
    </row>
    <row r="4110" spans="1:15" hidden="1" x14ac:dyDescent="0.45">
      <c r="A4110" s="187">
        <v>2020</v>
      </c>
      <c r="B4110" t="s">
        <v>314</v>
      </c>
      <c r="C4110" t="s">
        <v>328</v>
      </c>
      <c r="D4110" t="s">
        <v>39</v>
      </c>
      <c r="E4110" t="s">
        <v>362</v>
      </c>
      <c r="F4110" t="s">
        <v>362</v>
      </c>
      <c r="G4110" t="s">
        <v>37</v>
      </c>
      <c r="H4110" t="s">
        <v>43</v>
      </c>
      <c r="I4110" s="187">
        <v>1993.14737745</v>
      </c>
      <c r="J4110" s="187">
        <v>78</v>
      </c>
      <c r="K4110" s="187">
        <v>2780.2982195997688</v>
      </c>
      <c r="L4110" s="187">
        <v>2745</v>
      </c>
      <c r="M4110" s="187">
        <v>7596.44580078125</v>
      </c>
      <c r="N4110" s="187">
        <v>4738.1474609375</v>
      </c>
      <c r="O4110" t="s">
        <v>4567</v>
      </c>
    </row>
    <row r="4111" spans="1:15" hidden="1" x14ac:dyDescent="0.45">
      <c r="A4111" s="187">
        <v>2020</v>
      </c>
      <c r="B4111" t="s">
        <v>309</v>
      </c>
      <c r="C4111" t="s">
        <v>328</v>
      </c>
      <c r="D4111" t="s">
        <v>39</v>
      </c>
      <c r="E4111" t="s">
        <v>362</v>
      </c>
      <c r="F4111" t="s">
        <v>362</v>
      </c>
      <c r="G4111" t="s">
        <v>37</v>
      </c>
      <c r="H4111" t="s">
        <v>43</v>
      </c>
      <c r="I4111" s="187"/>
      <c r="J4111" s="187">
        <v>587.65620000000001</v>
      </c>
      <c r="K4111" s="187">
        <v>2192.8118225497828</v>
      </c>
      <c r="L4111" s="187">
        <v>5668</v>
      </c>
      <c r="M4111" s="187">
        <v>8448.4677734375</v>
      </c>
      <c r="N4111" s="187">
        <v>5668</v>
      </c>
      <c r="O4111" t="s">
        <v>4570</v>
      </c>
    </row>
    <row r="4112" spans="1:15" hidden="1" x14ac:dyDescent="0.45">
      <c r="A4112" s="187">
        <v>2020</v>
      </c>
      <c r="B4112" t="s">
        <v>310</v>
      </c>
      <c r="C4112" t="s">
        <v>328</v>
      </c>
      <c r="D4112" t="s">
        <v>39</v>
      </c>
      <c r="E4112" t="s">
        <v>362</v>
      </c>
      <c r="F4112" t="s">
        <v>362</v>
      </c>
      <c r="G4112" t="s">
        <v>37</v>
      </c>
      <c r="H4112" t="s">
        <v>43</v>
      </c>
      <c r="I4112" s="187"/>
      <c r="J4112" s="187">
        <v>90</v>
      </c>
      <c r="K4112" s="187">
        <v>2107.4576382760902</v>
      </c>
      <c r="L4112" s="187">
        <v>5393</v>
      </c>
      <c r="M4112" s="187">
        <v>7590.45751953125</v>
      </c>
      <c r="N4112" s="187">
        <v>5393</v>
      </c>
      <c r="O4112" t="s">
        <v>4568</v>
      </c>
    </row>
    <row r="4113" spans="1:15" hidden="1" x14ac:dyDescent="0.45">
      <c r="A4113" s="187">
        <v>2020</v>
      </c>
      <c r="B4113" t="s">
        <v>311</v>
      </c>
      <c r="C4113" t="s">
        <v>328</v>
      </c>
      <c r="D4113" t="s">
        <v>39</v>
      </c>
      <c r="E4113" t="s">
        <v>362</v>
      </c>
      <c r="F4113" t="s">
        <v>362</v>
      </c>
      <c r="G4113" t="s">
        <v>37</v>
      </c>
      <c r="H4113" t="s">
        <v>43</v>
      </c>
      <c r="I4113" s="187"/>
      <c r="J4113" s="187">
        <v>94</v>
      </c>
      <c r="K4113" s="187">
        <v>2747.2474557357332</v>
      </c>
      <c r="L4113" s="187">
        <v>4955</v>
      </c>
      <c r="M4113" s="187">
        <v>7796.24755859375</v>
      </c>
      <c r="N4113" s="187">
        <v>4955</v>
      </c>
      <c r="O4113" t="s">
        <v>4571</v>
      </c>
    </row>
    <row r="4114" spans="1:15" hidden="1" x14ac:dyDescent="0.45">
      <c r="A4114" s="187">
        <v>2020</v>
      </c>
      <c r="B4114" t="s">
        <v>312</v>
      </c>
      <c r="C4114" t="s">
        <v>328</v>
      </c>
      <c r="D4114" t="s">
        <v>39</v>
      </c>
      <c r="E4114" t="s">
        <v>363</v>
      </c>
      <c r="F4114" t="s">
        <v>363</v>
      </c>
      <c r="G4114" t="s">
        <v>36</v>
      </c>
      <c r="H4114" t="s">
        <v>43</v>
      </c>
      <c r="I4114" s="187">
        <v>2633.2512352831613</v>
      </c>
      <c r="J4114" s="187">
        <v>69.585625156184065</v>
      </c>
      <c r="K4114" s="187">
        <v>480.72083419258075</v>
      </c>
      <c r="L4114" s="187">
        <v>2269.6511405108699</v>
      </c>
      <c r="M4114" s="187">
        <v>5453.208984375</v>
      </c>
      <c r="N4114" s="187">
        <v>4902.90234375</v>
      </c>
      <c r="O4114" t="s">
        <v>4577</v>
      </c>
    </row>
    <row r="4115" spans="1:15" hidden="1" x14ac:dyDescent="0.45">
      <c r="A4115" s="187">
        <v>2020</v>
      </c>
      <c r="B4115" t="s">
        <v>314</v>
      </c>
      <c r="C4115" t="s">
        <v>328</v>
      </c>
      <c r="D4115" t="s">
        <v>39</v>
      </c>
      <c r="E4115" t="s">
        <v>363</v>
      </c>
      <c r="F4115" t="s">
        <v>363</v>
      </c>
      <c r="G4115" t="s">
        <v>36</v>
      </c>
      <c r="H4115" t="s">
        <v>43</v>
      </c>
      <c r="I4115" s="187">
        <v>3364.390792875141</v>
      </c>
      <c r="J4115" s="187">
        <v>55.481378510473967</v>
      </c>
      <c r="K4115" s="187">
        <v>447.97937576297107</v>
      </c>
      <c r="L4115" s="187">
        <v>2335.7660352909538</v>
      </c>
      <c r="M4115" s="187">
        <v>6203.61767578125</v>
      </c>
      <c r="N4115" s="187">
        <v>5700.15673828125</v>
      </c>
      <c r="O4115" t="s">
        <v>4574</v>
      </c>
    </row>
    <row r="4116" spans="1:15" hidden="1" x14ac:dyDescent="0.45">
      <c r="A4116" s="187">
        <v>2020</v>
      </c>
      <c r="B4116" t="s">
        <v>315</v>
      </c>
      <c r="C4116" t="s">
        <v>328</v>
      </c>
      <c r="D4116" t="s">
        <v>39</v>
      </c>
      <c r="E4116" t="s">
        <v>363</v>
      </c>
      <c r="F4116" t="s">
        <v>363</v>
      </c>
      <c r="G4116" t="s">
        <v>36</v>
      </c>
      <c r="H4116" t="s">
        <v>43</v>
      </c>
      <c r="I4116" s="187">
        <v>3275.0162749291076</v>
      </c>
      <c r="J4116" s="187">
        <v>37.80526702589669</v>
      </c>
      <c r="K4116" s="187">
        <v>622.51486805711079</v>
      </c>
      <c r="L4116" s="187">
        <v>2359.0486624159535</v>
      </c>
      <c r="M4116" s="187">
        <v>6294.38525390625</v>
      </c>
      <c r="N4116" s="187">
        <v>5634.06494140625</v>
      </c>
      <c r="O4116" t="s">
        <v>4580</v>
      </c>
    </row>
    <row r="4117" spans="1:15" hidden="1" x14ac:dyDescent="0.45">
      <c r="A4117" s="187">
        <v>2020</v>
      </c>
      <c r="B4117" t="s">
        <v>316</v>
      </c>
      <c r="C4117" t="s">
        <v>328</v>
      </c>
      <c r="D4117" t="s">
        <v>39</v>
      </c>
      <c r="E4117" t="s">
        <v>363</v>
      </c>
      <c r="F4117" t="s">
        <v>363</v>
      </c>
      <c r="G4117" t="s">
        <v>36</v>
      </c>
      <c r="H4117" t="s">
        <v>43</v>
      </c>
      <c r="I4117" s="187">
        <v>3414.1560310178302</v>
      </c>
      <c r="J4117" s="187">
        <v>449.48613661640735</v>
      </c>
      <c r="K4117" s="187">
        <v>700.51008006868312</v>
      </c>
      <c r="L4117" s="187">
        <v>2319.3484649406619</v>
      </c>
      <c r="M4117" s="187">
        <v>6883.5009765625</v>
      </c>
      <c r="N4117" s="187">
        <v>5733.50439453125</v>
      </c>
      <c r="O4117" t="s">
        <v>4576</v>
      </c>
    </row>
    <row r="4118" spans="1:15" hidden="1" x14ac:dyDescent="0.45">
      <c r="A4118" s="187">
        <v>2020</v>
      </c>
      <c r="B4118" t="s">
        <v>313</v>
      </c>
      <c r="C4118" t="s">
        <v>328</v>
      </c>
      <c r="D4118" t="s">
        <v>39</v>
      </c>
      <c r="E4118" t="s">
        <v>363</v>
      </c>
      <c r="F4118" t="s">
        <v>363</v>
      </c>
      <c r="G4118" t="s">
        <v>36</v>
      </c>
      <c r="H4118" t="s">
        <v>43</v>
      </c>
      <c r="I4118" s="187">
        <v>3333.0749996812901</v>
      </c>
      <c r="J4118" s="187">
        <v>57.053584994770468</v>
      </c>
      <c r="K4118" s="187">
        <v>426.15059847761449</v>
      </c>
      <c r="L4118" s="187">
        <v>2350.6077017845432</v>
      </c>
      <c r="M4118" s="187">
        <v>6166.88671875</v>
      </c>
      <c r="N4118" s="187">
        <v>5683.6826171875</v>
      </c>
      <c r="O4118" t="s">
        <v>4575</v>
      </c>
    </row>
    <row r="4119" spans="1:15" hidden="1" x14ac:dyDescent="0.45">
      <c r="A4119" s="187">
        <v>2020</v>
      </c>
      <c r="B4119" t="s">
        <v>310</v>
      </c>
      <c r="C4119" t="s">
        <v>328</v>
      </c>
      <c r="D4119" t="s">
        <v>39</v>
      </c>
      <c r="E4119" t="s">
        <v>363</v>
      </c>
      <c r="F4119" t="s">
        <v>363</v>
      </c>
      <c r="G4119" t="s">
        <v>36</v>
      </c>
      <c r="H4119" t="s">
        <v>43</v>
      </c>
      <c r="I4119" s="187"/>
      <c r="J4119" s="187">
        <v>46.757756303172087</v>
      </c>
      <c r="K4119" s="187">
        <v>420.07716710775742</v>
      </c>
      <c r="L4119" s="187">
        <v>4450.1694561544027</v>
      </c>
      <c r="M4119" s="187">
        <v>4917.00439453125</v>
      </c>
      <c r="N4119" s="187">
        <v>4450.16943359375</v>
      </c>
      <c r="O4119" t="s">
        <v>4578</v>
      </c>
    </row>
    <row r="4120" spans="1:15" hidden="1" x14ac:dyDescent="0.45">
      <c r="A4120" s="187">
        <v>2020</v>
      </c>
      <c r="B4120" t="s">
        <v>311</v>
      </c>
      <c r="C4120" t="s">
        <v>328</v>
      </c>
      <c r="D4120" t="s">
        <v>39</v>
      </c>
      <c r="E4120" t="s">
        <v>363</v>
      </c>
      <c r="F4120" t="s">
        <v>363</v>
      </c>
      <c r="G4120" t="s">
        <v>36</v>
      </c>
      <c r="H4120" t="s">
        <v>43</v>
      </c>
      <c r="I4120" s="187"/>
      <c r="J4120" s="187">
        <v>69.90382393201898</v>
      </c>
      <c r="K4120" s="187">
        <v>442.39872666007227</v>
      </c>
      <c r="L4120" s="187">
        <v>4557.7293203676381</v>
      </c>
      <c r="M4120" s="187">
        <v>5070.03173828125</v>
      </c>
      <c r="N4120" s="187">
        <v>4557.7294921875</v>
      </c>
      <c r="O4120" t="s">
        <v>4573</v>
      </c>
    </row>
    <row r="4121" spans="1:15" hidden="1" x14ac:dyDescent="0.45">
      <c r="A4121" s="187">
        <v>2020</v>
      </c>
      <c r="B4121" t="s">
        <v>309</v>
      </c>
      <c r="C4121" t="s">
        <v>328</v>
      </c>
      <c r="D4121" t="s">
        <v>39</v>
      </c>
      <c r="E4121" t="s">
        <v>363</v>
      </c>
      <c r="F4121" t="s">
        <v>363</v>
      </c>
      <c r="G4121" t="s">
        <v>36</v>
      </c>
      <c r="H4121" t="s">
        <v>43</v>
      </c>
      <c r="I4121" s="187"/>
      <c r="J4121" s="187">
        <v>11.911026762441155</v>
      </c>
      <c r="K4121" s="187">
        <v>419.36342424869127</v>
      </c>
      <c r="L4121" s="187">
        <v>4781.0861424438799</v>
      </c>
      <c r="M4121" s="187">
        <v>5212.3603515625</v>
      </c>
      <c r="N4121" s="187">
        <v>4781.0859375</v>
      </c>
      <c r="O4121" t="s">
        <v>4579</v>
      </c>
    </row>
    <row r="4122" spans="1:15" hidden="1" x14ac:dyDescent="0.45">
      <c r="A4122" s="187">
        <v>2020</v>
      </c>
      <c r="B4122" t="s">
        <v>312</v>
      </c>
      <c r="C4122" t="s">
        <v>328</v>
      </c>
      <c r="D4122" t="s">
        <v>39</v>
      </c>
      <c r="E4122" t="s">
        <v>363</v>
      </c>
      <c r="F4122" t="s">
        <v>363</v>
      </c>
      <c r="G4122" t="s">
        <v>37</v>
      </c>
      <c r="H4122" t="s">
        <v>43</v>
      </c>
      <c r="I4122" s="187">
        <v>2416.30884112066</v>
      </c>
      <c r="J4122" s="187">
        <v>65</v>
      </c>
      <c r="K4122" s="187">
        <v>447.28459140094748</v>
      </c>
      <c r="L4122" s="187">
        <v>2107</v>
      </c>
      <c r="M4122" s="187">
        <v>5035.59375</v>
      </c>
      <c r="N4122" s="187">
        <v>4523.30859375</v>
      </c>
      <c r="O4122" t="s">
        <v>4587</v>
      </c>
    </row>
    <row r="4123" spans="1:15" hidden="1" x14ac:dyDescent="0.45">
      <c r="A4123" s="187">
        <v>2020</v>
      </c>
      <c r="B4123" t="s">
        <v>316</v>
      </c>
      <c r="C4123" t="s">
        <v>328</v>
      </c>
      <c r="D4123" t="s">
        <v>39</v>
      </c>
      <c r="E4123" t="s">
        <v>363</v>
      </c>
      <c r="F4123" t="s">
        <v>363</v>
      </c>
      <c r="G4123" t="s">
        <v>37</v>
      </c>
      <c r="H4123" t="s">
        <v>43</v>
      </c>
      <c r="I4123" s="187">
        <v>3228.1669999999999</v>
      </c>
      <c r="J4123" s="187">
        <v>425</v>
      </c>
      <c r="K4123" s="187">
        <v>662.34920229199997</v>
      </c>
      <c r="L4123" s="187">
        <v>2193</v>
      </c>
      <c r="M4123" s="187">
        <v>6508.51611328125</v>
      </c>
      <c r="N4123" s="187">
        <v>5421.1669921875</v>
      </c>
      <c r="O4123" t="s">
        <v>4582</v>
      </c>
    </row>
    <row r="4124" spans="1:15" hidden="1" x14ac:dyDescent="0.45">
      <c r="A4124" s="187">
        <v>2020</v>
      </c>
      <c r="B4124" t="s">
        <v>311</v>
      </c>
      <c r="C4124" t="s">
        <v>328</v>
      </c>
      <c r="D4124" t="s">
        <v>39</v>
      </c>
      <c r="E4124" t="s">
        <v>363</v>
      </c>
      <c r="F4124" t="s">
        <v>363</v>
      </c>
      <c r="G4124" t="s">
        <v>37</v>
      </c>
      <c r="H4124" t="s">
        <v>43</v>
      </c>
      <c r="I4124" s="187"/>
      <c r="J4124" s="187">
        <v>66</v>
      </c>
      <c r="K4124" s="187">
        <v>416.18206241094168</v>
      </c>
      <c r="L4124" s="187">
        <v>4476</v>
      </c>
      <c r="M4124" s="187">
        <v>4958.18212890625</v>
      </c>
      <c r="N4124" s="187">
        <v>4476</v>
      </c>
      <c r="O4124" t="s">
        <v>4585</v>
      </c>
    </row>
    <row r="4125" spans="1:15" hidden="1" x14ac:dyDescent="0.45">
      <c r="A4125" s="187">
        <v>2020</v>
      </c>
      <c r="B4125" t="s">
        <v>309</v>
      </c>
      <c r="C4125" t="s">
        <v>328</v>
      </c>
      <c r="D4125" t="s">
        <v>39</v>
      </c>
      <c r="E4125" t="s">
        <v>363</v>
      </c>
      <c r="F4125" t="s">
        <v>363</v>
      </c>
      <c r="G4125" t="s">
        <v>37</v>
      </c>
      <c r="H4125" t="s">
        <v>43</v>
      </c>
      <c r="I4125" s="187"/>
      <c r="J4125" s="187">
        <v>11.433</v>
      </c>
      <c r="K4125" s="187">
        <v>411.52313239269148</v>
      </c>
      <c r="L4125" s="187">
        <v>4892</v>
      </c>
      <c r="M4125" s="187">
        <v>5314.9560546875</v>
      </c>
      <c r="N4125" s="187">
        <v>4892</v>
      </c>
      <c r="O4125" t="s">
        <v>4583</v>
      </c>
    </row>
    <row r="4126" spans="1:15" hidden="1" x14ac:dyDescent="0.45">
      <c r="A4126" s="187">
        <v>2020</v>
      </c>
      <c r="B4126" t="s">
        <v>310</v>
      </c>
      <c r="C4126" t="s">
        <v>328</v>
      </c>
      <c r="D4126" t="s">
        <v>39</v>
      </c>
      <c r="E4126" t="s">
        <v>363</v>
      </c>
      <c r="F4126" t="s">
        <v>363</v>
      </c>
      <c r="G4126" t="s">
        <v>37</v>
      </c>
      <c r="H4126" t="s">
        <v>43</v>
      </c>
      <c r="I4126" s="187"/>
      <c r="J4126" s="187">
        <v>45</v>
      </c>
      <c r="K4126" s="187">
        <v>406.32218623359609</v>
      </c>
      <c r="L4126" s="187">
        <v>4460</v>
      </c>
      <c r="M4126" s="187">
        <v>4911.322265625</v>
      </c>
      <c r="N4126" s="187">
        <v>4460</v>
      </c>
      <c r="O4126" t="s">
        <v>4581</v>
      </c>
    </row>
    <row r="4127" spans="1:15" hidden="1" x14ac:dyDescent="0.45">
      <c r="A4127" s="187">
        <v>2020</v>
      </c>
      <c r="B4127" t="s">
        <v>313</v>
      </c>
      <c r="C4127" t="s">
        <v>328</v>
      </c>
      <c r="D4127" t="s">
        <v>39</v>
      </c>
      <c r="E4127" t="s">
        <v>363</v>
      </c>
      <c r="F4127" t="s">
        <v>363</v>
      </c>
      <c r="G4127" t="s">
        <v>37</v>
      </c>
      <c r="H4127" t="s">
        <v>43</v>
      </c>
      <c r="I4127" s="187">
        <v>3093.1039757503208</v>
      </c>
      <c r="J4127" s="187">
        <v>53</v>
      </c>
      <c r="K4127" s="187">
        <v>394.55162212690948</v>
      </c>
      <c r="L4127" s="187">
        <v>2188</v>
      </c>
      <c r="M4127" s="187">
        <v>5728.6552734375</v>
      </c>
      <c r="N4127" s="187">
        <v>5281.10400390625</v>
      </c>
      <c r="O4127" t="s">
        <v>4586</v>
      </c>
    </row>
    <row r="4128" spans="1:15" hidden="1" x14ac:dyDescent="0.45">
      <c r="A4128" s="187">
        <v>2020</v>
      </c>
      <c r="B4128" t="s">
        <v>314</v>
      </c>
      <c r="C4128" t="s">
        <v>328</v>
      </c>
      <c r="D4128" t="s">
        <v>39</v>
      </c>
      <c r="E4128" t="s">
        <v>363</v>
      </c>
      <c r="F4128" t="s">
        <v>363</v>
      </c>
      <c r="G4128" t="s">
        <v>37</v>
      </c>
      <c r="H4128" t="s">
        <v>43</v>
      </c>
      <c r="I4128" s="187">
        <v>3155.7299469599998</v>
      </c>
      <c r="J4128" s="187">
        <v>52</v>
      </c>
      <c r="K4128" s="187">
        <v>420.7229860811226</v>
      </c>
      <c r="L4128" s="187">
        <v>2250</v>
      </c>
      <c r="M4128" s="187">
        <v>5878.453125</v>
      </c>
      <c r="N4128" s="187">
        <v>5405.72998046875</v>
      </c>
      <c r="O4128" t="s">
        <v>4584</v>
      </c>
    </row>
    <row r="4129" spans="1:15" hidden="1" x14ac:dyDescent="0.45">
      <c r="A4129" s="187">
        <v>2020</v>
      </c>
      <c r="B4129" t="s">
        <v>315</v>
      </c>
      <c r="C4129" t="s">
        <v>328</v>
      </c>
      <c r="D4129" t="s">
        <v>39</v>
      </c>
      <c r="E4129" t="s">
        <v>363</v>
      </c>
      <c r="F4129" t="s">
        <v>363</v>
      </c>
      <c r="G4129" t="s">
        <v>37</v>
      </c>
      <c r="H4129" t="s">
        <v>43</v>
      </c>
      <c r="I4129" s="187">
        <v>3092.9432000000002</v>
      </c>
      <c r="J4129" s="187">
        <v>35</v>
      </c>
      <c r="K4129" s="187">
        <v>586.98787315077698</v>
      </c>
      <c r="L4129" s="187">
        <v>2236</v>
      </c>
      <c r="M4129" s="187">
        <v>5950.9306640625</v>
      </c>
      <c r="N4129" s="187">
        <v>5328.943359375</v>
      </c>
      <c r="O4129" t="s">
        <v>4588</v>
      </c>
    </row>
    <row r="4130" spans="1:15" hidden="1" x14ac:dyDescent="0.45">
      <c r="A4130" s="187">
        <v>2020</v>
      </c>
      <c r="B4130" t="s">
        <v>309</v>
      </c>
      <c r="C4130" t="s">
        <v>328</v>
      </c>
      <c r="D4130" t="s">
        <v>39</v>
      </c>
      <c r="E4130" t="s">
        <v>364</v>
      </c>
      <c r="F4130" t="s">
        <v>364</v>
      </c>
      <c r="G4130" t="s">
        <v>36</v>
      </c>
      <c r="H4130" t="s">
        <v>43</v>
      </c>
      <c r="I4130" s="187"/>
      <c r="J4130" s="187">
        <v>23.82205352488231</v>
      </c>
      <c r="K4130" s="187">
        <v>5117.6841677621333</v>
      </c>
      <c r="L4130" s="187">
        <v>5118.1681998209642</v>
      </c>
      <c r="M4130" s="187">
        <v>10259.6748046875</v>
      </c>
      <c r="N4130" s="187">
        <v>5118.16796875</v>
      </c>
      <c r="O4130" t="s">
        <v>4594</v>
      </c>
    </row>
    <row r="4131" spans="1:15" hidden="1" x14ac:dyDescent="0.45">
      <c r="A4131" s="187">
        <v>2020</v>
      </c>
      <c r="B4131" t="s">
        <v>315</v>
      </c>
      <c r="C4131" t="s">
        <v>328</v>
      </c>
      <c r="D4131" t="s">
        <v>39</v>
      </c>
      <c r="E4131" t="s">
        <v>364</v>
      </c>
      <c r="F4131" t="s">
        <v>364</v>
      </c>
      <c r="G4131" t="s">
        <v>36</v>
      </c>
      <c r="H4131" t="s">
        <v>43</v>
      </c>
      <c r="I4131" s="187">
        <v>1746.603336596427</v>
      </c>
      <c r="J4131" s="187">
        <v>739.90308322112094</v>
      </c>
      <c r="K4131" s="187">
        <v>5174.7729946527706</v>
      </c>
      <c r="L4131" s="187">
        <v>2544.8345460860742</v>
      </c>
      <c r="M4131" s="187">
        <v>10206.1142578125</v>
      </c>
      <c r="N4131" s="187">
        <v>4291.43798828125</v>
      </c>
      <c r="O4131" t="s">
        <v>4593</v>
      </c>
    </row>
    <row r="4132" spans="1:15" hidden="1" x14ac:dyDescent="0.45">
      <c r="A4132" s="187">
        <v>2020</v>
      </c>
      <c r="B4132" t="s">
        <v>312</v>
      </c>
      <c r="C4132" t="s">
        <v>328</v>
      </c>
      <c r="D4132" t="s">
        <v>39</v>
      </c>
      <c r="E4132" t="s">
        <v>364</v>
      </c>
      <c r="F4132" t="s">
        <v>364</v>
      </c>
      <c r="G4132" t="s">
        <v>36</v>
      </c>
      <c r="H4132" t="s">
        <v>43</v>
      </c>
      <c r="I4132" s="187">
        <v>1552.9140913689048</v>
      </c>
      <c r="J4132" s="187">
        <v>788.63708510341928</v>
      </c>
      <c r="K4132" s="187">
        <v>4796.9983399991097</v>
      </c>
      <c r="L4132" s="187">
        <v>3503.6362266138672</v>
      </c>
      <c r="M4132" s="187">
        <v>10642.185546875</v>
      </c>
      <c r="N4132" s="187">
        <v>5056.55029296875</v>
      </c>
      <c r="O4132" t="s">
        <v>4596</v>
      </c>
    </row>
    <row r="4133" spans="1:15" hidden="1" x14ac:dyDescent="0.45">
      <c r="A4133" s="187">
        <v>2020</v>
      </c>
      <c r="B4133" t="s">
        <v>311</v>
      </c>
      <c r="C4133" t="s">
        <v>328</v>
      </c>
      <c r="D4133" t="s">
        <v>39</v>
      </c>
      <c r="E4133" t="s">
        <v>364</v>
      </c>
      <c r="F4133" t="s">
        <v>364</v>
      </c>
      <c r="G4133" t="s">
        <v>36</v>
      </c>
      <c r="H4133" t="s">
        <v>43</v>
      </c>
      <c r="I4133" s="187"/>
      <c r="J4133" s="187">
        <v>792.24333789621517</v>
      </c>
      <c r="K4133" s="187">
        <v>4486.5240918469526</v>
      </c>
      <c r="L4133" s="187">
        <v>11628.501111091358</v>
      </c>
      <c r="M4133" s="187">
        <v>16907.26953125</v>
      </c>
      <c r="N4133" s="187">
        <v>11628.5009765625</v>
      </c>
      <c r="O4133" t="s">
        <v>4591</v>
      </c>
    </row>
    <row r="4134" spans="1:15" hidden="1" x14ac:dyDescent="0.45">
      <c r="A4134" s="187">
        <v>2020</v>
      </c>
      <c r="B4134" t="s">
        <v>316</v>
      </c>
      <c r="C4134" t="s">
        <v>328</v>
      </c>
      <c r="D4134" t="s">
        <v>39</v>
      </c>
      <c r="E4134" t="s">
        <v>364</v>
      </c>
      <c r="F4134" t="s">
        <v>364</v>
      </c>
      <c r="G4134" t="s">
        <v>36</v>
      </c>
      <c r="H4134" t="s">
        <v>43</v>
      </c>
      <c r="I4134" s="187">
        <v>1858.931703301728</v>
      </c>
      <c r="J4134" s="187">
        <v>849.26439459523556</v>
      </c>
      <c r="K4134" s="187">
        <v>4629.52072569967</v>
      </c>
      <c r="L4134" s="187">
        <v>3068.1394878216415</v>
      </c>
      <c r="M4134" s="187">
        <v>10405.8564453125</v>
      </c>
      <c r="N4134" s="187">
        <v>4927.0712890625</v>
      </c>
      <c r="O4134" t="s">
        <v>4595</v>
      </c>
    </row>
    <row r="4135" spans="1:15" hidden="1" x14ac:dyDescent="0.45">
      <c r="A4135" s="187">
        <v>2020</v>
      </c>
      <c r="B4135" t="s">
        <v>310</v>
      </c>
      <c r="C4135" t="s">
        <v>328</v>
      </c>
      <c r="D4135" t="s">
        <v>39</v>
      </c>
      <c r="E4135" t="s">
        <v>364</v>
      </c>
      <c r="F4135" t="s">
        <v>364</v>
      </c>
      <c r="G4135" t="s">
        <v>36</v>
      </c>
      <c r="H4135" t="s">
        <v>43</v>
      </c>
      <c r="I4135" s="187"/>
      <c r="J4135" s="187">
        <v>771.50297900233943</v>
      </c>
      <c r="K4135" s="187">
        <v>4175.9798574041288</v>
      </c>
      <c r="L4135" s="187">
        <v>4609.1458275851883</v>
      </c>
      <c r="M4135" s="187">
        <v>9556.62890625</v>
      </c>
      <c r="N4135" s="187">
        <v>4609.14599609375</v>
      </c>
      <c r="O4135" t="s">
        <v>4592</v>
      </c>
    </row>
    <row r="4136" spans="1:15" hidden="1" x14ac:dyDescent="0.45">
      <c r="A4136" s="187">
        <v>2020</v>
      </c>
      <c r="B4136" t="s">
        <v>314</v>
      </c>
      <c r="C4136" t="s">
        <v>328</v>
      </c>
      <c r="D4136" t="s">
        <v>39</v>
      </c>
      <c r="E4136" t="s">
        <v>364</v>
      </c>
      <c r="F4136" t="s">
        <v>364</v>
      </c>
      <c r="G4136" t="s">
        <v>36</v>
      </c>
      <c r="H4136" t="s">
        <v>43</v>
      </c>
      <c r="I4136" s="187">
        <v>1794.267781028728</v>
      </c>
      <c r="J4136" s="187">
        <v>765.64302344454075</v>
      </c>
      <c r="K4136" s="187">
        <v>5164.9641580243697</v>
      </c>
      <c r="L4136" s="187">
        <v>2700.8335058898724</v>
      </c>
      <c r="M4136" s="187">
        <v>10425.708984375</v>
      </c>
      <c r="N4136" s="187">
        <v>4495.1015625</v>
      </c>
      <c r="O4136" t="s">
        <v>4589</v>
      </c>
    </row>
    <row r="4137" spans="1:15" hidden="1" x14ac:dyDescent="0.45">
      <c r="A4137" s="187">
        <v>2020</v>
      </c>
      <c r="B4137" t="s">
        <v>313</v>
      </c>
      <c r="C4137" t="s">
        <v>328</v>
      </c>
      <c r="D4137" t="s">
        <v>39</v>
      </c>
      <c r="E4137" t="s">
        <v>364</v>
      </c>
      <c r="F4137" t="s">
        <v>364</v>
      </c>
      <c r="G4137" t="s">
        <v>36</v>
      </c>
      <c r="H4137" t="s">
        <v>43</v>
      </c>
      <c r="I4137" s="187">
        <v>1777.2374297342985</v>
      </c>
      <c r="J4137" s="187">
        <v>775.92875592887833</v>
      </c>
      <c r="K4137" s="187">
        <v>5067.5531970947386</v>
      </c>
      <c r="L4137" s="187">
        <v>2959.939989528692</v>
      </c>
      <c r="M4137" s="187">
        <v>10580.6591796875</v>
      </c>
      <c r="N4137" s="187">
        <v>4737.17724609375</v>
      </c>
      <c r="O4137" t="s">
        <v>4590</v>
      </c>
    </row>
    <row r="4138" spans="1:15" hidden="1" x14ac:dyDescent="0.45">
      <c r="A4138" s="187">
        <v>2020</v>
      </c>
      <c r="B4138" t="s">
        <v>313</v>
      </c>
      <c r="C4138" t="s">
        <v>328</v>
      </c>
      <c r="D4138" t="s">
        <v>39</v>
      </c>
      <c r="E4138" t="s">
        <v>364</v>
      </c>
      <c r="F4138" t="s">
        <v>364</v>
      </c>
      <c r="G4138" t="s">
        <v>37</v>
      </c>
      <c r="H4138" t="s">
        <v>43</v>
      </c>
      <c r="I4138" s="187">
        <v>1649.281867431451</v>
      </c>
      <c r="J4138" s="187">
        <v>722</v>
      </c>
      <c r="K4138" s="187">
        <v>4691.7952040214341</v>
      </c>
      <c r="L4138" s="187">
        <v>2755</v>
      </c>
      <c r="M4138" s="187">
        <v>9818.0771484375</v>
      </c>
      <c r="N4138" s="187">
        <v>4404.28173828125</v>
      </c>
      <c r="O4138" t="s">
        <v>4598</v>
      </c>
    </row>
    <row r="4139" spans="1:15" hidden="1" x14ac:dyDescent="0.45">
      <c r="A4139" s="187">
        <v>2020</v>
      </c>
      <c r="B4139" t="s">
        <v>315</v>
      </c>
      <c r="C4139" t="s">
        <v>328</v>
      </c>
      <c r="D4139" t="s">
        <v>39</v>
      </c>
      <c r="E4139" t="s">
        <v>364</v>
      </c>
      <c r="F4139" t="s">
        <v>364</v>
      </c>
      <c r="G4139" t="s">
        <v>37</v>
      </c>
      <c r="H4139" t="s">
        <v>43</v>
      </c>
      <c r="I4139" s="187">
        <v>1649.5017</v>
      </c>
      <c r="J4139" s="187">
        <v>685</v>
      </c>
      <c r="K4139" s="187">
        <v>4879.4481064356478</v>
      </c>
      <c r="L4139" s="187">
        <v>2412</v>
      </c>
      <c r="M4139" s="187">
        <v>9625.94921875</v>
      </c>
      <c r="N4139" s="187">
        <v>4061.501708984375</v>
      </c>
      <c r="O4139" t="s">
        <v>4599</v>
      </c>
    </row>
    <row r="4140" spans="1:15" hidden="1" x14ac:dyDescent="0.45">
      <c r="A4140" s="187">
        <v>2020</v>
      </c>
      <c r="B4140" t="s">
        <v>314</v>
      </c>
      <c r="C4140" t="s">
        <v>328</v>
      </c>
      <c r="D4140" t="s">
        <v>39</v>
      </c>
      <c r="E4140" t="s">
        <v>364</v>
      </c>
      <c r="F4140" t="s">
        <v>364</v>
      </c>
      <c r="G4140" t="s">
        <v>37</v>
      </c>
      <c r="H4140" t="s">
        <v>43</v>
      </c>
      <c r="I4140" s="187">
        <v>1682.9865845100001</v>
      </c>
      <c r="J4140" s="187">
        <v>718</v>
      </c>
      <c r="K4140" s="187">
        <v>4850.7124683252014</v>
      </c>
      <c r="L4140" s="187">
        <v>2602</v>
      </c>
      <c r="M4140" s="187">
        <v>9853.69921875</v>
      </c>
      <c r="N4140" s="187">
        <v>4284.986328125</v>
      </c>
      <c r="O4140" t="s">
        <v>4604</v>
      </c>
    </row>
    <row r="4141" spans="1:15" hidden="1" x14ac:dyDescent="0.45">
      <c r="A4141" s="187">
        <v>2020</v>
      </c>
      <c r="B4141" t="s">
        <v>310</v>
      </c>
      <c r="C4141" t="s">
        <v>328</v>
      </c>
      <c r="D4141" t="s">
        <v>39</v>
      </c>
      <c r="E4141" t="s">
        <v>364</v>
      </c>
      <c r="F4141" t="s">
        <v>364</v>
      </c>
      <c r="G4141" t="s">
        <v>37</v>
      </c>
      <c r="H4141" t="s">
        <v>43</v>
      </c>
      <c r="I4141" s="187"/>
      <c r="J4141" s="187">
        <v>746</v>
      </c>
      <c r="K4141" s="187">
        <v>4039.24183028174</v>
      </c>
      <c r="L4141" s="187">
        <v>4619</v>
      </c>
      <c r="M4141" s="187">
        <v>9404.2421875</v>
      </c>
      <c r="N4141" s="187">
        <v>4619</v>
      </c>
      <c r="O4141" t="s">
        <v>4597</v>
      </c>
    </row>
    <row r="4142" spans="1:15" hidden="1" x14ac:dyDescent="0.45">
      <c r="A4142" s="187">
        <v>2020</v>
      </c>
      <c r="B4142" t="s">
        <v>309</v>
      </c>
      <c r="C4142" t="s">
        <v>328</v>
      </c>
      <c r="D4142" t="s">
        <v>39</v>
      </c>
      <c r="E4142" t="s">
        <v>364</v>
      </c>
      <c r="F4142" t="s">
        <v>364</v>
      </c>
      <c r="G4142" t="s">
        <v>37</v>
      </c>
      <c r="H4142" t="s">
        <v>43</v>
      </c>
      <c r="I4142" s="187"/>
      <c r="J4142" s="187">
        <v>22.866</v>
      </c>
      <c r="K4142" s="187">
        <v>5022.0054910297285</v>
      </c>
      <c r="L4142" s="187">
        <v>5238</v>
      </c>
      <c r="M4142" s="187">
        <v>10282.87109375</v>
      </c>
      <c r="N4142" s="187">
        <v>5238</v>
      </c>
      <c r="O4142" t="s">
        <v>4600</v>
      </c>
    </row>
    <row r="4143" spans="1:15" hidden="1" x14ac:dyDescent="0.45">
      <c r="A4143" s="187">
        <v>2020</v>
      </c>
      <c r="B4143" t="s">
        <v>312</v>
      </c>
      <c r="C4143" t="s">
        <v>328</v>
      </c>
      <c r="D4143" t="s">
        <v>39</v>
      </c>
      <c r="E4143" t="s">
        <v>364</v>
      </c>
      <c r="F4143" t="s">
        <v>364</v>
      </c>
      <c r="G4143" t="s">
        <v>37</v>
      </c>
      <c r="H4143" t="s">
        <v>43</v>
      </c>
      <c r="I4143" s="187">
        <v>1424.9760897091321</v>
      </c>
      <c r="J4143" s="187">
        <v>736</v>
      </c>
      <c r="K4143" s="187">
        <v>4463.3460625048983</v>
      </c>
      <c r="L4143" s="187">
        <v>3252</v>
      </c>
      <c r="M4143" s="187">
        <v>9876.322265625</v>
      </c>
      <c r="N4143" s="187">
        <v>4676.97607421875</v>
      </c>
      <c r="O4143" t="s">
        <v>4601</v>
      </c>
    </row>
    <row r="4144" spans="1:15" hidden="1" x14ac:dyDescent="0.45">
      <c r="A4144" s="187">
        <v>2020</v>
      </c>
      <c r="B4144" t="s">
        <v>316</v>
      </c>
      <c r="C4144" t="s">
        <v>328</v>
      </c>
      <c r="D4144" t="s">
        <v>39</v>
      </c>
      <c r="E4144" t="s">
        <v>364</v>
      </c>
      <c r="F4144" t="s">
        <v>364</v>
      </c>
      <c r="G4144" t="s">
        <v>37</v>
      </c>
      <c r="H4144" t="s">
        <v>43</v>
      </c>
      <c r="I4144" s="187">
        <v>1757.6648299999999</v>
      </c>
      <c r="J4144" s="187">
        <v>803</v>
      </c>
      <c r="K4144" s="187">
        <v>4377.3236772849996</v>
      </c>
      <c r="L4144" s="187">
        <v>2901</v>
      </c>
      <c r="M4144" s="187">
        <v>9838.98828125</v>
      </c>
      <c r="N4144" s="187">
        <v>4658.6650390625</v>
      </c>
      <c r="O4144" t="s">
        <v>4603</v>
      </c>
    </row>
    <row r="4145" spans="1:15" hidden="1" x14ac:dyDescent="0.45">
      <c r="A4145" s="187">
        <v>2020</v>
      </c>
      <c r="B4145" t="s">
        <v>311</v>
      </c>
      <c r="C4145" t="s">
        <v>328</v>
      </c>
      <c r="D4145" t="s">
        <v>39</v>
      </c>
      <c r="E4145" t="s">
        <v>364</v>
      </c>
      <c r="F4145" t="s">
        <v>364</v>
      </c>
      <c r="G4145" t="s">
        <v>37</v>
      </c>
      <c r="H4145" t="s">
        <v>43</v>
      </c>
      <c r="I4145" s="187"/>
      <c r="J4145" s="187">
        <v>752</v>
      </c>
      <c r="K4145" s="187">
        <v>4220.6515007353501</v>
      </c>
      <c r="L4145" s="187">
        <v>11420</v>
      </c>
      <c r="M4145" s="187">
        <v>16392.65234375</v>
      </c>
      <c r="N4145" s="187">
        <v>11420</v>
      </c>
      <c r="O4145" t="s">
        <v>4602</v>
      </c>
    </row>
    <row r="4146" spans="1:15" hidden="1" x14ac:dyDescent="0.45">
      <c r="A4146" s="187">
        <v>2020</v>
      </c>
      <c r="B4146" t="s">
        <v>310</v>
      </c>
      <c r="C4146" t="s">
        <v>328</v>
      </c>
      <c r="D4146" t="s">
        <v>39</v>
      </c>
      <c r="E4146" t="s">
        <v>365</v>
      </c>
      <c r="F4146" t="s">
        <v>375</v>
      </c>
      <c r="G4146" t="s">
        <v>36</v>
      </c>
      <c r="H4146" t="s">
        <v>43</v>
      </c>
      <c r="I4146" s="187"/>
      <c r="J4146" s="187">
        <v>1950.9000574788979</v>
      </c>
      <c r="K4146" s="187">
        <v>17935.149752656482</v>
      </c>
      <c r="L4146" s="187">
        <v>23861.651985416294</v>
      </c>
      <c r="M4146" s="187">
        <v>43747.69921875</v>
      </c>
      <c r="N4146" s="187">
        <v>23861.65234375</v>
      </c>
      <c r="O4146" t="s">
        <v>4608</v>
      </c>
    </row>
    <row r="4147" spans="1:15" hidden="1" x14ac:dyDescent="0.45">
      <c r="A4147" s="187">
        <v>2020</v>
      </c>
      <c r="B4147" t="s">
        <v>309</v>
      </c>
      <c r="C4147" t="s">
        <v>328</v>
      </c>
      <c r="D4147" t="s">
        <v>39</v>
      </c>
      <c r="E4147" t="s">
        <v>365</v>
      </c>
      <c r="F4147" t="s">
        <v>375</v>
      </c>
      <c r="G4147" t="s">
        <v>36</v>
      </c>
      <c r="H4147" t="s">
        <v>43</v>
      </c>
      <c r="I4147" s="187"/>
      <c r="J4147" s="187">
        <v>1681.8369788566911</v>
      </c>
      <c r="K4147" s="187">
        <v>18874.175233876813</v>
      </c>
      <c r="L4147" s="187">
        <v>25625.3829767159</v>
      </c>
      <c r="M4147" s="187">
        <v>46181.39453125</v>
      </c>
      <c r="N4147" s="187">
        <v>25625.3828125</v>
      </c>
      <c r="O4147" t="s">
        <v>4605</v>
      </c>
    </row>
    <row r="4148" spans="1:15" hidden="1" x14ac:dyDescent="0.45">
      <c r="A4148" s="187">
        <v>2020</v>
      </c>
      <c r="B4148" t="s">
        <v>316</v>
      </c>
      <c r="C4148" t="s">
        <v>328</v>
      </c>
      <c r="D4148" t="s">
        <v>39</v>
      </c>
      <c r="E4148" t="s">
        <v>365</v>
      </c>
      <c r="F4148" t="s">
        <v>375</v>
      </c>
      <c r="G4148" t="s">
        <v>36</v>
      </c>
      <c r="H4148" t="s">
        <v>43</v>
      </c>
      <c r="I4148" s="187">
        <v>8046.0746256320399</v>
      </c>
      <c r="J4148" s="187">
        <v>2448.906233730097</v>
      </c>
      <c r="K4148" s="187">
        <v>18369.656997685048</v>
      </c>
      <c r="L4148" s="187">
        <v>13722.547347289143</v>
      </c>
      <c r="M4148" s="187">
        <v>42587.18359375</v>
      </c>
      <c r="N4148" s="187">
        <v>21768.62109375</v>
      </c>
      <c r="O4148" t="s">
        <v>4612</v>
      </c>
    </row>
    <row r="4149" spans="1:15" hidden="1" x14ac:dyDescent="0.45">
      <c r="A4149" s="187">
        <v>2020</v>
      </c>
      <c r="B4149" t="s">
        <v>312</v>
      </c>
      <c r="C4149" t="s">
        <v>328</v>
      </c>
      <c r="D4149" t="s">
        <v>39</v>
      </c>
      <c r="E4149" t="s">
        <v>365</v>
      </c>
      <c r="F4149" t="s">
        <v>375</v>
      </c>
      <c r="G4149" t="s">
        <v>36</v>
      </c>
      <c r="H4149" t="s">
        <v>43</v>
      </c>
      <c r="I4149" s="187">
        <v>8228.0701755120845</v>
      </c>
      <c r="J4149" s="187">
        <v>1844.0190666388776</v>
      </c>
      <c r="K4149" s="187">
        <v>18905.126165786711</v>
      </c>
      <c r="L4149" s="187">
        <v>13656.178936901122</v>
      </c>
      <c r="M4149" s="187">
        <v>42633.39453125</v>
      </c>
      <c r="N4149" s="187">
        <v>21884.25</v>
      </c>
      <c r="O4149" t="s">
        <v>4607</v>
      </c>
    </row>
    <row r="4150" spans="1:15" hidden="1" x14ac:dyDescent="0.45">
      <c r="A4150" s="187">
        <v>2020</v>
      </c>
      <c r="B4150" t="s">
        <v>311</v>
      </c>
      <c r="C4150" t="s">
        <v>328</v>
      </c>
      <c r="D4150" t="s">
        <v>39</v>
      </c>
      <c r="E4150" t="s">
        <v>365</v>
      </c>
      <c r="F4150" t="s">
        <v>375</v>
      </c>
      <c r="G4150" t="s">
        <v>36</v>
      </c>
      <c r="H4150" t="s">
        <v>43</v>
      </c>
      <c r="I4150" s="187"/>
      <c r="J4150" s="187">
        <v>1852.4513341985032</v>
      </c>
      <c r="K4150" s="187">
        <v>18256.169792672867</v>
      </c>
      <c r="L4150" s="187">
        <v>21879.896890721942</v>
      </c>
      <c r="M4150" s="187">
        <v>41988.51953125</v>
      </c>
      <c r="N4150" s="187">
        <v>21879.896484375</v>
      </c>
      <c r="O4150" t="s">
        <v>4609</v>
      </c>
    </row>
    <row r="4151" spans="1:15" hidden="1" x14ac:dyDescent="0.45">
      <c r="A4151" s="187">
        <v>2020</v>
      </c>
      <c r="B4151" t="s">
        <v>313</v>
      </c>
      <c r="C4151" t="s">
        <v>328</v>
      </c>
      <c r="D4151" t="s">
        <v>39</v>
      </c>
      <c r="E4151" t="s">
        <v>365</v>
      </c>
      <c r="F4151" t="s">
        <v>375</v>
      </c>
      <c r="G4151" t="s">
        <v>36</v>
      </c>
      <c r="H4151" t="s">
        <v>43</v>
      </c>
      <c r="I4151" s="187">
        <v>9155.5941770167992</v>
      </c>
      <c r="J4151" s="187">
        <v>1825.714719832655</v>
      </c>
      <c r="K4151" s="187">
        <v>18659.766969649168</v>
      </c>
      <c r="L4151" s="187">
        <v>13434.97819456855</v>
      </c>
      <c r="M4151" s="187">
        <v>43076.0546875</v>
      </c>
      <c r="N4151" s="187">
        <v>22590.572265625</v>
      </c>
      <c r="O4151" t="s">
        <v>4611</v>
      </c>
    </row>
    <row r="4152" spans="1:15" hidden="1" x14ac:dyDescent="0.45">
      <c r="A4152" s="187">
        <v>2020</v>
      </c>
      <c r="B4152" t="s">
        <v>315</v>
      </c>
      <c r="C4152" t="s">
        <v>328</v>
      </c>
      <c r="D4152" t="s">
        <v>39</v>
      </c>
      <c r="E4152" t="s">
        <v>365</v>
      </c>
      <c r="F4152" t="s">
        <v>375</v>
      </c>
      <c r="G4152" t="s">
        <v>36</v>
      </c>
      <c r="H4152" t="s">
        <v>43</v>
      </c>
      <c r="I4152" s="187">
        <v>8996.5734016769584</v>
      </c>
      <c r="J4152" s="187">
        <v>1982.0761426434406</v>
      </c>
      <c r="K4152" s="187">
        <v>18464.036608883296</v>
      </c>
      <c r="L4152" s="187">
        <v>13384.144677653881</v>
      </c>
      <c r="M4152" s="187">
        <v>42826.83203125</v>
      </c>
      <c r="N4152" s="187">
        <v>22380.71875</v>
      </c>
      <c r="O4152" t="s">
        <v>4606</v>
      </c>
    </row>
    <row r="4153" spans="1:15" hidden="1" x14ac:dyDescent="0.45">
      <c r="A4153" s="187">
        <v>2020</v>
      </c>
      <c r="B4153" t="s">
        <v>314</v>
      </c>
      <c r="C4153" t="s">
        <v>328</v>
      </c>
      <c r="D4153" t="s">
        <v>39</v>
      </c>
      <c r="E4153" t="s">
        <v>365</v>
      </c>
      <c r="F4153" t="s">
        <v>375</v>
      </c>
      <c r="G4153" t="s">
        <v>36</v>
      </c>
      <c r="H4153" t="s">
        <v>43</v>
      </c>
      <c r="I4153" s="187">
        <v>9242.0880322747525</v>
      </c>
      <c r="J4153" s="187">
        <v>1836.4336286966882</v>
      </c>
      <c r="K4153" s="187">
        <v>18014.756147576096</v>
      </c>
      <c r="L4153" s="187">
        <v>12952.682627055252</v>
      </c>
      <c r="M4153" s="187">
        <v>42045.9609375</v>
      </c>
      <c r="N4153" s="187">
        <v>22194.771484375</v>
      </c>
      <c r="O4153" t="s">
        <v>4610</v>
      </c>
    </row>
    <row r="4154" spans="1:15" hidden="1" x14ac:dyDescent="0.45">
      <c r="A4154" s="187">
        <v>2020</v>
      </c>
      <c r="B4154" t="s">
        <v>316</v>
      </c>
      <c r="C4154" t="s">
        <v>328</v>
      </c>
      <c r="D4154" t="s">
        <v>39</v>
      </c>
      <c r="E4154" t="s">
        <v>365</v>
      </c>
      <c r="F4154" t="s">
        <v>375</v>
      </c>
      <c r="G4154" t="s">
        <v>37</v>
      </c>
      <c r="H4154" t="s">
        <v>43</v>
      </c>
      <c r="I4154" s="187">
        <v>7607.7579202668403</v>
      </c>
      <c r="J4154" s="187">
        <v>2315.5</v>
      </c>
      <c r="K4154" s="187">
        <v>17368.954430465001</v>
      </c>
      <c r="L4154" s="187">
        <v>12975</v>
      </c>
      <c r="M4154" s="187">
        <v>40267.2109375</v>
      </c>
      <c r="N4154" s="187">
        <v>20582.7578125</v>
      </c>
      <c r="O4154" t="s">
        <v>4618</v>
      </c>
    </row>
    <row r="4155" spans="1:15" hidden="1" x14ac:dyDescent="0.45">
      <c r="A4155" s="187">
        <v>2020</v>
      </c>
      <c r="B4155" t="s">
        <v>312</v>
      </c>
      <c r="C4155" t="s">
        <v>328</v>
      </c>
      <c r="D4155" t="s">
        <v>39</v>
      </c>
      <c r="E4155" t="s">
        <v>365</v>
      </c>
      <c r="F4155" t="s">
        <v>375</v>
      </c>
      <c r="G4155" t="s">
        <v>37</v>
      </c>
      <c r="H4155" t="s">
        <v>43</v>
      </c>
      <c r="I4155" s="187">
        <v>7550.1943924135849</v>
      </c>
      <c r="J4155" s="187">
        <v>1721</v>
      </c>
      <c r="K4155" s="187">
        <v>17590.191710018</v>
      </c>
      <c r="L4155" s="187">
        <v>12677</v>
      </c>
      <c r="M4155" s="187">
        <v>39538.38671875</v>
      </c>
      <c r="N4155" s="187">
        <v>20227.1953125</v>
      </c>
      <c r="O4155" t="s">
        <v>4613</v>
      </c>
    </row>
    <row r="4156" spans="1:15" hidden="1" x14ac:dyDescent="0.45">
      <c r="A4156" s="187">
        <v>2020</v>
      </c>
      <c r="B4156" t="s">
        <v>313</v>
      </c>
      <c r="C4156" t="s">
        <v>328</v>
      </c>
      <c r="D4156" t="s">
        <v>39</v>
      </c>
      <c r="E4156" t="s">
        <v>365</v>
      </c>
      <c r="F4156" t="s">
        <v>375</v>
      </c>
      <c r="G4156" t="s">
        <v>37</v>
      </c>
      <c r="H4156" t="s">
        <v>43</v>
      </c>
      <c r="I4156" s="187">
        <v>8496.4198981406171</v>
      </c>
      <c r="J4156" s="187">
        <v>1698</v>
      </c>
      <c r="K4156" s="187">
        <v>17276.149212710639</v>
      </c>
      <c r="L4156" s="187">
        <v>12504</v>
      </c>
      <c r="M4156" s="187">
        <v>39974.5703125</v>
      </c>
      <c r="N4156" s="187">
        <v>21000.419921875</v>
      </c>
      <c r="O4156" t="s">
        <v>4614</v>
      </c>
    </row>
    <row r="4157" spans="1:15" hidden="1" x14ac:dyDescent="0.45">
      <c r="A4157" s="187">
        <v>2020</v>
      </c>
      <c r="B4157" t="s">
        <v>309</v>
      </c>
      <c r="C4157" t="s">
        <v>328</v>
      </c>
      <c r="D4157" t="s">
        <v>39</v>
      </c>
      <c r="E4157" t="s">
        <v>365</v>
      </c>
      <c r="F4157" t="s">
        <v>375</v>
      </c>
      <c r="G4157" t="s">
        <v>37</v>
      </c>
      <c r="H4157" t="s">
        <v>43</v>
      </c>
      <c r="I4157" s="187"/>
      <c r="J4157" s="187">
        <v>1614.3396</v>
      </c>
      <c r="K4157" s="187">
        <v>18521.309357125661</v>
      </c>
      <c r="L4157" s="187">
        <v>26223</v>
      </c>
      <c r="M4157" s="187">
        <v>46358.6484375</v>
      </c>
      <c r="N4157" s="187">
        <v>26223</v>
      </c>
      <c r="O4157" t="s">
        <v>4619</v>
      </c>
    </row>
    <row r="4158" spans="1:15" hidden="1" x14ac:dyDescent="0.45">
      <c r="A4158" s="187">
        <v>2020</v>
      </c>
      <c r="B4158" t="s">
        <v>310</v>
      </c>
      <c r="C4158" t="s">
        <v>328</v>
      </c>
      <c r="D4158" t="s">
        <v>39</v>
      </c>
      <c r="E4158" t="s">
        <v>365</v>
      </c>
      <c r="F4158" t="s">
        <v>375</v>
      </c>
      <c r="G4158" t="s">
        <v>37</v>
      </c>
      <c r="H4158" t="s">
        <v>43</v>
      </c>
      <c r="I4158" s="187"/>
      <c r="J4158" s="187">
        <v>1885</v>
      </c>
      <c r="K4158" s="187">
        <v>17347.882314339069</v>
      </c>
      <c r="L4158" s="187">
        <v>23916</v>
      </c>
      <c r="M4158" s="187">
        <v>43148.8828125</v>
      </c>
      <c r="N4158" s="187">
        <v>23916</v>
      </c>
      <c r="O4158" t="s">
        <v>4617</v>
      </c>
    </row>
    <row r="4159" spans="1:15" hidden="1" x14ac:dyDescent="0.45">
      <c r="A4159" s="187">
        <v>2020</v>
      </c>
      <c r="B4159" t="s">
        <v>311</v>
      </c>
      <c r="C4159" t="s">
        <v>328</v>
      </c>
      <c r="D4159" t="s">
        <v>39</v>
      </c>
      <c r="E4159" t="s">
        <v>365</v>
      </c>
      <c r="F4159" t="s">
        <v>375</v>
      </c>
      <c r="G4159" t="s">
        <v>37</v>
      </c>
      <c r="H4159" t="s">
        <v>43</v>
      </c>
      <c r="I4159" s="187"/>
      <c r="J4159" s="187">
        <v>1758</v>
      </c>
      <c r="K4159" s="187">
        <v>17174.304395945848</v>
      </c>
      <c r="L4159" s="187">
        <v>21488</v>
      </c>
      <c r="M4159" s="187">
        <v>40420.3046875</v>
      </c>
      <c r="N4159" s="187">
        <v>21488</v>
      </c>
      <c r="O4159" t="s">
        <v>4620</v>
      </c>
    </row>
    <row r="4160" spans="1:15" hidden="1" x14ac:dyDescent="0.45">
      <c r="A4160" s="187">
        <v>2020</v>
      </c>
      <c r="B4160" t="s">
        <v>314</v>
      </c>
      <c r="C4160" t="s">
        <v>328</v>
      </c>
      <c r="D4160" t="s">
        <v>39</v>
      </c>
      <c r="E4160" t="s">
        <v>365</v>
      </c>
      <c r="F4160" t="s">
        <v>375</v>
      </c>
      <c r="G4160" t="s">
        <v>37</v>
      </c>
      <c r="H4160" t="s">
        <v>43</v>
      </c>
      <c r="I4160" s="187">
        <v>8668.8900818699985</v>
      </c>
      <c r="J4160" s="187">
        <v>1722</v>
      </c>
      <c r="K4160" s="187">
        <v>16918.685122552819</v>
      </c>
      <c r="L4160" s="187">
        <v>12478</v>
      </c>
      <c r="M4160" s="187">
        <v>39787.57421875</v>
      </c>
      <c r="N4160" s="187">
        <v>21146.890625</v>
      </c>
      <c r="O4160" t="s">
        <v>4616</v>
      </c>
    </row>
    <row r="4161" spans="1:15" hidden="1" x14ac:dyDescent="0.45">
      <c r="A4161" s="187">
        <v>2020</v>
      </c>
      <c r="B4161" t="s">
        <v>315</v>
      </c>
      <c r="C4161" t="s">
        <v>328</v>
      </c>
      <c r="D4161" t="s">
        <v>39</v>
      </c>
      <c r="E4161" t="s">
        <v>365</v>
      </c>
      <c r="F4161" t="s">
        <v>375</v>
      </c>
      <c r="G4161" t="s">
        <v>37</v>
      </c>
      <c r="H4161" t="s">
        <v>43</v>
      </c>
      <c r="I4161" s="187">
        <v>8496.4128999999994</v>
      </c>
      <c r="J4161" s="187">
        <v>1835</v>
      </c>
      <c r="K4161" s="187">
        <v>17410.291922268068</v>
      </c>
      <c r="L4161" s="187">
        <v>12685</v>
      </c>
      <c r="M4161" s="187">
        <v>40426.703125</v>
      </c>
      <c r="N4161" s="187">
        <v>21181.4140625</v>
      </c>
      <c r="O4161" t="s">
        <v>4615</v>
      </c>
    </row>
    <row r="4162" spans="1:15" hidden="1" x14ac:dyDescent="0.45">
      <c r="A4162" s="187">
        <v>2020</v>
      </c>
      <c r="B4162" t="s">
        <v>34</v>
      </c>
      <c r="C4162" t="s">
        <v>329</v>
      </c>
      <c r="D4162" t="s">
        <v>39</v>
      </c>
      <c r="E4162" t="s">
        <v>349</v>
      </c>
      <c r="F4162" t="s">
        <v>349</v>
      </c>
      <c r="G4162" t="s">
        <v>36</v>
      </c>
      <c r="H4162" t="s">
        <v>43</v>
      </c>
      <c r="I4162" s="187">
        <v>0</v>
      </c>
      <c r="J4162" s="187">
        <v>11.633758544921875</v>
      </c>
      <c r="K4162" s="187">
        <v>3125.250732421875</v>
      </c>
      <c r="L4162" s="187">
        <v>0</v>
      </c>
      <c r="M4162" s="187">
        <v>3136.884521484375</v>
      </c>
      <c r="N4162" s="187">
        <v>0</v>
      </c>
      <c r="O4162" t="s">
        <v>4621</v>
      </c>
    </row>
    <row r="4163" spans="1:15" hidden="1" x14ac:dyDescent="0.45">
      <c r="A4163" s="187">
        <v>2020</v>
      </c>
      <c r="B4163" t="s">
        <v>34</v>
      </c>
      <c r="C4163" t="s">
        <v>329</v>
      </c>
      <c r="D4163" t="s">
        <v>39</v>
      </c>
      <c r="E4163" t="s">
        <v>349</v>
      </c>
      <c r="F4163" t="s">
        <v>349</v>
      </c>
      <c r="G4163" t="s">
        <v>37</v>
      </c>
      <c r="H4163" t="s">
        <v>43</v>
      </c>
      <c r="I4163" s="187">
        <v>0</v>
      </c>
      <c r="J4163" s="187">
        <v>11</v>
      </c>
      <c r="K4163" s="187">
        <v>2955</v>
      </c>
      <c r="L4163" s="187">
        <v>0</v>
      </c>
      <c r="M4163" s="187">
        <v>2966</v>
      </c>
      <c r="N4163" s="187">
        <v>0</v>
      </c>
      <c r="O4163" t="s">
        <v>4622</v>
      </c>
    </row>
    <row r="4164" spans="1:15" hidden="1" x14ac:dyDescent="0.45">
      <c r="A4164" s="187">
        <v>2020</v>
      </c>
      <c r="B4164" t="s">
        <v>34</v>
      </c>
      <c r="C4164" t="s">
        <v>329</v>
      </c>
      <c r="D4164" t="s">
        <v>39</v>
      </c>
      <c r="E4164" t="s">
        <v>21</v>
      </c>
      <c r="F4164" t="s">
        <v>21</v>
      </c>
      <c r="G4164" t="s">
        <v>36</v>
      </c>
      <c r="H4164" t="s">
        <v>43</v>
      </c>
      <c r="I4164" s="187">
        <v>2756.333984375</v>
      </c>
      <c r="J4164" s="187">
        <v>1060.7872314453125</v>
      </c>
      <c r="K4164" s="187">
        <v>7410.70458984375</v>
      </c>
      <c r="L4164" s="187">
        <v>5228.845703125</v>
      </c>
      <c r="M4164" s="187">
        <v>16456.671875</v>
      </c>
      <c r="N4164" s="187">
        <v>7985.1796875</v>
      </c>
      <c r="O4164" t="s">
        <v>4623</v>
      </c>
    </row>
    <row r="4165" spans="1:15" hidden="1" x14ac:dyDescent="0.45">
      <c r="A4165" s="187">
        <v>2020</v>
      </c>
      <c r="B4165" t="s">
        <v>34</v>
      </c>
      <c r="C4165" t="s">
        <v>329</v>
      </c>
      <c r="D4165" t="s">
        <v>39</v>
      </c>
      <c r="E4165" t="s">
        <v>21</v>
      </c>
      <c r="F4165" t="s">
        <v>21</v>
      </c>
      <c r="G4165" t="s">
        <v>37</v>
      </c>
      <c r="H4165" t="s">
        <v>43</v>
      </c>
      <c r="I4165" s="187">
        <v>2606.1803719701452</v>
      </c>
      <c r="J4165" s="187">
        <v>1003</v>
      </c>
      <c r="K4165" s="187">
        <v>7007</v>
      </c>
      <c r="L4165" s="187">
        <v>4944</v>
      </c>
      <c r="M4165" s="187">
        <v>15560.1806640625</v>
      </c>
      <c r="N4165" s="187">
        <v>7550.1806640625</v>
      </c>
      <c r="O4165" t="s">
        <v>4624</v>
      </c>
    </row>
    <row r="4166" spans="1:15" hidden="1" x14ac:dyDescent="0.45">
      <c r="A4166" s="187">
        <v>2020</v>
      </c>
      <c r="B4166" t="s">
        <v>34</v>
      </c>
      <c r="C4166" t="s">
        <v>329</v>
      </c>
      <c r="D4166" t="s">
        <v>39</v>
      </c>
      <c r="E4166" t="s">
        <v>40</v>
      </c>
      <c r="F4166" t="s">
        <v>40</v>
      </c>
      <c r="G4166" t="s">
        <v>36</v>
      </c>
      <c r="H4166" t="s">
        <v>43</v>
      </c>
      <c r="I4166" s="187">
        <v>3966.99853515625</v>
      </c>
      <c r="J4166" s="187">
        <v>548.90191650390625</v>
      </c>
      <c r="K4166" s="187">
        <v>6897.76123046875</v>
      </c>
      <c r="L4166" s="187">
        <v>5539.78466796875</v>
      </c>
      <c r="M4166" s="187">
        <v>16953.447265625</v>
      </c>
      <c r="N4166" s="187">
        <v>9506.783203125</v>
      </c>
      <c r="O4166" t="s">
        <v>4625</v>
      </c>
    </row>
    <row r="4167" spans="1:15" hidden="1" x14ac:dyDescent="0.45">
      <c r="A4167" s="187">
        <v>2020</v>
      </c>
      <c r="B4167" t="s">
        <v>34</v>
      </c>
      <c r="C4167" t="s">
        <v>329</v>
      </c>
      <c r="D4167" t="s">
        <v>39</v>
      </c>
      <c r="E4167" t="s">
        <v>40</v>
      </c>
      <c r="F4167" t="s">
        <v>40</v>
      </c>
      <c r="G4167" t="s">
        <v>37</v>
      </c>
      <c r="H4167" t="s">
        <v>43</v>
      </c>
      <c r="I4167" s="187">
        <v>3750.89284</v>
      </c>
      <c r="J4167" s="187">
        <v>519</v>
      </c>
      <c r="K4167" s="187">
        <v>6522</v>
      </c>
      <c r="L4167" s="187">
        <v>5238</v>
      </c>
      <c r="M4167" s="187">
        <v>16029.892578125</v>
      </c>
      <c r="N4167" s="187">
        <v>8988.892578125</v>
      </c>
      <c r="O4167" t="s">
        <v>4626</v>
      </c>
    </row>
    <row r="4168" spans="1:15" hidden="1" x14ac:dyDescent="0.45">
      <c r="A4168" s="187">
        <v>2020</v>
      </c>
      <c r="B4168" t="s">
        <v>34</v>
      </c>
      <c r="C4168" t="s">
        <v>329</v>
      </c>
      <c r="D4168" t="s">
        <v>39</v>
      </c>
      <c r="E4168" t="s">
        <v>41</v>
      </c>
      <c r="F4168" t="s">
        <v>41</v>
      </c>
      <c r="G4168" t="s">
        <v>36</v>
      </c>
      <c r="H4168" t="s">
        <v>43</v>
      </c>
      <c r="I4168" s="187">
        <v>4878.751953125</v>
      </c>
      <c r="J4168" s="187">
        <v>1895.2451171875</v>
      </c>
      <c r="K4168" s="187">
        <v>12082.1875</v>
      </c>
      <c r="L4168" s="187">
        <v>8307.5615234375</v>
      </c>
      <c r="M4168" s="187">
        <v>27163.74609375</v>
      </c>
      <c r="N4168" s="187">
        <v>13186.3134765625</v>
      </c>
      <c r="O4168" t="s">
        <v>4627</v>
      </c>
    </row>
    <row r="4169" spans="1:15" hidden="1" x14ac:dyDescent="0.45">
      <c r="A4169" s="187">
        <v>2020</v>
      </c>
      <c r="B4169" t="s">
        <v>34</v>
      </c>
      <c r="C4169" t="s">
        <v>329</v>
      </c>
      <c r="D4169" t="s">
        <v>39</v>
      </c>
      <c r="E4169" t="s">
        <v>41</v>
      </c>
      <c r="F4169" t="s">
        <v>41</v>
      </c>
      <c r="G4169" t="s">
        <v>37</v>
      </c>
      <c r="H4169" t="s">
        <v>43</v>
      </c>
      <c r="I4169" s="187">
        <v>4612.9779519701451</v>
      </c>
      <c r="J4169" s="187">
        <v>1792</v>
      </c>
      <c r="K4169" s="187">
        <v>11424</v>
      </c>
      <c r="L4169" s="187">
        <v>7855</v>
      </c>
      <c r="M4169" s="187">
        <v>25683.978515625</v>
      </c>
      <c r="N4169" s="187">
        <v>12467.978515625</v>
      </c>
      <c r="O4169" t="s">
        <v>4628</v>
      </c>
    </row>
    <row r="4170" spans="1:15" hidden="1" x14ac:dyDescent="0.45">
      <c r="A4170" s="187">
        <v>2020</v>
      </c>
      <c r="B4170" t="s">
        <v>34</v>
      </c>
      <c r="C4170" t="s">
        <v>329</v>
      </c>
      <c r="D4170" t="s">
        <v>39</v>
      </c>
      <c r="E4170" t="s">
        <v>362</v>
      </c>
      <c r="F4170" t="s">
        <v>362</v>
      </c>
      <c r="G4170" t="s">
        <v>36</v>
      </c>
      <c r="H4170" t="s">
        <v>43</v>
      </c>
      <c r="I4170" s="187">
        <v>989.6126708984375</v>
      </c>
      <c r="J4170" s="187">
        <v>74.033012390136719</v>
      </c>
      <c r="K4170" s="187">
        <v>3101.983154296875</v>
      </c>
      <c r="L4170" s="187">
        <v>3186.59228515625</v>
      </c>
      <c r="M4170" s="187">
        <v>7352.22119140625</v>
      </c>
      <c r="N4170" s="187">
        <v>4176.205078125</v>
      </c>
      <c r="O4170" t="s">
        <v>4629</v>
      </c>
    </row>
    <row r="4171" spans="1:15" hidden="1" x14ac:dyDescent="0.45">
      <c r="A4171" s="187">
        <v>2020</v>
      </c>
      <c r="B4171" t="s">
        <v>34</v>
      </c>
      <c r="C4171" t="s">
        <v>329</v>
      </c>
      <c r="D4171" t="s">
        <v>39</v>
      </c>
      <c r="E4171" t="s">
        <v>362</v>
      </c>
      <c r="F4171" t="s">
        <v>362</v>
      </c>
      <c r="G4171" t="s">
        <v>37</v>
      </c>
      <c r="H4171" t="s">
        <v>43</v>
      </c>
      <c r="I4171" s="187">
        <v>935.70270999999991</v>
      </c>
      <c r="J4171" s="187">
        <v>70</v>
      </c>
      <c r="K4171" s="187">
        <v>2933</v>
      </c>
      <c r="L4171" s="187">
        <v>3013</v>
      </c>
      <c r="M4171" s="187">
        <v>6951.70263671875</v>
      </c>
      <c r="N4171" s="187">
        <v>3948.70263671875</v>
      </c>
      <c r="O4171" t="s">
        <v>4630</v>
      </c>
    </row>
    <row r="4172" spans="1:15" hidden="1" x14ac:dyDescent="0.45">
      <c r="A4172" s="187">
        <v>2020</v>
      </c>
      <c r="B4172" t="s">
        <v>34</v>
      </c>
      <c r="C4172" t="s">
        <v>329</v>
      </c>
      <c r="D4172" t="s">
        <v>39</v>
      </c>
      <c r="E4172" t="s">
        <v>363</v>
      </c>
      <c r="F4172" t="s">
        <v>363</v>
      </c>
      <c r="G4172" t="s">
        <v>36</v>
      </c>
      <c r="H4172" t="s">
        <v>43</v>
      </c>
      <c r="I4172" s="187">
        <v>2977.3857421875</v>
      </c>
      <c r="J4172" s="187">
        <v>463.23513793945313</v>
      </c>
      <c r="K4172" s="187">
        <v>670.52752685546875</v>
      </c>
      <c r="L4172" s="187">
        <v>2353.192138671875</v>
      </c>
      <c r="M4172" s="187">
        <v>6464.3408203125</v>
      </c>
      <c r="N4172" s="187">
        <v>5330.578125</v>
      </c>
      <c r="O4172" t="s">
        <v>4631</v>
      </c>
    </row>
    <row r="4173" spans="1:15" hidden="1" x14ac:dyDescent="0.45">
      <c r="A4173" s="187">
        <v>2020</v>
      </c>
      <c r="B4173" t="s">
        <v>34</v>
      </c>
      <c r="C4173" t="s">
        <v>329</v>
      </c>
      <c r="D4173" t="s">
        <v>39</v>
      </c>
      <c r="E4173" t="s">
        <v>363</v>
      </c>
      <c r="F4173" t="s">
        <v>363</v>
      </c>
      <c r="G4173" t="s">
        <v>37</v>
      </c>
      <c r="H4173" t="s">
        <v>43</v>
      </c>
      <c r="I4173" s="187">
        <v>2815.19013</v>
      </c>
      <c r="J4173" s="187">
        <v>438</v>
      </c>
      <c r="K4173" s="187">
        <v>634</v>
      </c>
      <c r="L4173" s="187">
        <v>2225</v>
      </c>
      <c r="M4173" s="187">
        <v>6112.1904296875</v>
      </c>
      <c r="N4173" s="187">
        <v>5040.1904296875</v>
      </c>
      <c r="O4173" t="s">
        <v>4632</v>
      </c>
    </row>
    <row r="4174" spans="1:15" hidden="1" x14ac:dyDescent="0.45">
      <c r="A4174" s="187">
        <v>2020</v>
      </c>
      <c r="B4174" t="s">
        <v>34</v>
      </c>
      <c r="C4174" t="s">
        <v>329</v>
      </c>
      <c r="D4174" t="s">
        <v>39</v>
      </c>
      <c r="E4174" t="s">
        <v>364</v>
      </c>
      <c r="F4174" t="s">
        <v>364</v>
      </c>
      <c r="G4174" t="s">
        <v>36</v>
      </c>
      <c r="H4174" t="s">
        <v>43</v>
      </c>
      <c r="I4174" s="187">
        <v>2122.418212890625</v>
      </c>
      <c r="J4174" s="187">
        <v>834.457763671875</v>
      </c>
      <c r="K4174" s="187">
        <v>4671.48291015625</v>
      </c>
      <c r="L4174" s="187">
        <v>3078.715576171875</v>
      </c>
      <c r="M4174" s="187">
        <v>10707.07421875</v>
      </c>
      <c r="N4174" s="187">
        <v>5201.1337890625</v>
      </c>
      <c r="O4174" t="s">
        <v>4633</v>
      </c>
    </row>
    <row r="4175" spans="1:15" hidden="1" x14ac:dyDescent="0.45">
      <c r="A4175" s="187">
        <v>2020</v>
      </c>
      <c r="B4175" t="s">
        <v>34</v>
      </c>
      <c r="C4175" t="s">
        <v>329</v>
      </c>
      <c r="D4175" t="s">
        <v>39</v>
      </c>
      <c r="E4175" t="s">
        <v>364</v>
      </c>
      <c r="F4175" t="s">
        <v>364</v>
      </c>
      <c r="G4175" t="s">
        <v>37</v>
      </c>
      <c r="H4175" t="s">
        <v>43</v>
      </c>
      <c r="I4175" s="187">
        <v>2006.7975799999999</v>
      </c>
      <c r="J4175" s="187">
        <v>789</v>
      </c>
      <c r="K4175" s="187">
        <v>4417</v>
      </c>
      <c r="L4175" s="187">
        <v>2911</v>
      </c>
      <c r="M4175" s="187">
        <v>10123.7978515625</v>
      </c>
      <c r="N4175" s="187">
        <v>4917.7978515625</v>
      </c>
      <c r="O4175" t="s">
        <v>4634</v>
      </c>
    </row>
    <row r="4176" spans="1:15" hidden="1" x14ac:dyDescent="0.45">
      <c r="A4176" s="187">
        <v>2020</v>
      </c>
      <c r="B4176" t="s">
        <v>34</v>
      </c>
      <c r="C4176" t="s">
        <v>329</v>
      </c>
      <c r="D4176" t="s">
        <v>39</v>
      </c>
      <c r="E4176" t="s">
        <v>365</v>
      </c>
      <c r="F4176" t="s">
        <v>375</v>
      </c>
      <c r="G4176" t="s">
        <v>36</v>
      </c>
      <c r="H4176" t="s">
        <v>43</v>
      </c>
      <c r="I4176" s="187">
        <v>8845.7509765625</v>
      </c>
      <c r="J4176" s="187">
        <v>2444.14697265625</v>
      </c>
      <c r="K4176" s="187">
        <v>18979.94921875</v>
      </c>
      <c r="L4176" s="187">
        <v>13847.345703125</v>
      </c>
      <c r="M4176" s="187">
        <v>44117.1953125</v>
      </c>
      <c r="N4176" s="187">
        <v>22693.09765625</v>
      </c>
      <c r="O4176" t="s">
        <v>4635</v>
      </c>
    </row>
    <row r="4177" spans="1:15" hidden="1" x14ac:dyDescent="0.45">
      <c r="A4177" s="187">
        <v>2020</v>
      </c>
      <c r="B4177" t="s">
        <v>34</v>
      </c>
      <c r="C4177" t="s">
        <v>329</v>
      </c>
      <c r="D4177" t="s">
        <v>39</v>
      </c>
      <c r="E4177" t="s">
        <v>365</v>
      </c>
      <c r="F4177" t="s">
        <v>375</v>
      </c>
      <c r="G4177" t="s">
        <v>37</v>
      </c>
      <c r="H4177" t="s">
        <v>43</v>
      </c>
      <c r="I4177" s="187">
        <v>8363.8707919701446</v>
      </c>
      <c r="J4177" s="187">
        <v>2311</v>
      </c>
      <c r="K4177" s="187">
        <v>17946</v>
      </c>
      <c r="L4177" s="187">
        <v>13093</v>
      </c>
      <c r="M4177" s="187">
        <v>41713.87109375</v>
      </c>
      <c r="N4177" s="187">
        <v>21456.87109375</v>
      </c>
      <c r="O4177" t="s">
        <v>4636</v>
      </c>
    </row>
    <row r="4178" spans="1:15" hidden="1" x14ac:dyDescent="0.45">
      <c r="A4178" s="187">
        <v>2020</v>
      </c>
      <c r="B4178" t="s">
        <v>34</v>
      </c>
      <c r="C4178" t="s">
        <v>320</v>
      </c>
      <c r="D4178" t="s">
        <v>336</v>
      </c>
      <c r="E4178" t="s">
        <v>102</v>
      </c>
      <c r="F4178" t="s">
        <v>19</v>
      </c>
      <c r="G4178" t="s">
        <v>36</v>
      </c>
      <c r="H4178" t="s">
        <v>43</v>
      </c>
      <c r="I4178" s="187">
        <v>1085.570068359375</v>
      </c>
      <c r="J4178" s="187">
        <v>0</v>
      </c>
      <c r="K4178" s="187">
        <v>0</v>
      </c>
      <c r="L4178" s="187">
        <v>0</v>
      </c>
      <c r="M4178" s="187">
        <v>1085.570068359375</v>
      </c>
      <c r="N4178" s="187">
        <v>1085.570068359375</v>
      </c>
      <c r="O4178" t="s">
        <v>4637</v>
      </c>
    </row>
    <row r="4179" spans="1:15" hidden="1" x14ac:dyDescent="0.45">
      <c r="A4179" s="187">
        <v>2020</v>
      </c>
      <c r="B4179" t="s">
        <v>34</v>
      </c>
      <c r="C4179" t="s">
        <v>320</v>
      </c>
      <c r="D4179" t="s">
        <v>336</v>
      </c>
      <c r="E4179" t="s">
        <v>102</v>
      </c>
      <c r="F4179" t="s">
        <v>19</v>
      </c>
      <c r="G4179" t="s">
        <v>37</v>
      </c>
      <c r="H4179" t="s">
        <v>43</v>
      </c>
      <c r="I4179" s="187">
        <v>1016.0759887695313</v>
      </c>
      <c r="J4179" s="187">
        <v>0</v>
      </c>
      <c r="K4179" s="187">
        <v>0</v>
      </c>
      <c r="L4179" s="187">
        <v>0</v>
      </c>
      <c r="M4179" s="187">
        <v>1016.0759887695313</v>
      </c>
      <c r="N4179" s="187">
        <v>1016.0759887695313</v>
      </c>
      <c r="O4179" t="s">
        <v>4638</v>
      </c>
    </row>
    <row r="4180" spans="1:15" hidden="1" x14ac:dyDescent="0.45">
      <c r="A4180" s="187">
        <v>2020</v>
      </c>
      <c r="B4180" t="s">
        <v>34</v>
      </c>
      <c r="C4180" t="s">
        <v>320</v>
      </c>
      <c r="D4180" t="s">
        <v>336</v>
      </c>
      <c r="E4180" t="s">
        <v>102</v>
      </c>
      <c r="F4180" t="s">
        <v>450</v>
      </c>
      <c r="G4180" t="s">
        <v>36</v>
      </c>
      <c r="H4180" t="s">
        <v>43</v>
      </c>
      <c r="I4180" s="187">
        <v>4486.2158203125</v>
      </c>
      <c r="J4180" s="187">
        <v>0</v>
      </c>
      <c r="K4180" s="187">
        <v>0</v>
      </c>
      <c r="L4180" s="187">
        <v>0</v>
      </c>
      <c r="M4180" s="187">
        <v>4486.2158203125</v>
      </c>
      <c r="N4180" s="187">
        <v>4486.2158203125</v>
      </c>
      <c r="O4180" t="s">
        <v>4639</v>
      </c>
    </row>
    <row r="4181" spans="1:15" hidden="1" x14ac:dyDescent="0.45">
      <c r="A4181" s="187">
        <v>2020</v>
      </c>
      <c r="B4181" t="s">
        <v>34</v>
      </c>
      <c r="C4181" t="s">
        <v>320</v>
      </c>
      <c r="D4181" t="s">
        <v>336</v>
      </c>
      <c r="E4181" t="s">
        <v>102</v>
      </c>
      <c r="F4181" t="s">
        <v>450</v>
      </c>
      <c r="G4181" t="s">
        <v>37</v>
      </c>
      <c r="H4181" t="s">
        <v>43</v>
      </c>
      <c r="I4181" s="187">
        <v>4199.025390625</v>
      </c>
      <c r="J4181" s="187">
        <v>0</v>
      </c>
      <c r="K4181" s="187">
        <v>0</v>
      </c>
      <c r="L4181" s="187">
        <v>0</v>
      </c>
      <c r="M4181" s="187">
        <v>4199.025390625</v>
      </c>
      <c r="N4181" s="187">
        <v>4199.025390625</v>
      </c>
      <c r="O4181" t="s">
        <v>4640</v>
      </c>
    </row>
    <row r="4182" spans="1:15" hidden="1" x14ac:dyDescent="0.45">
      <c r="A4182" s="187">
        <v>2020</v>
      </c>
      <c r="B4182" t="s">
        <v>34</v>
      </c>
      <c r="C4182" t="s">
        <v>320</v>
      </c>
      <c r="D4182" t="s">
        <v>336</v>
      </c>
      <c r="E4182" t="s">
        <v>102</v>
      </c>
      <c r="F4182" t="s">
        <v>451</v>
      </c>
      <c r="G4182" t="s">
        <v>36</v>
      </c>
      <c r="H4182" t="s">
        <v>43</v>
      </c>
      <c r="I4182" s="187">
        <v>0</v>
      </c>
      <c r="J4182" s="187">
        <v>0</v>
      </c>
      <c r="K4182" s="187">
        <v>0</v>
      </c>
      <c r="L4182" s="187">
        <v>0</v>
      </c>
      <c r="M4182" s="187">
        <v>0</v>
      </c>
      <c r="N4182" s="187">
        <v>0</v>
      </c>
      <c r="O4182" t="s">
        <v>4641</v>
      </c>
    </row>
    <row r="4183" spans="1:15" hidden="1" x14ac:dyDescent="0.45">
      <c r="A4183" s="187">
        <v>2020</v>
      </c>
      <c r="B4183" t="s">
        <v>34</v>
      </c>
      <c r="C4183" t="s">
        <v>320</v>
      </c>
      <c r="D4183" t="s">
        <v>336</v>
      </c>
      <c r="E4183" t="s">
        <v>102</v>
      </c>
      <c r="F4183" t="s">
        <v>451</v>
      </c>
      <c r="G4183" t="s">
        <v>37</v>
      </c>
      <c r="H4183" t="s">
        <v>43</v>
      </c>
      <c r="I4183" s="187">
        <v>0</v>
      </c>
      <c r="J4183" s="187">
        <v>0</v>
      </c>
      <c r="K4183" s="187">
        <v>0</v>
      </c>
      <c r="L4183" s="187">
        <v>0</v>
      </c>
      <c r="M4183" s="187">
        <v>0</v>
      </c>
      <c r="N4183" s="187">
        <v>0</v>
      </c>
      <c r="O4183" t="s">
        <v>4642</v>
      </c>
    </row>
    <row r="4184" spans="1:15" hidden="1" x14ac:dyDescent="0.45">
      <c r="A4184" s="187">
        <v>2020</v>
      </c>
      <c r="B4184" t="s">
        <v>34</v>
      </c>
      <c r="C4184" t="s">
        <v>320</v>
      </c>
      <c r="D4184" t="s">
        <v>336</v>
      </c>
      <c r="E4184" t="s">
        <v>102</v>
      </c>
      <c r="F4184" t="s">
        <v>21</v>
      </c>
      <c r="G4184" t="s">
        <v>36</v>
      </c>
      <c r="H4184" t="s">
        <v>43</v>
      </c>
      <c r="I4184" s="187">
        <v>0</v>
      </c>
      <c r="J4184" s="187">
        <v>418.81063842773438</v>
      </c>
      <c r="K4184" s="187">
        <v>0</v>
      </c>
      <c r="L4184" s="187">
        <v>0</v>
      </c>
      <c r="M4184" s="187">
        <v>418.81063842773438</v>
      </c>
      <c r="N4184" s="187">
        <v>0</v>
      </c>
      <c r="O4184" t="s">
        <v>4643</v>
      </c>
    </row>
    <row r="4185" spans="1:15" hidden="1" x14ac:dyDescent="0.45">
      <c r="A4185" s="187">
        <v>2020</v>
      </c>
      <c r="B4185" t="s">
        <v>34</v>
      </c>
      <c r="C4185" t="s">
        <v>320</v>
      </c>
      <c r="D4185" t="s">
        <v>336</v>
      </c>
      <c r="E4185" t="s">
        <v>102</v>
      </c>
      <c r="F4185" t="s">
        <v>21</v>
      </c>
      <c r="G4185" t="s">
        <v>37</v>
      </c>
      <c r="H4185" t="s">
        <v>43</v>
      </c>
      <c r="I4185" s="187">
        <v>0</v>
      </c>
      <c r="J4185" s="187">
        <v>392</v>
      </c>
      <c r="K4185" s="187">
        <v>0</v>
      </c>
      <c r="L4185" s="187">
        <v>0</v>
      </c>
      <c r="M4185" s="187">
        <v>392</v>
      </c>
      <c r="N4185" s="187">
        <v>0</v>
      </c>
      <c r="O4185" t="s">
        <v>4644</v>
      </c>
    </row>
    <row r="4186" spans="1:15" hidden="1" x14ac:dyDescent="0.45">
      <c r="A4186" s="187">
        <v>2020</v>
      </c>
      <c r="B4186" t="s">
        <v>34</v>
      </c>
      <c r="C4186" t="s">
        <v>320</v>
      </c>
      <c r="D4186" t="s">
        <v>336</v>
      </c>
      <c r="E4186" t="s">
        <v>102</v>
      </c>
      <c r="F4186" t="s">
        <v>14</v>
      </c>
      <c r="G4186" t="s">
        <v>36</v>
      </c>
      <c r="H4186" t="s">
        <v>43</v>
      </c>
      <c r="I4186" s="187">
        <v>16343.3486328125</v>
      </c>
      <c r="J4186" s="187">
        <v>0</v>
      </c>
      <c r="K4186" s="187">
        <v>0</v>
      </c>
      <c r="L4186" s="187">
        <v>0</v>
      </c>
      <c r="M4186" s="187">
        <v>16343.3486328125</v>
      </c>
      <c r="N4186" s="187">
        <v>16343.3486328125</v>
      </c>
      <c r="O4186" t="s">
        <v>4645</v>
      </c>
    </row>
    <row r="4187" spans="1:15" hidden="1" x14ac:dyDescent="0.45">
      <c r="A4187" s="187">
        <v>2020</v>
      </c>
      <c r="B4187" t="s">
        <v>34</v>
      </c>
      <c r="C4187" t="s">
        <v>320</v>
      </c>
      <c r="D4187" t="s">
        <v>336</v>
      </c>
      <c r="E4187" t="s">
        <v>102</v>
      </c>
      <c r="F4187" t="s">
        <v>14</v>
      </c>
      <c r="G4187" t="s">
        <v>37</v>
      </c>
      <c r="H4187" t="s">
        <v>43</v>
      </c>
      <c r="I4187" s="187">
        <v>14837.978515625</v>
      </c>
      <c r="J4187" s="187">
        <v>0</v>
      </c>
      <c r="K4187" s="187">
        <v>0</v>
      </c>
      <c r="L4187" s="187">
        <v>0</v>
      </c>
      <c r="M4187" s="187">
        <v>14837.978515625</v>
      </c>
      <c r="N4187" s="187">
        <v>14837.978515625</v>
      </c>
      <c r="O4187" t="s">
        <v>4646</v>
      </c>
    </row>
    <row r="4188" spans="1:15" hidden="1" x14ac:dyDescent="0.45">
      <c r="A4188" s="187">
        <v>2020</v>
      </c>
      <c r="B4188" t="s">
        <v>34</v>
      </c>
      <c r="C4188" t="s">
        <v>320</v>
      </c>
      <c r="D4188" t="s">
        <v>336</v>
      </c>
      <c r="E4188" t="s">
        <v>102</v>
      </c>
      <c r="F4188" t="s">
        <v>16</v>
      </c>
      <c r="G4188" t="s">
        <v>36</v>
      </c>
      <c r="H4188" t="s">
        <v>43</v>
      </c>
      <c r="I4188" s="187">
        <v>8885.013671875</v>
      </c>
      <c r="J4188" s="187">
        <v>0</v>
      </c>
      <c r="K4188" s="187">
        <v>0</v>
      </c>
      <c r="L4188" s="187">
        <v>0</v>
      </c>
      <c r="M4188" s="187">
        <v>8885.013671875</v>
      </c>
      <c r="N4188" s="187">
        <v>8885.013671875</v>
      </c>
      <c r="O4188" t="s">
        <v>4647</v>
      </c>
    </row>
    <row r="4189" spans="1:15" hidden="1" x14ac:dyDescent="0.45">
      <c r="A4189" s="187">
        <v>2020</v>
      </c>
      <c r="B4189" t="s">
        <v>34</v>
      </c>
      <c r="C4189" t="s">
        <v>320</v>
      </c>
      <c r="D4189" t="s">
        <v>336</v>
      </c>
      <c r="E4189" t="s">
        <v>102</v>
      </c>
      <c r="F4189" t="s">
        <v>16</v>
      </c>
      <c r="G4189" t="s">
        <v>37</v>
      </c>
      <c r="H4189" t="s">
        <v>43</v>
      </c>
      <c r="I4189" s="187">
        <v>8316.2294921875</v>
      </c>
      <c r="J4189" s="187">
        <v>0</v>
      </c>
      <c r="K4189" s="187">
        <v>0</v>
      </c>
      <c r="L4189" s="187">
        <v>0</v>
      </c>
      <c r="M4189" s="187">
        <v>8316.2294921875</v>
      </c>
      <c r="N4189" s="187">
        <v>8316.2294921875</v>
      </c>
      <c r="O4189" t="s">
        <v>4648</v>
      </c>
    </row>
    <row r="4190" spans="1:15" hidden="1" x14ac:dyDescent="0.45">
      <c r="A4190" s="187">
        <v>2020</v>
      </c>
      <c r="B4190" t="s">
        <v>34</v>
      </c>
      <c r="C4190" t="s">
        <v>320</v>
      </c>
      <c r="D4190" t="s">
        <v>336</v>
      </c>
      <c r="E4190" t="s">
        <v>102</v>
      </c>
      <c r="F4190" t="s">
        <v>351</v>
      </c>
      <c r="G4190" t="s">
        <v>36</v>
      </c>
      <c r="H4190" t="s">
        <v>43</v>
      </c>
      <c r="I4190" s="187">
        <v>0</v>
      </c>
      <c r="J4190" s="187">
        <v>0</v>
      </c>
      <c r="K4190" s="187">
        <v>0</v>
      </c>
      <c r="L4190" s="187">
        <v>0</v>
      </c>
      <c r="M4190" s="187">
        <v>0</v>
      </c>
      <c r="N4190" s="187">
        <v>0</v>
      </c>
      <c r="O4190" t="s">
        <v>4649</v>
      </c>
    </row>
    <row r="4191" spans="1:15" hidden="1" x14ac:dyDescent="0.45">
      <c r="A4191" s="187">
        <v>2020</v>
      </c>
      <c r="B4191" t="s">
        <v>34</v>
      </c>
      <c r="C4191" t="s">
        <v>320</v>
      </c>
      <c r="D4191" t="s">
        <v>336</v>
      </c>
      <c r="E4191" t="s">
        <v>102</v>
      </c>
      <c r="F4191" t="s">
        <v>351</v>
      </c>
      <c r="G4191" t="s">
        <v>37</v>
      </c>
      <c r="H4191" t="s">
        <v>43</v>
      </c>
      <c r="I4191" s="187">
        <v>0</v>
      </c>
      <c r="J4191" s="187">
        <v>0</v>
      </c>
      <c r="K4191" s="187">
        <v>0</v>
      </c>
      <c r="L4191" s="187">
        <v>0</v>
      </c>
      <c r="M4191" s="187">
        <v>0</v>
      </c>
      <c r="N4191" s="187">
        <v>0</v>
      </c>
      <c r="O4191" t="s">
        <v>4650</v>
      </c>
    </row>
    <row r="4192" spans="1:15" hidden="1" x14ac:dyDescent="0.45">
      <c r="A4192" s="187">
        <v>2020</v>
      </c>
      <c r="B4192" t="s">
        <v>34</v>
      </c>
      <c r="C4192" t="s">
        <v>320</v>
      </c>
      <c r="D4192" t="s">
        <v>336</v>
      </c>
      <c r="E4192" t="s">
        <v>102</v>
      </c>
      <c r="F4192" t="s">
        <v>382</v>
      </c>
      <c r="G4192" t="s">
        <v>36</v>
      </c>
      <c r="H4192" t="s">
        <v>43</v>
      </c>
      <c r="I4192" s="187">
        <v>15852.814453125</v>
      </c>
      <c r="J4192" s="187">
        <v>0</v>
      </c>
      <c r="K4192" s="187">
        <v>0</v>
      </c>
      <c r="L4192" s="187">
        <v>0</v>
      </c>
      <c r="M4192" s="187">
        <v>15852.814453125</v>
      </c>
      <c r="N4192" s="187">
        <v>15852.814453125</v>
      </c>
      <c r="O4192" t="s">
        <v>4651</v>
      </c>
    </row>
    <row r="4193" spans="1:15" hidden="1" x14ac:dyDescent="0.45">
      <c r="A4193" s="187">
        <v>2020</v>
      </c>
      <c r="B4193" t="s">
        <v>34</v>
      </c>
      <c r="C4193" t="s">
        <v>320</v>
      </c>
      <c r="D4193" t="s">
        <v>336</v>
      </c>
      <c r="E4193" t="s">
        <v>102</v>
      </c>
      <c r="F4193" t="s">
        <v>382</v>
      </c>
      <c r="G4193" t="s">
        <v>37</v>
      </c>
      <c r="H4193" t="s">
        <v>43</v>
      </c>
      <c r="I4193" s="187">
        <v>14837.978515625</v>
      </c>
      <c r="J4193" s="187">
        <v>0</v>
      </c>
      <c r="K4193" s="187">
        <v>0</v>
      </c>
      <c r="L4193" s="187">
        <v>0</v>
      </c>
      <c r="M4193" s="187">
        <v>14837.978515625</v>
      </c>
      <c r="N4193" s="187">
        <v>14837.978515625</v>
      </c>
      <c r="O4193" t="s">
        <v>4652</v>
      </c>
    </row>
    <row r="4194" spans="1:15" hidden="1" x14ac:dyDescent="0.45">
      <c r="A4194" s="187">
        <v>2020</v>
      </c>
      <c r="B4194" t="s">
        <v>34</v>
      </c>
      <c r="C4194" t="s">
        <v>320</v>
      </c>
      <c r="D4194" t="s">
        <v>336</v>
      </c>
      <c r="E4194" t="s">
        <v>102</v>
      </c>
      <c r="F4194" t="s">
        <v>384</v>
      </c>
      <c r="G4194" t="s">
        <v>36</v>
      </c>
      <c r="H4194" t="s">
        <v>43</v>
      </c>
      <c r="I4194" s="187">
        <v>0</v>
      </c>
      <c r="J4194" s="187">
        <v>0</v>
      </c>
      <c r="K4194" s="187">
        <v>0</v>
      </c>
      <c r="L4194" s="187">
        <v>0</v>
      </c>
      <c r="M4194" s="187">
        <v>0</v>
      </c>
      <c r="N4194" s="187">
        <v>0</v>
      </c>
      <c r="O4194" t="s">
        <v>4653</v>
      </c>
    </row>
    <row r="4195" spans="1:15" hidden="1" x14ac:dyDescent="0.45">
      <c r="A4195" s="187">
        <v>2020</v>
      </c>
      <c r="B4195" t="s">
        <v>34</v>
      </c>
      <c r="C4195" t="s">
        <v>320</v>
      </c>
      <c r="D4195" t="s">
        <v>336</v>
      </c>
      <c r="E4195" t="s">
        <v>102</v>
      </c>
      <c r="F4195" t="s">
        <v>384</v>
      </c>
      <c r="G4195" t="s">
        <v>37</v>
      </c>
      <c r="H4195" t="s">
        <v>43</v>
      </c>
      <c r="I4195" s="187">
        <v>0</v>
      </c>
      <c r="J4195" s="187">
        <v>0</v>
      </c>
      <c r="K4195" s="187">
        <v>0</v>
      </c>
      <c r="L4195" s="187">
        <v>0</v>
      </c>
      <c r="M4195" s="187">
        <v>0</v>
      </c>
      <c r="N4195" s="187">
        <v>0</v>
      </c>
      <c r="O4195" t="s">
        <v>4654</v>
      </c>
    </row>
    <row r="4196" spans="1:15" hidden="1" x14ac:dyDescent="0.45">
      <c r="A4196" s="187">
        <v>2020</v>
      </c>
      <c r="B4196" t="s">
        <v>34</v>
      </c>
      <c r="C4196" t="s">
        <v>320</v>
      </c>
      <c r="D4196" t="s">
        <v>336</v>
      </c>
      <c r="E4196" t="s">
        <v>102</v>
      </c>
      <c r="F4196" t="s">
        <v>374</v>
      </c>
      <c r="G4196" t="s">
        <v>36</v>
      </c>
      <c r="H4196" t="s">
        <v>43</v>
      </c>
      <c r="I4196" s="187">
        <v>0</v>
      </c>
      <c r="J4196" s="187">
        <v>0</v>
      </c>
      <c r="K4196" s="187">
        <v>0</v>
      </c>
      <c r="L4196" s="187">
        <v>0</v>
      </c>
      <c r="M4196" s="187">
        <v>0</v>
      </c>
      <c r="N4196" s="187">
        <v>0</v>
      </c>
      <c r="O4196" t="s">
        <v>4655</v>
      </c>
    </row>
    <row r="4197" spans="1:15" hidden="1" x14ac:dyDescent="0.45">
      <c r="A4197" s="187">
        <v>2020</v>
      </c>
      <c r="B4197" t="s">
        <v>34</v>
      </c>
      <c r="C4197" t="s">
        <v>320</v>
      </c>
      <c r="D4197" t="s">
        <v>336</v>
      </c>
      <c r="E4197" t="s">
        <v>102</v>
      </c>
      <c r="F4197" t="s">
        <v>374</v>
      </c>
      <c r="G4197" t="s">
        <v>37</v>
      </c>
      <c r="H4197" t="s">
        <v>43</v>
      </c>
      <c r="I4197" s="187">
        <v>0</v>
      </c>
      <c r="J4197" s="187">
        <v>0</v>
      </c>
      <c r="K4197" s="187">
        <v>0</v>
      </c>
      <c r="L4197" s="187">
        <v>0</v>
      </c>
      <c r="M4197" s="187">
        <v>0</v>
      </c>
      <c r="N4197" s="187">
        <v>0</v>
      </c>
      <c r="O4197" t="s">
        <v>4656</v>
      </c>
    </row>
    <row r="4198" spans="1:15" hidden="1" x14ac:dyDescent="0.45">
      <c r="A4198" s="187">
        <v>2020</v>
      </c>
      <c r="B4198" t="s">
        <v>34</v>
      </c>
      <c r="C4198" t="s">
        <v>320</v>
      </c>
      <c r="D4198" t="s">
        <v>336</v>
      </c>
      <c r="E4198" t="s">
        <v>102</v>
      </c>
      <c r="F4198" t="s">
        <v>40</v>
      </c>
      <c r="G4198" t="s">
        <v>36</v>
      </c>
      <c r="H4198" t="s">
        <v>43</v>
      </c>
      <c r="I4198" s="187">
        <v>4007.433349609375</v>
      </c>
      <c r="J4198" s="187">
        <v>0</v>
      </c>
      <c r="K4198" s="187">
        <v>0</v>
      </c>
      <c r="L4198" s="187">
        <v>0</v>
      </c>
      <c r="M4198" s="187">
        <v>4007.433349609375</v>
      </c>
      <c r="N4198" s="187">
        <v>4007.433349609375</v>
      </c>
      <c r="O4198" t="s">
        <v>4657</v>
      </c>
    </row>
    <row r="4199" spans="1:15" hidden="1" x14ac:dyDescent="0.45">
      <c r="A4199" s="187">
        <v>2020</v>
      </c>
      <c r="B4199" t="s">
        <v>34</v>
      </c>
      <c r="C4199" t="s">
        <v>320</v>
      </c>
      <c r="D4199" t="s">
        <v>336</v>
      </c>
      <c r="E4199" t="s">
        <v>102</v>
      </c>
      <c r="F4199" t="s">
        <v>40</v>
      </c>
      <c r="G4199" t="s">
        <v>37</v>
      </c>
      <c r="H4199" t="s">
        <v>43</v>
      </c>
      <c r="I4199" s="187">
        <v>3750.892822265625</v>
      </c>
      <c r="J4199" s="187">
        <v>0</v>
      </c>
      <c r="K4199" s="187">
        <v>0</v>
      </c>
      <c r="L4199" s="187">
        <v>0</v>
      </c>
      <c r="M4199" s="187">
        <v>3750.892822265625</v>
      </c>
      <c r="N4199" s="187">
        <v>3750.892822265625</v>
      </c>
      <c r="O4199" t="s">
        <v>4658</v>
      </c>
    </row>
    <row r="4200" spans="1:15" hidden="1" x14ac:dyDescent="0.45">
      <c r="A4200" s="187">
        <v>2020</v>
      </c>
      <c r="B4200" t="s">
        <v>34</v>
      </c>
      <c r="C4200" t="s">
        <v>320</v>
      </c>
      <c r="D4200" t="s">
        <v>336</v>
      </c>
      <c r="E4200" t="s">
        <v>102</v>
      </c>
      <c r="F4200" t="s">
        <v>38</v>
      </c>
      <c r="G4200" t="s">
        <v>36</v>
      </c>
      <c r="H4200" t="s">
        <v>43</v>
      </c>
      <c r="I4200" s="187">
        <v>21.861648559570313</v>
      </c>
      <c r="J4200" s="187">
        <v>0</v>
      </c>
      <c r="K4200" s="187">
        <v>0</v>
      </c>
      <c r="L4200" s="187">
        <v>0</v>
      </c>
      <c r="M4200" s="187">
        <v>21.861648559570313</v>
      </c>
      <c r="N4200" s="187">
        <v>21.861648559570313</v>
      </c>
      <c r="O4200" t="s">
        <v>4659</v>
      </c>
    </row>
    <row r="4201" spans="1:15" hidden="1" x14ac:dyDescent="0.45">
      <c r="A4201" s="187">
        <v>2020</v>
      </c>
      <c r="B4201" t="s">
        <v>34</v>
      </c>
      <c r="C4201" t="s">
        <v>320</v>
      </c>
      <c r="D4201" t="s">
        <v>336</v>
      </c>
      <c r="E4201" t="s">
        <v>102</v>
      </c>
      <c r="F4201" t="s">
        <v>38</v>
      </c>
      <c r="G4201" t="s">
        <v>37</v>
      </c>
      <c r="H4201" t="s">
        <v>43</v>
      </c>
      <c r="I4201" s="187">
        <v>20.462150573730469</v>
      </c>
      <c r="J4201" s="187">
        <v>0</v>
      </c>
      <c r="K4201" s="187">
        <v>0</v>
      </c>
      <c r="L4201" s="187">
        <v>0</v>
      </c>
      <c r="M4201" s="187">
        <v>20.462150573730469</v>
      </c>
      <c r="N4201" s="187">
        <v>20.462150573730469</v>
      </c>
      <c r="O4201" t="s">
        <v>4660</v>
      </c>
    </row>
    <row r="4202" spans="1:15" hidden="1" x14ac:dyDescent="0.45">
      <c r="A4202" s="187">
        <v>2020</v>
      </c>
      <c r="B4202" t="s">
        <v>34</v>
      </c>
      <c r="C4202" t="s">
        <v>320</v>
      </c>
      <c r="D4202" t="s">
        <v>336</v>
      </c>
      <c r="E4202" t="s">
        <v>102</v>
      </c>
      <c r="F4202" t="s">
        <v>375</v>
      </c>
      <c r="G4202" t="s">
        <v>36</v>
      </c>
      <c r="H4202" t="s">
        <v>43</v>
      </c>
      <c r="I4202" s="187">
        <v>6112.37646484375</v>
      </c>
      <c r="J4202" s="187">
        <v>414.58486938476563</v>
      </c>
      <c r="K4202" s="187">
        <v>0</v>
      </c>
      <c r="L4202" s="187">
        <v>390.25973510742188</v>
      </c>
      <c r="M4202" s="187">
        <v>6917.22119140625</v>
      </c>
      <c r="N4202" s="187">
        <v>6502.63623046875</v>
      </c>
      <c r="O4202" t="s">
        <v>4661</v>
      </c>
    </row>
    <row r="4203" spans="1:15" hidden="1" x14ac:dyDescent="0.45">
      <c r="A4203" s="187">
        <v>2020</v>
      </c>
      <c r="B4203" t="s">
        <v>34</v>
      </c>
      <c r="C4203" t="s">
        <v>320</v>
      </c>
      <c r="D4203" t="s">
        <v>336</v>
      </c>
      <c r="E4203" t="s">
        <v>102</v>
      </c>
      <c r="F4203" t="s">
        <v>375</v>
      </c>
      <c r="G4203" t="s">
        <v>37</v>
      </c>
      <c r="H4203" t="s">
        <v>43</v>
      </c>
      <c r="I4203" s="187">
        <v>5779.3994140625</v>
      </c>
      <c r="J4203" s="187">
        <v>392</v>
      </c>
      <c r="K4203" s="187">
        <v>0</v>
      </c>
      <c r="L4203" s="187">
        <v>369</v>
      </c>
      <c r="M4203" s="187">
        <v>6540.3994140625</v>
      </c>
      <c r="N4203" s="187">
        <v>6148.3994140625</v>
      </c>
      <c r="O4203" t="s">
        <v>4662</v>
      </c>
    </row>
    <row r="4204" spans="1:15" hidden="1" x14ac:dyDescent="0.45">
      <c r="A4204" s="187">
        <v>2020</v>
      </c>
      <c r="B4204" t="s">
        <v>34</v>
      </c>
      <c r="C4204" t="s">
        <v>320</v>
      </c>
      <c r="D4204" t="s">
        <v>336</v>
      </c>
      <c r="E4204" t="s">
        <v>102</v>
      </c>
      <c r="F4204" t="s">
        <v>376</v>
      </c>
      <c r="G4204" t="s">
        <v>36</v>
      </c>
      <c r="H4204" t="s">
        <v>43</v>
      </c>
      <c r="I4204" s="187">
        <v>0</v>
      </c>
      <c r="J4204" s="187">
        <v>0</v>
      </c>
      <c r="K4204" s="187">
        <v>0</v>
      </c>
      <c r="L4204" s="187">
        <v>0</v>
      </c>
      <c r="M4204" s="187">
        <v>0</v>
      </c>
      <c r="N4204" s="187">
        <v>0</v>
      </c>
      <c r="O4204" t="s">
        <v>4663</v>
      </c>
    </row>
    <row r="4205" spans="1:15" hidden="1" x14ac:dyDescent="0.45">
      <c r="A4205" s="187">
        <v>2020</v>
      </c>
      <c r="B4205" t="s">
        <v>34</v>
      </c>
      <c r="C4205" t="s">
        <v>320</v>
      </c>
      <c r="D4205" t="s">
        <v>336</v>
      </c>
      <c r="E4205" t="s">
        <v>102</v>
      </c>
      <c r="F4205" t="s">
        <v>376</v>
      </c>
      <c r="G4205" t="s">
        <v>37</v>
      </c>
      <c r="H4205" t="s">
        <v>43</v>
      </c>
      <c r="I4205" s="187">
        <v>0</v>
      </c>
      <c r="J4205" s="187">
        <v>0</v>
      </c>
      <c r="K4205" s="187">
        <v>0</v>
      </c>
      <c r="L4205" s="187">
        <v>0</v>
      </c>
      <c r="M4205" s="187">
        <v>0</v>
      </c>
      <c r="N4205" s="187">
        <v>0</v>
      </c>
      <c r="O4205" t="s">
        <v>4664</v>
      </c>
    </row>
    <row r="4206" spans="1:15" hidden="1" x14ac:dyDescent="0.45">
      <c r="A4206" s="187">
        <v>2020</v>
      </c>
      <c r="B4206" t="s">
        <v>34</v>
      </c>
      <c r="C4206" t="s">
        <v>320</v>
      </c>
      <c r="D4206" t="s">
        <v>336</v>
      </c>
      <c r="E4206" t="s">
        <v>102</v>
      </c>
      <c r="F4206" t="s">
        <v>385</v>
      </c>
      <c r="G4206" t="s">
        <v>36</v>
      </c>
      <c r="H4206" t="s">
        <v>43</v>
      </c>
      <c r="I4206" s="187">
        <v>1.8743058443069458</v>
      </c>
      <c r="J4206" s="187">
        <v>0</v>
      </c>
      <c r="K4206" s="187">
        <v>0</v>
      </c>
      <c r="L4206" s="187">
        <v>0</v>
      </c>
      <c r="M4206" s="187">
        <v>1.8743058443069458</v>
      </c>
      <c r="N4206" s="187">
        <v>1.8743058443069458</v>
      </c>
      <c r="O4206" t="s">
        <v>4665</v>
      </c>
    </row>
    <row r="4207" spans="1:15" hidden="1" x14ac:dyDescent="0.45">
      <c r="A4207" s="187">
        <v>2020</v>
      </c>
      <c r="B4207" t="s">
        <v>34</v>
      </c>
      <c r="C4207" t="s">
        <v>320</v>
      </c>
      <c r="D4207" t="s">
        <v>336</v>
      </c>
      <c r="E4207" t="s">
        <v>102</v>
      </c>
      <c r="F4207" t="s">
        <v>385</v>
      </c>
      <c r="G4207" t="s">
        <v>37</v>
      </c>
      <c r="H4207" t="s">
        <v>43</v>
      </c>
      <c r="I4207" s="187">
        <v>1.7543200254440308</v>
      </c>
      <c r="J4207" s="187">
        <v>0</v>
      </c>
      <c r="K4207" s="187">
        <v>0</v>
      </c>
      <c r="L4207" s="187">
        <v>0</v>
      </c>
      <c r="M4207" s="187">
        <v>1.7543200254440308</v>
      </c>
      <c r="N4207" s="187">
        <v>1.7543200254440308</v>
      </c>
      <c r="O4207" t="s">
        <v>4666</v>
      </c>
    </row>
    <row r="4208" spans="1:15" hidden="1" x14ac:dyDescent="0.45">
      <c r="A4208" s="187">
        <v>2020</v>
      </c>
      <c r="B4208" t="s">
        <v>34</v>
      </c>
      <c r="C4208" t="s">
        <v>320</v>
      </c>
      <c r="D4208" t="s">
        <v>336</v>
      </c>
      <c r="E4208" t="s">
        <v>102</v>
      </c>
      <c r="F4208" t="s">
        <v>386</v>
      </c>
      <c r="G4208" t="s">
        <v>36</v>
      </c>
      <c r="H4208" t="s">
        <v>43</v>
      </c>
      <c r="I4208" s="187">
        <v>0</v>
      </c>
      <c r="J4208" s="187">
        <v>0</v>
      </c>
      <c r="K4208" s="187">
        <v>0</v>
      </c>
      <c r="L4208" s="187">
        <v>0</v>
      </c>
      <c r="M4208" s="187">
        <v>0</v>
      </c>
      <c r="N4208" s="187">
        <v>0</v>
      </c>
      <c r="O4208" t="s">
        <v>4667</v>
      </c>
    </row>
    <row r="4209" spans="1:15" hidden="1" x14ac:dyDescent="0.45">
      <c r="A4209" s="187">
        <v>2020</v>
      </c>
      <c r="B4209" t="s">
        <v>34</v>
      </c>
      <c r="C4209" t="s">
        <v>320</v>
      </c>
      <c r="D4209" t="s">
        <v>336</v>
      </c>
      <c r="E4209" t="s">
        <v>102</v>
      </c>
      <c r="F4209" t="s">
        <v>386</v>
      </c>
      <c r="G4209" t="s">
        <v>37</v>
      </c>
      <c r="H4209" t="s">
        <v>43</v>
      </c>
      <c r="I4209" s="187">
        <v>0</v>
      </c>
      <c r="J4209" s="187">
        <v>0</v>
      </c>
      <c r="K4209" s="187">
        <v>0</v>
      </c>
      <c r="L4209" s="187">
        <v>0</v>
      </c>
      <c r="M4209" s="187">
        <v>0</v>
      </c>
      <c r="N4209" s="187">
        <v>0</v>
      </c>
      <c r="O4209" t="s">
        <v>4668</v>
      </c>
    </row>
    <row r="4210" spans="1:15" hidden="1" x14ac:dyDescent="0.45">
      <c r="A4210" s="187">
        <v>2020</v>
      </c>
      <c r="B4210" t="s">
        <v>34</v>
      </c>
      <c r="C4210" t="s">
        <v>320</v>
      </c>
      <c r="D4210" t="s">
        <v>336</v>
      </c>
      <c r="E4210" t="s">
        <v>102</v>
      </c>
      <c r="F4210" t="s">
        <v>362</v>
      </c>
      <c r="G4210" t="s">
        <v>36</v>
      </c>
      <c r="H4210" t="s">
        <v>43</v>
      </c>
      <c r="I4210" s="187">
        <v>999.69964599609375</v>
      </c>
      <c r="J4210" s="187">
        <v>0</v>
      </c>
      <c r="K4210" s="187">
        <v>0</v>
      </c>
      <c r="L4210" s="187">
        <v>0</v>
      </c>
      <c r="M4210" s="187">
        <v>999.69964599609375</v>
      </c>
      <c r="N4210" s="187">
        <v>999.69964599609375</v>
      </c>
      <c r="O4210" t="s">
        <v>4669</v>
      </c>
    </row>
    <row r="4211" spans="1:15" hidden="1" x14ac:dyDescent="0.45">
      <c r="A4211" s="187">
        <v>2020</v>
      </c>
      <c r="B4211" t="s">
        <v>34</v>
      </c>
      <c r="C4211" t="s">
        <v>320</v>
      </c>
      <c r="D4211" t="s">
        <v>336</v>
      </c>
      <c r="E4211" t="s">
        <v>102</v>
      </c>
      <c r="F4211" t="s">
        <v>362</v>
      </c>
      <c r="G4211" t="s">
        <v>37</v>
      </c>
      <c r="H4211" t="s">
        <v>43</v>
      </c>
      <c r="I4211" s="187">
        <v>935.70269775390625</v>
      </c>
      <c r="J4211" s="187">
        <v>0</v>
      </c>
      <c r="K4211" s="187">
        <v>0</v>
      </c>
      <c r="L4211" s="187">
        <v>0</v>
      </c>
      <c r="M4211" s="187">
        <v>935.70269775390625</v>
      </c>
      <c r="N4211" s="187">
        <v>935.70269775390625</v>
      </c>
      <c r="O4211" t="s">
        <v>4670</v>
      </c>
    </row>
    <row r="4212" spans="1:15" hidden="1" x14ac:dyDescent="0.45">
      <c r="A4212" s="187">
        <v>2020</v>
      </c>
      <c r="B4212" t="s">
        <v>34</v>
      </c>
      <c r="C4212" t="s">
        <v>320</v>
      </c>
      <c r="D4212" t="s">
        <v>336</v>
      </c>
      <c r="E4212" t="s">
        <v>102</v>
      </c>
      <c r="F4212" t="s">
        <v>363</v>
      </c>
      <c r="G4212" t="s">
        <v>36</v>
      </c>
      <c r="H4212" t="s">
        <v>43</v>
      </c>
      <c r="I4212" s="187">
        <v>3007.733642578125</v>
      </c>
      <c r="J4212" s="187">
        <v>0</v>
      </c>
      <c r="K4212" s="187">
        <v>0</v>
      </c>
      <c r="L4212" s="187">
        <v>0</v>
      </c>
      <c r="M4212" s="187">
        <v>3007.733642578125</v>
      </c>
      <c r="N4212" s="187">
        <v>3007.733642578125</v>
      </c>
      <c r="O4212" t="s">
        <v>4671</v>
      </c>
    </row>
    <row r="4213" spans="1:15" hidden="1" x14ac:dyDescent="0.45">
      <c r="A4213" s="187">
        <v>2020</v>
      </c>
      <c r="B4213" t="s">
        <v>34</v>
      </c>
      <c r="C4213" t="s">
        <v>320</v>
      </c>
      <c r="D4213" t="s">
        <v>336</v>
      </c>
      <c r="E4213" t="s">
        <v>102</v>
      </c>
      <c r="F4213" t="s">
        <v>363</v>
      </c>
      <c r="G4213" t="s">
        <v>37</v>
      </c>
      <c r="H4213" t="s">
        <v>43</v>
      </c>
      <c r="I4213" s="187">
        <v>2815.190185546875</v>
      </c>
      <c r="J4213" s="187">
        <v>0</v>
      </c>
      <c r="K4213" s="187">
        <v>0</v>
      </c>
      <c r="L4213" s="187">
        <v>0</v>
      </c>
      <c r="M4213" s="187">
        <v>2815.190185546875</v>
      </c>
      <c r="N4213" s="187">
        <v>2815.190185546875</v>
      </c>
      <c r="O4213" t="s">
        <v>4672</v>
      </c>
    </row>
    <row r="4214" spans="1:15" hidden="1" x14ac:dyDescent="0.45">
      <c r="A4214" s="187">
        <v>2020</v>
      </c>
      <c r="B4214" t="s">
        <v>34</v>
      </c>
      <c r="C4214" t="s">
        <v>320</v>
      </c>
      <c r="D4214" t="s">
        <v>336</v>
      </c>
      <c r="E4214" t="s">
        <v>102</v>
      </c>
      <c r="F4214" t="s">
        <v>17</v>
      </c>
      <c r="G4214" t="s">
        <v>36</v>
      </c>
      <c r="H4214" t="s">
        <v>43</v>
      </c>
      <c r="I4214" s="187">
        <v>1372.2786865234375</v>
      </c>
      <c r="J4214" s="187">
        <v>0</v>
      </c>
      <c r="K4214" s="187">
        <v>0</v>
      </c>
      <c r="L4214" s="187">
        <v>0</v>
      </c>
      <c r="M4214" s="187">
        <v>1372.2786865234375</v>
      </c>
      <c r="N4214" s="187">
        <v>1372.2786865234375</v>
      </c>
      <c r="O4214" t="s">
        <v>4673</v>
      </c>
    </row>
    <row r="4215" spans="1:15" hidden="1" x14ac:dyDescent="0.45">
      <c r="A4215" s="187">
        <v>2020</v>
      </c>
      <c r="B4215" t="s">
        <v>34</v>
      </c>
      <c r="C4215" t="s">
        <v>320</v>
      </c>
      <c r="D4215" t="s">
        <v>336</v>
      </c>
      <c r="E4215" t="s">
        <v>102</v>
      </c>
      <c r="F4215" t="s">
        <v>17</v>
      </c>
      <c r="G4215" t="s">
        <v>37</v>
      </c>
      <c r="H4215" t="s">
        <v>43</v>
      </c>
      <c r="I4215" s="187">
        <v>1284.4306640625</v>
      </c>
      <c r="J4215" s="187">
        <v>0</v>
      </c>
      <c r="K4215" s="187">
        <v>0</v>
      </c>
      <c r="L4215" s="187">
        <v>0</v>
      </c>
      <c r="M4215" s="187">
        <v>1284.4306640625</v>
      </c>
      <c r="N4215" s="187">
        <v>1284.4306640625</v>
      </c>
      <c r="O4215" t="s">
        <v>4674</v>
      </c>
    </row>
    <row r="4216" spans="1:15" hidden="1" x14ac:dyDescent="0.45">
      <c r="A4216" s="187">
        <v>2020</v>
      </c>
      <c r="B4216" t="s">
        <v>34</v>
      </c>
      <c r="C4216" t="s">
        <v>320</v>
      </c>
      <c r="D4216" t="s">
        <v>336</v>
      </c>
      <c r="E4216" t="s">
        <v>102</v>
      </c>
      <c r="F4216" t="s">
        <v>364</v>
      </c>
      <c r="G4216" t="s">
        <v>36</v>
      </c>
      <c r="H4216" t="s">
        <v>43</v>
      </c>
      <c r="I4216" s="187">
        <v>2167.245361328125</v>
      </c>
      <c r="J4216" s="187">
        <v>0</v>
      </c>
      <c r="K4216" s="187">
        <v>0</v>
      </c>
      <c r="L4216" s="187">
        <v>394.23757934570313</v>
      </c>
      <c r="M4216" s="187">
        <v>2561.48291015625</v>
      </c>
      <c r="N4216" s="187">
        <v>2561.48291015625</v>
      </c>
      <c r="O4216" t="s">
        <v>4675</v>
      </c>
    </row>
    <row r="4217" spans="1:15" hidden="1" x14ac:dyDescent="0.45">
      <c r="A4217" s="187">
        <v>2020</v>
      </c>
      <c r="B4217" t="s">
        <v>34</v>
      </c>
      <c r="C4217" t="s">
        <v>320</v>
      </c>
      <c r="D4217" t="s">
        <v>336</v>
      </c>
      <c r="E4217" t="s">
        <v>102</v>
      </c>
      <c r="F4217" t="s">
        <v>364</v>
      </c>
      <c r="G4217" t="s">
        <v>37</v>
      </c>
      <c r="H4217" t="s">
        <v>43</v>
      </c>
      <c r="I4217" s="187">
        <v>2028.506591796875</v>
      </c>
      <c r="J4217" s="187">
        <v>0</v>
      </c>
      <c r="K4217" s="187">
        <v>0</v>
      </c>
      <c r="L4217" s="187">
        <v>369</v>
      </c>
      <c r="M4217" s="187">
        <v>2397.506591796875</v>
      </c>
      <c r="N4217" s="187">
        <v>2397.506591796875</v>
      </c>
      <c r="O4217" t="s">
        <v>4676</v>
      </c>
    </row>
    <row r="4218" spans="1:15" hidden="1" x14ac:dyDescent="0.45">
      <c r="A4218" s="187">
        <v>2020</v>
      </c>
      <c r="B4218" t="s">
        <v>34</v>
      </c>
      <c r="C4218" t="s">
        <v>320</v>
      </c>
      <c r="D4218" t="s">
        <v>336</v>
      </c>
      <c r="E4218" t="s">
        <v>102</v>
      </c>
      <c r="F4218" t="s">
        <v>452</v>
      </c>
      <c r="G4218" t="s">
        <v>36</v>
      </c>
      <c r="H4218" t="s">
        <v>43</v>
      </c>
      <c r="I4218" s="187">
        <v>22027.4921875</v>
      </c>
      <c r="J4218" s="187">
        <v>418.81063842773438</v>
      </c>
      <c r="K4218" s="187">
        <v>0</v>
      </c>
      <c r="L4218" s="187">
        <v>394.23757934570313</v>
      </c>
      <c r="M4218" s="187">
        <v>22840.541015625</v>
      </c>
      <c r="N4218" s="187">
        <v>22421.73046875</v>
      </c>
      <c r="O4218" t="s">
        <v>4677</v>
      </c>
    </row>
    <row r="4219" spans="1:15" hidden="1" x14ac:dyDescent="0.45">
      <c r="A4219" s="187">
        <v>2020</v>
      </c>
      <c r="B4219" t="s">
        <v>34</v>
      </c>
      <c r="C4219" t="s">
        <v>320</v>
      </c>
      <c r="D4219" t="s">
        <v>336</v>
      </c>
      <c r="E4219" t="s">
        <v>102</v>
      </c>
      <c r="F4219" t="s">
        <v>452</v>
      </c>
      <c r="G4219" t="s">
        <v>37</v>
      </c>
      <c r="H4219" t="s">
        <v>43</v>
      </c>
      <c r="I4219" s="187">
        <v>20617.376953125</v>
      </c>
      <c r="J4219" s="187">
        <v>392</v>
      </c>
      <c r="K4219" s="187">
        <v>0</v>
      </c>
      <c r="L4219" s="187">
        <v>369</v>
      </c>
      <c r="M4219" s="187">
        <v>21378.376953125</v>
      </c>
      <c r="N4219" s="187">
        <v>20986.376953125</v>
      </c>
      <c r="O4219" t="s">
        <v>4678</v>
      </c>
    </row>
    <row r="4220" spans="1:15" hidden="1" x14ac:dyDescent="0.45">
      <c r="A4220" s="187">
        <v>2020</v>
      </c>
      <c r="B4220" t="s">
        <v>34</v>
      </c>
      <c r="C4220" t="s">
        <v>320</v>
      </c>
      <c r="D4220" t="s">
        <v>336</v>
      </c>
      <c r="E4220" t="s">
        <v>102</v>
      </c>
      <c r="F4220" t="s">
        <v>347</v>
      </c>
      <c r="G4220" t="s">
        <v>36</v>
      </c>
      <c r="H4220" t="s">
        <v>43</v>
      </c>
      <c r="I4220" s="187">
        <v>2570.135986328125</v>
      </c>
      <c r="J4220" s="187">
        <v>0</v>
      </c>
      <c r="K4220" s="187">
        <v>507.7969970703125</v>
      </c>
      <c r="L4220" s="187">
        <v>2878.2548828125</v>
      </c>
      <c r="M4220" s="187">
        <v>5956.18798828125</v>
      </c>
      <c r="N4220" s="187">
        <v>5448.390625</v>
      </c>
      <c r="O4220" t="s">
        <v>4679</v>
      </c>
    </row>
    <row r="4221" spans="1:15" hidden="1" x14ac:dyDescent="0.45">
      <c r="A4221" s="187">
        <v>2020</v>
      </c>
      <c r="B4221" t="s">
        <v>34</v>
      </c>
      <c r="C4221" t="s">
        <v>320</v>
      </c>
      <c r="D4221" t="s">
        <v>336</v>
      </c>
      <c r="E4221" t="s">
        <v>102</v>
      </c>
      <c r="F4221" t="s">
        <v>347</v>
      </c>
      <c r="G4221" t="s">
        <v>37</v>
      </c>
      <c r="H4221" t="s">
        <v>43</v>
      </c>
      <c r="I4221" s="187">
        <v>2405.605712890625</v>
      </c>
      <c r="J4221" s="187">
        <v>0</v>
      </c>
      <c r="K4221" s="187">
        <v>475.289794921875</v>
      </c>
      <c r="L4221" s="187">
        <v>2694</v>
      </c>
      <c r="M4221" s="187">
        <v>5574.8955078125</v>
      </c>
      <c r="N4221" s="187">
        <v>5099.60546875</v>
      </c>
      <c r="O4221" t="s">
        <v>4680</v>
      </c>
    </row>
    <row r="4222" spans="1:15" hidden="1" x14ac:dyDescent="0.45">
      <c r="A4222" s="187">
        <v>2020</v>
      </c>
      <c r="B4222" t="s">
        <v>34</v>
      </c>
      <c r="C4222" t="s">
        <v>320</v>
      </c>
      <c r="D4222" t="s">
        <v>336</v>
      </c>
      <c r="E4222" t="s">
        <v>102</v>
      </c>
      <c r="F4222" t="s">
        <v>45</v>
      </c>
      <c r="G4222" t="s">
        <v>36</v>
      </c>
      <c r="H4222" t="s">
        <v>43</v>
      </c>
      <c r="I4222" s="187">
        <v>0</v>
      </c>
      <c r="J4222" s="187">
        <v>0</v>
      </c>
      <c r="K4222" s="187">
        <v>0</v>
      </c>
      <c r="L4222" s="187">
        <v>0</v>
      </c>
      <c r="M4222" s="187">
        <v>0</v>
      </c>
      <c r="N4222" s="187">
        <v>0</v>
      </c>
      <c r="O4222" t="s">
        <v>4681</v>
      </c>
    </row>
    <row r="4223" spans="1:15" hidden="1" x14ac:dyDescent="0.45">
      <c r="A4223" s="187">
        <v>2020</v>
      </c>
      <c r="B4223" t="s">
        <v>34</v>
      </c>
      <c r="C4223" t="s">
        <v>320</v>
      </c>
      <c r="D4223" t="s">
        <v>336</v>
      </c>
      <c r="E4223" t="s">
        <v>102</v>
      </c>
      <c r="F4223" t="s">
        <v>45</v>
      </c>
      <c r="G4223" t="s">
        <v>37</v>
      </c>
      <c r="H4223" t="s">
        <v>43</v>
      </c>
      <c r="I4223" s="187">
        <v>0</v>
      </c>
      <c r="J4223" s="187">
        <v>0</v>
      </c>
      <c r="K4223" s="187">
        <v>0</v>
      </c>
      <c r="L4223" s="187">
        <v>0</v>
      </c>
      <c r="M4223" s="187">
        <v>0</v>
      </c>
      <c r="N4223" s="187">
        <v>0</v>
      </c>
      <c r="O4223" t="s">
        <v>4682</v>
      </c>
    </row>
    <row r="4224" spans="1:15" hidden="1" x14ac:dyDescent="0.45">
      <c r="A4224" s="187">
        <v>2020</v>
      </c>
      <c r="B4224" t="s">
        <v>34</v>
      </c>
      <c r="C4224" t="s">
        <v>320</v>
      </c>
      <c r="D4224" t="s">
        <v>336</v>
      </c>
      <c r="E4224" t="s">
        <v>102</v>
      </c>
      <c r="F4224" t="s">
        <v>356</v>
      </c>
      <c r="G4224" t="s">
        <v>36</v>
      </c>
      <c r="H4224" t="s">
        <v>43</v>
      </c>
      <c r="I4224" s="187">
        <v>0</v>
      </c>
      <c r="J4224" s="187">
        <v>0</v>
      </c>
      <c r="K4224" s="187">
        <v>0</v>
      </c>
      <c r="L4224" s="187">
        <v>0</v>
      </c>
      <c r="M4224" s="187">
        <v>0</v>
      </c>
      <c r="N4224" s="187">
        <v>0</v>
      </c>
      <c r="O4224" t="s">
        <v>4683</v>
      </c>
    </row>
    <row r="4225" spans="1:15" hidden="1" x14ac:dyDescent="0.45">
      <c r="A4225" s="187">
        <v>2020</v>
      </c>
      <c r="B4225" t="s">
        <v>34</v>
      </c>
      <c r="C4225" t="s">
        <v>320</v>
      </c>
      <c r="D4225" t="s">
        <v>336</v>
      </c>
      <c r="E4225" t="s">
        <v>102</v>
      </c>
      <c r="F4225" t="s">
        <v>356</v>
      </c>
      <c r="G4225" t="s">
        <v>37</v>
      </c>
      <c r="H4225" t="s">
        <v>43</v>
      </c>
      <c r="I4225" s="187">
        <v>0</v>
      </c>
      <c r="J4225" s="187">
        <v>0</v>
      </c>
      <c r="K4225" s="187">
        <v>0</v>
      </c>
      <c r="L4225" s="187">
        <v>0</v>
      </c>
      <c r="M4225" s="187">
        <v>0</v>
      </c>
      <c r="N4225" s="187">
        <v>0</v>
      </c>
      <c r="O4225" t="s">
        <v>4684</v>
      </c>
    </row>
    <row r="4226" spans="1:15" hidden="1" x14ac:dyDescent="0.45">
      <c r="A4226" s="187">
        <v>2020</v>
      </c>
      <c r="B4226" t="s">
        <v>34</v>
      </c>
      <c r="C4226" t="s">
        <v>330</v>
      </c>
      <c r="D4226" t="s">
        <v>338</v>
      </c>
      <c r="E4226" t="s">
        <v>366</v>
      </c>
      <c r="F4226" t="s">
        <v>434</v>
      </c>
      <c r="G4226" t="s">
        <v>36</v>
      </c>
      <c r="H4226" t="s">
        <v>43</v>
      </c>
      <c r="I4226" s="187">
        <v>21026.116284658801</v>
      </c>
      <c r="J4226" s="187">
        <v>2630</v>
      </c>
      <c r="K4226" s="187">
        <v>47377</v>
      </c>
      <c r="L4226" s="187">
        <v>46962</v>
      </c>
      <c r="M4226" s="187">
        <v>117995.1171875</v>
      </c>
      <c r="N4226" s="187">
        <v>67988.1171875</v>
      </c>
      <c r="O4226" t="s">
        <v>4685</v>
      </c>
    </row>
    <row r="4227" spans="1:15" hidden="1" x14ac:dyDescent="0.45">
      <c r="A4227" s="187">
        <v>2020</v>
      </c>
      <c r="B4227" t="s">
        <v>34</v>
      </c>
      <c r="C4227" t="s">
        <v>330</v>
      </c>
      <c r="D4227" t="s">
        <v>338</v>
      </c>
      <c r="E4227" t="s">
        <v>366</v>
      </c>
      <c r="F4227" t="s">
        <v>435</v>
      </c>
      <c r="G4227" t="s">
        <v>36</v>
      </c>
      <c r="H4227" t="s">
        <v>43</v>
      </c>
      <c r="I4227" s="187">
        <v>1635.9266255391799</v>
      </c>
      <c r="J4227" s="187">
        <v>227</v>
      </c>
      <c r="K4227" s="187">
        <v>3528</v>
      </c>
      <c r="L4227" s="187">
        <v>4369</v>
      </c>
      <c r="M4227" s="187">
        <v>9759.9267578125</v>
      </c>
      <c r="N4227" s="187">
        <v>6004.9267578125</v>
      </c>
      <c r="O4227" t="s">
        <v>4686</v>
      </c>
    </row>
    <row r="4228" spans="1:15" hidden="1" x14ac:dyDescent="0.45">
      <c r="A4228" s="187">
        <v>2020</v>
      </c>
      <c r="B4228" t="s">
        <v>34</v>
      </c>
      <c r="C4228" t="s">
        <v>330</v>
      </c>
      <c r="D4228" t="s">
        <v>338</v>
      </c>
      <c r="E4228" t="s">
        <v>366</v>
      </c>
      <c r="F4228" t="s">
        <v>436</v>
      </c>
      <c r="G4228" t="s">
        <v>36</v>
      </c>
      <c r="H4228" t="s">
        <v>43</v>
      </c>
      <c r="I4228" s="187">
        <v>1422.6776280903721</v>
      </c>
      <c r="J4228" s="187">
        <v>7071</v>
      </c>
      <c r="K4228" s="187">
        <v>4697</v>
      </c>
      <c r="L4228" s="187">
        <v>9436</v>
      </c>
      <c r="M4228" s="187">
        <v>22626.677734375</v>
      </c>
      <c r="N4228" s="187">
        <v>10858.677734375</v>
      </c>
      <c r="O4228" t="s">
        <v>4687</v>
      </c>
    </row>
    <row r="4229" spans="1:15" hidden="1" x14ac:dyDescent="0.45">
      <c r="A4229" s="187">
        <v>2020</v>
      </c>
      <c r="B4229" t="s">
        <v>34</v>
      </c>
      <c r="C4229" t="s">
        <v>330</v>
      </c>
      <c r="D4229" t="s">
        <v>338</v>
      </c>
      <c r="E4229" t="s">
        <v>366</v>
      </c>
      <c r="F4229" t="s">
        <v>437</v>
      </c>
      <c r="G4229" t="s">
        <v>36</v>
      </c>
      <c r="H4229" t="s">
        <v>43</v>
      </c>
      <c r="I4229" s="187">
        <v>101026.60480575189</v>
      </c>
      <c r="J4229" s="187">
        <v>5830</v>
      </c>
      <c r="K4229" s="187">
        <v>168848</v>
      </c>
      <c r="L4229" s="187">
        <v>266713</v>
      </c>
      <c r="M4229" s="187">
        <v>542417.625</v>
      </c>
      <c r="N4229" s="187">
        <v>367739.59375</v>
      </c>
      <c r="O4229" t="s">
        <v>4688</v>
      </c>
    </row>
    <row r="4230" spans="1:15" hidden="1" x14ac:dyDescent="0.45">
      <c r="A4230" s="187">
        <v>2020</v>
      </c>
      <c r="B4230" t="s">
        <v>34</v>
      </c>
      <c r="C4230" t="s">
        <v>330</v>
      </c>
      <c r="D4230" t="s">
        <v>338</v>
      </c>
      <c r="E4230" t="s">
        <v>366</v>
      </c>
      <c r="F4230" t="s">
        <v>44</v>
      </c>
      <c r="G4230" t="s">
        <v>36</v>
      </c>
      <c r="H4230" t="s">
        <v>43</v>
      </c>
      <c r="I4230" s="187">
        <v>3494.8741313161008</v>
      </c>
      <c r="J4230" s="187">
        <v>249</v>
      </c>
      <c r="K4230" s="187">
        <v>33945</v>
      </c>
      <c r="L4230" s="187">
        <v>10581</v>
      </c>
      <c r="M4230" s="187">
        <v>48269.875</v>
      </c>
      <c r="N4230" s="187">
        <v>14075.8740234375</v>
      </c>
      <c r="O4230" t="s">
        <v>4689</v>
      </c>
    </row>
    <row r="4231" spans="1:15" hidden="1" x14ac:dyDescent="0.45">
      <c r="A4231" s="187">
        <v>2020</v>
      </c>
      <c r="B4231" t="s">
        <v>34</v>
      </c>
      <c r="C4231" t="s">
        <v>330</v>
      </c>
      <c r="D4231" t="s">
        <v>338</v>
      </c>
      <c r="E4231" t="s">
        <v>366</v>
      </c>
      <c r="F4231" t="s">
        <v>438</v>
      </c>
      <c r="G4231" t="s">
        <v>36</v>
      </c>
      <c r="H4231" t="s">
        <v>43</v>
      </c>
      <c r="I4231" s="187">
        <v>34872.176324571228</v>
      </c>
      <c r="J4231" s="187">
        <v>7206</v>
      </c>
      <c r="K4231" s="187">
        <v>104109</v>
      </c>
      <c r="L4231" s="187">
        <v>83375</v>
      </c>
      <c r="M4231" s="187">
        <v>229562.171875</v>
      </c>
      <c r="N4231" s="187">
        <v>118247.171875</v>
      </c>
      <c r="O4231" t="s">
        <v>4690</v>
      </c>
    </row>
    <row r="4232" spans="1:15" hidden="1" x14ac:dyDescent="0.45">
      <c r="A4232" s="187">
        <v>2020</v>
      </c>
      <c r="B4232" t="s">
        <v>34</v>
      </c>
      <c r="C4232" t="s">
        <v>330</v>
      </c>
      <c r="D4232" t="s">
        <v>338</v>
      </c>
      <c r="E4232" t="s">
        <v>366</v>
      </c>
      <c r="F4232" t="s">
        <v>439</v>
      </c>
      <c r="G4232" t="s">
        <v>36</v>
      </c>
      <c r="H4232" t="s">
        <v>43</v>
      </c>
      <c r="I4232" s="187">
        <v>3282.5610218456118</v>
      </c>
      <c r="J4232" s="187">
        <v>503</v>
      </c>
      <c r="K4232" s="187">
        <v>850</v>
      </c>
      <c r="L4232" s="187">
        <v>871</v>
      </c>
      <c r="M4232" s="187">
        <v>5506.56103515625</v>
      </c>
      <c r="N4232" s="187">
        <v>4153.56103515625</v>
      </c>
      <c r="O4232" t="s">
        <v>4691</v>
      </c>
    </row>
    <row r="4233" spans="1:15" hidden="1" x14ac:dyDescent="0.45">
      <c r="A4233" s="187">
        <v>2020</v>
      </c>
      <c r="B4233" t="s">
        <v>34</v>
      </c>
      <c r="C4233" t="s">
        <v>330</v>
      </c>
      <c r="D4233" t="s">
        <v>338</v>
      </c>
      <c r="E4233" t="s">
        <v>366</v>
      </c>
      <c r="F4233" t="s">
        <v>440</v>
      </c>
      <c r="G4233" t="s">
        <v>36</v>
      </c>
      <c r="H4233" t="s">
        <v>43</v>
      </c>
      <c r="I4233" s="187">
        <v>5986.3321923680496</v>
      </c>
      <c r="J4233" s="187">
        <v>127</v>
      </c>
      <c r="K4233" s="187">
        <v>5407</v>
      </c>
      <c r="L4233" s="187">
        <v>5586</v>
      </c>
      <c r="M4233" s="187">
        <v>17106.33203125</v>
      </c>
      <c r="N4233" s="187">
        <v>11572.33203125</v>
      </c>
      <c r="O4233" t="s">
        <v>4692</v>
      </c>
    </row>
    <row r="4234" spans="1:15" hidden="1" x14ac:dyDescent="0.45">
      <c r="A4234" s="187">
        <v>2020</v>
      </c>
      <c r="B4234" t="s">
        <v>34</v>
      </c>
      <c r="C4234" t="s">
        <v>330</v>
      </c>
      <c r="D4234" t="s">
        <v>338</v>
      </c>
      <c r="E4234" t="s">
        <v>366</v>
      </c>
      <c r="F4234" t="s">
        <v>441</v>
      </c>
      <c r="G4234" t="s">
        <v>36</v>
      </c>
      <c r="H4234" t="s">
        <v>43</v>
      </c>
      <c r="I4234" s="187">
        <v>174405.09802460091</v>
      </c>
      <c r="J4234" s="187">
        <v>24058</v>
      </c>
      <c r="K4234" s="187">
        <v>388863</v>
      </c>
      <c r="L4234" s="187">
        <v>434256</v>
      </c>
      <c r="M4234" s="187">
        <v>1021582.125</v>
      </c>
      <c r="N4234" s="187">
        <v>608661.125</v>
      </c>
      <c r="O4234" t="s">
        <v>4693</v>
      </c>
    </row>
    <row r="4235" spans="1:15" hidden="1" x14ac:dyDescent="0.45">
      <c r="A4235" s="187">
        <v>2020</v>
      </c>
      <c r="B4235" t="s">
        <v>34</v>
      </c>
      <c r="C4235" t="s">
        <v>331</v>
      </c>
      <c r="D4235" t="s">
        <v>339</v>
      </c>
      <c r="E4235" t="s">
        <v>7</v>
      </c>
      <c r="F4235" t="s">
        <v>442</v>
      </c>
      <c r="G4235" t="s">
        <v>453</v>
      </c>
      <c r="H4235" t="s">
        <v>456</v>
      </c>
      <c r="I4235" s="187">
        <v>10.54148651430924</v>
      </c>
      <c r="J4235" s="187">
        <v>71.98211624441133</v>
      </c>
      <c r="K4235" s="187">
        <v>9.0770361867035572</v>
      </c>
      <c r="L4235" s="187">
        <v>8.8110674043724302</v>
      </c>
      <c r="M4235" s="187">
        <v>100.41170501708984</v>
      </c>
      <c r="N4235" s="187">
        <v>19.352554321289063</v>
      </c>
      <c r="O4235" t="s">
        <v>4694</v>
      </c>
    </row>
    <row r="4236" spans="1:15" hidden="1" x14ac:dyDescent="0.45">
      <c r="A4236" s="187">
        <v>2020</v>
      </c>
      <c r="B4236" t="s">
        <v>34</v>
      </c>
      <c r="C4236" t="s">
        <v>332</v>
      </c>
      <c r="D4236" t="s">
        <v>339</v>
      </c>
      <c r="E4236" t="s">
        <v>110</v>
      </c>
      <c r="F4236" t="s">
        <v>443</v>
      </c>
      <c r="G4236" t="s">
        <v>453</v>
      </c>
      <c r="H4236" t="s">
        <v>456</v>
      </c>
      <c r="I4236" s="187">
        <v>350</v>
      </c>
      <c r="J4236" s="187">
        <v>107</v>
      </c>
      <c r="K4236" s="187">
        <v>177</v>
      </c>
      <c r="L4236" s="187">
        <v>423</v>
      </c>
      <c r="M4236" s="187">
        <v>1057</v>
      </c>
      <c r="N4236" s="187">
        <v>773</v>
      </c>
      <c r="O4236" t="s">
        <v>4695</v>
      </c>
    </row>
    <row r="4237" spans="1:15" hidden="1" x14ac:dyDescent="0.45">
      <c r="A4237" s="187">
        <v>2020</v>
      </c>
      <c r="B4237" t="s">
        <v>34</v>
      </c>
      <c r="C4237" t="s">
        <v>332</v>
      </c>
      <c r="D4237" t="s">
        <v>339</v>
      </c>
      <c r="E4237" t="s">
        <v>110</v>
      </c>
      <c r="F4237" t="s">
        <v>444</v>
      </c>
      <c r="G4237" t="s">
        <v>453</v>
      </c>
      <c r="H4237" t="s">
        <v>456</v>
      </c>
      <c r="I4237" s="187">
        <v>75</v>
      </c>
      <c r="J4237" s="187">
        <v>76</v>
      </c>
      <c r="K4237" s="187">
        <v>214</v>
      </c>
      <c r="L4237" s="187">
        <v>32</v>
      </c>
      <c r="M4237" s="187">
        <v>397</v>
      </c>
      <c r="N4237" s="187">
        <v>107</v>
      </c>
      <c r="O4237" t="s">
        <v>4696</v>
      </c>
    </row>
    <row r="4238" spans="1:15" hidden="1" x14ac:dyDescent="0.45">
      <c r="A4238" s="187">
        <v>2020</v>
      </c>
      <c r="B4238" t="s">
        <v>34</v>
      </c>
      <c r="C4238" t="s">
        <v>333</v>
      </c>
      <c r="D4238" t="s">
        <v>339</v>
      </c>
      <c r="E4238" t="s">
        <v>111</v>
      </c>
      <c r="F4238" t="s">
        <v>188</v>
      </c>
      <c r="G4238" t="s">
        <v>453</v>
      </c>
      <c r="H4238" t="s">
        <v>460</v>
      </c>
      <c r="I4238" s="187">
        <v>105.1505376346239</v>
      </c>
      <c r="J4238" s="187">
        <v>5889.1986500055791</v>
      </c>
      <c r="K4238" s="187">
        <v>157.32692307692309</v>
      </c>
      <c r="L4238" s="187">
        <v>201.4628807592224</v>
      </c>
      <c r="M4238" s="187">
        <v>1588.2847900390625</v>
      </c>
      <c r="N4238" s="187">
        <v>306.6134033203125</v>
      </c>
      <c r="O4238" t="s">
        <v>4697</v>
      </c>
    </row>
    <row r="4239" spans="1:15" hidden="1" x14ac:dyDescent="0.45">
      <c r="A4239" s="187">
        <v>2020</v>
      </c>
      <c r="B4239" t="s">
        <v>34</v>
      </c>
      <c r="C4239" t="s">
        <v>333</v>
      </c>
      <c r="D4239" t="s">
        <v>339</v>
      </c>
      <c r="E4239" t="s">
        <v>111</v>
      </c>
      <c r="F4239" t="s">
        <v>445</v>
      </c>
      <c r="G4239" t="s">
        <v>453</v>
      </c>
      <c r="H4239" t="s">
        <v>460</v>
      </c>
      <c r="I4239" s="187">
        <v>71.510948905109487</v>
      </c>
      <c r="J4239" s="187">
        <v>9376.0921501706489</v>
      </c>
      <c r="K4239" s="187">
        <v>99.886138613861391</v>
      </c>
      <c r="L4239" s="187">
        <v>264.01153846153852</v>
      </c>
      <c r="M4239" s="187">
        <v>2452.875244140625</v>
      </c>
      <c r="N4239" s="187">
        <v>335.52249145507813</v>
      </c>
      <c r="O4239" t="s">
        <v>4698</v>
      </c>
    </row>
    <row r="4240" spans="1:15" hidden="1" x14ac:dyDescent="0.45">
      <c r="A4240" s="187">
        <v>2020</v>
      </c>
      <c r="B4240" t="s">
        <v>34</v>
      </c>
      <c r="C4240" t="s">
        <v>333</v>
      </c>
      <c r="D4240" t="s">
        <v>339</v>
      </c>
      <c r="E4240" t="s">
        <v>0</v>
      </c>
      <c r="F4240" t="s">
        <v>188</v>
      </c>
      <c r="G4240" t="s">
        <v>453</v>
      </c>
      <c r="H4240" t="s">
        <v>460</v>
      </c>
      <c r="I4240" s="187">
        <v>1054.778267437212</v>
      </c>
      <c r="J4240" s="187">
        <v>211139.55</v>
      </c>
      <c r="K4240" s="187">
        <v>1106.7669579804649</v>
      </c>
      <c r="L4240" s="187">
        <v>1316.1569999999999</v>
      </c>
      <c r="M4240" s="187">
        <v>53654.3125</v>
      </c>
      <c r="N4240" s="187">
        <v>2370.935302734375</v>
      </c>
      <c r="O4240" t="s">
        <v>4699</v>
      </c>
    </row>
    <row r="4241" spans="1:15" hidden="1" x14ac:dyDescent="0.45">
      <c r="A4241" s="187">
        <v>2020</v>
      </c>
      <c r="B4241" t="s">
        <v>34</v>
      </c>
      <c r="C4241" t="s">
        <v>333</v>
      </c>
      <c r="D4241" t="s">
        <v>339</v>
      </c>
      <c r="E4241" t="s">
        <v>0</v>
      </c>
      <c r="F4241" t="s">
        <v>445</v>
      </c>
      <c r="G4241" t="s">
        <v>453</v>
      </c>
      <c r="H4241" t="s">
        <v>460</v>
      </c>
      <c r="I4241" s="187">
        <v>150.95996794970571</v>
      </c>
      <c r="J4241" s="187">
        <v>208786.82</v>
      </c>
      <c r="K4241" s="187">
        <v>181.976424326055</v>
      </c>
      <c r="L4241" s="187">
        <v>411.858</v>
      </c>
      <c r="M4241" s="187">
        <v>52382.90234375</v>
      </c>
      <c r="N4241" s="187">
        <v>562.81793212890625</v>
      </c>
      <c r="O4241" t="s">
        <v>4700</v>
      </c>
    </row>
    <row r="4242" spans="1:15" hidden="1" x14ac:dyDescent="0.45">
      <c r="A4242" s="187">
        <v>2020</v>
      </c>
      <c r="B4242" t="s">
        <v>34</v>
      </c>
      <c r="C4242" t="s">
        <v>333</v>
      </c>
      <c r="D4242" t="s">
        <v>339</v>
      </c>
      <c r="E4242" t="s">
        <v>42</v>
      </c>
      <c r="F4242" t="s">
        <v>188</v>
      </c>
      <c r="G4242" t="s">
        <v>453</v>
      </c>
      <c r="H4242" t="s">
        <v>460</v>
      </c>
      <c r="I4242" s="187">
        <v>10.03112576658757</v>
      </c>
      <c r="J4242" s="187">
        <v>35.851999999999997</v>
      </c>
      <c r="K4242" s="187">
        <v>7.0348223707351396</v>
      </c>
      <c r="L4242" s="187">
        <v>6.5330000000000004</v>
      </c>
      <c r="M4242" s="187">
        <v>14.862736701965332</v>
      </c>
      <c r="N4242" s="187">
        <v>16.564126968383789</v>
      </c>
      <c r="O4242" t="s">
        <v>4701</v>
      </c>
    </row>
    <row r="4243" spans="1:15" hidden="1" x14ac:dyDescent="0.45">
      <c r="A4243" s="187">
        <v>2020</v>
      </c>
      <c r="B4243" t="s">
        <v>34</v>
      </c>
      <c r="C4243" t="s">
        <v>333</v>
      </c>
      <c r="D4243" t="s">
        <v>339</v>
      </c>
      <c r="E4243" t="s">
        <v>42</v>
      </c>
      <c r="F4243" t="s">
        <v>445</v>
      </c>
      <c r="G4243" t="s">
        <v>453</v>
      </c>
      <c r="H4243" t="s">
        <v>460</v>
      </c>
      <c r="I4243" s="187">
        <v>2.1110049616321001</v>
      </c>
      <c r="J4243" s="187">
        <v>22.268000000000001</v>
      </c>
      <c r="K4243" s="187">
        <v>1.821838613959613</v>
      </c>
      <c r="L4243" s="187">
        <v>1.56</v>
      </c>
      <c r="M4243" s="187">
        <v>6.9402108192443848</v>
      </c>
      <c r="N4243" s="187">
        <v>3.6710050106048584</v>
      </c>
      <c r="O4243" t="s">
        <v>4702</v>
      </c>
    </row>
    <row r="4244" spans="1:15" hidden="1" x14ac:dyDescent="0.45">
      <c r="A4244" s="187">
        <v>2020</v>
      </c>
      <c r="B4244" t="s">
        <v>34</v>
      </c>
      <c r="C4244" t="s">
        <v>319</v>
      </c>
      <c r="D4244" t="s">
        <v>335</v>
      </c>
      <c r="E4244" t="s">
        <v>10</v>
      </c>
      <c r="F4244" t="s">
        <v>372</v>
      </c>
      <c r="G4244" t="s">
        <v>453</v>
      </c>
      <c r="H4244" t="s">
        <v>454</v>
      </c>
      <c r="I4244" s="187">
        <v>5.5373700442008997E-2</v>
      </c>
      <c r="J4244" s="187">
        <v>5.0822402850837702E-2</v>
      </c>
      <c r="K4244" s="187">
        <v>4.6521069588356001E-2</v>
      </c>
      <c r="L4244" s="187">
        <v>5.0148226634712197E-2</v>
      </c>
      <c r="M4244" s="187">
        <v>5.0716351717710495E-2</v>
      </c>
      <c r="N4244" s="187">
        <v>0.10552193224430084</v>
      </c>
      <c r="O4244" t="s">
        <v>4703</v>
      </c>
    </row>
    <row r="4245" spans="1:15" hidden="1" x14ac:dyDescent="0.45">
      <c r="A4245" s="187">
        <v>2020</v>
      </c>
      <c r="B4245" t="s">
        <v>34</v>
      </c>
      <c r="C4245" t="s">
        <v>319</v>
      </c>
      <c r="D4245" t="s">
        <v>335</v>
      </c>
      <c r="E4245" t="s">
        <v>10</v>
      </c>
      <c r="F4245" t="s">
        <v>373</v>
      </c>
      <c r="G4245" t="s">
        <v>453</v>
      </c>
      <c r="H4245" t="s">
        <v>454</v>
      </c>
      <c r="I4245" s="187">
        <v>5.8690020442009001E-2</v>
      </c>
      <c r="J4245" s="187">
        <v>5.4679682850837699E-2</v>
      </c>
      <c r="K4245" s="187">
        <v>4.9837389588355999E-2</v>
      </c>
      <c r="L4245" s="187">
        <v>5.4005506634712201E-2</v>
      </c>
      <c r="M4245" s="187">
        <v>5.4303150624036789E-2</v>
      </c>
      <c r="N4245" s="187">
        <v>0.11269552260637283</v>
      </c>
      <c r="O4245" t="s">
        <v>4704</v>
      </c>
    </row>
    <row r="4246" spans="1:15" hidden="1" x14ac:dyDescent="0.45">
      <c r="A4246" s="187">
        <v>2020</v>
      </c>
      <c r="B4246" t="s">
        <v>34</v>
      </c>
      <c r="C4246" t="s">
        <v>321</v>
      </c>
      <c r="D4246" t="s">
        <v>335</v>
      </c>
      <c r="E4246" t="s">
        <v>341</v>
      </c>
      <c r="F4246" t="s">
        <v>375</v>
      </c>
      <c r="G4246" t="s">
        <v>36</v>
      </c>
      <c r="H4246" t="s">
        <v>43</v>
      </c>
      <c r="I4246" s="187">
        <v>8935.9140625</v>
      </c>
      <c r="J4246" s="187">
        <v>2469.059814453125</v>
      </c>
      <c r="K4246" s="187">
        <v>19173.408203125</v>
      </c>
      <c r="L4246" s="187">
        <v>13988.4892578125</v>
      </c>
      <c r="M4246" s="187">
        <v>44566.87109375</v>
      </c>
      <c r="N4246" s="187">
        <v>22924.40234375</v>
      </c>
      <c r="O4246" t="s">
        <v>4705</v>
      </c>
    </row>
    <row r="4247" spans="1:15" hidden="1" x14ac:dyDescent="0.45">
      <c r="A4247" s="187">
        <v>2020</v>
      </c>
      <c r="B4247" t="s">
        <v>34</v>
      </c>
      <c r="C4247" t="s">
        <v>321</v>
      </c>
      <c r="D4247" t="s">
        <v>335</v>
      </c>
      <c r="E4247" t="s">
        <v>341</v>
      </c>
      <c r="F4247" t="s">
        <v>375</v>
      </c>
      <c r="G4247" t="s">
        <v>37</v>
      </c>
      <c r="H4247" t="s">
        <v>43</v>
      </c>
      <c r="I4247" s="187">
        <v>8363.87109375</v>
      </c>
      <c r="J4247" s="187">
        <v>2311</v>
      </c>
      <c r="K4247" s="187">
        <v>17946</v>
      </c>
      <c r="L4247" s="187">
        <v>13093</v>
      </c>
      <c r="M4247" s="187">
        <v>41713.87109375</v>
      </c>
      <c r="N4247" s="187">
        <v>21456.87109375</v>
      </c>
      <c r="O4247" t="s">
        <v>4706</v>
      </c>
    </row>
    <row r="4248" spans="1:15" hidden="1" x14ac:dyDescent="0.45">
      <c r="A4248" s="187">
        <v>2020</v>
      </c>
      <c r="B4248" t="s">
        <v>34</v>
      </c>
      <c r="C4248" t="s">
        <v>321</v>
      </c>
      <c r="D4248" t="s">
        <v>335</v>
      </c>
      <c r="E4248" t="s">
        <v>341</v>
      </c>
      <c r="F4248" t="s">
        <v>377</v>
      </c>
      <c r="G4248" t="s">
        <v>36</v>
      </c>
      <c r="H4248" t="s">
        <v>43</v>
      </c>
      <c r="I4248" s="187">
        <v>678.08795166015625</v>
      </c>
      <c r="J4248" s="187">
        <v>75.856010437011719</v>
      </c>
      <c r="K4248" s="187">
        <v>1880.53271484375</v>
      </c>
      <c r="L4248" s="187">
        <v>1966.914306640625</v>
      </c>
      <c r="M4248" s="187">
        <v>4601.390625</v>
      </c>
      <c r="N4248" s="187">
        <v>2645.002197265625</v>
      </c>
      <c r="O4248" t="s">
        <v>4707</v>
      </c>
    </row>
    <row r="4249" spans="1:15" hidden="1" x14ac:dyDescent="0.45">
      <c r="A4249" s="187">
        <v>2020</v>
      </c>
      <c r="B4249" t="s">
        <v>34</v>
      </c>
      <c r="C4249" t="s">
        <v>321</v>
      </c>
      <c r="D4249" t="s">
        <v>335</v>
      </c>
      <c r="E4249" t="s">
        <v>341</v>
      </c>
      <c r="F4249" t="s">
        <v>377</v>
      </c>
      <c r="G4249" t="s">
        <v>37</v>
      </c>
      <c r="H4249" t="s">
        <v>43</v>
      </c>
      <c r="I4249" s="187">
        <v>634.67938232421875</v>
      </c>
      <c r="J4249" s="187">
        <v>71</v>
      </c>
      <c r="K4249" s="187">
        <v>1760.148193359375</v>
      </c>
      <c r="L4249" s="187">
        <v>1841</v>
      </c>
      <c r="M4249" s="187">
        <v>4306.82763671875</v>
      </c>
      <c r="N4249" s="187">
        <v>2475.679443359375</v>
      </c>
      <c r="O4249" t="s">
        <v>4708</v>
      </c>
    </row>
    <row r="4250" spans="1:15" hidden="1" x14ac:dyDescent="0.45">
      <c r="A4250" s="187">
        <v>2020</v>
      </c>
      <c r="B4250" t="s">
        <v>34</v>
      </c>
      <c r="C4250" t="s">
        <v>321</v>
      </c>
      <c r="D4250" t="s">
        <v>335</v>
      </c>
      <c r="E4250" t="s">
        <v>342</v>
      </c>
      <c r="F4250" t="s">
        <v>342</v>
      </c>
      <c r="G4250" t="s">
        <v>36</v>
      </c>
      <c r="H4250" t="s">
        <v>43</v>
      </c>
      <c r="I4250" s="187">
        <v>17537.96484375</v>
      </c>
      <c r="J4250" s="187">
        <v>2285.02099609375</v>
      </c>
      <c r="K4250" s="187">
        <v>36723.546875</v>
      </c>
      <c r="L4250" s="187">
        <v>35002.7421875</v>
      </c>
      <c r="M4250" s="187">
        <v>91549.2734375</v>
      </c>
      <c r="N4250" s="187">
        <v>52540.70703125</v>
      </c>
      <c r="O4250" t="s">
        <v>4709</v>
      </c>
    </row>
    <row r="4251" spans="1:15" hidden="1" x14ac:dyDescent="0.45">
      <c r="A4251" s="187">
        <v>2020</v>
      </c>
      <c r="B4251" t="s">
        <v>34</v>
      </c>
      <c r="C4251" t="s">
        <v>321</v>
      </c>
      <c r="D4251" t="s">
        <v>335</v>
      </c>
      <c r="E4251" t="s">
        <v>342</v>
      </c>
      <c r="F4251" t="s">
        <v>342</v>
      </c>
      <c r="G4251" t="s">
        <v>37</v>
      </c>
      <c r="H4251" t="s">
        <v>43</v>
      </c>
      <c r="I4251" s="187">
        <v>16415.251953125</v>
      </c>
      <c r="J4251" s="187">
        <v>2138.74267578125</v>
      </c>
      <c r="K4251" s="187">
        <v>34372.64453125</v>
      </c>
      <c r="L4251" s="187">
        <v>32762</v>
      </c>
      <c r="M4251" s="187">
        <v>85688.640625</v>
      </c>
      <c r="N4251" s="187">
        <v>49177.25</v>
      </c>
      <c r="O4251" t="s">
        <v>4710</v>
      </c>
    </row>
    <row r="4252" spans="1:15" hidden="1" x14ac:dyDescent="0.45">
      <c r="A4252" s="187">
        <v>2020</v>
      </c>
      <c r="B4252" t="s">
        <v>34</v>
      </c>
      <c r="C4252" t="s">
        <v>321</v>
      </c>
      <c r="D4252" t="s">
        <v>335</v>
      </c>
      <c r="E4252" t="s">
        <v>343</v>
      </c>
      <c r="F4252" t="s">
        <v>343</v>
      </c>
      <c r="G4252" t="s">
        <v>36</v>
      </c>
      <c r="H4252" t="s">
        <v>43</v>
      </c>
      <c r="I4252" s="187">
        <v>9944.66796875</v>
      </c>
      <c r="J4252" s="187">
        <v>1313.750732421875</v>
      </c>
      <c r="K4252" s="187">
        <v>18708.728515625</v>
      </c>
      <c r="L4252" s="187">
        <v>22522.57421875</v>
      </c>
      <c r="M4252" s="187">
        <v>52489.72265625</v>
      </c>
      <c r="N4252" s="187">
        <v>32467.2421875</v>
      </c>
      <c r="O4252" t="s">
        <v>4711</v>
      </c>
    </row>
    <row r="4253" spans="1:15" hidden="1" x14ac:dyDescent="0.45">
      <c r="A4253" s="187">
        <v>2020</v>
      </c>
      <c r="B4253" t="s">
        <v>34</v>
      </c>
      <c r="C4253" t="s">
        <v>321</v>
      </c>
      <c r="D4253" t="s">
        <v>335</v>
      </c>
      <c r="E4253" t="s">
        <v>343</v>
      </c>
      <c r="F4253" t="s">
        <v>343</v>
      </c>
      <c r="G4253" t="s">
        <v>37</v>
      </c>
      <c r="H4253" t="s">
        <v>43</v>
      </c>
      <c r="I4253" s="187">
        <v>9308.048828125</v>
      </c>
      <c r="J4253" s="187">
        <v>1229.6494140625</v>
      </c>
      <c r="K4253" s="187">
        <v>17511.068359375</v>
      </c>
      <c r="L4253" s="187">
        <v>21080.765625</v>
      </c>
      <c r="M4253" s="187">
        <v>49129.53125</v>
      </c>
      <c r="N4253" s="187">
        <v>30388.814453125</v>
      </c>
      <c r="O4253" t="s">
        <v>4712</v>
      </c>
    </row>
    <row r="4254" spans="1:15" hidden="1" x14ac:dyDescent="0.45">
      <c r="A4254" s="187">
        <v>2020</v>
      </c>
      <c r="B4254" t="s">
        <v>34</v>
      </c>
      <c r="C4254" t="s">
        <v>321</v>
      </c>
      <c r="D4254" t="s">
        <v>335</v>
      </c>
      <c r="E4254" t="s">
        <v>344</v>
      </c>
      <c r="F4254" t="s">
        <v>344</v>
      </c>
      <c r="G4254" t="s">
        <v>36</v>
      </c>
      <c r="H4254" t="s">
        <v>43</v>
      </c>
      <c r="I4254" s="187">
        <v>13006.208984375</v>
      </c>
      <c r="J4254" s="187">
        <v>1786.4315185546875</v>
      </c>
      <c r="K4254" s="187">
        <v>24277.828125</v>
      </c>
      <c r="L4254" s="187">
        <v>28588.763671875</v>
      </c>
      <c r="M4254" s="187">
        <v>67659.234375</v>
      </c>
      <c r="N4254" s="187">
        <v>41594.97265625</v>
      </c>
      <c r="O4254" t="s">
        <v>4713</v>
      </c>
    </row>
    <row r="4255" spans="1:15" hidden="1" x14ac:dyDescent="0.45">
      <c r="A4255" s="187">
        <v>2020</v>
      </c>
      <c r="B4255" t="s">
        <v>34</v>
      </c>
      <c r="C4255" t="s">
        <v>321</v>
      </c>
      <c r="D4255" t="s">
        <v>335</v>
      </c>
      <c r="E4255" t="s">
        <v>344</v>
      </c>
      <c r="F4255" t="s">
        <v>344</v>
      </c>
      <c r="G4255" t="s">
        <v>37</v>
      </c>
      <c r="H4255" t="s">
        <v>43</v>
      </c>
      <c r="I4255" s="187">
        <v>12173.6015625</v>
      </c>
      <c r="J4255" s="187">
        <v>1672.071044921875</v>
      </c>
      <c r="K4255" s="187">
        <v>22723.654296875</v>
      </c>
      <c r="L4255" s="187">
        <v>26758.62109375</v>
      </c>
      <c r="M4255" s="187">
        <v>63327.94921875</v>
      </c>
      <c r="N4255" s="187">
        <v>38932.22265625</v>
      </c>
      <c r="O4255" t="s">
        <v>4714</v>
      </c>
    </row>
    <row r="4256" spans="1:15" hidden="1" x14ac:dyDescent="0.45">
      <c r="A4256" s="187">
        <v>2020</v>
      </c>
      <c r="B4256" t="s">
        <v>34</v>
      </c>
      <c r="C4256" t="s">
        <v>321</v>
      </c>
      <c r="D4256" t="s">
        <v>335</v>
      </c>
      <c r="E4256" t="s">
        <v>345</v>
      </c>
      <c r="F4256" t="s">
        <v>378</v>
      </c>
      <c r="G4256" t="s">
        <v>36</v>
      </c>
      <c r="H4256" t="s">
        <v>43</v>
      </c>
      <c r="I4256" s="187">
        <v>3061.541015625</v>
      </c>
      <c r="J4256" s="187">
        <v>472.680908203125</v>
      </c>
      <c r="K4256" s="187">
        <v>5145.00439453125</v>
      </c>
      <c r="L4256" s="187">
        <v>5537.66943359375</v>
      </c>
      <c r="M4256" s="187">
        <v>14216.896484375</v>
      </c>
      <c r="N4256" s="187">
        <v>8599.2109375</v>
      </c>
      <c r="O4256" t="s">
        <v>4715</v>
      </c>
    </row>
    <row r="4257" spans="1:15" hidden="1" x14ac:dyDescent="0.45">
      <c r="A4257" s="187">
        <v>2020</v>
      </c>
      <c r="B4257" t="s">
        <v>34</v>
      </c>
      <c r="C4257" t="s">
        <v>321</v>
      </c>
      <c r="D4257" t="s">
        <v>335</v>
      </c>
      <c r="E4257" t="s">
        <v>345</v>
      </c>
      <c r="F4257" t="s">
        <v>378</v>
      </c>
      <c r="G4257" t="s">
        <v>37</v>
      </c>
      <c r="H4257" t="s">
        <v>43</v>
      </c>
      <c r="I4257" s="187">
        <v>2865.552978515625</v>
      </c>
      <c r="J4257" s="187">
        <v>442.42169189453125</v>
      </c>
      <c r="K4257" s="187">
        <v>4815.64111328125</v>
      </c>
      <c r="L4257" s="187">
        <v>5183.1689453125</v>
      </c>
      <c r="M4257" s="187">
        <v>13306.78515625</v>
      </c>
      <c r="N4257" s="187">
        <v>8048.7216796875</v>
      </c>
      <c r="O4257" t="s">
        <v>4716</v>
      </c>
    </row>
    <row r="4258" spans="1:15" hidden="1" x14ac:dyDescent="0.45">
      <c r="A4258" s="187">
        <v>2020</v>
      </c>
      <c r="B4258" t="s">
        <v>34</v>
      </c>
      <c r="C4258" t="s">
        <v>321</v>
      </c>
      <c r="D4258" t="s">
        <v>335</v>
      </c>
      <c r="E4258" t="s">
        <v>346</v>
      </c>
      <c r="F4258" t="s">
        <v>379</v>
      </c>
      <c r="G4258" t="s">
        <v>36</v>
      </c>
      <c r="H4258" t="s">
        <v>43</v>
      </c>
      <c r="I4258" s="187">
        <v>0</v>
      </c>
      <c r="J4258" s="187">
        <v>0</v>
      </c>
      <c r="K4258" s="187">
        <v>424.09310913085938</v>
      </c>
      <c r="L4258" s="187">
        <v>528.52142333984375</v>
      </c>
      <c r="M4258" s="187">
        <v>952.614501953125</v>
      </c>
      <c r="N4258" s="187">
        <v>528.52142333984375</v>
      </c>
      <c r="O4258" t="s">
        <v>4717</v>
      </c>
    </row>
    <row r="4259" spans="1:15" hidden="1" x14ac:dyDescent="0.45">
      <c r="A4259" s="187">
        <v>2020</v>
      </c>
      <c r="B4259" t="s">
        <v>34</v>
      </c>
      <c r="C4259" t="s">
        <v>321</v>
      </c>
      <c r="D4259" t="s">
        <v>335</v>
      </c>
      <c r="E4259" t="s">
        <v>346</v>
      </c>
      <c r="F4259" t="s">
        <v>379</v>
      </c>
      <c r="G4259" t="s">
        <v>37</v>
      </c>
      <c r="H4259" t="s">
        <v>43</v>
      </c>
      <c r="I4259" s="187">
        <v>0</v>
      </c>
      <c r="J4259" s="187">
        <v>0</v>
      </c>
      <c r="K4259" s="187">
        <v>396.94430541992188</v>
      </c>
      <c r="L4259" s="187">
        <v>494.6875</v>
      </c>
      <c r="M4259" s="187">
        <v>891.6318359375</v>
      </c>
      <c r="N4259" s="187">
        <v>494.6875</v>
      </c>
      <c r="O4259" t="s">
        <v>4718</v>
      </c>
    </row>
    <row r="4260" spans="1:15" hidden="1" x14ac:dyDescent="0.45">
      <c r="A4260" s="187">
        <v>2020</v>
      </c>
      <c r="B4260" t="s">
        <v>34</v>
      </c>
      <c r="C4260" t="s">
        <v>321</v>
      </c>
      <c r="D4260" t="s">
        <v>335</v>
      </c>
      <c r="E4260" t="s">
        <v>347</v>
      </c>
      <c r="F4260" t="s">
        <v>380</v>
      </c>
      <c r="G4260" t="s">
        <v>36</v>
      </c>
      <c r="H4260" t="s">
        <v>43</v>
      </c>
      <c r="I4260" s="187">
        <v>0</v>
      </c>
      <c r="J4260" s="187"/>
      <c r="K4260" s="187">
        <v>-583.3433837890625</v>
      </c>
      <c r="L4260" s="187">
        <v>-51.282936096191406</v>
      </c>
      <c r="M4260" s="187">
        <v>-634.6263427734375</v>
      </c>
      <c r="N4260" s="187">
        <v>-51.282936096191406</v>
      </c>
      <c r="O4260" t="s">
        <v>4719</v>
      </c>
    </row>
    <row r="4261" spans="1:15" hidden="1" x14ac:dyDescent="0.45">
      <c r="A4261" s="187">
        <v>2020</v>
      </c>
      <c r="B4261" t="s">
        <v>34</v>
      </c>
      <c r="C4261" t="s">
        <v>321</v>
      </c>
      <c r="D4261" t="s">
        <v>335</v>
      </c>
      <c r="E4261" t="s">
        <v>347</v>
      </c>
      <c r="F4261" t="s">
        <v>380</v>
      </c>
      <c r="G4261" t="s">
        <v>37</v>
      </c>
      <c r="H4261" t="s">
        <v>43</v>
      </c>
      <c r="I4261" s="187">
        <v>0</v>
      </c>
      <c r="J4261" s="187"/>
      <c r="K4261" s="187">
        <v>-546</v>
      </c>
      <c r="L4261" s="187">
        <v>-48</v>
      </c>
      <c r="M4261" s="187">
        <v>-594</v>
      </c>
      <c r="N4261" s="187">
        <v>-48</v>
      </c>
      <c r="O4261" t="s">
        <v>4720</v>
      </c>
    </row>
    <row r="4262" spans="1:15" hidden="1" x14ac:dyDescent="0.45">
      <c r="A4262" s="187">
        <v>2020</v>
      </c>
      <c r="B4262" t="s">
        <v>34</v>
      </c>
      <c r="C4262" t="s">
        <v>321</v>
      </c>
      <c r="D4262" t="s">
        <v>335</v>
      </c>
      <c r="E4262" t="s">
        <v>347</v>
      </c>
      <c r="F4262" t="s">
        <v>11</v>
      </c>
      <c r="G4262" t="s">
        <v>36</v>
      </c>
      <c r="H4262" t="s">
        <v>43</v>
      </c>
      <c r="I4262" s="187">
        <v>26420.970703125</v>
      </c>
      <c r="J4262" s="187">
        <v>4803.22705078125</v>
      </c>
      <c r="K4262" s="187">
        <v>57379.20703125</v>
      </c>
      <c r="L4262" s="187">
        <v>51009.4296875</v>
      </c>
      <c r="M4262" s="187">
        <v>139612.84375</v>
      </c>
      <c r="N4262" s="187">
        <v>77430.3984375</v>
      </c>
      <c r="O4262" t="s">
        <v>4721</v>
      </c>
    </row>
    <row r="4263" spans="1:15" hidden="1" x14ac:dyDescent="0.45">
      <c r="A4263" s="187">
        <v>2020</v>
      </c>
      <c r="B4263" t="s">
        <v>34</v>
      </c>
      <c r="C4263" t="s">
        <v>321</v>
      </c>
      <c r="D4263" t="s">
        <v>335</v>
      </c>
      <c r="E4263" t="s">
        <v>347</v>
      </c>
      <c r="F4263" t="s">
        <v>11</v>
      </c>
      <c r="G4263" t="s">
        <v>37</v>
      </c>
      <c r="H4263" t="s">
        <v>43</v>
      </c>
      <c r="I4263" s="187">
        <v>24729.6015625</v>
      </c>
      <c r="J4263" s="187">
        <v>4495.74267578125</v>
      </c>
      <c r="K4263" s="187">
        <v>53706.01171875</v>
      </c>
      <c r="L4263" s="187">
        <v>47744</v>
      </c>
      <c r="M4263" s="187">
        <v>130675.359375</v>
      </c>
      <c r="N4263" s="187">
        <v>72473.6015625</v>
      </c>
      <c r="O4263" t="s">
        <v>4722</v>
      </c>
    </row>
    <row r="4264" spans="1:15" hidden="1" x14ac:dyDescent="0.45">
      <c r="A4264" s="187">
        <v>2020</v>
      </c>
      <c r="B4264" t="s">
        <v>34</v>
      </c>
      <c r="C4264" t="s">
        <v>321</v>
      </c>
      <c r="D4264" t="s">
        <v>335</v>
      </c>
      <c r="E4264" t="s">
        <v>347</v>
      </c>
      <c r="F4264" t="s">
        <v>381</v>
      </c>
      <c r="G4264" t="s">
        <v>36</v>
      </c>
      <c r="H4264" t="s">
        <v>43</v>
      </c>
      <c r="I4264" s="187">
        <v>730.99554443359375</v>
      </c>
      <c r="J4264" s="187">
        <v>26.709863662719727</v>
      </c>
      <c r="K4264" s="187">
        <v>981.61773681640625</v>
      </c>
      <c r="L4264" s="187">
        <v>0</v>
      </c>
      <c r="M4264" s="187">
        <v>1739.3231201171875</v>
      </c>
      <c r="N4264" s="187">
        <v>730.99554443359375</v>
      </c>
      <c r="O4264" t="s">
        <v>4723</v>
      </c>
    </row>
    <row r="4265" spans="1:15" hidden="1" x14ac:dyDescent="0.45">
      <c r="A4265" s="187">
        <v>2020</v>
      </c>
      <c r="B4265" t="s">
        <v>34</v>
      </c>
      <c r="C4265" t="s">
        <v>321</v>
      </c>
      <c r="D4265" t="s">
        <v>335</v>
      </c>
      <c r="E4265" t="s">
        <v>347</v>
      </c>
      <c r="F4265" t="s">
        <v>381</v>
      </c>
      <c r="G4265" t="s">
        <v>37</v>
      </c>
      <c r="H4265" t="s">
        <v>43</v>
      </c>
      <c r="I4265" s="187">
        <v>684.20001220703125</v>
      </c>
      <c r="J4265" s="187">
        <v>25</v>
      </c>
      <c r="K4265" s="187">
        <v>918.7783203125</v>
      </c>
      <c r="L4265" s="187">
        <v>0</v>
      </c>
      <c r="M4265" s="187">
        <v>1627.978271484375</v>
      </c>
      <c r="N4265" s="187">
        <v>684.20001220703125</v>
      </c>
      <c r="O4265" t="s">
        <v>4724</v>
      </c>
    </row>
    <row r="4266" spans="1:15" hidden="1" x14ac:dyDescent="0.45">
      <c r="A4266" s="187">
        <v>2020</v>
      </c>
      <c r="B4266" t="s">
        <v>34</v>
      </c>
      <c r="C4266" t="s">
        <v>321</v>
      </c>
      <c r="D4266" t="s">
        <v>335</v>
      </c>
      <c r="E4266" t="s">
        <v>347</v>
      </c>
      <c r="F4266" t="s">
        <v>347</v>
      </c>
      <c r="G4266" t="s">
        <v>36</v>
      </c>
      <c r="H4266" t="s">
        <v>43</v>
      </c>
      <c r="I4266" s="187">
        <v>27151.966796875</v>
      </c>
      <c r="J4266" s="187">
        <v>4829.9365234375</v>
      </c>
      <c r="K4266" s="187">
        <v>57777.484375</v>
      </c>
      <c r="L4266" s="187">
        <v>50958.14453125</v>
      </c>
      <c r="M4266" s="187">
        <v>140717.53125</v>
      </c>
      <c r="N4266" s="187">
        <v>78110.109375</v>
      </c>
      <c r="O4266" t="s">
        <v>4725</v>
      </c>
    </row>
    <row r="4267" spans="1:15" hidden="1" x14ac:dyDescent="0.45">
      <c r="A4267" s="187">
        <v>2020</v>
      </c>
      <c r="B4267" t="s">
        <v>34</v>
      </c>
      <c r="C4267" t="s">
        <v>321</v>
      </c>
      <c r="D4267" t="s">
        <v>335</v>
      </c>
      <c r="E4267" t="s">
        <v>347</v>
      </c>
      <c r="F4267" t="s">
        <v>347</v>
      </c>
      <c r="G4267" t="s">
        <v>37</v>
      </c>
      <c r="H4267" t="s">
        <v>43</v>
      </c>
      <c r="I4267" s="187">
        <v>25413.802734375</v>
      </c>
      <c r="J4267" s="187">
        <v>4520.74267578125</v>
      </c>
      <c r="K4267" s="187">
        <v>54078.79296875</v>
      </c>
      <c r="L4267" s="187">
        <v>47696</v>
      </c>
      <c r="M4267" s="187">
        <v>131709.34375</v>
      </c>
      <c r="N4267" s="187">
        <v>73109.8046875</v>
      </c>
      <c r="O4267" t="s">
        <v>4726</v>
      </c>
    </row>
    <row r="4268" spans="1:15" hidden="1" x14ac:dyDescent="0.45">
      <c r="A4268" s="187">
        <v>2020</v>
      </c>
      <c r="B4268" t="s">
        <v>34</v>
      </c>
      <c r="C4268" t="s">
        <v>334</v>
      </c>
      <c r="D4268" t="s">
        <v>335</v>
      </c>
      <c r="E4268" t="s">
        <v>367</v>
      </c>
      <c r="F4268" t="s">
        <v>367</v>
      </c>
      <c r="G4268" t="s">
        <v>36</v>
      </c>
      <c r="H4268" t="s">
        <v>43</v>
      </c>
      <c r="I4268" s="187">
        <v>0</v>
      </c>
      <c r="J4268" s="187">
        <v>-7.4787616729736328</v>
      </c>
      <c r="K4268" s="187">
        <v>2086.74853515625</v>
      </c>
      <c r="L4268" s="187">
        <v>-38.462203979492188</v>
      </c>
      <c r="M4268" s="187">
        <v>2040.8076171875</v>
      </c>
      <c r="N4268" s="187">
        <v>-38.462203979492188</v>
      </c>
      <c r="O4268" t="s">
        <v>4727</v>
      </c>
    </row>
    <row r="4269" spans="1:15" hidden="1" x14ac:dyDescent="0.45">
      <c r="A4269" s="187">
        <v>2020</v>
      </c>
      <c r="B4269" t="s">
        <v>34</v>
      </c>
      <c r="C4269" t="s">
        <v>334</v>
      </c>
      <c r="D4269" t="s">
        <v>335</v>
      </c>
      <c r="E4269" t="s">
        <v>367</v>
      </c>
      <c r="F4269" t="s">
        <v>367</v>
      </c>
      <c r="G4269" t="s">
        <v>37</v>
      </c>
      <c r="H4269" t="s">
        <v>43</v>
      </c>
      <c r="I4269" s="187">
        <v>0</v>
      </c>
      <c r="J4269" s="187">
        <v>-7</v>
      </c>
      <c r="K4269" s="187">
        <v>1953.162841796875</v>
      </c>
      <c r="L4269" s="187">
        <v>-36</v>
      </c>
      <c r="M4269" s="187">
        <v>1910.162841796875</v>
      </c>
      <c r="N4269" s="187">
        <v>-36</v>
      </c>
      <c r="O4269" t="s">
        <v>4728</v>
      </c>
    </row>
    <row r="4270" spans="1:15" hidden="1" x14ac:dyDescent="0.45">
      <c r="A4270" s="187">
        <v>2020</v>
      </c>
      <c r="B4270" t="s">
        <v>34</v>
      </c>
      <c r="C4270" t="s">
        <v>334</v>
      </c>
      <c r="D4270" t="s">
        <v>335</v>
      </c>
      <c r="E4270" t="s">
        <v>26</v>
      </c>
      <c r="F4270" t="s">
        <v>26</v>
      </c>
      <c r="G4270" t="s">
        <v>36</v>
      </c>
      <c r="H4270" t="s">
        <v>43</v>
      </c>
      <c r="I4270" s="187">
        <v>0</v>
      </c>
      <c r="J4270" s="187">
        <v>0</v>
      </c>
      <c r="K4270" s="187">
        <v>626.85784912109375</v>
      </c>
      <c r="L4270" s="187">
        <v>51.282936096191406</v>
      </c>
      <c r="M4270" s="187">
        <v>678.14080810546875</v>
      </c>
      <c r="N4270" s="187">
        <v>51.282936096191406</v>
      </c>
      <c r="O4270" t="s">
        <v>4729</v>
      </c>
    </row>
    <row r="4271" spans="1:15" hidden="1" x14ac:dyDescent="0.45">
      <c r="A4271" s="187">
        <v>2020</v>
      </c>
      <c r="B4271" t="s">
        <v>34</v>
      </c>
      <c r="C4271" t="s">
        <v>334</v>
      </c>
      <c r="D4271" t="s">
        <v>335</v>
      </c>
      <c r="E4271" t="s">
        <v>26</v>
      </c>
      <c r="F4271" t="s">
        <v>26</v>
      </c>
      <c r="G4271" t="s">
        <v>37</v>
      </c>
      <c r="H4271" t="s">
        <v>43</v>
      </c>
      <c r="I4271" s="187">
        <v>0</v>
      </c>
      <c r="J4271" s="187">
        <v>0</v>
      </c>
      <c r="K4271" s="187">
        <v>586.72882080078125</v>
      </c>
      <c r="L4271" s="187">
        <v>48</v>
      </c>
      <c r="M4271" s="187">
        <v>634.72882080078125</v>
      </c>
      <c r="N4271" s="187">
        <v>48</v>
      </c>
      <c r="O4271" t="s">
        <v>4730</v>
      </c>
    </row>
    <row r="4272" spans="1:15" hidden="1" x14ac:dyDescent="0.45">
      <c r="A4272" s="187">
        <v>2020</v>
      </c>
      <c r="B4272" t="s">
        <v>34</v>
      </c>
      <c r="C4272" t="s">
        <v>334</v>
      </c>
      <c r="D4272" t="s">
        <v>335</v>
      </c>
      <c r="E4272" t="s">
        <v>368</v>
      </c>
      <c r="F4272" t="s">
        <v>448</v>
      </c>
      <c r="G4272" t="s">
        <v>36</v>
      </c>
      <c r="H4272" t="s">
        <v>43</v>
      </c>
      <c r="I4272" s="187">
        <v>7061.18310546875</v>
      </c>
      <c r="J4272" s="187">
        <v>870.74151611328125</v>
      </c>
      <c r="K4272" s="187">
        <v>18343.1640625</v>
      </c>
      <c r="L4272" s="187">
        <v>12990.609375</v>
      </c>
      <c r="M4272" s="187">
        <v>39265.69921875</v>
      </c>
      <c r="N4272" s="187">
        <v>20051.79296875</v>
      </c>
      <c r="O4272" t="s">
        <v>4731</v>
      </c>
    </row>
    <row r="4273" spans="1:15" hidden="1" x14ac:dyDescent="0.45">
      <c r="A4273" s="187">
        <v>2020</v>
      </c>
      <c r="B4273" t="s">
        <v>34</v>
      </c>
      <c r="C4273" t="s">
        <v>334</v>
      </c>
      <c r="D4273" t="s">
        <v>335</v>
      </c>
      <c r="E4273" t="s">
        <v>368</v>
      </c>
      <c r="F4273" t="s">
        <v>448</v>
      </c>
      <c r="G4273" t="s">
        <v>37</v>
      </c>
      <c r="H4273" t="s">
        <v>43</v>
      </c>
      <c r="I4273" s="187">
        <v>6609.1533203125</v>
      </c>
      <c r="J4273" s="187">
        <v>815</v>
      </c>
      <c r="K4273" s="187">
        <v>17168.904296875</v>
      </c>
      <c r="L4273" s="187">
        <v>12159</v>
      </c>
      <c r="M4273" s="187">
        <v>36752.05859375</v>
      </c>
      <c r="N4273" s="187">
        <v>18768.15234375</v>
      </c>
      <c r="O4273" t="s">
        <v>4732</v>
      </c>
    </row>
    <row r="4274" spans="1:15" hidden="1" x14ac:dyDescent="0.45">
      <c r="A4274" s="187">
        <v>2020</v>
      </c>
      <c r="B4274" t="s">
        <v>34</v>
      </c>
      <c r="C4274" t="s">
        <v>334</v>
      </c>
      <c r="D4274" t="s">
        <v>335</v>
      </c>
      <c r="E4274" t="s">
        <v>368</v>
      </c>
      <c r="F4274" t="s">
        <v>449</v>
      </c>
      <c r="G4274" t="s">
        <v>36</v>
      </c>
      <c r="H4274" t="s">
        <v>43</v>
      </c>
      <c r="I4274" s="187">
        <v>2529.427490234375</v>
      </c>
      <c r="J4274" s="187">
        <v>371.80130004882813</v>
      </c>
      <c r="K4274" s="187">
        <v>5897.447265625</v>
      </c>
      <c r="L4274" s="187">
        <v>6577.03662109375</v>
      </c>
      <c r="M4274" s="187">
        <v>15375.712890625</v>
      </c>
      <c r="N4274" s="187">
        <v>9106.4638671875</v>
      </c>
      <c r="O4274" t="s">
        <v>4733</v>
      </c>
    </row>
    <row r="4275" spans="1:15" hidden="1" x14ac:dyDescent="0.45">
      <c r="A4275" s="187">
        <v>2020</v>
      </c>
      <c r="B4275" t="s">
        <v>34</v>
      </c>
      <c r="C4275" t="s">
        <v>334</v>
      </c>
      <c r="D4275" t="s">
        <v>335</v>
      </c>
      <c r="E4275" t="s">
        <v>368</v>
      </c>
      <c r="F4275" t="s">
        <v>449</v>
      </c>
      <c r="G4275" t="s">
        <v>37</v>
      </c>
      <c r="H4275" t="s">
        <v>43</v>
      </c>
      <c r="I4275" s="187">
        <v>2367.503173828125</v>
      </c>
      <c r="J4275" s="187">
        <v>348</v>
      </c>
      <c r="K4275" s="187">
        <v>5519.91552734375</v>
      </c>
      <c r="L4275" s="187">
        <v>6156</v>
      </c>
      <c r="M4275" s="187">
        <v>14391.4189453125</v>
      </c>
      <c r="N4275" s="187">
        <v>8523.5029296875</v>
      </c>
      <c r="O4275" t="s">
        <v>4734</v>
      </c>
    </row>
    <row r="4276" spans="1:15" hidden="1" x14ac:dyDescent="0.45">
      <c r="A4276" s="187">
        <v>2020</v>
      </c>
      <c r="B4276" t="s">
        <v>34</v>
      </c>
      <c r="C4276" t="s">
        <v>334</v>
      </c>
      <c r="D4276" t="s">
        <v>335</v>
      </c>
      <c r="E4276" t="s">
        <v>46</v>
      </c>
      <c r="F4276" t="s">
        <v>46</v>
      </c>
      <c r="G4276" t="s">
        <v>36</v>
      </c>
      <c r="H4276" t="s">
        <v>43</v>
      </c>
      <c r="I4276" s="187">
        <v>15562.3369140625</v>
      </c>
      <c r="J4276" s="187">
        <v>597.2325439453125</v>
      </c>
      <c r="K4276" s="187">
        <v>16815.509765625</v>
      </c>
      <c r="L4276" s="187">
        <v>17430.857421875</v>
      </c>
      <c r="M4276" s="187">
        <v>50405.9375</v>
      </c>
      <c r="N4276" s="187">
        <v>32993.1953125</v>
      </c>
      <c r="O4276" t="s">
        <v>4735</v>
      </c>
    </row>
    <row r="4277" spans="1:15" hidden="1" x14ac:dyDescent="0.45">
      <c r="A4277" s="187">
        <v>2020</v>
      </c>
      <c r="B4277" t="s">
        <v>34</v>
      </c>
      <c r="C4277" t="s">
        <v>334</v>
      </c>
      <c r="D4277" t="s">
        <v>335</v>
      </c>
      <c r="E4277" t="s">
        <v>46</v>
      </c>
      <c r="F4277" t="s">
        <v>46</v>
      </c>
      <c r="G4277" t="s">
        <v>37</v>
      </c>
      <c r="H4277" t="s">
        <v>43</v>
      </c>
      <c r="I4277" s="187">
        <v>14566.095703125</v>
      </c>
      <c r="J4277" s="187">
        <v>559</v>
      </c>
      <c r="K4277" s="187">
        <v>15739.044921875</v>
      </c>
      <c r="L4277" s="187">
        <v>16315</v>
      </c>
      <c r="M4277" s="187">
        <v>47179.140625</v>
      </c>
      <c r="N4277" s="187">
        <v>30881.095703125</v>
      </c>
      <c r="O4277" t="s">
        <v>4736</v>
      </c>
    </row>
    <row r="4278" spans="1:15" hidden="1" x14ac:dyDescent="0.45">
      <c r="A4278" s="187">
        <v>2020</v>
      </c>
      <c r="B4278" t="s">
        <v>34</v>
      </c>
      <c r="C4278" t="s">
        <v>334</v>
      </c>
      <c r="D4278" t="s">
        <v>335</v>
      </c>
      <c r="E4278" t="s">
        <v>369</v>
      </c>
      <c r="F4278" t="s">
        <v>369</v>
      </c>
      <c r="G4278" t="s">
        <v>36</v>
      </c>
      <c r="H4278" t="s">
        <v>43</v>
      </c>
      <c r="I4278" s="187">
        <v>0</v>
      </c>
      <c r="J4278" s="187">
        <v>0</v>
      </c>
      <c r="K4278" s="187">
        <v>0</v>
      </c>
      <c r="L4278" s="187">
        <v>0</v>
      </c>
      <c r="M4278" s="187">
        <v>0</v>
      </c>
      <c r="N4278" s="187">
        <v>0</v>
      </c>
      <c r="O4278" t="s">
        <v>4737</v>
      </c>
    </row>
    <row r="4279" spans="1:15" hidden="1" x14ac:dyDescent="0.45">
      <c r="A4279" s="187">
        <v>2020</v>
      </c>
      <c r="B4279" t="s">
        <v>34</v>
      </c>
      <c r="C4279" t="s">
        <v>334</v>
      </c>
      <c r="D4279" t="s">
        <v>335</v>
      </c>
      <c r="E4279" t="s">
        <v>369</v>
      </c>
      <c r="F4279" t="s">
        <v>369</v>
      </c>
      <c r="G4279" t="s">
        <v>37</v>
      </c>
      <c r="H4279" t="s">
        <v>43</v>
      </c>
      <c r="I4279" s="187">
        <v>0</v>
      </c>
      <c r="J4279" s="187">
        <v>0</v>
      </c>
      <c r="K4279" s="187">
        <v>0</v>
      </c>
      <c r="L4279" s="187">
        <v>0</v>
      </c>
      <c r="M4279" s="187">
        <v>0</v>
      </c>
      <c r="N4279" s="187">
        <v>0</v>
      </c>
      <c r="O4279" t="s">
        <v>4738</v>
      </c>
    </row>
    <row r="4280" spans="1:15" hidden="1" x14ac:dyDescent="0.45">
      <c r="A4280" s="187">
        <v>2020</v>
      </c>
      <c r="B4280" t="s">
        <v>34</v>
      </c>
      <c r="C4280" t="s">
        <v>334</v>
      </c>
      <c r="D4280" t="s">
        <v>335</v>
      </c>
      <c r="E4280" t="s">
        <v>366</v>
      </c>
      <c r="F4280" t="s">
        <v>366</v>
      </c>
      <c r="G4280" t="s">
        <v>36</v>
      </c>
      <c r="H4280" t="s">
        <v>43</v>
      </c>
      <c r="I4280" s="187">
        <v>186333.53125</v>
      </c>
      <c r="J4280" s="187">
        <v>25701.298828125</v>
      </c>
      <c r="K4280" s="187">
        <v>415459.125</v>
      </c>
      <c r="L4280" s="187">
        <v>463956.71875</v>
      </c>
      <c r="M4280" s="187">
        <v>1091450.625</v>
      </c>
      <c r="N4280" s="187">
        <v>650290.25</v>
      </c>
      <c r="O4280" t="s">
        <v>4739</v>
      </c>
    </row>
    <row r="4281" spans="1:15" hidden="1" x14ac:dyDescent="0.45">
      <c r="A4281" s="187">
        <v>2020</v>
      </c>
      <c r="B4281" t="s">
        <v>34</v>
      </c>
      <c r="C4281" t="s">
        <v>334</v>
      </c>
      <c r="D4281" t="s">
        <v>335</v>
      </c>
      <c r="E4281" t="s">
        <v>366</v>
      </c>
      <c r="F4281" t="s">
        <v>366</v>
      </c>
      <c r="G4281" t="s">
        <v>37</v>
      </c>
      <c r="H4281" t="s">
        <v>43</v>
      </c>
      <c r="I4281" s="187">
        <v>174405.171875</v>
      </c>
      <c r="J4281" s="187">
        <v>24056</v>
      </c>
      <c r="K4281" s="187">
        <v>388863.03125</v>
      </c>
      <c r="L4281" s="187">
        <v>434256</v>
      </c>
      <c r="M4281" s="187">
        <v>1021580.1875</v>
      </c>
      <c r="N4281" s="187">
        <v>608661.1875</v>
      </c>
      <c r="O4281" t="s">
        <v>4740</v>
      </c>
    </row>
    <row r="4282" spans="1:15" hidden="1" x14ac:dyDescent="0.45">
      <c r="A4282" s="187">
        <v>2020</v>
      </c>
      <c r="B4282" t="s">
        <v>34</v>
      </c>
      <c r="C4282" t="s">
        <v>334</v>
      </c>
      <c r="D4282" t="s">
        <v>335</v>
      </c>
      <c r="E4282" t="s">
        <v>370</v>
      </c>
      <c r="F4282" t="s">
        <v>370</v>
      </c>
      <c r="G4282" t="s">
        <v>36</v>
      </c>
      <c r="H4282" t="s">
        <v>43</v>
      </c>
      <c r="I4282" s="187">
        <v>175302.9375</v>
      </c>
      <c r="J4282" s="187">
        <v>25610.484375</v>
      </c>
      <c r="K4282" s="187">
        <v>409629.4375</v>
      </c>
      <c r="L4282" s="187">
        <v>453029.1875</v>
      </c>
      <c r="M4282" s="187">
        <v>1063572</v>
      </c>
      <c r="N4282" s="187">
        <v>628332.125</v>
      </c>
      <c r="O4282" t="s">
        <v>4741</v>
      </c>
    </row>
    <row r="4283" spans="1:15" hidden="1" x14ac:dyDescent="0.45">
      <c r="A4283" s="187">
        <v>2020</v>
      </c>
      <c r="B4283" t="s">
        <v>34</v>
      </c>
      <c r="C4283" t="s">
        <v>334</v>
      </c>
      <c r="D4283" t="s">
        <v>335</v>
      </c>
      <c r="E4283" t="s">
        <v>370</v>
      </c>
      <c r="F4283" t="s">
        <v>370</v>
      </c>
      <c r="G4283" t="s">
        <v>37</v>
      </c>
      <c r="H4283" t="s">
        <v>43</v>
      </c>
      <c r="I4283" s="187">
        <v>164080.71875</v>
      </c>
      <c r="J4283" s="187">
        <v>23971</v>
      </c>
      <c r="K4283" s="187">
        <v>383406.53125</v>
      </c>
      <c r="L4283" s="187">
        <v>424028</v>
      </c>
      <c r="M4283" s="187">
        <v>995486.25</v>
      </c>
      <c r="N4283" s="187">
        <v>588108.75</v>
      </c>
      <c r="O4283" t="s">
        <v>4742</v>
      </c>
    </row>
    <row r="4284" spans="1:15" hidden="1" x14ac:dyDescent="0.45">
      <c r="A4284" s="187">
        <v>2021</v>
      </c>
      <c r="B4284" t="s">
        <v>315</v>
      </c>
      <c r="C4284" t="s">
        <v>322</v>
      </c>
      <c r="D4284" t="s">
        <v>35</v>
      </c>
      <c r="E4284" t="s">
        <v>348</v>
      </c>
      <c r="F4284" t="s">
        <v>382</v>
      </c>
      <c r="G4284" t="s">
        <v>36</v>
      </c>
      <c r="H4284" t="s">
        <v>43</v>
      </c>
      <c r="I4284" s="187">
        <v>19461.33522399986</v>
      </c>
      <c r="J4284" s="187">
        <v>962.87782075725158</v>
      </c>
      <c r="K4284" s="187">
        <v>20256.077459899228</v>
      </c>
      <c r="L4284" s="187">
        <v>35709.17358085981</v>
      </c>
      <c r="M4284" s="187">
        <v>76389.4609375</v>
      </c>
      <c r="N4284" s="187">
        <v>55170.5078125</v>
      </c>
      <c r="O4284" t="s">
        <v>4747</v>
      </c>
    </row>
    <row r="4285" spans="1:15" hidden="1" x14ac:dyDescent="0.45">
      <c r="A4285" s="187">
        <v>2021</v>
      </c>
      <c r="B4285" t="s">
        <v>314</v>
      </c>
      <c r="C4285" t="s">
        <v>322</v>
      </c>
      <c r="D4285" t="s">
        <v>35</v>
      </c>
      <c r="E4285" t="s">
        <v>348</v>
      </c>
      <c r="F4285" t="s">
        <v>382</v>
      </c>
      <c r="G4285" t="s">
        <v>36</v>
      </c>
      <c r="H4285" t="s">
        <v>43</v>
      </c>
      <c r="I4285" s="187">
        <v>18957.328003724229</v>
      </c>
      <c r="J4285" s="187">
        <v>943.50473549010883</v>
      </c>
      <c r="K4285" s="187">
        <v>18657.114803054697</v>
      </c>
      <c r="L4285" s="187">
        <v>27997.629410173155</v>
      </c>
      <c r="M4285" s="187">
        <v>66555.578125</v>
      </c>
      <c r="N4285" s="187">
        <v>46954.95703125</v>
      </c>
      <c r="O4285" t="s">
        <v>4744</v>
      </c>
    </row>
    <row r="4286" spans="1:15" hidden="1" x14ac:dyDescent="0.45">
      <c r="A4286" s="187">
        <v>2021</v>
      </c>
      <c r="B4286" t="s">
        <v>311</v>
      </c>
      <c r="C4286" t="s">
        <v>322</v>
      </c>
      <c r="D4286" t="s">
        <v>35</v>
      </c>
      <c r="E4286" t="s">
        <v>348</v>
      </c>
      <c r="F4286" t="s">
        <v>382</v>
      </c>
      <c r="G4286" t="s">
        <v>36</v>
      </c>
      <c r="H4286" t="s">
        <v>43</v>
      </c>
      <c r="I4286" s="187"/>
      <c r="J4286" s="187">
        <v>1192.4000046824287</v>
      </c>
      <c r="K4286" s="187">
        <v>18823.728771130794</v>
      </c>
      <c r="L4286" s="187">
        <v>39021.449564997813</v>
      </c>
      <c r="M4286" s="187">
        <v>59037.578125</v>
      </c>
      <c r="N4286" s="187">
        <v>39021.44921875</v>
      </c>
      <c r="O4286" t="s">
        <v>4743</v>
      </c>
    </row>
    <row r="4287" spans="1:15" hidden="1" x14ac:dyDescent="0.45">
      <c r="A4287" s="187">
        <v>2021</v>
      </c>
      <c r="B4287" t="s">
        <v>313</v>
      </c>
      <c r="C4287" t="s">
        <v>322</v>
      </c>
      <c r="D4287" t="s">
        <v>35</v>
      </c>
      <c r="E4287" t="s">
        <v>348</v>
      </c>
      <c r="F4287" t="s">
        <v>382</v>
      </c>
      <c r="G4287" t="s">
        <v>36</v>
      </c>
      <c r="H4287" t="s">
        <v>43</v>
      </c>
      <c r="I4287" s="187">
        <v>16649.297789338609</v>
      </c>
      <c r="J4287" s="187">
        <v>952.3240402529899</v>
      </c>
      <c r="K4287" s="187">
        <v>16518.00104926026</v>
      </c>
      <c r="L4287" s="187">
        <v>26496.7801046922</v>
      </c>
      <c r="M4287" s="187">
        <v>60616.40234375</v>
      </c>
      <c r="N4287" s="187">
        <v>43146.078125</v>
      </c>
      <c r="O4287" t="s">
        <v>4749</v>
      </c>
    </row>
    <row r="4288" spans="1:15" hidden="1" x14ac:dyDescent="0.45">
      <c r="A4288" s="187">
        <v>2021</v>
      </c>
      <c r="B4288" t="s">
        <v>317</v>
      </c>
      <c r="C4288" t="s">
        <v>322</v>
      </c>
      <c r="D4288" t="s">
        <v>35</v>
      </c>
      <c r="E4288" t="s">
        <v>348</v>
      </c>
      <c r="F4288" t="s">
        <v>382</v>
      </c>
      <c r="G4288" t="s">
        <v>36</v>
      </c>
      <c r="H4288" t="s">
        <v>43</v>
      </c>
      <c r="I4288" s="187">
        <v>15546.20711441154</v>
      </c>
      <c r="J4288" s="187">
        <v>952.57681875735011</v>
      </c>
      <c r="K4288" s="187">
        <v>22195.851246533624</v>
      </c>
      <c r="L4288" s="187">
        <v>29739.932349679337</v>
      </c>
      <c r="M4288" s="187">
        <v>68434.5625</v>
      </c>
      <c r="N4288" s="187">
        <v>45286.140625</v>
      </c>
      <c r="O4288" t="s">
        <v>4751</v>
      </c>
    </row>
    <row r="4289" spans="1:15" hidden="1" x14ac:dyDescent="0.45">
      <c r="A4289" s="187">
        <v>2021</v>
      </c>
      <c r="B4289" t="s">
        <v>312</v>
      </c>
      <c r="C4289" t="s">
        <v>322</v>
      </c>
      <c r="D4289" t="s">
        <v>35</v>
      </c>
      <c r="E4289" t="s">
        <v>348</v>
      </c>
      <c r="F4289" t="s">
        <v>382</v>
      </c>
      <c r="G4289" t="s">
        <v>36</v>
      </c>
      <c r="H4289" t="s">
        <v>43</v>
      </c>
      <c r="I4289" s="187">
        <v>14996.326447625379</v>
      </c>
      <c r="J4289" s="187">
        <v>1075.8195852794061</v>
      </c>
      <c r="K4289" s="187">
        <v>17756.029779155509</v>
      </c>
      <c r="L4289" s="187">
        <v>27073.556321962431</v>
      </c>
      <c r="M4289" s="187">
        <v>60901.73046875</v>
      </c>
      <c r="N4289" s="187">
        <v>42069.8828125</v>
      </c>
      <c r="O4289" t="s">
        <v>4746</v>
      </c>
    </row>
    <row r="4290" spans="1:15" hidden="1" x14ac:dyDescent="0.45">
      <c r="A4290" s="187">
        <v>2021</v>
      </c>
      <c r="B4290" t="s">
        <v>309</v>
      </c>
      <c r="C4290" t="s">
        <v>322</v>
      </c>
      <c r="D4290" t="s">
        <v>35</v>
      </c>
      <c r="E4290" t="s">
        <v>348</v>
      </c>
      <c r="F4290" t="s">
        <v>382</v>
      </c>
      <c r="G4290" t="s">
        <v>36</v>
      </c>
      <c r="H4290" t="s">
        <v>43</v>
      </c>
      <c r="I4290" s="187"/>
      <c r="J4290" s="187">
        <v>1061.0727478590704</v>
      </c>
      <c r="K4290" s="187">
        <v>17093.150190711029</v>
      </c>
      <c r="L4290" s="187">
        <v>29898.14222119753</v>
      </c>
      <c r="M4290" s="187">
        <v>48052.36328125</v>
      </c>
      <c r="N4290" s="187">
        <v>29898.142578125</v>
      </c>
      <c r="O4290" t="s">
        <v>4748</v>
      </c>
    </row>
    <row r="4291" spans="1:15" hidden="1" x14ac:dyDescent="0.45">
      <c r="A4291" s="187">
        <v>2021</v>
      </c>
      <c r="B4291" t="s">
        <v>316</v>
      </c>
      <c r="C4291" t="s">
        <v>322</v>
      </c>
      <c r="D4291" t="s">
        <v>35</v>
      </c>
      <c r="E4291" t="s">
        <v>348</v>
      </c>
      <c r="F4291" t="s">
        <v>382</v>
      </c>
      <c r="G4291" t="s">
        <v>36</v>
      </c>
      <c r="H4291" t="s">
        <v>43</v>
      </c>
      <c r="I4291" s="187">
        <v>16111.876071289114</v>
      </c>
      <c r="J4291" s="187">
        <v>1223.4398512646139</v>
      </c>
      <c r="K4291" s="187">
        <v>20109.041300300913</v>
      </c>
      <c r="L4291" s="187">
        <v>33195.615788802999</v>
      </c>
      <c r="M4291" s="187">
        <v>70639.9765625</v>
      </c>
      <c r="N4291" s="187">
        <v>49307.4921875</v>
      </c>
      <c r="O4291" t="s">
        <v>4750</v>
      </c>
    </row>
    <row r="4292" spans="1:15" hidden="1" x14ac:dyDescent="0.45">
      <c r="A4292" s="187">
        <v>2021</v>
      </c>
      <c r="B4292" t="s">
        <v>310</v>
      </c>
      <c r="C4292" t="s">
        <v>322</v>
      </c>
      <c r="D4292" t="s">
        <v>35</v>
      </c>
      <c r="E4292" t="s">
        <v>348</v>
      </c>
      <c r="F4292" t="s">
        <v>382</v>
      </c>
      <c r="G4292" t="s">
        <v>36</v>
      </c>
      <c r="H4292" t="s">
        <v>43</v>
      </c>
      <c r="I4292" s="187"/>
      <c r="J4292" s="187">
        <v>954.63620153653858</v>
      </c>
      <c r="K4292" s="187">
        <v>16825.578436344749</v>
      </c>
      <c r="L4292" s="187">
        <v>38231.218290302335</v>
      </c>
      <c r="M4292" s="187">
        <v>56011.43359375</v>
      </c>
      <c r="N4292" s="187">
        <v>38231.21875</v>
      </c>
      <c r="O4292" t="s">
        <v>4745</v>
      </c>
    </row>
    <row r="4293" spans="1:15" hidden="1" x14ac:dyDescent="0.45">
      <c r="A4293" s="187">
        <v>2021</v>
      </c>
      <c r="B4293" t="s">
        <v>317</v>
      </c>
      <c r="C4293" t="s">
        <v>322</v>
      </c>
      <c r="D4293" t="s">
        <v>35</v>
      </c>
      <c r="E4293" t="s">
        <v>348</v>
      </c>
      <c r="F4293" t="s">
        <v>382</v>
      </c>
      <c r="G4293" t="s">
        <v>37</v>
      </c>
      <c r="H4293" t="s">
        <v>43</v>
      </c>
      <c r="I4293" s="187">
        <v>14388</v>
      </c>
      <c r="J4293" s="187">
        <v>881.6</v>
      </c>
      <c r="K4293" s="187">
        <v>20542.030914074308</v>
      </c>
      <c r="L4293" s="187">
        <v>27557</v>
      </c>
      <c r="M4293" s="187">
        <v>63368.62890625</v>
      </c>
      <c r="N4293" s="187">
        <v>41945</v>
      </c>
      <c r="O4293" t="s">
        <v>4753</v>
      </c>
    </row>
    <row r="4294" spans="1:15" hidden="1" x14ac:dyDescent="0.45">
      <c r="A4294" s="187">
        <v>2021</v>
      </c>
      <c r="B4294" t="s">
        <v>309</v>
      </c>
      <c r="C4294" t="s">
        <v>322</v>
      </c>
      <c r="D4294" t="s">
        <v>35</v>
      </c>
      <c r="E4294" t="s">
        <v>348</v>
      </c>
      <c r="F4294" t="s">
        <v>382</v>
      </c>
      <c r="G4294" t="s">
        <v>37</v>
      </c>
      <c r="H4294" t="s">
        <v>43</v>
      </c>
      <c r="I4294" s="187"/>
      <c r="J4294" s="187">
        <v>931.80330000000004</v>
      </c>
      <c r="K4294" s="187">
        <v>15413.92577606257</v>
      </c>
      <c r="L4294" s="187">
        <v>28198</v>
      </c>
      <c r="M4294" s="187">
        <v>44543.73046875</v>
      </c>
      <c r="N4294" s="187">
        <v>28198</v>
      </c>
      <c r="O4294" t="s">
        <v>4756</v>
      </c>
    </row>
    <row r="4295" spans="1:15" hidden="1" x14ac:dyDescent="0.45">
      <c r="A4295" s="187">
        <v>2021</v>
      </c>
      <c r="B4295" t="s">
        <v>316</v>
      </c>
      <c r="C4295" t="s">
        <v>322</v>
      </c>
      <c r="D4295" t="s">
        <v>35</v>
      </c>
      <c r="E4295" t="s">
        <v>348</v>
      </c>
      <c r="F4295" t="s">
        <v>382</v>
      </c>
      <c r="G4295" t="s">
        <v>37</v>
      </c>
      <c r="H4295" t="s">
        <v>43</v>
      </c>
      <c r="I4295" s="187">
        <v>14922</v>
      </c>
      <c r="J4295" s="187">
        <v>1110.75</v>
      </c>
      <c r="K4295" s="187">
        <v>18458.634693701591</v>
      </c>
      <c r="L4295" s="187">
        <v>30987</v>
      </c>
      <c r="M4295" s="187">
        <v>65478.3828125</v>
      </c>
      <c r="N4295" s="187">
        <v>45909</v>
      </c>
      <c r="O4295" t="s">
        <v>4757</v>
      </c>
    </row>
    <row r="4296" spans="1:15" hidden="1" x14ac:dyDescent="0.45">
      <c r="A4296" s="187">
        <v>2021</v>
      </c>
      <c r="B4296" t="s">
        <v>313</v>
      </c>
      <c r="C4296" t="s">
        <v>322</v>
      </c>
      <c r="D4296" t="s">
        <v>35</v>
      </c>
      <c r="E4296" t="s">
        <v>348</v>
      </c>
      <c r="F4296" t="s">
        <v>382</v>
      </c>
      <c r="G4296" t="s">
        <v>37</v>
      </c>
      <c r="H4296" t="s">
        <v>43</v>
      </c>
      <c r="I4296" s="187">
        <v>15013.55077960736</v>
      </c>
      <c r="J4296" s="187">
        <v>860</v>
      </c>
      <c r="K4296" s="187">
        <v>14859.14111162345</v>
      </c>
      <c r="L4296" s="187">
        <v>23979.883096181209</v>
      </c>
      <c r="M4296" s="187">
        <v>54712.57421875</v>
      </c>
      <c r="N4296" s="187">
        <v>38993.43359375</v>
      </c>
      <c r="O4296" t="s">
        <v>4754</v>
      </c>
    </row>
    <row r="4297" spans="1:15" hidden="1" x14ac:dyDescent="0.45">
      <c r="A4297" s="187">
        <v>2021</v>
      </c>
      <c r="B4297" t="s">
        <v>310</v>
      </c>
      <c r="C4297" t="s">
        <v>322</v>
      </c>
      <c r="D4297" t="s">
        <v>35</v>
      </c>
      <c r="E4297" t="s">
        <v>348</v>
      </c>
      <c r="F4297" t="s">
        <v>382</v>
      </c>
      <c r="G4297" t="s">
        <v>37</v>
      </c>
      <c r="H4297" t="s">
        <v>43</v>
      </c>
      <c r="I4297" s="187"/>
      <c r="J4297" s="187">
        <v>841</v>
      </c>
      <c r="K4297" s="187">
        <v>14838.50910953558</v>
      </c>
      <c r="L4297" s="187">
        <v>35107</v>
      </c>
      <c r="M4297" s="187">
        <v>50786.5078125</v>
      </c>
      <c r="N4297" s="187">
        <v>35107</v>
      </c>
      <c r="O4297" t="s">
        <v>4759</v>
      </c>
    </row>
    <row r="4298" spans="1:15" hidden="1" x14ac:dyDescent="0.45">
      <c r="A4298" s="187">
        <v>2021</v>
      </c>
      <c r="B4298" t="s">
        <v>315</v>
      </c>
      <c r="C4298" t="s">
        <v>322</v>
      </c>
      <c r="D4298" t="s">
        <v>35</v>
      </c>
      <c r="E4298" t="s">
        <v>348</v>
      </c>
      <c r="F4298" t="s">
        <v>382</v>
      </c>
      <c r="G4298" t="s">
        <v>37</v>
      </c>
      <c r="H4298" t="s">
        <v>43</v>
      </c>
      <c r="I4298" s="187">
        <v>17925.902430008111</v>
      </c>
      <c r="J4298" s="187">
        <v>867</v>
      </c>
      <c r="K4298" s="187">
        <v>18555.157249481519</v>
      </c>
      <c r="L4298" s="187">
        <v>32798</v>
      </c>
      <c r="M4298" s="187">
        <v>70146.0625</v>
      </c>
      <c r="N4298" s="187">
        <v>50723.90234375</v>
      </c>
      <c r="O4298" t="s">
        <v>4758</v>
      </c>
    </row>
    <row r="4299" spans="1:15" hidden="1" x14ac:dyDescent="0.45">
      <c r="A4299" s="187">
        <v>2021</v>
      </c>
      <c r="B4299" t="s">
        <v>314</v>
      </c>
      <c r="C4299" t="s">
        <v>322</v>
      </c>
      <c r="D4299" t="s">
        <v>35</v>
      </c>
      <c r="E4299" t="s">
        <v>348</v>
      </c>
      <c r="F4299" t="s">
        <v>382</v>
      </c>
      <c r="G4299" t="s">
        <v>37</v>
      </c>
      <c r="H4299" t="s">
        <v>43</v>
      </c>
      <c r="I4299" s="187">
        <v>17328.93416371756</v>
      </c>
      <c r="J4299" s="187">
        <v>859</v>
      </c>
      <c r="K4299" s="187">
        <v>17028.879000322671</v>
      </c>
      <c r="L4299" s="187">
        <v>26563</v>
      </c>
      <c r="M4299" s="187">
        <v>61779.8125</v>
      </c>
      <c r="N4299" s="187">
        <v>43891.93359375</v>
      </c>
      <c r="O4299" t="s">
        <v>4760</v>
      </c>
    </row>
    <row r="4300" spans="1:15" hidden="1" x14ac:dyDescent="0.45">
      <c r="A4300" s="187">
        <v>2021</v>
      </c>
      <c r="B4300" t="s">
        <v>311</v>
      </c>
      <c r="C4300" t="s">
        <v>322</v>
      </c>
      <c r="D4300" t="s">
        <v>35</v>
      </c>
      <c r="E4300" t="s">
        <v>348</v>
      </c>
      <c r="F4300" t="s">
        <v>382</v>
      </c>
      <c r="G4300" t="s">
        <v>37</v>
      </c>
      <c r="H4300" t="s">
        <v>43</v>
      </c>
      <c r="I4300" s="187"/>
      <c r="J4300" s="187">
        <v>1054</v>
      </c>
      <c r="K4300" s="187">
        <v>16501.16636790468</v>
      </c>
      <c r="L4300" s="187">
        <v>35881</v>
      </c>
      <c r="M4300" s="187">
        <v>53436.1640625</v>
      </c>
      <c r="N4300" s="187">
        <v>35881</v>
      </c>
      <c r="O4300" t="s">
        <v>4755</v>
      </c>
    </row>
    <row r="4301" spans="1:15" hidden="1" x14ac:dyDescent="0.45">
      <c r="A4301" s="187">
        <v>2021</v>
      </c>
      <c r="B4301" t="s">
        <v>312</v>
      </c>
      <c r="C4301" t="s">
        <v>322</v>
      </c>
      <c r="D4301" t="s">
        <v>35</v>
      </c>
      <c r="E4301" t="s">
        <v>348</v>
      </c>
      <c r="F4301" t="s">
        <v>382</v>
      </c>
      <c r="G4301" t="s">
        <v>37</v>
      </c>
      <c r="H4301" t="s">
        <v>43</v>
      </c>
      <c r="I4301" s="187">
        <v>13165.454876468961</v>
      </c>
      <c r="J4301" s="187">
        <v>961</v>
      </c>
      <c r="K4301" s="187">
        <v>15804.658577251461</v>
      </c>
      <c r="L4301" s="187">
        <v>24089</v>
      </c>
      <c r="M4301" s="187">
        <v>54020.11328125</v>
      </c>
      <c r="N4301" s="187">
        <v>37254.453125</v>
      </c>
      <c r="O4301" t="s">
        <v>4752</v>
      </c>
    </row>
    <row r="4302" spans="1:15" hidden="1" x14ac:dyDescent="0.45">
      <c r="A4302" s="187">
        <v>2021</v>
      </c>
      <c r="B4302" t="s">
        <v>314</v>
      </c>
      <c r="C4302" t="s">
        <v>322</v>
      </c>
      <c r="D4302" t="s">
        <v>35</v>
      </c>
      <c r="E4302" t="s">
        <v>19</v>
      </c>
      <c r="F4302" t="s">
        <v>19</v>
      </c>
      <c r="G4302" t="s">
        <v>36</v>
      </c>
      <c r="H4302" t="s">
        <v>43</v>
      </c>
      <c r="I4302" s="187">
        <v>827.02266938021887</v>
      </c>
      <c r="J4302" s="187">
        <v>0</v>
      </c>
      <c r="K4302" s="187">
        <v>131.06579680602303</v>
      </c>
      <c r="L4302" s="187">
        <v>3238.2014378549411</v>
      </c>
      <c r="M4302" s="187">
        <v>4196.2900390625</v>
      </c>
      <c r="N4302" s="187">
        <v>4065.22412109375</v>
      </c>
      <c r="O4302" t="s">
        <v>4765</v>
      </c>
    </row>
    <row r="4303" spans="1:15" hidden="1" x14ac:dyDescent="0.45">
      <c r="A4303" s="187">
        <v>2021</v>
      </c>
      <c r="B4303" t="s">
        <v>317</v>
      </c>
      <c r="C4303" t="s">
        <v>322</v>
      </c>
      <c r="D4303" t="s">
        <v>35</v>
      </c>
      <c r="E4303" t="s">
        <v>19</v>
      </c>
      <c r="F4303" t="s">
        <v>19</v>
      </c>
      <c r="G4303" t="s">
        <v>36</v>
      </c>
      <c r="H4303" t="s">
        <v>43</v>
      </c>
      <c r="I4303" s="187">
        <v>199.89418270203012</v>
      </c>
      <c r="J4303" s="187">
        <v>48.622909305899221</v>
      </c>
      <c r="K4303" s="187">
        <v>90.611971424273548</v>
      </c>
      <c r="L4303" s="187">
        <v>3319.3239419493866</v>
      </c>
      <c r="M4303" s="187">
        <v>3658.452880859375</v>
      </c>
      <c r="N4303" s="187">
        <v>3519.218017578125</v>
      </c>
      <c r="O4303" t="s">
        <v>4764</v>
      </c>
    </row>
    <row r="4304" spans="1:15" hidden="1" x14ac:dyDescent="0.45">
      <c r="A4304" s="187">
        <v>2021</v>
      </c>
      <c r="B4304" t="s">
        <v>316</v>
      </c>
      <c r="C4304" t="s">
        <v>322</v>
      </c>
      <c r="D4304" t="s">
        <v>35</v>
      </c>
      <c r="E4304" t="s">
        <v>19</v>
      </c>
      <c r="F4304" t="s">
        <v>19</v>
      </c>
      <c r="G4304" t="s">
        <v>36</v>
      </c>
      <c r="H4304" t="s">
        <v>43</v>
      </c>
      <c r="I4304" s="187">
        <v>1042.1325638848459</v>
      </c>
      <c r="J4304" s="187">
        <v>22.029076772714181</v>
      </c>
      <c r="K4304" s="187">
        <v>128.40736499684868</v>
      </c>
      <c r="L4304" s="187">
        <v>4890.4550435425481</v>
      </c>
      <c r="M4304" s="187">
        <v>6083.02392578125</v>
      </c>
      <c r="N4304" s="187">
        <v>5932.58740234375</v>
      </c>
      <c r="O4304" t="s">
        <v>4767</v>
      </c>
    </row>
    <row r="4305" spans="1:15" hidden="1" x14ac:dyDescent="0.45">
      <c r="A4305" s="187">
        <v>2021</v>
      </c>
      <c r="B4305" t="s">
        <v>313</v>
      </c>
      <c r="C4305" t="s">
        <v>322</v>
      </c>
      <c r="D4305" t="s">
        <v>35</v>
      </c>
      <c r="E4305" t="s">
        <v>19</v>
      </c>
      <c r="F4305" t="s">
        <v>19</v>
      </c>
      <c r="G4305" t="s">
        <v>36</v>
      </c>
      <c r="H4305" t="s">
        <v>43</v>
      </c>
      <c r="I4305" s="187">
        <v>916.38728401702804</v>
      </c>
      <c r="J4305" s="187">
        <v>11.978918745320629</v>
      </c>
      <c r="K4305" s="187">
        <v>133.74123202738829</v>
      </c>
      <c r="L4305" s="187">
        <v>3252.2764393545503</v>
      </c>
      <c r="M4305" s="187">
        <v>4314.3837890625</v>
      </c>
      <c r="N4305" s="187">
        <v>4168.66357421875</v>
      </c>
      <c r="O4305" t="s">
        <v>4763</v>
      </c>
    </row>
    <row r="4306" spans="1:15" hidden="1" x14ac:dyDescent="0.45">
      <c r="A4306" s="187">
        <v>2021</v>
      </c>
      <c r="B4306" t="s">
        <v>315</v>
      </c>
      <c r="C4306" t="s">
        <v>322</v>
      </c>
      <c r="D4306" t="s">
        <v>35</v>
      </c>
      <c r="E4306" t="s">
        <v>19</v>
      </c>
      <c r="F4306" t="s">
        <v>19</v>
      </c>
      <c r="G4306" t="s">
        <v>36</v>
      </c>
      <c r="H4306" t="s">
        <v>43</v>
      </c>
      <c r="I4306" s="187">
        <v>804.28617969135132</v>
      </c>
      <c r="J4306" s="187">
        <v>0</v>
      </c>
      <c r="K4306" s="187">
        <v>129.17386009060982</v>
      </c>
      <c r="L4306" s="187">
        <v>5854.2971502040891</v>
      </c>
      <c r="M4306" s="187">
        <v>6787.75732421875</v>
      </c>
      <c r="N4306" s="187">
        <v>6658.58349609375</v>
      </c>
      <c r="O4306" t="s">
        <v>4769</v>
      </c>
    </row>
    <row r="4307" spans="1:15" hidden="1" x14ac:dyDescent="0.45">
      <c r="A4307" s="187">
        <v>2021</v>
      </c>
      <c r="B4307" t="s">
        <v>309</v>
      </c>
      <c r="C4307" t="s">
        <v>322</v>
      </c>
      <c r="D4307" t="s">
        <v>35</v>
      </c>
      <c r="E4307" t="s">
        <v>19</v>
      </c>
      <c r="F4307" t="s">
        <v>19</v>
      </c>
      <c r="G4307" t="s">
        <v>36</v>
      </c>
      <c r="H4307" t="s">
        <v>43</v>
      </c>
      <c r="I4307" s="187"/>
      <c r="J4307" s="187">
        <v>0</v>
      </c>
      <c r="K4307" s="187">
        <v>150.70942137818534</v>
      </c>
      <c r="L4307" s="187">
        <v>4164.8098867277376</v>
      </c>
      <c r="M4307" s="187">
        <v>4315.51953125</v>
      </c>
      <c r="N4307" s="187">
        <v>4164.81005859375</v>
      </c>
      <c r="O4307" t="s">
        <v>4762</v>
      </c>
    </row>
    <row r="4308" spans="1:15" hidden="1" x14ac:dyDescent="0.45">
      <c r="A4308" s="187">
        <v>2021</v>
      </c>
      <c r="B4308" t="s">
        <v>310</v>
      </c>
      <c r="C4308" t="s">
        <v>322</v>
      </c>
      <c r="D4308" t="s">
        <v>35</v>
      </c>
      <c r="E4308" t="s">
        <v>19</v>
      </c>
      <c r="F4308" t="s">
        <v>19</v>
      </c>
      <c r="G4308" t="s">
        <v>36</v>
      </c>
      <c r="H4308" t="s">
        <v>43</v>
      </c>
      <c r="I4308" s="187"/>
      <c r="J4308" s="187">
        <v>0</v>
      </c>
      <c r="K4308" s="187">
        <v>148.72066647657235</v>
      </c>
      <c r="L4308" s="187">
        <v>5471.5039277107908</v>
      </c>
      <c r="M4308" s="187">
        <v>5620.224609375</v>
      </c>
      <c r="N4308" s="187">
        <v>5471.50390625</v>
      </c>
      <c r="O4308" t="s">
        <v>4761</v>
      </c>
    </row>
    <row r="4309" spans="1:15" hidden="1" x14ac:dyDescent="0.45">
      <c r="A4309" s="187">
        <v>2021</v>
      </c>
      <c r="B4309" t="s">
        <v>311</v>
      </c>
      <c r="C4309" t="s">
        <v>322</v>
      </c>
      <c r="D4309" t="s">
        <v>35</v>
      </c>
      <c r="E4309" t="s">
        <v>19</v>
      </c>
      <c r="F4309" t="s">
        <v>19</v>
      </c>
      <c r="G4309" t="s">
        <v>36</v>
      </c>
      <c r="H4309" t="s">
        <v>43</v>
      </c>
      <c r="I4309" s="187"/>
      <c r="J4309" s="187">
        <v>0</v>
      </c>
      <c r="K4309" s="187">
        <v>141.86571080229066</v>
      </c>
      <c r="L4309" s="187">
        <v>4929.0117840615903</v>
      </c>
      <c r="M4309" s="187">
        <v>5070.87744140625</v>
      </c>
      <c r="N4309" s="187">
        <v>4929.01171875</v>
      </c>
      <c r="O4309" t="s">
        <v>4766</v>
      </c>
    </row>
    <row r="4310" spans="1:15" hidden="1" x14ac:dyDescent="0.45">
      <c r="A4310" s="187">
        <v>2021</v>
      </c>
      <c r="B4310" t="s">
        <v>312</v>
      </c>
      <c r="C4310" t="s">
        <v>322</v>
      </c>
      <c r="D4310" t="s">
        <v>35</v>
      </c>
      <c r="E4310" t="s">
        <v>19</v>
      </c>
      <c r="F4310" t="s">
        <v>19</v>
      </c>
      <c r="G4310" t="s">
        <v>36</v>
      </c>
      <c r="H4310" t="s">
        <v>43</v>
      </c>
      <c r="I4310" s="187">
        <v>945.97929050430525</v>
      </c>
      <c r="J4310" s="187">
        <v>0</v>
      </c>
      <c r="K4310" s="187">
        <v>138.08450505997808</v>
      </c>
      <c r="L4310" s="187">
        <v>2525.0845898167208</v>
      </c>
      <c r="M4310" s="187">
        <v>3609.1484375</v>
      </c>
      <c r="N4310" s="187">
        <v>3471.06396484375</v>
      </c>
      <c r="O4310" t="s">
        <v>4768</v>
      </c>
    </row>
    <row r="4311" spans="1:15" hidden="1" x14ac:dyDescent="0.45">
      <c r="A4311" s="187">
        <v>2021</v>
      </c>
      <c r="B4311" t="s">
        <v>316</v>
      </c>
      <c r="C4311" t="s">
        <v>322</v>
      </c>
      <c r="D4311" t="s">
        <v>35</v>
      </c>
      <c r="E4311" t="s">
        <v>19</v>
      </c>
      <c r="F4311" t="s">
        <v>19</v>
      </c>
      <c r="G4311" t="s">
        <v>37</v>
      </c>
      <c r="H4311" t="s">
        <v>43</v>
      </c>
      <c r="I4311" s="187">
        <v>965</v>
      </c>
      <c r="J4311" s="187">
        <v>20</v>
      </c>
      <c r="K4311" s="187">
        <v>117.8686048261369</v>
      </c>
      <c r="L4311" s="187">
        <v>4565</v>
      </c>
      <c r="M4311" s="187">
        <v>5667.86865234375</v>
      </c>
      <c r="N4311" s="187">
        <v>5530</v>
      </c>
      <c r="O4311" t="s">
        <v>4777</v>
      </c>
    </row>
    <row r="4312" spans="1:15" hidden="1" x14ac:dyDescent="0.45">
      <c r="A4312" s="187">
        <v>2021</v>
      </c>
      <c r="B4312" t="s">
        <v>315</v>
      </c>
      <c r="C4312" t="s">
        <v>322</v>
      </c>
      <c r="D4312" t="s">
        <v>35</v>
      </c>
      <c r="E4312" t="s">
        <v>19</v>
      </c>
      <c r="F4312" t="s">
        <v>19</v>
      </c>
      <c r="G4312" t="s">
        <v>37</v>
      </c>
      <c r="H4312" t="s">
        <v>43</v>
      </c>
      <c r="I4312" s="187">
        <v>738.82884709999996</v>
      </c>
      <c r="J4312" s="187">
        <v>0</v>
      </c>
      <c r="K4312" s="187">
        <v>118.3270201868449</v>
      </c>
      <c r="L4312" s="187">
        <v>5377</v>
      </c>
      <c r="M4312" s="187">
        <v>6234.15576171875</v>
      </c>
      <c r="N4312" s="187">
        <v>6115.8291015625</v>
      </c>
      <c r="O4312" t="s">
        <v>4770</v>
      </c>
    </row>
    <row r="4313" spans="1:15" hidden="1" x14ac:dyDescent="0.45">
      <c r="A4313" s="187">
        <v>2021</v>
      </c>
      <c r="B4313" t="s">
        <v>312</v>
      </c>
      <c r="C4313" t="s">
        <v>322</v>
      </c>
      <c r="D4313" t="s">
        <v>35</v>
      </c>
      <c r="E4313" t="s">
        <v>19</v>
      </c>
      <c r="F4313" t="s">
        <v>19</v>
      </c>
      <c r="G4313" t="s">
        <v>37</v>
      </c>
      <c r="H4313" t="s">
        <v>43</v>
      </c>
      <c r="I4313" s="187">
        <v>830.48656660716006</v>
      </c>
      <c r="J4313" s="187">
        <v>0</v>
      </c>
      <c r="K4313" s="187">
        <v>122.9091460436546</v>
      </c>
      <c r="L4313" s="187">
        <v>2247</v>
      </c>
      <c r="M4313" s="187">
        <v>3200.395751953125</v>
      </c>
      <c r="N4313" s="187">
        <v>3077.486572265625</v>
      </c>
      <c r="O4313" t="s">
        <v>4774</v>
      </c>
    </row>
    <row r="4314" spans="1:15" hidden="1" x14ac:dyDescent="0.45">
      <c r="A4314" s="187">
        <v>2021</v>
      </c>
      <c r="B4314" t="s">
        <v>317</v>
      </c>
      <c r="C4314" t="s">
        <v>322</v>
      </c>
      <c r="D4314" t="s">
        <v>35</v>
      </c>
      <c r="E4314" t="s">
        <v>19</v>
      </c>
      <c r="F4314" t="s">
        <v>19</v>
      </c>
      <c r="G4314" t="s">
        <v>37</v>
      </c>
      <c r="H4314" t="s">
        <v>43</v>
      </c>
      <c r="I4314" s="187">
        <v>185</v>
      </c>
      <c r="J4314" s="187">
        <v>45</v>
      </c>
      <c r="K4314" s="187">
        <v>83.860442994874404</v>
      </c>
      <c r="L4314" s="187">
        <v>3072</v>
      </c>
      <c r="M4314" s="187">
        <v>3385.8603515625</v>
      </c>
      <c r="N4314" s="187">
        <v>3257</v>
      </c>
      <c r="O4314" t="s">
        <v>4772</v>
      </c>
    </row>
    <row r="4315" spans="1:15" hidden="1" x14ac:dyDescent="0.45">
      <c r="A4315" s="187">
        <v>2021</v>
      </c>
      <c r="B4315" t="s">
        <v>313</v>
      </c>
      <c r="C4315" t="s">
        <v>322</v>
      </c>
      <c r="D4315" t="s">
        <v>35</v>
      </c>
      <c r="E4315" t="s">
        <v>19</v>
      </c>
      <c r="F4315" t="s">
        <v>19</v>
      </c>
      <c r="G4315" t="s">
        <v>37</v>
      </c>
      <c r="H4315" t="s">
        <v>43</v>
      </c>
      <c r="I4315" s="187">
        <v>826.3547926439403</v>
      </c>
      <c r="J4315" s="187">
        <v>11</v>
      </c>
      <c r="K4315" s="187">
        <v>120.3099475058052</v>
      </c>
      <c r="L4315" s="187">
        <v>2943</v>
      </c>
      <c r="M4315" s="187">
        <v>3900.664794921875</v>
      </c>
      <c r="N4315" s="187">
        <v>3769.354736328125</v>
      </c>
      <c r="O4315" t="s">
        <v>4776</v>
      </c>
    </row>
    <row r="4316" spans="1:15" hidden="1" x14ac:dyDescent="0.45">
      <c r="A4316" s="187">
        <v>2021</v>
      </c>
      <c r="B4316" t="s">
        <v>309</v>
      </c>
      <c r="C4316" t="s">
        <v>322</v>
      </c>
      <c r="D4316" t="s">
        <v>35</v>
      </c>
      <c r="E4316" t="s">
        <v>19</v>
      </c>
      <c r="F4316" t="s">
        <v>19</v>
      </c>
      <c r="G4316" t="s">
        <v>37</v>
      </c>
      <c r="H4316" t="s">
        <v>43</v>
      </c>
      <c r="I4316" s="187"/>
      <c r="J4316" s="187">
        <v>0</v>
      </c>
      <c r="K4316" s="187">
        <v>135.90378654363511</v>
      </c>
      <c r="L4316" s="187">
        <v>3928</v>
      </c>
      <c r="M4316" s="187">
        <v>4063.90380859375</v>
      </c>
      <c r="N4316" s="187">
        <v>3928</v>
      </c>
      <c r="O4316" t="s">
        <v>4771</v>
      </c>
    </row>
    <row r="4317" spans="1:15" hidden="1" x14ac:dyDescent="0.45">
      <c r="A4317" s="187">
        <v>2021</v>
      </c>
      <c r="B4317" t="s">
        <v>310</v>
      </c>
      <c r="C4317" t="s">
        <v>322</v>
      </c>
      <c r="D4317" t="s">
        <v>35</v>
      </c>
      <c r="E4317" t="s">
        <v>19</v>
      </c>
      <c r="F4317" t="s">
        <v>19</v>
      </c>
      <c r="G4317" t="s">
        <v>37</v>
      </c>
      <c r="H4317" t="s">
        <v>43</v>
      </c>
      <c r="I4317" s="187"/>
      <c r="J4317" s="187">
        <v>0</v>
      </c>
      <c r="K4317" s="187">
        <v>131.15703407390461</v>
      </c>
      <c r="L4317" s="187">
        <v>5024</v>
      </c>
      <c r="M4317" s="187">
        <v>5155.1572265625</v>
      </c>
      <c r="N4317" s="187">
        <v>5024</v>
      </c>
      <c r="O4317" t="s">
        <v>4775</v>
      </c>
    </row>
    <row r="4318" spans="1:15" hidden="1" x14ac:dyDescent="0.45">
      <c r="A4318" s="187">
        <v>2021</v>
      </c>
      <c r="B4318" t="s">
        <v>314</v>
      </c>
      <c r="C4318" t="s">
        <v>322</v>
      </c>
      <c r="D4318" t="s">
        <v>35</v>
      </c>
      <c r="E4318" t="s">
        <v>19</v>
      </c>
      <c r="F4318" t="s">
        <v>19</v>
      </c>
      <c r="G4318" t="s">
        <v>37</v>
      </c>
      <c r="H4318" t="s">
        <v>43</v>
      </c>
      <c r="I4318" s="187">
        <v>753.82707269613002</v>
      </c>
      <c r="J4318" s="187">
        <v>0</v>
      </c>
      <c r="K4318" s="187">
        <v>119.62747822751339</v>
      </c>
      <c r="L4318" s="187">
        <v>3072</v>
      </c>
      <c r="M4318" s="187">
        <v>3945.45458984375</v>
      </c>
      <c r="N4318" s="187">
        <v>3825.8271484375</v>
      </c>
      <c r="O4318" t="s">
        <v>4773</v>
      </c>
    </row>
    <row r="4319" spans="1:15" hidden="1" x14ac:dyDescent="0.45">
      <c r="A4319" s="187">
        <v>2021</v>
      </c>
      <c r="B4319" t="s">
        <v>311</v>
      </c>
      <c r="C4319" t="s">
        <v>322</v>
      </c>
      <c r="D4319" t="s">
        <v>35</v>
      </c>
      <c r="E4319" t="s">
        <v>19</v>
      </c>
      <c r="F4319" t="s">
        <v>19</v>
      </c>
      <c r="G4319" t="s">
        <v>37</v>
      </c>
      <c r="H4319" t="s">
        <v>43</v>
      </c>
      <c r="I4319" s="187"/>
      <c r="J4319" s="187">
        <v>0</v>
      </c>
      <c r="K4319" s="187">
        <v>124.3616354821194</v>
      </c>
      <c r="L4319" s="187">
        <v>4532</v>
      </c>
      <c r="M4319" s="187">
        <v>4656.36181640625</v>
      </c>
      <c r="N4319" s="187">
        <v>4532</v>
      </c>
      <c r="O4319" t="s">
        <v>4778</v>
      </c>
    </row>
    <row r="4320" spans="1:15" hidden="1" x14ac:dyDescent="0.45">
      <c r="A4320" s="187">
        <v>2021</v>
      </c>
      <c r="B4320" t="s">
        <v>313</v>
      </c>
      <c r="C4320" t="s">
        <v>322</v>
      </c>
      <c r="D4320" t="s">
        <v>35</v>
      </c>
      <c r="E4320" t="s">
        <v>349</v>
      </c>
      <c r="F4320" t="s">
        <v>349</v>
      </c>
      <c r="G4320" t="s">
        <v>36</v>
      </c>
      <c r="H4320" t="s">
        <v>43</v>
      </c>
      <c r="I4320" s="187">
        <v>4444.1788545139525</v>
      </c>
      <c r="J4320" s="187">
        <v>539.05134353942822</v>
      </c>
      <c r="K4320" s="187">
        <v>2325.1730438002792</v>
      </c>
      <c r="L4320" s="187">
        <v>2267.6093184891947</v>
      </c>
      <c r="M4320" s="187">
        <v>9576.01171875</v>
      </c>
      <c r="N4320" s="187">
        <v>6711.7880859375</v>
      </c>
      <c r="O4320" t="s">
        <v>4781</v>
      </c>
    </row>
    <row r="4321" spans="1:15" hidden="1" x14ac:dyDescent="0.45">
      <c r="A4321" s="187">
        <v>2021</v>
      </c>
      <c r="B4321" t="s">
        <v>317</v>
      </c>
      <c r="C4321" t="s">
        <v>322</v>
      </c>
      <c r="D4321" t="s">
        <v>35</v>
      </c>
      <c r="E4321" t="s">
        <v>349</v>
      </c>
      <c r="F4321" t="s">
        <v>349</v>
      </c>
      <c r="G4321" t="s">
        <v>36</v>
      </c>
      <c r="H4321" t="s">
        <v>43</v>
      </c>
      <c r="I4321" s="187">
        <v>3428.4553606137383</v>
      </c>
      <c r="J4321" s="187">
        <v>302.11034315398717</v>
      </c>
      <c r="K4321" s="187">
        <v>3955.1865457914123</v>
      </c>
      <c r="L4321" s="187">
        <v>3750.4470711283598</v>
      </c>
      <c r="M4321" s="187">
        <v>11436.19921875</v>
      </c>
      <c r="N4321" s="187">
        <v>7178.90234375</v>
      </c>
      <c r="O4321" t="s">
        <v>4782</v>
      </c>
    </row>
    <row r="4322" spans="1:15" hidden="1" x14ac:dyDescent="0.45">
      <c r="A4322" s="187">
        <v>2021</v>
      </c>
      <c r="B4322" t="s">
        <v>314</v>
      </c>
      <c r="C4322" t="s">
        <v>322</v>
      </c>
      <c r="D4322" t="s">
        <v>35</v>
      </c>
      <c r="E4322" t="s">
        <v>349</v>
      </c>
      <c r="F4322" t="s">
        <v>349</v>
      </c>
      <c r="G4322" t="s">
        <v>36</v>
      </c>
      <c r="H4322" t="s">
        <v>43</v>
      </c>
      <c r="I4322" s="187">
        <v>4420.4944088703242</v>
      </c>
      <c r="J4322" s="187">
        <v>506.69698757802138</v>
      </c>
      <c r="K4322" s="187">
        <v>3191.9630751002996</v>
      </c>
      <c r="L4322" s="187">
        <v>2316.8282949257118</v>
      </c>
      <c r="M4322" s="187">
        <v>10435.982421875</v>
      </c>
      <c r="N4322" s="187">
        <v>6737.32275390625</v>
      </c>
      <c r="O4322" t="s">
        <v>4780</v>
      </c>
    </row>
    <row r="4323" spans="1:15" hidden="1" x14ac:dyDescent="0.45">
      <c r="A4323" s="187">
        <v>2021</v>
      </c>
      <c r="B4323" t="s">
        <v>309</v>
      </c>
      <c r="C4323" t="s">
        <v>322</v>
      </c>
      <c r="D4323" t="s">
        <v>35</v>
      </c>
      <c r="E4323" t="s">
        <v>349</v>
      </c>
      <c r="F4323" t="s">
        <v>349</v>
      </c>
      <c r="G4323" t="s">
        <v>36</v>
      </c>
      <c r="H4323" t="s">
        <v>43</v>
      </c>
      <c r="I4323" s="187"/>
      <c r="J4323" s="187">
        <v>562.99115835219095</v>
      </c>
      <c r="K4323" s="187">
        <v>3767.7355344546336</v>
      </c>
      <c r="L4323" s="187">
        <v>1352.503465123734</v>
      </c>
      <c r="M4323" s="187">
        <v>5683.22998046875</v>
      </c>
      <c r="N4323" s="187">
        <v>1352.50341796875</v>
      </c>
      <c r="O4323" t="s">
        <v>4783</v>
      </c>
    </row>
    <row r="4324" spans="1:15" hidden="1" x14ac:dyDescent="0.45">
      <c r="A4324" s="187">
        <v>2021</v>
      </c>
      <c r="B4324" t="s">
        <v>310</v>
      </c>
      <c r="C4324" t="s">
        <v>322</v>
      </c>
      <c r="D4324" t="s">
        <v>35</v>
      </c>
      <c r="E4324" t="s">
        <v>349</v>
      </c>
      <c r="F4324" t="s">
        <v>349</v>
      </c>
      <c r="G4324" t="s">
        <v>36</v>
      </c>
      <c r="H4324" t="s">
        <v>43</v>
      </c>
      <c r="I4324" s="187"/>
      <c r="J4324" s="187">
        <v>653.86041201132775</v>
      </c>
      <c r="K4324" s="187">
        <v>3718.0166619143083</v>
      </c>
      <c r="L4324" s="187">
        <v>4161.1676620400904</v>
      </c>
      <c r="M4324" s="187">
        <v>8533.044921875</v>
      </c>
      <c r="N4324" s="187">
        <v>4161.16748046875</v>
      </c>
      <c r="O4324" t="s">
        <v>4779</v>
      </c>
    </row>
    <row r="4325" spans="1:15" hidden="1" x14ac:dyDescent="0.45">
      <c r="A4325" s="187">
        <v>2021</v>
      </c>
      <c r="B4325" t="s">
        <v>315</v>
      </c>
      <c r="C4325" t="s">
        <v>322</v>
      </c>
      <c r="D4325" t="s">
        <v>35</v>
      </c>
      <c r="E4325" t="s">
        <v>349</v>
      </c>
      <c r="F4325" t="s">
        <v>349</v>
      </c>
      <c r="G4325" t="s">
        <v>36</v>
      </c>
      <c r="H4325" t="s">
        <v>43</v>
      </c>
      <c r="I4325" s="187">
        <v>4298.966270322082</v>
      </c>
      <c r="J4325" s="187">
        <v>430.46302575030069</v>
      </c>
      <c r="K4325" s="187">
        <v>3215.5893247321828</v>
      </c>
      <c r="L4325" s="187">
        <v>3218.2775162015901</v>
      </c>
      <c r="M4325" s="187">
        <v>11163.2958984375</v>
      </c>
      <c r="N4325" s="187">
        <v>7517.24365234375</v>
      </c>
      <c r="O4325" t="s">
        <v>4787</v>
      </c>
    </row>
    <row r="4326" spans="1:15" hidden="1" x14ac:dyDescent="0.45">
      <c r="A4326" s="187">
        <v>2021</v>
      </c>
      <c r="B4326" t="s">
        <v>312</v>
      </c>
      <c r="C4326" t="s">
        <v>322</v>
      </c>
      <c r="D4326" t="s">
        <v>35</v>
      </c>
      <c r="E4326" t="s">
        <v>349</v>
      </c>
      <c r="F4326" t="s">
        <v>349</v>
      </c>
      <c r="G4326" t="s">
        <v>36</v>
      </c>
      <c r="H4326" t="s">
        <v>43</v>
      </c>
      <c r="I4326" s="187">
        <v>4525.8617035892257</v>
      </c>
      <c r="J4326" s="187">
        <v>680.11582977433716</v>
      </c>
      <c r="K4326" s="187">
        <v>3389.346942381279</v>
      </c>
      <c r="L4326" s="187">
        <v>2087.3373102892383</v>
      </c>
      <c r="M4326" s="187">
        <v>10682.6611328125</v>
      </c>
      <c r="N4326" s="187">
        <v>6613.19921875</v>
      </c>
      <c r="O4326" t="s">
        <v>4784</v>
      </c>
    </row>
    <row r="4327" spans="1:15" hidden="1" x14ac:dyDescent="0.45">
      <c r="A4327" s="187">
        <v>2021</v>
      </c>
      <c r="B4327" t="s">
        <v>311</v>
      </c>
      <c r="C4327" t="s">
        <v>322</v>
      </c>
      <c r="D4327" t="s">
        <v>35</v>
      </c>
      <c r="E4327" t="s">
        <v>349</v>
      </c>
      <c r="F4327" t="s">
        <v>349</v>
      </c>
      <c r="G4327" t="s">
        <v>36</v>
      </c>
      <c r="H4327" t="s">
        <v>43</v>
      </c>
      <c r="I4327" s="187"/>
      <c r="J4327" s="187">
        <v>707.78823807352717</v>
      </c>
      <c r="K4327" s="187">
        <v>4114.1056132664307</v>
      </c>
      <c r="L4327" s="187">
        <v>4084.7670748639775</v>
      </c>
      <c r="M4327" s="187">
        <v>8906.6611328125</v>
      </c>
      <c r="N4327" s="187">
        <v>4084.76708984375</v>
      </c>
      <c r="O4327" t="s">
        <v>4785</v>
      </c>
    </row>
    <row r="4328" spans="1:15" hidden="1" x14ac:dyDescent="0.45">
      <c r="A4328" s="187">
        <v>2021</v>
      </c>
      <c r="B4328" t="s">
        <v>316</v>
      </c>
      <c r="C4328" t="s">
        <v>322</v>
      </c>
      <c r="D4328" t="s">
        <v>35</v>
      </c>
      <c r="E4328" t="s">
        <v>349</v>
      </c>
      <c r="F4328" t="s">
        <v>349</v>
      </c>
      <c r="G4328" t="s">
        <v>36</v>
      </c>
      <c r="H4328" t="s">
        <v>43</v>
      </c>
      <c r="I4328" s="187">
        <v>4378.7611699948066</v>
      </c>
      <c r="J4328" s="187">
        <v>341.17532651741089</v>
      </c>
      <c r="K4328" s="187">
        <v>3198.7177262467944</v>
      </c>
      <c r="L4328" s="187">
        <v>3554.3915372774331</v>
      </c>
      <c r="M4328" s="187">
        <v>11473.0458984375</v>
      </c>
      <c r="N4328" s="187">
        <v>7933.15283203125</v>
      </c>
      <c r="O4328" t="s">
        <v>4786</v>
      </c>
    </row>
    <row r="4329" spans="1:15" hidden="1" x14ac:dyDescent="0.45">
      <c r="A4329" s="187">
        <v>2021</v>
      </c>
      <c r="B4329" t="s">
        <v>312</v>
      </c>
      <c r="C4329" t="s">
        <v>322</v>
      </c>
      <c r="D4329" t="s">
        <v>35</v>
      </c>
      <c r="E4329" t="s">
        <v>349</v>
      </c>
      <c r="F4329" t="s">
        <v>349</v>
      </c>
      <c r="G4329" t="s">
        <v>37</v>
      </c>
      <c r="H4329" t="s">
        <v>43</v>
      </c>
      <c r="I4329" s="187">
        <v>3973.3082794538632</v>
      </c>
      <c r="J4329" s="187">
        <v>607</v>
      </c>
      <c r="K4329" s="187">
        <v>3016.8608574351579</v>
      </c>
      <c r="L4329" s="187">
        <v>1857</v>
      </c>
      <c r="M4329" s="187">
        <v>9454.169921875</v>
      </c>
      <c r="N4329" s="187">
        <v>5830.30859375</v>
      </c>
      <c r="O4329" t="s">
        <v>4796</v>
      </c>
    </row>
    <row r="4330" spans="1:15" hidden="1" x14ac:dyDescent="0.45">
      <c r="A4330" s="187">
        <v>2021</v>
      </c>
      <c r="B4330" t="s">
        <v>309</v>
      </c>
      <c r="C4330" t="s">
        <v>322</v>
      </c>
      <c r="D4330" t="s">
        <v>35</v>
      </c>
      <c r="E4330" t="s">
        <v>349</v>
      </c>
      <c r="F4330" t="s">
        <v>349</v>
      </c>
      <c r="G4330" t="s">
        <v>37</v>
      </c>
      <c r="H4330" t="s">
        <v>43</v>
      </c>
      <c r="I4330" s="187"/>
      <c r="J4330" s="187">
        <v>494.40249999999997</v>
      </c>
      <c r="K4330" s="187">
        <v>3397.5946635908758</v>
      </c>
      <c r="L4330" s="187">
        <v>1276</v>
      </c>
      <c r="M4330" s="187">
        <v>5167.9970703125</v>
      </c>
      <c r="N4330" s="187">
        <v>1276</v>
      </c>
      <c r="O4330" t="s">
        <v>4790</v>
      </c>
    </row>
    <row r="4331" spans="1:15" hidden="1" x14ac:dyDescent="0.45">
      <c r="A4331" s="187">
        <v>2021</v>
      </c>
      <c r="B4331" t="s">
        <v>315</v>
      </c>
      <c r="C4331" t="s">
        <v>322</v>
      </c>
      <c r="D4331" t="s">
        <v>35</v>
      </c>
      <c r="E4331" t="s">
        <v>349</v>
      </c>
      <c r="F4331" t="s">
        <v>349</v>
      </c>
      <c r="G4331" t="s">
        <v>37</v>
      </c>
      <c r="H4331" t="s">
        <v>43</v>
      </c>
      <c r="I4331" s="187">
        <v>3949.0922179499998</v>
      </c>
      <c r="J4331" s="187">
        <v>388</v>
      </c>
      <c r="K4331" s="187">
        <v>2945.573529143513</v>
      </c>
      <c r="L4331" s="187">
        <v>2956</v>
      </c>
      <c r="M4331" s="187">
        <v>10238.666015625</v>
      </c>
      <c r="N4331" s="187">
        <v>6905.09228515625</v>
      </c>
      <c r="O4331" t="s">
        <v>4791</v>
      </c>
    </row>
    <row r="4332" spans="1:15" hidden="1" x14ac:dyDescent="0.45">
      <c r="A4332" s="187">
        <v>2021</v>
      </c>
      <c r="B4332" t="s">
        <v>316</v>
      </c>
      <c r="C4332" t="s">
        <v>322</v>
      </c>
      <c r="D4332" t="s">
        <v>35</v>
      </c>
      <c r="E4332" t="s">
        <v>349</v>
      </c>
      <c r="F4332" t="s">
        <v>349</v>
      </c>
      <c r="G4332" t="s">
        <v>37</v>
      </c>
      <c r="H4332" t="s">
        <v>43</v>
      </c>
      <c r="I4332" s="187">
        <v>4056</v>
      </c>
      <c r="J4332" s="187">
        <v>309.75</v>
      </c>
      <c r="K4332" s="187">
        <v>2936.1898021550041</v>
      </c>
      <c r="L4332" s="187">
        <v>3318</v>
      </c>
      <c r="M4332" s="187">
        <v>10619.939453125</v>
      </c>
      <c r="N4332" s="187">
        <v>7374</v>
      </c>
      <c r="O4332" t="s">
        <v>4788</v>
      </c>
    </row>
    <row r="4333" spans="1:15" hidden="1" x14ac:dyDescent="0.45">
      <c r="A4333" s="187">
        <v>2021</v>
      </c>
      <c r="B4333" t="s">
        <v>314</v>
      </c>
      <c r="C4333" t="s">
        <v>322</v>
      </c>
      <c r="D4333" t="s">
        <v>35</v>
      </c>
      <c r="E4333" t="s">
        <v>349</v>
      </c>
      <c r="F4333" t="s">
        <v>349</v>
      </c>
      <c r="G4333" t="s">
        <v>37</v>
      </c>
      <c r="H4333" t="s">
        <v>43</v>
      </c>
      <c r="I4333" s="187">
        <v>4029.2587899743849</v>
      </c>
      <c r="J4333" s="187">
        <v>462</v>
      </c>
      <c r="K4333" s="187">
        <v>2913.3954286694611</v>
      </c>
      <c r="L4333" s="187">
        <v>2198</v>
      </c>
      <c r="M4333" s="187">
        <v>9602.654296875</v>
      </c>
      <c r="N4333" s="187">
        <v>6227.2587890625</v>
      </c>
      <c r="O4333" t="s">
        <v>4795</v>
      </c>
    </row>
    <row r="4334" spans="1:15" hidden="1" x14ac:dyDescent="0.45">
      <c r="A4334" s="187">
        <v>2021</v>
      </c>
      <c r="B4334" t="s">
        <v>311</v>
      </c>
      <c r="C4334" t="s">
        <v>322</v>
      </c>
      <c r="D4334" t="s">
        <v>35</v>
      </c>
      <c r="E4334" t="s">
        <v>349</v>
      </c>
      <c r="F4334" t="s">
        <v>349</v>
      </c>
      <c r="G4334" t="s">
        <v>37</v>
      </c>
      <c r="H4334" t="s">
        <v>43</v>
      </c>
      <c r="I4334" s="187"/>
      <c r="J4334" s="187">
        <v>626</v>
      </c>
      <c r="K4334" s="187">
        <v>3606.487428981462</v>
      </c>
      <c r="L4334" s="187">
        <v>3756</v>
      </c>
      <c r="M4334" s="187">
        <v>7988.4873046875</v>
      </c>
      <c r="N4334" s="187">
        <v>3756</v>
      </c>
      <c r="O4334" t="s">
        <v>4792</v>
      </c>
    </row>
    <row r="4335" spans="1:15" hidden="1" x14ac:dyDescent="0.45">
      <c r="A4335" s="187">
        <v>2021</v>
      </c>
      <c r="B4335" t="s">
        <v>313</v>
      </c>
      <c r="C4335" t="s">
        <v>322</v>
      </c>
      <c r="D4335" t="s">
        <v>35</v>
      </c>
      <c r="E4335" t="s">
        <v>349</v>
      </c>
      <c r="F4335" t="s">
        <v>349</v>
      </c>
      <c r="G4335" t="s">
        <v>37</v>
      </c>
      <c r="H4335" t="s">
        <v>43</v>
      </c>
      <c r="I4335" s="187">
        <v>4007.5506937372793</v>
      </c>
      <c r="J4335" s="187">
        <v>487</v>
      </c>
      <c r="K4335" s="187">
        <v>2091.6619549626839</v>
      </c>
      <c r="L4335" s="187">
        <v>2052</v>
      </c>
      <c r="M4335" s="187">
        <v>8638.212890625</v>
      </c>
      <c r="N4335" s="187">
        <v>6059.55078125</v>
      </c>
      <c r="O4335" t="s">
        <v>4793</v>
      </c>
    </row>
    <row r="4336" spans="1:15" hidden="1" x14ac:dyDescent="0.45">
      <c r="A4336" s="187">
        <v>2021</v>
      </c>
      <c r="B4336" t="s">
        <v>317</v>
      </c>
      <c r="C4336" t="s">
        <v>322</v>
      </c>
      <c r="D4336" t="s">
        <v>35</v>
      </c>
      <c r="E4336" t="s">
        <v>349</v>
      </c>
      <c r="F4336" t="s">
        <v>349</v>
      </c>
      <c r="G4336" t="s">
        <v>37</v>
      </c>
      <c r="H4336" t="s">
        <v>43</v>
      </c>
      <c r="I4336" s="187">
        <v>3173</v>
      </c>
      <c r="J4336" s="187">
        <v>279.60000000000002</v>
      </c>
      <c r="K4336" s="187">
        <v>3660.4842676293661</v>
      </c>
      <c r="L4336" s="187">
        <v>3471</v>
      </c>
      <c r="M4336" s="187">
        <v>10584.083984375</v>
      </c>
      <c r="N4336" s="187">
        <v>6644</v>
      </c>
      <c r="O4336" t="s">
        <v>4794</v>
      </c>
    </row>
    <row r="4337" spans="1:15" hidden="1" x14ac:dyDescent="0.45">
      <c r="A4337" s="187">
        <v>2021</v>
      </c>
      <c r="B4337" t="s">
        <v>310</v>
      </c>
      <c r="C4337" t="s">
        <v>322</v>
      </c>
      <c r="D4337" t="s">
        <v>35</v>
      </c>
      <c r="E4337" t="s">
        <v>349</v>
      </c>
      <c r="F4337" t="s">
        <v>349</v>
      </c>
      <c r="G4337" t="s">
        <v>37</v>
      </c>
      <c r="H4337" t="s">
        <v>43</v>
      </c>
      <c r="I4337" s="187"/>
      <c r="J4337" s="187">
        <v>576</v>
      </c>
      <c r="K4337" s="187">
        <v>3278.9258518476131</v>
      </c>
      <c r="L4337" s="187">
        <v>3821</v>
      </c>
      <c r="M4337" s="187">
        <v>7675.92578125</v>
      </c>
      <c r="N4337" s="187">
        <v>3821</v>
      </c>
      <c r="O4337" t="s">
        <v>4789</v>
      </c>
    </row>
    <row r="4338" spans="1:15" hidden="1" x14ac:dyDescent="0.45">
      <c r="A4338" s="187">
        <v>2021</v>
      </c>
      <c r="B4338" t="s">
        <v>311</v>
      </c>
      <c r="C4338" t="s">
        <v>322</v>
      </c>
      <c r="D4338" t="s">
        <v>35</v>
      </c>
      <c r="E4338" t="s">
        <v>46</v>
      </c>
      <c r="F4338" t="s">
        <v>46</v>
      </c>
      <c r="G4338" t="s">
        <v>37</v>
      </c>
      <c r="H4338" t="s">
        <v>43</v>
      </c>
      <c r="I4338" s="187"/>
      <c r="J4338" s="187">
        <v>1054</v>
      </c>
      <c r="K4338" s="187">
        <v>15766.65198407262</v>
      </c>
      <c r="L4338" s="187">
        <v>23862</v>
      </c>
      <c r="M4338" s="187">
        <v>40682.65234375</v>
      </c>
      <c r="N4338" s="187">
        <v>23862</v>
      </c>
      <c r="O4338" t="s">
        <v>4802</v>
      </c>
    </row>
    <row r="4339" spans="1:15" hidden="1" x14ac:dyDescent="0.45">
      <c r="A4339" s="187">
        <v>2021</v>
      </c>
      <c r="B4339" t="s">
        <v>316</v>
      </c>
      <c r="C4339" t="s">
        <v>322</v>
      </c>
      <c r="D4339" t="s">
        <v>35</v>
      </c>
      <c r="E4339" t="s">
        <v>46</v>
      </c>
      <c r="F4339" t="s">
        <v>46</v>
      </c>
      <c r="G4339" t="s">
        <v>37</v>
      </c>
      <c r="H4339" t="s">
        <v>43</v>
      </c>
      <c r="I4339" s="187">
        <v>13538</v>
      </c>
      <c r="J4339" s="187">
        <v>1110.75</v>
      </c>
      <c r="K4339" s="187">
        <v>17766.683318910531</v>
      </c>
      <c r="L4339" s="187">
        <v>21526</v>
      </c>
      <c r="M4339" s="187">
        <v>53941.43359375</v>
      </c>
      <c r="N4339" s="187">
        <v>35064</v>
      </c>
      <c r="O4339" t="s">
        <v>4803</v>
      </c>
    </row>
    <row r="4340" spans="1:15" hidden="1" x14ac:dyDescent="0.45">
      <c r="A4340" s="187">
        <v>2021</v>
      </c>
      <c r="B4340" t="s">
        <v>313</v>
      </c>
      <c r="C4340" t="s">
        <v>322</v>
      </c>
      <c r="D4340" t="s">
        <v>35</v>
      </c>
      <c r="E4340" t="s">
        <v>46</v>
      </c>
      <c r="F4340" t="s">
        <v>46</v>
      </c>
      <c r="G4340" t="s">
        <v>37</v>
      </c>
      <c r="H4340" t="s">
        <v>43</v>
      </c>
      <c r="I4340" s="187">
        <v>13607.15506392994</v>
      </c>
      <c r="J4340" s="187">
        <v>860</v>
      </c>
      <c r="K4340" s="187">
        <v>14716.40404345993</v>
      </c>
      <c r="L4340" s="187"/>
      <c r="M4340" s="187">
        <v>29183.55859375</v>
      </c>
      <c r="N4340" s="187">
        <v>13607.1552734375</v>
      </c>
      <c r="O4340" t="s">
        <v>4801</v>
      </c>
    </row>
    <row r="4341" spans="1:15" hidden="1" x14ac:dyDescent="0.45">
      <c r="A4341" s="187">
        <v>2021</v>
      </c>
      <c r="B4341" t="s">
        <v>315</v>
      </c>
      <c r="C4341" t="s">
        <v>322</v>
      </c>
      <c r="D4341" t="s">
        <v>35</v>
      </c>
      <c r="E4341" t="s">
        <v>46</v>
      </c>
      <c r="F4341" t="s">
        <v>46</v>
      </c>
      <c r="G4341" t="s">
        <v>37</v>
      </c>
      <c r="H4341" t="s">
        <v>43</v>
      </c>
      <c r="I4341" s="187">
        <v>15789.2026757042</v>
      </c>
      <c r="J4341" s="187">
        <v>867</v>
      </c>
      <c r="K4341" s="187">
        <v>17825.238291222911</v>
      </c>
      <c r="L4341" s="187">
        <v>20372</v>
      </c>
      <c r="M4341" s="187">
        <v>54853.44140625</v>
      </c>
      <c r="N4341" s="187">
        <v>36161.203125</v>
      </c>
      <c r="O4341" t="s">
        <v>4800</v>
      </c>
    </row>
    <row r="4342" spans="1:15" hidden="1" x14ac:dyDescent="0.45">
      <c r="A4342" s="187">
        <v>2021</v>
      </c>
      <c r="B4342" t="s">
        <v>314</v>
      </c>
      <c r="C4342" t="s">
        <v>322</v>
      </c>
      <c r="D4342" t="s">
        <v>35</v>
      </c>
      <c r="E4342" t="s">
        <v>46</v>
      </c>
      <c r="F4342" t="s">
        <v>46</v>
      </c>
      <c r="G4342" t="s">
        <v>37</v>
      </c>
      <c r="H4342" t="s">
        <v>43</v>
      </c>
      <c r="I4342" s="187">
        <v>15677.287935448179</v>
      </c>
      <c r="J4342" s="187">
        <v>859</v>
      </c>
      <c r="K4342" s="187">
        <v>16839.333332944039</v>
      </c>
      <c r="L4342" s="187">
        <v>18065</v>
      </c>
      <c r="M4342" s="187">
        <v>51440.62109375</v>
      </c>
      <c r="N4342" s="187">
        <v>33742.2890625</v>
      </c>
      <c r="O4342" t="s">
        <v>4798</v>
      </c>
    </row>
    <row r="4343" spans="1:15" hidden="1" x14ac:dyDescent="0.45">
      <c r="A4343" s="187">
        <v>2021</v>
      </c>
      <c r="B4343" t="s">
        <v>312</v>
      </c>
      <c r="C4343" t="s">
        <v>322</v>
      </c>
      <c r="D4343" t="s">
        <v>35</v>
      </c>
      <c r="E4343" t="s">
        <v>46</v>
      </c>
      <c r="F4343" t="s">
        <v>46</v>
      </c>
      <c r="G4343" t="s">
        <v>37</v>
      </c>
      <c r="H4343" t="s">
        <v>43</v>
      </c>
      <c r="I4343" s="187">
        <v>10652.665241927611</v>
      </c>
      <c r="J4343" s="187">
        <v>961</v>
      </c>
      <c r="K4343" s="187">
        <v>14853.195343323099</v>
      </c>
      <c r="L4343" s="187">
        <v>20070</v>
      </c>
      <c r="M4343" s="187">
        <v>46536.859375</v>
      </c>
      <c r="N4343" s="187">
        <v>30722.6640625</v>
      </c>
      <c r="O4343" t="s">
        <v>4799</v>
      </c>
    </row>
    <row r="4344" spans="1:15" hidden="1" x14ac:dyDescent="0.45">
      <c r="A4344" s="187">
        <v>2021</v>
      </c>
      <c r="B4344" t="s">
        <v>317</v>
      </c>
      <c r="C4344" t="s">
        <v>322</v>
      </c>
      <c r="D4344" t="s">
        <v>35</v>
      </c>
      <c r="E4344" t="s">
        <v>46</v>
      </c>
      <c r="F4344" t="s">
        <v>46</v>
      </c>
      <c r="G4344" t="s">
        <v>37</v>
      </c>
      <c r="H4344" t="s">
        <v>43</v>
      </c>
      <c r="I4344" s="187">
        <v>13650.483643434471</v>
      </c>
      <c r="J4344" s="187">
        <v>881.6</v>
      </c>
      <c r="K4344" s="187">
        <v>19382.789898851752</v>
      </c>
      <c r="L4344" s="187">
        <v>18089</v>
      </c>
      <c r="M4344" s="187">
        <v>52003.87109375</v>
      </c>
      <c r="N4344" s="187">
        <v>31739.484375</v>
      </c>
      <c r="O4344" t="s">
        <v>4797</v>
      </c>
    </row>
    <row r="4345" spans="1:15" hidden="1" x14ac:dyDescent="0.45">
      <c r="A4345" s="187">
        <v>2021</v>
      </c>
      <c r="B4345" t="s">
        <v>311</v>
      </c>
      <c r="C4345" t="s">
        <v>322</v>
      </c>
      <c r="D4345" t="s">
        <v>35</v>
      </c>
      <c r="E4345" t="s">
        <v>350</v>
      </c>
      <c r="F4345" t="s">
        <v>350</v>
      </c>
      <c r="G4345" t="s">
        <v>37</v>
      </c>
      <c r="H4345" t="s">
        <v>43</v>
      </c>
      <c r="I4345" s="187"/>
      <c r="J4345" s="187">
        <v>1054</v>
      </c>
      <c r="K4345" s="187">
        <v>15859.26817188548</v>
      </c>
      <c r="L4345" s="187">
        <v>28437</v>
      </c>
      <c r="M4345" s="187">
        <v>45350.265625</v>
      </c>
      <c r="N4345" s="187">
        <v>28437</v>
      </c>
      <c r="O4345" t="s">
        <v>4806</v>
      </c>
    </row>
    <row r="4346" spans="1:15" hidden="1" x14ac:dyDescent="0.45">
      <c r="A4346" s="187">
        <v>2021</v>
      </c>
      <c r="B4346" t="s">
        <v>312</v>
      </c>
      <c r="C4346" t="s">
        <v>322</v>
      </c>
      <c r="D4346" t="s">
        <v>35</v>
      </c>
      <c r="E4346" t="s">
        <v>350</v>
      </c>
      <c r="F4346" t="s">
        <v>350</v>
      </c>
      <c r="G4346" t="s">
        <v>37</v>
      </c>
      <c r="H4346" t="s">
        <v>43</v>
      </c>
      <c r="I4346" s="187">
        <v>12629.9835298215</v>
      </c>
      <c r="J4346" s="187">
        <v>961</v>
      </c>
      <c r="K4346" s="187">
        <v>15096.81796161573</v>
      </c>
      <c r="L4346" s="187">
        <v>20069</v>
      </c>
      <c r="M4346" s="187">
        <v>48756.80078125</v>
      </c>
      <c r="N4346" s="187">
        <v>32698.984375</v>
      </c>
      <c r="O4346" t="s">
        <v>4808</v>
      </c>
    </row>
    <row r="4347" spans="1:15" hidden="1" x14ac:dyDescent="0.45">
      <c r="A4347" s="187">
        <v>2021</v>
      </c>
      <c r="B4347" t="s">
        <v>316</v>
      </c>
      <c r="C4347" t="s">
        <v>322</v>
      </c>
      <c r="D4347" t="s">
        <v>35</v>
      </c>
      <c r="E4347" t="s">
        <v>350</v>
      </c>
      <c r="F4347" t="s">
        <v>350</v>
      </c>
      <c r="G4347" t="s">
        <v>37</v>
      </c>
      <c r="H4347" t="s">
        <v>43</v>
      </c>
      <c r="I4347" s="187">
        <v>13411</v>
      </c>
      <c r="J4347" s="187">
        <v>1110.75</v>
      </c>
      <c r="K4347" s="187">
        <v>17628.432997620541</v>
      </c>
      <c r="L4347" s="187">
        <v>22132</v>
      </c>
      <c r="M4347" s="187">
        <v>54282.18359375</v>
      </c>
      <c r="N4347" s="187">
        <v>35543</v>
      </c>
      <c r="O4347" t="s">
        <v>4804</v>
      </c>
    </row>
    <row r="4348" spans="1:15" hidden="1" x14ac:dyDescent="0.45">
      <c r="A4348" s="187">
        <v>2021</v>
      </c>
      <c r="B4348" t="s">
        <v>314</v>
      </c>
      <c r="C4348" t="s">
        <v>322</v>
      </c>
      <c r="D4348" t="s">
        <v>35</v>
      </c>
      <c r="E4348" t="s">
        <v>350</v>
      </c>
      <c r="F4348" t="s">
        <v>350</v>
      </c>
      <c r="G4348" t="s">
        <v>37</v>
      </c>
      <c r="H4348" t="s">
        <v>43</v>
      </c>
      <c r="I4348" s="187">
        <v>15926.317188876161</v>
      </c>
      <c r="J4348" s="187">
        <v>859</v>
      </c>
      <c r="K4348" s="187">
        <v>16724.462025284651</v>
      </c>
      <c r="L4348" s="187">
        <v>18247</v>
      </c>
      <c r="M4348" s="187">
        <v>51756.77734375</v>
      </c>
      <c r="N4348" s="187">
        <v>34173.31640625</v>
      </c>
      <c r="O4348" t="s">
        <v>4807</v>
      </c>
    </row>
    <row r="4349" spans="1:15" hidden="1" x14ac:dyDescent="0.45">
      <c r="A4349" s="187">
        <v>2021</v>
      </c>
      <c r="B4349" t="s">
        <v>317</v>
      </c>
      <c r="C4349" t="s">
        <v>322</v>
      </c>
      <c r="D4349" t="s">
        <v>35</v>
      </c>
      <c r="E4349" t="s">
        <v>350</v>
      </c>
      <c r="F4349" t="s">
        <v>350</v>
      </c>
      <c r="G4349" t="s">
        <v>37</v>
      </c>
      <c r="H4349" t="s">
        <v>43</v>
      </c>
      <c r="I4349" s="187">
        <v>13646.922941756489</v>
      </c>
      <c r="J4349" s="187">
        <v>881.6</v>
      </c>
      <c r="K4349" s="187">
        <v>19632.811645707941</v>
      </c>
      <c r="L4349" s="187">
        <v>18781</v>
      </c>
      <c r="M4349" s="187">
        <v>52942.3359375</v>
      </c>
      <c r="N4349" s="187">
        <v>32427.921875</v>
      </c>
      <c r="O4349" t="s">
        <v>4810</v>
      </c>
    </row>
    <row r="4350" spans="1:15" hidden="1" x14ac:dyDescent="0.45">
      <c r="A4350" s="187">
        <v>2021</v>
      </c>
      <c r="B4350" t="s">
        <v>313</v>
      </c>
      <c r="C4350" t="s">
        <v>322</v>
      </c>
      <c r="D4350" t="s">
        <v>35</v>
      </c>
      <c r="E4350" t="s">
        <v>350</v>
      </c>
      <c r="F4350" t="s">
        <v>350</v>
      </c>
      <c r="G4350" t="s">
        <v>37</v>
      </c>
      <c r="H4350" t="s">
        <v>43</v>
      </c>
      <c r="I4350" s="187">
        <v>13892.676563356559</v>
      </c>
      <c r="J4350" s="187">
        <v>860</v>
      </c>
      <c r="K4350" s="187">
        <v>14647.80543832864</v>
      </c>
      <c r="L4350" s="187">
        <v>19634.883096181209</v>
      </c>
      <c r="M4350" s="187">
        <v>49035.3671875</v>
      </c>
      <c r="N4350" s="187">
        <v>33527.55859375</v>
      </c>
      <c r="O4350" t="s">
        <v>4805</v>
      </c>
    </row>
    <row r="4351" spans="1:15" hidden="1" x14ac:dyDescent="0.45">
      <c r="A4351" s="187">
        <v>2021</v>
      </c>
      <c r="B4351" t="s">
        <v>315</v>
      </c>
      <c r="C4351" t="s">
        <v>322</v>
      </c>
      <c r="D4351" t="s">
        <v>35</v>
      </c>
      <c r="E4351" t="s">
        <v>350</v>
      </c>
      <c r="F4351" t="s">
        <v>350</v>
      </c>
      <c r="G4351" t="s">
        <v>37</v>
      </c>
      <c r="H4351" t="s">
        <v>43</v>
      </c>
      <c r="I4351" s="187">
        <v>16466.28134086655</v>
      </c>
      <c r="J4351" s="187">
        <v>867</v>
      </c>
      <c r="K4351" s="187">
        <v>17742.3988014891</v>
      </c>
      <c r="L4351" s="187">
        <v>20310</v>
      </c>
      <c r="M4351" s="187">
        <v>55385.6796875</v>
      </c>
      <c r="N4351" s="187">
        <v>36776.28125</v>
      </c>
      <c r="O4351" t="s">
        <v>4809</v>
      </c>
    </row>
    <row r="4352" spans="1:15" hidden="1" x14ac:dyDescent="0.45">
      <c r="A4352" s="187">
        <v>2021</v>
      </c>
      <c r="B4352" t="s">
        <v>309</v>
      </c>
      <c r="C4352" t="s">
        <v>322</v>
      </c>
      <c r="D4352" t="s">
        <v>35</v>
      </c>
      <c r="E4352" t="s">
        <v>350</v>
      </c>
      <c r="F4352" t="s">
        <v>350</v>
      </c>
      <c r="G4352" t="s">
        <v>37</v>
      </c>
      <c r="H4352" t="s">
        <v>43</v>
      </c>
      <c r="I4352" s="187"/>
      <c r="J4352" s="187">
        <v>931.80330000000004</v>
      </c>
      <c r="K4352" s="187">
        <v>14895.43345699593</v>
      </c>
      <c r="L4352" s="187">
        <v>23582</v>
      </c>
      <c r="M4352" s="187">
        <v>39409.234375</v>
      </c>
      <c r="N4352" s="187">
        <v>23582</v>
      </c>
      <c r="O4352" t="s">
        <v>4811</v>
      </c>
    </row>
    <row r="4353" spans="1:15" hidden="1" x14ac:dyDescent="0.45">
      <c r="A4353" s="187">
        <v>2021</v>
      </c>
      <c r="B4353" t="s">
        <v>310</v>
      </c>
      <c r="C4353" t="s">
        <v>322</v>
      </c>
      <c r="D4353" t="s">
        <v>35</v>
      </c>
      <c r="E4353" t="s">
        <v>350</v>
      </c>
      <c r="F4353" t="s">
        <v>350</v>
      </c>
      <c r="G4353" t="s">
        <v>37</v>
      </c>
      <c r="H4353" t="s">
        <v>43</v>
      </c>
      <c r="I4353" s="187"/>
      <c r="J4353" s="187">
        <v>841</v>
      </c>
      <c r="K4353" s="187">
        <v>14178.508558563801</v>
      </c>
      <c r="L4353" s="187">
        <v>28830</v>
      </c>
      <c r="M4353" s="187">
        <v>43849.5078125</v>
      </c>
      <c r="N4353" s="187">
        <v>28830</v>
      </c>
      <c r="O4353" t="s">
        <v>4812</v>
      </c>
    </row>
    <row r="4354" spans="1:15" hidden="1" x14ac:dyDescent="0.45">
      <c r="A4354" s="187">
        <v>2021</v>
      </c>
      <c r="B4354" t="s">
        <v>310</v>
      </c>
      <c r="C4354" t="s">
        <v>322</v>
      </c>
      <c r="D4354" t="s">
        <v>35</v>
      </c>
      <c r="E4354" t="s">
        <v>16</v>
      </c>
      <c r="F4354" t="s">
        <v>16</v>
      </c>
      <c r="G4354" t="s">
        <v>36</v>
      </c>
      <c r="H4354" t="s">
        <v>43</v>
      </c>
      <c r="I4354" s="187"/>
      <c r="J4354" s="187">
        <v>104.61766592181245</v>
      </c>
      <c r="K4354" s="187">
        <v>5467.8514304787614</v>
      </c>
      <c r="L4354" s="187">
        <v>18221.781961931683</v>
      </c>
      <c r="M4354" s="187">
        <v>23794.251953125</v>
      </c>
      <c r="N4354" s="187">
        <v>18221.78125</v>
      </c>
      <c r="O4354" t="s">
        <v>4819</v>
      </c>
    </row>
    <row r="4355" spans="1:15" hidden="1" x14ac:dyDescent="0.45">
      <c r="A4355" s="187">
        <v>2021</v>
      </c>
      <c r="B4355" t="s">
        <v>316</v>
      </c>
      <c r="C4355" t="s">
        <v>322</v>
      </c>
      <c r="D4355" t="s">
        <v>35</v>
      </c>
      <c r="E4355" t="s">
        <v>16</v>
      </c>
      <c r="F4355" t="s">
        <v>16</v>
      </c>
      <c r="G4355" t="s">
        <v>36</v>
      </c>
      <c r="H4355" t="s">
        <v>43</v>
      </c>
      <c r="I4355" s="187">
        <v>7637.7710214265335</v>
      </c>
      <c r="J4355" s="187">
        <v>192.75442176124909</v>
      </c>
      <c r="K4355" s="187">
        <v>7782.3229580272737</v>
      </c>
      <c r="L4355" s="187">
        <v>18755.555964288855</v>
      </c>
      <c r="M4355" s="187">
        <v>34368.40625</v>
      </c>
      <c r="N4355" s="187">
        <v>26393.326171875</v>
      </c>
      <c r="O4355" t="s">
        <v>4813</v>
      </c>
    </row>
    <row r="4356" spans="1:15" hidden="1" x14ac:dyDescent="0.45">
      <c r="A4356" s="187">
        <v>2021</v>
      </c>
      <c r="B4356" t="s">
        <v>315</v>
      </c>
      <c r="C4356" t="s">
        <v>322</v>
      </c>
      <c r="D4356" t="s">
        <v>35</v>
      </c>
      <c r="E4356" t="s">
        <v>16</v>
      </c>
      <c r="F4356" t="s">
        <v>16</v>
      </c>
      <c r="G4356" t="s">
        <v>36</v>
      </c>
      <c r="H4356" t="s">
        <v>43</v>
      </c>
      <c r="I4356" s="187">
        <v>9164.5395715244322</v>
      </c>
      <c r="J4356" s="187">
        <v>249.2154359607004</v>
      </c>
      <c r="K4356" s="187">
        <v>7568.2473337693373</v>
      </c>
      <c r="L4356" s="187">
        <v>22083.886018426609</v>
      </c>
      <c r="M4356" s="187">
        <v>39065.890625</v>
      </c>
      <c r="N4356" s="187">
        <v>31248.42578125</v>
      </c>
      <c r="O4356" t="s">
        <v>4821</v>
      </c>
    </row>
    <row r="4357" spans="1:15" hidden="1" x14ac:dyDescent="0.45">
      <c r="A4357" s="187">
        <v>2021</v>
      </c>
      <c r="B4357" t="s">
        <v>314</v>
      </c>
      <c r="C4357" t="s">
        <v>322</v>
      </c>
      <c r="D4357" t="s">
        <v>35</v>
      </c>
      <c r="E4357" t="s">
        <v>16</v>
      </c>
      <c r="F4357" t="s">
        <v>16</v>
      </c>
      <c r="G4357" t="s">
        <v>36</v>
      </c>
      <c r="H4357" t="s">
        <v>43</v>
      </c>
      <c r="I4357" s="187">
        <v>9423.6133499040952</v>
      </c>
      <c r="J4357" s="187">
        <v>139.77847933186797</v>
      </c>
      <c r="K4357" s="187">
        <v>6890.3923046904001</v>
      </c>
      <c r="L4357" s="187">
        <v>18582.384006510747</v>
      </c>
      <c r="M4357" s="187">
        <v>35036.16796875</v>
      </c>
      <c r="N4357" s="187">
        <v>28005.998046875</v>
      </c>
      <c r="O4357" t="s">
        <v>4815</v>
      </c>
    </row>
    <row r="4358" spans="1:15" hidden="1" x14ac:dyDescent="0.45">
      <c r="A4358" s="187">
        <v>2021</v>
      </c>
      <c r="B4358" t="s">
        <v>311</v>
      </c>
      <c r="C4358" t="s">
        <v>322</v>
      </c>
      <c r="D4358" t="s">
        <v>35</v>
      </c>
      <c r="E4358" t="s">
        <v>16</v>
      </c>
      <c r="F4358" t="s">
        <v>16</v>
      </c>
      <c r="G4358" t="s">
        <v>36</v>
      </c>
      <c r="H4358" t="s">
        <v>43</v>
      </c>
      <c r="I4358" s="187"/>
      <c r="J4358" s="187">
        <v>127.5294122655004</v>
      </c>
      <c r="K4358" s="187">
        <v>5206.3439626665768</v>
      </c>
      <c r="L4358" s="187">
        <v>20218.513020572434</v>
      </c>
      <c r="M4358" s="187">
        <v>25552.38671875</v>
      </c>
      <c r="N4358" s="187">
        <v>20218.513671875</v>
      </c>
      <c r="O4358" t="s">
        <v>4820</v>
      </c>
    </row>
    <row r="4359" spans="1:15" hidden="1" x14ac:dyDescent="0.45">
      <c r="A4359" s="187">
        <v>2021</v>
      </c>
      <c r="B4359" t="s">
        <v>317</v>
      </c>
      <c r="C4359" t="s">
        <v>322</v>
      </c>
      <c r="D4359" t="s">
        <v>35</v>
      </c>
      <c r="E4359" t="s">
        <v>16</v>
      </c>
      <c r="F4359" t="s">
        <v>16</v>
      </c>
      <c r="G4359" t="s">
        <v>36</v>
      </c>
      <c r="H4359" t="s">
        <v>43</v>
      </c>
      <c r="I4359" s="187">
        <v>7193.8728852628365</v>
      </c>
      <c r="J4359" s="187">
        <v>209.61876456320996</v>
      </c>
      <c r="K4359" s="187">
        <v>9053.6316259224459</v>
      </c>
      <c r="L4359" s="187">
        <v>17268.69636726403</v>
      </c>
      <c r="M4359" s="187">
        <v>33725.8203125</v>
      </c>
      <c r="N4359" s="187">
        <v>24462.5703125</v>
      </c>
      <c r="O4359" t="s">
        <v>4818</v>
      </c>
    </row>
    <row r="4360" spans="1:15" hidden="1" x14ac:dyDescent="0.45">
      <c r="A4360" s="187">
        <v>2021</v>
      </c>
      <c r="B4360" t="s">
        <v>309</v>
      </c>
      <c r="C4360" t="s">
        <v>322</v>
      </c>
      <c r="D4360" t="s">
        <v>35</v>
      </c>
      <c r="E4360" t="s">
        <v>16</v>
      </c>
      <c r="F4360" t="s">
        <v>16</v>
      </c>
      <c r="G4360" t="s">
        <v>36</v>
      </c>
      <c r="H4360" t="s">
        <v>43</v>
      </c>
      <c r="I4360" s="187"/>
      <c r="J4360" s="187">
        <v>123.19571229824415</v>
      </c>
      <c r="K4360" s="187">
        <v>4887.5065352945503</v>
      </c>
      <c r="L4360" s="187">
        <v>13335.604685015311</v>
      </c>
      <c r="M4360" s="187">
        <v>18346.306640625</v>
      </c>
      <c r="N4360" s="187">
        <v>13335.6044921875</v>
      </c>
      <c r="O4360" t="s">
        <v>4816</v>
      </c>
    </row>
    <row r="4361" spans="1:15" hidden="1" x14ac:dyDescent="0.45">
      <c r="A4361" s="187">
        <v>2021</v>
      </c>
      <c r="B4361" t="s">
        <v>313</v>
      </c>
      <c r="C4361" t="s">
        <v>322</v>
      </c>
      <c r="D4361" t="s">
        <v>35</v>
      </c>
      <c r="E4361" t="s">
        <v>16</v>
      </c>
      <c r="F4361" t="s">
        <v>16</v>
      </c>
      <c r="G4361" t="s">
        <v>36</v>
      </c>
      <c r="H4361" t="s">
        <v>43</v>
      </c>
      <c r="I4361" s="187">
        <v>7096.5317478852439</v>
      </c>
      <c r="J4361" s="187">
        <v>125.77864682586659</v>
      </c>
      <c r="K4361" s="187">
        <v>5907.3742553873026</v>
      </c>
      <c r="L4361" s="187">
        <v>16948.972132754156</v>
      </c>
      <c r="M4361" s="187">
        <v>30078.65625</v>
      </c>
      <c r="N4361" s="187">
        <v>24045.50390625</v>
      </c>
      <c r="O4361" t="s">
        <v>4817</v>
      </c>
    </row>
    <row r="4362" spans="1:15" hidden="1" x14ac:dyDescent="0.45">
      <c r="A4362" s="187">
        <v>2021</v>
      </c>
      <c r="B4362" t="s">
        <v>312</v>
      </c>
      <c r="C4362" t="s">
        <v>322</v>
      </c>
      <c r="D4362" t="s">
        <v>35</v>
      </c>
      <c r="E4362" t="s">
        <v>16</v>
      </c>
      <c r="F4362" t="s">
        <v>16</v>
      </c>
      <c r="G4362" t="s">
        <v>36</v>
      </c>
      <c r="H4362" t="s">
        <v>43</v>
      </c>
      <c r="I4362" s="187">
        <v>5314.3854542417785</v>
      </c>
      <c r="J4362" s="187">
        <v>129.84029477510072</v>
      </c>
      <c r="K4362" s="187">
        <v>4912.1270041869911</v>
      </c>
      <c r="L4362" s="187">
        <v>18115.812556716435</v>
      </c>
      <c r="M4362" s="187">
        <v>28472.166015625</v>
      </c>
      <c r="N4362" s="187">
        <v>23430.197265625</v>
      </c>
      <c r="O4362" t="s">
        <v>4814</v>
      </c>
    </row>
    <row r="4363" spans="1:15" hidden="1" x14ac:dyDescent="0.45">
      <c r="A4363" s="187">
        <v>2021</v>
      </c>
      <c r="B4363" t="s">
        <v>310</v>
      </c>
      <c r="C4363" t="s">
        <v>322</v>
      </c>
      <c r="D4363" t="s">
        <v>35</v>
      </c>
      <c r="E4363" t="s">
        <v>16</v>
      </c>
      <c r="F4363" t="s">
        <v>16</v>
      </c>
      <c r="G4363" t="s">
        <v>37</v>
      </c>
      <c r="H4363" t="s">
        <v>43</v>
      </c>
      <c r="I4363" s="187"/>
      <c r="J4363" s="187">
        <v>92</v>
      </c>
      <c r="K4363" s="187">
        <v>4822.1084087955014</v>
      </c>
      <c r="L4363" s="187">
        <v>16733</v>
      </c>
      <c r="M4363" s="187">
        <v>21647.109375</v>
      </c>
      <c r="N4363" s="187">
        <v>16733</v>
      </c>
      <c r="O4363" t="s">
        <v>4829</v>
      </c>
    </row>
    <row r="4364" spans="1:15" hidden="1" x14ac:dyDescent="0.45">
      <c r="A4364" s="187">
        <v>2021</v>
      </c>
      <c r="B4364" t="s">
        <v>316</v>
      </c>
      <c r="C4364" t="s">
        <v>322</v>
      </c>
      <c r="D4364" t="s">
        <v>35</v>
      </c>
      <c r="E4364" t="s">
        <v>16</v>
      </c>
      <c r="F4364" t="s">
        <v>16</v>
      </c>
      <c r="G4364" t="s">
        <v>37</v>
      </c>
      <c r="H4364" t="s">
        <v>43</v>
      </c>
      <c r="I4364" s="187">
        <v>7074</v>
      </c>
      <c r="J4364" s="187">
        <v>175</v>
      </c>
      <c r="K4364" s="187">
        <v>7143.6054263055803</v>
      </c>
      <c r="L4364" s="187">
        <v>17508</v>
      </c>
      <c r="M4364" s="187">
        <v>31900.60546875</v>
      </c>
      <c r="N4364" s="187">
        <v>24582</v>
      </c>
      <c r="O4364" t="s">
        <v>4824</v>
      </c>
    </row>
    <row r="4365" spans="1:15" hidden="1" x14ac:dyDescent="0.45">
      <c r="A4365" s="187">
        <v>2021</v>
      </c>
      <c r="B4365" t="s">
        <v>317</v>
      </c>
      <c r="C4365" t="s">
        <v>322</v>
      </c>
      <c r="D4365" t="s">
        <v>35</v>
      </c>
      <c r="E4365" t="s">
        <v>16</v>
      </c>
      <c r="F4365" t="s">
        <v>16</v>
      </c>
      <c r="G4365" t="s">
        <v>37</v>
      </c>
      <c r="H4365" t="s">
        <v>43</v>
      </c>
      <c r="I4365" s="187">
        <v>6658</v>
      </c>
      <c r="J4365" s="187">
        <v>194</v>
      </c>
      <c r="K4365" s="187">
        <v>8379.0424921587382</v>
      </c>
      <c r="L4365" s="187">
        <v>15982</v>
      </c>
      <c r="M4365" s="187">
        <v>31213.04296875</v>
      </c>
      <c r="N4365" s="187">
        <v>22640</v>
      </c>
      <c r="O4365" t="s">
        <v>4826</v>
      </c>
    </row>
    <row r="4366" spans="1:15" hidden="1" x14ac:dyDescent="0.45">
      <c r="A4366" s="187">
        <v>2021</v>
      </c>
      <c r="B4366" t="s">
        <v>312</v>
      </c>
      <c r="C4366" t="s">
        <v>322</v>
      </c>
      <c r="D4366" t="s">
        <v>35</v>
      </c>
      <c r="E4366" t="s">
        <v>16</v>
      </c>
      <c r="F4366" t="s">
        <v>16</v>
      </c>
      <c r="G4366" t="s">
        <v>37</v>
      </c>
      <c r="H4366" t="s">
        <v>43</v>
      </c>
      <c r="I4366" s="187">
        <v>4665.5627388707626</v>
      </c>
      <c r="J4366" s="187">
        <v>116</v>
      </c>
      <c r="K4366" s="187">
        <v>4372.2888030076738</v>
      </c>
      <c r="L4366" s="187">
        <v>16119</v>
      </c>
      <c r="M4366" s="187">
        <v>25272.8515625</v>
      </c>
      <c r="N4366" s="187">
        <v>20784.5625</v>
      </c>
      <c r="O4366" t="s">
        <v>4825</v>
      </c>
    </row>
    <row r="4367" spans="1:15" hidden="1" x14ac:dyDescent="0.45">
      <c r="A4367" s="187">
        <v>2021</v>
      </c>
      <c r="B4367" t="s">
        <v>313</v>
      </c>
      <c r="C4367" t="s">
        <v>322</v>
      </c>
      <c r="D4367" t="s">
        <v>35</v>
      </c>
      <c r="E4367" t="s">
        <v>16</v>
      </c>
      <c r="F4367" t="s">
        <v>16</v>
      </c>
      <c r="G4367" t="s">
        <v>37</v>
      </c>
      <c r="H4367" t="s">
        <v>43</v>
      </c>
      <c r="I4367" s="187">
        <v>6399.3173228120459</v>
      </c>
      <c r="J4367" s="187">
        <v>114</v>
      </c>
      <c r="K4367" s="187">
        <v>5314.1120041218619</v>
      </c>
      <c r="L4367" s="187">
        <v>15339</v>
      </c>
      <c r="M4367" s="187">
        <v>27166.4296875</v>
      </c>
      <c r="N4367" s="187">
        <v>21738.31640625</v>
      </c>
      <c r="O4367" t="s">
        <v>4823</v>
      </c>
    </row>
    <row r="4368" spans="1:15" hidden="1" x14ac:dyDescent="0.45">
      <c r="A4368" s="187">
        <v>2021</v>
      </c>
      <c r="B4368" t="s">
        <v>309</v>
      </c>
      <c r="C4368" t="s">
        <v>322</v>
      </c>
      <c r="D4368" t="s">
        <v>35</v>
      </c>
      <c r="E4368" t="s">
        <v>16</v>
      </c>
      <c r="F4368" t="s">
        <v>16</v>
      </c>
      <c r="G4368" t="s">
        <v>37</v>
      </c>
      <c r="H4368" t="s">
        <v>43</v>
      </c>
      <c r="I4368" s="187"/>
      <c r="J4368" s="187">
        <v>108.18689999999999</v>
      </c>
      <c r="K4368" s="187">
        <v>4407.3597976100846</v>
      </c>
      <c r="L4368" s="187">
        <v>12577</v>
      </c>
      <c r="M4368" s="187">
        <v>17092.546875</v>
      </c>
      <c r="N4368" s="187">
        <v>12577</v>
      </c>
      <c r="O4368" t="s">
        <v>4828</v>
      </c>
    </row>
    <row r="4369" spans="1:15" hidden="1" x14ac:dyDescent="0.45">
      <c r="A4369" s="187">
        <v>2021</v>
      </c>
      <c r="B4369" t="s">
        <v>315</v>
      </c>
      <c r="C4369" t="s">
        <v>322</v>
      </c>
      <c r="D4369" t="s">
        <v>35</v>
      </c>
      <c r="E4369" t="s">
        <v>16</v>
      </c>
      <c r="F4369" t="s">
        <v>16</v>
      </c>
      <c r="G4369" t="s">
        <v>37</v>
      </c>
      <c r="H4369" t="s">
        <v>43</v>
      </c>
      <c r="I4369" s="187">
        <v>8418.6778000215527</v>
      </c>
      <c r="J4369" s="187">
        <v>224</v>
      </c>
      <c r="K4369" s="187">
        <v>6932.7351092069666</v>
      </c>
      <c r="L4369" s="187">
        <v>20283</v>
      </c>
      <c r="M4369" s="187">
        <v>35858.4140625</v>
      </c>
      <c r="N4369" s="187">
        <v>28701.677734375</v>
      </c>
      <c r="O4369" t="s">
        <v>4830</v>
      </c>
    </row>
    <row r="4370" spans="1:15" hidden="1" x14ac:dyDescent="0.45">
      <c r="A4370" s="187">
        <v>2021</v>
      </c>
      <c r="B4370" t="s">
        <v>314</v>
      </c>
      <c r="C4370" t="s">
        <v>322</v>
      </c>
      <c r="D4370" t="s">
        <v>35</v>
      </c>
      <c r="E4370" t="s">
        <v>16</v>
      </c>
      <c r="F4370" t="s">
        <v>16</v>
      </c>
      <c r="G4370" t="s">
        <v>37</v>
      </c>
      <c r="H4370" t="s">
        <v>43</v>
      </c>
      <c r="I4370" s="187">
        <v>8589.5769593619916</v>
      </c>
      <c r="J4370" s="187">
        <v>127</v>
      </c>
      <c r="K4370" s="187">
        <v>6289.0569126002356</v>
      </c>
      <c r="L4370" s="187">
        <v>17630</v>
      </c>
      <c r="M4370" s="187">
        <v>32635.6328125</v>
      </c>
      <c r="N4370" s="187">
        <v>26219.578125</v>
      </c>
      <c r="O4370" t="s">
        <v>4827</v>
      </c>
    </row>
    <row r="4371" spans="1:15" hidden="1" x14ac:dyDescent="0.45">
      <c r="A4371" s="187">
        <v>2021</v>
      </c>
      <c r="B4371" t="s">
        <v>311</v>
      </c>
      <c r="C4371" t="s">
        <v>322</v>
      </c>
      <c r="D4371" t="s">
        <v>35</v>
      </c>
      <c r="E4371" t="s">
        <v>16</v>
      </c>
      <c r="F4371" t="s">
        <v>16</v>
      </c>
      <c r="G4371" t="s">
        <v>37</v>
      </c>
      <c r="H4371" t="s">
        <v>43</v>
      </c>
      <c r="I4371" s="187"/>
      <c r="J4371" s="187">
        <v>113</v>
      </c>
      <c r="K4371" s="187">
        <v>4563.9601452532179</v>
      </c>
      <c r="L4371" s="187">
        <v>18592</v>
      </c>
      <c r="M4371" s="187">
        <v>23268.9609375</v>
      </c>
      <c r="N4371" s="187">
        <v>18592</v>
      </c>
      <c r="O4371" t="s">
        <v>4822</v>
      </c>
    </row>
    <row r="4372" spans="1:15" hidden="1" x14ac:dyDescent="0.45">
      <c r="A4372" s="187">
        <v>2021</v>
      </c>
      <c r="B4372" t="s">
        <v>315</v>
      </c>
      <c r="C4372" t="s">
        <v>322</v>
      </c>
      <c r="D4372" t="s">
        <v>35</v>
      </c>
      <c r="E4372" t="s">
        <v>351</v>
      </c>
      <c r="F4372" t="s">
        <v>351</v>
      </c>
      <c r="G4372" t="s">
        <v>37</v>
      </c>
      <c r="H4372" t="s">
        <v>43</v>
      </c>
      <c r="I4372" s="187">
        <v>70.0120697875075</v>
      </c>
      <c r="J4372" s="187">
        <v>0</v>
      </c>
      <c r="K4372" s="187">
        <v>65.808581714619052</v>
      </c>
      <c r="L4372" s="187">
        <v>132</v>
      </c>
      <c r="M4372" s="187">
        <v>267.82064819335938</v>
      </c>
      <c r="N4372" s="187">
        <v>202.01206970214844</v>
      </c>
      <c r="O4372" t="s">
        <v>4838</v>
      </c>
    </row>
    <row r="4373" spans="1:15" hidden="1" x14ac:dyDescent="0.45">
      <c r="A4373" s="187">
        <v>2021</v>
      </c>
      <c r="B4373" t="s">
        <v>316</v>
      </c>
      <c r="C4373" t="s">
        <v>322</v>
      </c>
      <c r="D4373" t="s">
        <v>35</v>
      </c>
      <c r="E4373" t="s">
        <v>351</v>
      </c>
      <c r="F4373" t="s">
        <v>351</v>
      </c>
      <c r="G4373" t="s">
        <v>37</v>
      </c>
      <c r="H4373" t="s">
        <v>43</v>
      </c>
      <c r="I4373" s="187">
        <v>57</v>
      </c>
      <c r="J4373" s="187"/>
      <c r="K4373" s="187">
        <v>65.328034098832845</v>
      </c>
      <c r="L4373" s="187">
        <v>259</v>
      </c>
      <c r="M4373" s="187">
        <v>381.32803344726563</v>
      </c>
      <c r="N4373" s="187">
        <v>316</v>
      </c>
      <c r="O4373" t="s">
        <v>4834</v>
      </c>
    </row>
    <row r="4374" spans="1:15" hidden="1" x14ac:dyDescent="0.45">
      <c r="A4374" s="187">
        <v>2021</v>
      </c>
      <c r="B4374" t="s">
        <v>310</v>
      </c>
      <c r="C4374" t="s">
        <v>322</v>
      </c>
      <c r="D4374" t="s">
        <v>35</v>
      </c>
      <c r="E4374" t="s">
        <v>351</v>
      </c>
      <c r="F4374" t="s">
        <v>351</v>
      </c>
      <c r="G4374" t="s">
        <v>37</v>
      </c>
      <c r="H4374" t="s">
        <v>43</v>
      </c>
      <c r="I4374" s="187"/>
      <c r="J4374" s="187">
        <v>0</v>
      </c>
      <c r="K4374" s="187">
        <v>33.426170081160123</v>
      </c>
      <c r="L4374" s="187">
        <v>231</v>
      </c>
      <c r="M4374" s="187">
        <v>264.42617797851563</v>
      </c>
      <c r="N4374" s="187">
        <v>231</v>
      </c>
      <c r="O4374" t="s">
        <v>4832</v>
      </c>
    </row>
    <row r="4375" spans="1:15" hidden="1" x14ac:dyDescent="0.45">
      <c r="A4375" s="187">
        <v>2021</v>
      </c>
      <c r="B4375" t="s">
        <v>314</v>
      </c>
      <c r="C4375" t="s">
        <v>322</v>
      </c>
      <c r="D4375" t="s">
        <v>35</v>
      </c>
      <c r="E4375" t="s">
        <v>351</v>
      </c>
      <c r="F4375" t="s">
        <v>351</v>
      </c>
      <c r="G4375" t="s">
        <v>37</v>
      </c>
      <c r="H4375" t="s">
        <v>43</v>
      </c>
      <c r="I4375" s="187">
        <v>67.33042515859772</v>
      </c>
      <c r="J4375" s="187">
        <v>0</v>
      </c>
      <c r="K4375" s="187">
        <v>42.432548141142611</v>
      </c>
      <c r="L4375" s="187">
        <v>385</v>
      </c>
      <c r="M4375" s="187">
        <v>494.76296997070313</v>
      </c>
      <c r="N4375" s="187">
        <v>452.33041381835938</v>
      </c>
      <c r="O4375" t="s">
        <v>4836</v>
      </c>
    </row>
    <row r="4376" spans="1:15" hidden="1" x14ac:dyDescent="0.45">
      <c r="A4376" s="187">
        <v>2021</v>
      </c>
      <c r="B4376" t="s">
        <v>309</v>
      </c>
      <c r="C4376" t="s">
        <v>322</v>
      </c>
      <c r="D4376" t="s">
        <v>35</v>
      </c>
      <c r="E4376" t="s">
        <v>351</v>
      </c>
      <c r="F4376" t="s">
        <v>351</v>
      </c>
      <c r="G4376" t="s">
        <v>37</v>
      </c>
      <c r="H4376" t="s">
        <v>43</v>
      </c>
      <c r="I4376" s="187"/>
      <c r="J4376" s="187">
        <v>0</v>
      </c>
      <c r="K4376" s="187">
        <v>202.5665311601864</v>
      </c>
      <c r="L4376" s="187">
        <v>203</v>
      </c>
      <c r="M4376" s="187">
        <v>405.5665283203125</v>
      </c>
      <c r="N4376" s="187">
        <v>203</v>
      </c>
      <c r="O4376" t="s">
        <v>4831</v>
      </c>
    </row>
    <row r="4377" spans="1:15" hidden="1" x14ac:dyDescent="0.45">
      <c r="A4377" s="187">
        <v>2021</v>
      </c>
      <c r="B4377" t="s">
        <v>313</v>
      </c>
      <c r="C4377" t="s">
        <v>322</v>
      </c>
      <c r="D4377" t="s">
        <v>35</v>
      </c>
      <c r="E4377" t="s">
        <v>351</v>
      </c>
      <c r="F4377" t="s">
        <v>351</v>
      </c>
      <c r="G4377" t="s">
        <v>37</v>
      </c>
      <c r="H4377" t="s">
        <v>43</v>
      </c>
      <c r="I4377" s="187">
        <v>54.70100670675393</v>
      </c>
      <c r="J4377" s="187">
        <v>0</v>
      </c>
      <c r="K4377" s="187">
        <v>134.08018041407999</v>
      </c>
      <c r="L4377" s="187">
        <v>358</v>
      </c>
      <c r="M4377" s="187">
        <v>546.78118896484375</v>
      </c>
      <c r="N4377" s="187">
        <v>412.70101928710938</v>
      </c>
      <c r="O4377" t="s">
        <v>4839</v>
      </c>
    </row>
    <row r="4378" spans="1:15" hidden="1" x14ac:dyDescent="0.45">
      <c r="A4378" s="187">
        <v>2021</v>
      </c>
      <c r="B4378" t="s">
        <v>317</v>
      </c>
      <c r="C4378" t="s">
        <v>322</v>
      </c>
      <c r="D4378" t="s">
        <v>35</v>
      </c>
      <c r="E4378" t="s">
        <v>351</v>
      </c>
      <c r="F4378" t="s">
        <v>351</v>
      </c>
      <c r="G4378" t="s">
        <v>37</v>
      </c>
      <c r="H4378" t="s">
        <v>43</v>
      </c>
      <c r="I4378" s="187">
        <v>57.922941756486978</v>
      </c>
      <c r="J4378" s="187"/>
      <c r="K4378" s="187">
        <v>57.6</v>
      </c>
      <c r="L4378" s="187">
        <v>233</v>
      </c>
      <c r="M4378" s="187">
        <v>348.52294921875</v>
      </c>
      <c r="N4378" s="187">
        <v>290.92294311523438</v>
      </c>
      <c r="O4378" t="s">
        <v>4833</v>
      </c>
    </row>
    <row r="4379" spans="1:15" hidden="1" x14ac:dyDescent="0.45">
      <c r="A4379" s="187">
        <v>2021</v>
      </c>
      <c r="B4379" t="s">
        <v>311</v>
      </c>
      <c r="C4379" t="s">
        <v>322</v>
      </c>
      <c r="D4379" t="s">
        <v>35</v>
      </c>
      <c r="E4379" t="s">
        <v>351</v>
      </c>
      <c r="F4379" t="s">
        <v>351</v>
      </c>
      <c r="G4379" t="s">
        <v>37</v>
      </c>
      <c r="H4379" t="s">
        <v>43</v>
      </c>
      <c r="I4379" s="187"/>
      <c r="J4379" s="187">
        <v>0</v>
      </c>
      <c r="K4379" s="187">
        <v>49.501643245492829</v>
      </c>
      <c r="L4379" s="187">
        <v>198</v>
      </c>
      <c r="M4379" s="187">
        <v>247.50164794921875</v>
      </c>
      <c r="N4379" s="187">
        <v>198</v>
      </c>
      <c r="O4379" t="s">
        <v>4837</v>
      </c>
    </row>
    <row r="4380" spans="1:15" hidden="1" x14ac:dyDescent="0.45">
      <c r="A4380" s="187">
        <v>2021</v>
      </c>
      <c r="B4380" t="s">
        <v>312</v>
      </c>
      <c r="C4380" t="s">
        <v>322</v>
      </c>
      <c r="D4380" t="s">
        <v>35</v>
      </c>
      <c r="E4380" t="s">
        <v>351</v>
      </c>
      <c r="F4380" t="s">
        <v>351</v>
      </c>
      <c r="G4380" t="s">
        <v>37</v>
      </c>
      <c r="H4380" t="s">
        <v>43</v>
      </c>
      <c r="I4380" s="187">
        <v>523.48033704778015</v>
      </c>
      <c r="J4380" s="187">
        <v>0</v>
      </c>
      <c r="K4380" s="187">
        <v>53.762996785128458</v>
      </c>
      <c r="L4380" s="187">
        <v>106</v>
      </c>
      <c r="M4380" s="187">
        <v>683.24334716796875</v>
      </c>
      <c r="N4380" s="187">
        <v>629.4803466796875</v>
      </c>
      <c r="O4380" t="s">
        <v>4835</v>
      </c>
    </row>
    <row r="4381" spans="1:15" hidden="1" x14ac:dyDescent="0.45">
      <c r="A4381" s="187">
        <v>2021</v>
      </c>
      <c r="B4381" t="s">
        <v>313</v>
      </c>
      <c r="C4381" t="s">
        <v>322</v>
      </c>
      <c r="D4381" t="s">
        <v>35</v>
      </c>
      <c r="E4381" t="s">
        <v>352</v>
      </c>
      <c r="F4381" t="s">
        <v>361</v>
      </c>
      <c r="G4381" t="s">
        <v>36</v>
      </c>
      <c r="H4381" t="s">
        <v>43</v>
      </c>
      <c r="I4381" s="187"/>
      <c r="J4381" s="187">
        <v>0</v>
      </c>
      <c r="K4381" s="187">
        <v>0</v>
      </c>
      <c r="L4381" s="187"/>
      <c r="M4381" s="187">
        <v>0</v>
      </c>
      <c r="N4381" s="187">
        <v>0</v>
      </c>
      <c r="O4381" t="s">
        <v>4846</v>
      </c>
    </row>
    <row r="4382" spans="1:15" hidden="1" x14ac:dyDescent="0.45">
      <c r="A4382" s="187">
        <v>2021</v>
      </c>
      <c r="B4382" t="s">
        <v>314</v>
      </c>
      <c r="C4382" t="s">
        <v>322</v>
      </c>
      <c r="D4382" t="s">
        <v>35</v>
      </c>
      <c r="E4382" t="s">
        <v>352</v>
      </c>
      <c r="F4382" t="s">
        <v>361</v>
      </c>
      <c r="G4382" t="s">
        <v>36</v>
      </c>
      <c r="H4382" t="s">
        <v>43</v>
      </c>
      <c r="I4382" s="187">
        <v>0</v>
      </c>
      <c r="J4382" s="187">
        <v>0</v>
      </c>
      <c r="K4382" s="187">
        <v>0</v>
      </c>
      <c r="L4382" s="187"/>
      <c r="M4382" s="187">
        <v>0</v>
      </c>
      <c r="N4382" s="187">
        <v>0</v>
      </c>
      <c r="O4382" t="s">
        <v>4845</v>
      </c>
    </row>
    <row r="4383" spans="1:15" hidden="1" x14ac:dyDescent="0.45">
      <c r="A4383" s="187">
        <v>2021</v>
      </c>
      <c r="B4383" t="s">
        <v>317</v>
      </c>
      <c r="C4383" t="s">
        <v>322</v>
      </c>
      <c r="D4383" t="s">
        <v>35</v>
      </c>
      <c r="E4383" t="s">
        <v>352</v>
      </c>
      <c r="F4383" t="s">
        <v>361</v>
      </c>
      <c r="G4383" t="s">
        <v>36</v>
      </c>
      <c r="H4383" t="s">
        <v>43</v>
      </c>
      <c r="I4383" s="187">
        <v>0</v>
      </c>
      <c r="J4383" s="187"/>
      <c r="K4383" s="187">
        <v>0</v>
      </c>
      <c r="L4383" s="187"/>
      <c r="M4383" s="187">
        <v>0</v>
      </c>
      <c r="N4383" s="187">
        <v>0</v>
      </c>
      <c r="O4383" t="s">
        <v>4847</v>
      </c>
    </row>
    <row r="4384" spans="1:15" hidden="1" x14ac:dyDescent="0.45">
      <c r="A4384" s="187">
        <v>2021</v>
      </c>
      <c r="B4384" t="s">
        <v>311</v>
      </c>
      <c r="C4384" t="s">
        <v>322</v>
      </c>
      <c r="D4384" t="s">
        <v>35</v>
      </c>
      <c r="E4384" t="s">
        <v>352</v>
      </c>
      <c r="F4384" t="s">
        <v>361</v>
      </c>
      <c r="G4384" t="s">
        <v>36</v>
      </c>
      <c r="H4384" t="s">
        <v>43</v>
      </c>
      <c r="I4384" s="187"/>
      <c r="J4384" s="187">
        <v>0</v>
      </c>
      <c r="K4384" s="187">
        <v>0</v>
      </c>
      <c r="L4384" s="187"/>
      <c r="M4384" s="187">
        <v>0</v>
      </c>
      <c r="N4384" s="187">
        <v>0</v>
      </c>
      <c r="O4384" t="s">
        <v>4844</v>
      </c>
    </row>
    <row r="4385" spans="1:15" hidden="1" x14ac:dyDescent="0.45">
      <c r="A4385" s="187">
        <v>2021</v>
      </c>
      <c r="B4385" t="s">
        <v>312</v>
      </c>
      <c r="C4385" t="s">
        <v>322</v>
      </c>
      <c r="D4385" t="s">
        <v>35</v>
      </c>
      <c r="E4385" t="s">
        <v>352</v>
      </c>
      <c r="F4385" t="s">
        <v>361</v>
      </c>
      <c r="G4385" t="s">
        <v>36</v>
      </c>
      <c r="H4385" t="s">
        <v>43</v>
      </c>
      <c r="I4385" s="187"/>
      <c r="J4385" s="187">
        <v>0</v>
      </c>
      <c r="K4385" s="187">
        <v>0</v>
      </c>
      <c r="L4385" s="187"/>
      <c r="M4385" s="187">
        <v>0</v>
      </c>
      <c r="N4385" s="187">
        <v>0</v>
      </c>
      <c r="O4385" t="s">
        <v>4842</v>
      </c>
    </row>
    <row r="4386" spans="1:15" hidden="1" x14ac:dyDescent="0.45">
      <c r="A4386" s="187">
        <v>2021</v>
      </c>
      <c r="B4386" t="s">
        <v>315</v>
      </c>
      <c r="C4386" t="s">
        <v>322</v>
      </c>
      <c r="D4386" t="s">
        <v>35</v>
      </c>
      <c r="E4386" t="s">
        <v>352</v>
      </c>
      <c r="F4386" t="s">
        <v>361</v>
      </c>
      <c r="G4386" t="s">
        <v>36</v>
      </c>
      <c r="H4386" t="s">
        <v>43</v>
      </c>
      <c r="I4386" s="187">
        <v>0</v>
      </c>
      <c r="J4386" s="187">
        <v>0</v>
      </c>
      <c r="K4386" s="187">
        <v>0</v>
      </c>
      <c r="L4386" s="187"/>
      <c r="M4386" s="187">
        <v>0</v>
      </c>
      <c r="N4386" s="187">
        <v>0</v>
      </c>
      <c r="O4386" t="s">
        <v>4840</v>
      </c>
    </row>
    <row r="4387" spans="1:15" hidden="1" x14ac:dyDescent="0.45">
      <c r="A4387" s="187">
        <v>2021</v>
      </c>
      <c r="B4387" t="s">
        <v>310</v>
      </c>
      <c r="C4387" t="s">
        <v>322</v>
      </c>
      <c r="D4387" t="s">
        <v>35</v>
      </c>
      <c r="E4387" t="s">
        <v>352</v>
      </c>
      <c r="F4387" t="s">
        <v>361</v>
      </c>
      <c r="G4387" t="s">
        <v>36</v>
      </c>
      <c r="H4387" t="s">
        <v>43</v>
      </c>
      <c r="I4387" s="187"/>
      <c r="J4387" s="187">
        <v>0</v>
      </c>
      <c r="K4387" s="187">
        <v>0</v>
      </c>
      <c r="L4387" s="187"/>
      <c r="M4387" s="187">
        <v>0</v>
      </c>
      <c r="N4387" s="187">
        <v>0</v>
      </c>
      <c r="O4387" t="s">
        <v>4848</v>
      </c>
    </row>
    <row r="4388" spans="1:15" hidden="1" x14ac:dyDescent="0.45">
      <c r="A4388" s="187">
        <v>2021</v>
      </c>
      <c r="B4388" t="s">
        <v>316</v>
      </c>
      <c r="C4388" t="s">
        <v>322</v>
      </c>
      <c r="D4388" t="s">
        <v>35</v>
      </c>
      <c r="E4388" t="s">
        <v>352</v>
      </c>
      <c r="F4388" t="s">
        <v>361</v>
      </c>
      <c r="G4388" t="s">
        <v>36</v>
      </c>
      <c r="H4388" t="s">
        <v>43</v>
      </c>
      <c r="I4388" s="187">
        <v>0</v>
      </c>
      <c r="J4388" s="187"/>
      <c r="K4388" s="187">
        <v>0</v>
      </c>
      <c r="L4388" s="187"/>
      <c r="M4388" s="187">
        <v>0</v>
      </c>
      <c r="N4388" s="187">
        <v>0</v>
      </c>
      <c r="O4388" t="s">
        <v>4843</v>
      </c>
    </row>
    <row r="4389" spans="1:15" hidden="1" x14ac:dyDescent="0.45">
      <c r="A4389" s="187">
        <v>2021</v>
      </c>
      <c r="B4389" t="s">
        <v>309</v>
      </c>
      <c r="C4389" t="s">
        <v>322</v>
      </c>
      <c r="D4389" t="s">
        <v>35</v>
      </c>
      <c r="E4389" t="s">
        <v>352</v>
      </c>
      <c r="F4389" t="s">
        <v>361</v>
      </c>
      <c r="G4389" t="s">
        <v>36</v>
      </c>
      <c r="H4389" t="s">
        <v>43</v>
      </c>
      <c r="I4389" s="187"/>
      <c r="J4389" s="187">
        <v>0</v>
      </c>
      <c r="K4389" s="187">
        <v>0</v>
      </c>
      <c r="L4389" s="187">
        <v>0</v>
      </c>
      <c r="M4389" s="187">
        <v>0</v>
      </c>
      <c r="N4389" s="187">
        <v>0</v>
      </c>
      <c r="O4389" t="s">
        <v>4841</v>
      </c>
    </row>
    <row r="4390" spans="1:15" hidden="1" x14ac:dyDescent="0.45">
      <c r="A4390" s="187">
        <v>2021</v>
      </c>
      <c r="B4390" t="s">
        <v>309</v>
      </c>
      <c r="C4390" t="s">
        <v>322</v>
      </c>
      <c r="D4390" t="s">
        <v>35</v>
      </c>
      <c r="E4390" t="s">
        <v>353</v>
      </c>
      <c r="F4390" t="s">
        <v>383</v>
      </c>
      <c r="G4390" t="s">
        <v>36</v>
      </c>
      <c r="H4390" t="s">
        <v>43</v>
      </c>
      <c r="I4390" s="187"/>
      <c r="J4390" s="187">
        <v>862.36998608770898</v>
      </c>
      <c r="K4390" s="187">
        <v>15724.966771208161</v>
      </c>
      <c r="L4390" s="187">
        <v>28176.051619179063</v>
      </c>
      <c r="M4390" s="187">
        <v>44763.38671875</v>
      </c>
      <c r="N4390" s="187">
        <v>28176.05078125</v>
      </c>
      <c r="O4390" t="s">
        <v>4851</v>
      </c>
    </row>
    <row r="4391" spans="1:15" hidden="1" x14ac:dyDescent="0.45">
      <c r="A4391" s="187">
        <v>2021</v>
      </c>
      <c r="B4391" t="s">
        <v>312</v>
      </c>
      <c r="C4391" t="s">
        <v>322</v>
      </c>
      <c r="D4391" t="s">
        <v>35</v>
      </c>
      <c r="E4391" t="s">
        <v>353</v>
      </c>
      <c r="F4391" t="s">
        <v>383</v>
      </c>
      <c r="G4391" t="s">
        <v>36</v>
      </c>
      <c r="H4391" t="s">
        <v>43</v>
      </c>
      <c r="I4391" s="187">
        <v>14242.451437824895</v>
      </c>
      <c r="J4391" s="187">
        <v>995.44225994243891</v>
      </c>
      <c r="K4391" s="187">
        <v>16467.131808365099</v>
      </c>
      <c r="L4391" s="187">
        <v>24978.799566257472</v>
      </c>
      <c r="M4391" s="187">
        <v>56683.82421875</v>
      </c>
      <c r="N4391" s="187">
        <v>39221.25</v>
      </c>
      <c r="O4391" t="s">
        <v>4857</v>
      </c>
    </row>
    <row r="4392" spans="1:15" hidden="1" x14ac:dyDescent="0.45">
      <c r="A4392" s="187">
        <v>2021</v>
      </c>
      <c r="B4392" t="s">
        <v>313</v>
      </c>
      <c r="C4392" t="s">
        <v>322</v>
      </c>
      <c r="D4392" t="s">
        <v>35</v>
      </c>
      <c r="E4392" t="s">
        <v>353</v>
      </c>
      <c r="F4392" t="s">
        <v>383</v>
      </c>
      <c r="G4392" t="s">
        <v>36</v>
      </c>
      <c r="H4392" t="s">
        <v>43</v>
      </c>
      <c r="I4392" s="187">
        <v>15919.005403813886</v>
      </c>
      <c r="J4392" s="187">
        <v>862.48214966308524</v>
      </c>
      <c r="K4392" s="187">
        <v>14250.084634030483</v>
      </c>
      <c r="L4392" s="187">
        <v>24531.039538585086</v>
      </c>
      <c r="M4392" s="187">
        <v>55562.61328125</v>
      </c>
      <c r="N4392" s="187">
        <v>40450.046875</v>
      </c>
      <c r="O4392" t="s">
        <v>4852</v>
      </c>
    </row>
    <row r="4393" spans="1:15" hidden="1" x14ac:dyDescent="0.45">
      <c r="A4393" s="187">
        <v>2021</v>
      </c>
      <c r="B4393" t="s">
        <v>311</v>
      </c>
      <c r="C4393" t="s">
        <v>322</v>
      </c>
      <c r="D4393" t="s">
        <v>35</v>
      </c>
      <c r="E4393" t="s">
        <v>353</v>
      </c>
      <c r="F4393" t="s">
        <v>383</v>
      </c>
      <c r="G4393" t="s">
        <v>36</v>
      </c>
      <c r="H4393" t="s">
        <v>43</v>
      </c>
      <c r="I4393" s="187"/>
      <c r="J4393" s="187">
        <v>1007.4823568974531</v>
      </c>
      <c r="K4393" s="187">
        <v>17509.863563068848</v>
      </c>
      <c r="L4393" s="187">
        <v>36614.969555547817</v>
      </c>
      <c r="M4393" s="187">
        <v>55132.31640625</v>
      </c>
      <c r="N4393" s="187">
        <v>36614.96875</v>
      </c>
      <c r="O4393" t="s">
        <v>4849</v>
      </c>
    </row>
    <row r="4394" spans="1:15" hidden="1" x14ac:dyDescent="0.45">
      <c r="A4394" s="187">
        <v>2021</v>
      </c>
      <c r="B4394" t="s">
        <v>315</v>
      </c>
      <c r="C4394" t="s">
        <v>322</v>
      </c>
      <c r="D4394" t="s">
        <v>35</v>
      </c>
      <c r="E4394" t="s">
        <v>353</v>
      </c>
      <c r="F4394" t="s">
        <v>383</v>
      </c>
      <c r="G4394" t="s">
        <v>36</v>
      </c>
      <c r="H4394" t="s">
        <v>43</v>
      </c>
      <c r="I4394" s="187">
        <v>18951.90942016285</v>
      </c>
      <c r="J4394" s="187">
        <v>860.92605150060137</v>
      </c>
      <c r="K4394" s="187">
        <v>17693.642867133032</v>
      </c>
      <c r="L4394" s="187">
        <v>33782.285141909124</v>
      </c>
      <c r="M4394" s="187">
        <v>71288.765625</v>
      </c>
      <c r="N4394" s="187">
        <v>52734.1953125</v>
      </c>
      <c r="O4394" t="s">
        <v>4850</v>
      </c>
    </row>
    <row r="4395" spans="1:15" hidden="1" x14ac:dyDescent="0.45">
      <c r="A4395" s="187">
        <v>2021</v>
      </c>
      <c r="B4395" t="s">
        <v>316</v>
      </c>
      <c r="C4395" t="s">
        <v>322</v>
      </c>
      <c r="D4395" t="s">
        <v>35</v>
      </c>
      <c r="E4395" t="s">
        <v>353</v>
      </c>
      <c r="F4395" t="s">
        <v>383</v>
      </c>
      <c r="G4395" t="s">
        <v>36</v>
      </c>
      <c r="H4395" t="s">
        <v>43</v>
      </c>
      <c r="I4395" s="187">
        <v>15586.749142088831</v>
      </c>
      <c r="J4395" s="187">
        <v>993.01570822202348</v>
      </c>
      <c r="K4395" s="187">
        <v>17528.122368182263</v>
      </c>
      <c r="L4395" s="187">
        <v>31159.027641165572</v>
      </c>
      <c r="M4395" s="187">
        <v>65266.9140625</v>
      </c>
      <c r="N4395" s="187">
        <v>46745.77734375</v>
      </c>
      <c r="O4395" t="s">
        <v>4853</v>
      </c>
    </row>
    <row r="4396" spans="1:15" hidden="1" x14ac:dyDescent="0.45">
      <c r="A4396" s="187">
        <v>2021</v>
      </c>
      <c r="B4396" t="s">
        <v>314</v>
      </c>
      <c r="C4396" t="s">
        <v>322</v>
      </c>
      <c r="D4396" t="s">
        <v>35</v>
      </c>
      <c r="E4396" t="s">
        <v>353</v>
      </c>
      <c r="F4396" t="s">
        <v>383</v>
      </c>
      <c r="G4396" t="s">
        <v>36</v>
      </c>
      <c r="H4396" t="s">
        <v>43</v>
      </c>
      <c r="I4396" s="187">
        <v>18433.501163504086</v>
      </c>
      <c r="J4396" s="187">
        <v>832.84677268571329</v>
      </c>
      <c r="K4396" s="187">
        <v>16399.495207517026</v>
      </c>
      <c r="L4396" s="187">
        <v>25872.996524328762</v>
      </c>
      <c r="M4396" s="187">
        <v>61538.83984375</v>
      </c>
      <c r="N4396" s="187">
        <v>44306.5</v>
      </c>
      <c r="O4396" t="s">
        <v>4854</v>
      </c>
    </row>
    <row r="4397" spans="1:15" hidden="1" x14ac:dyDescent="0.45">
      <c r="A4397" s="187">
        <v>2021</v>
      </c>
      <c r="B4397" t="s">
        <v>310</v>
      </c>
      <c r="C4397" t="s">
        <v>322</v>
      </c>
      <c r="D4397" t="s">
        <v>35</v>
      </c>
      <c r="E4397" t="s">
        <v>353</v>
      </c>
      <c r="F4397" t="s">
        <v>383</v>
      </c>
      <c r="G4397" t="s">
        <v>36</v>
      </c>
      <c r="H4397" t="s">
        <v>43</v>
      </c>
      <c r="I4397" s="187"/>
      <c r="J4397" s="187">
        <v>810.7869108940464</v>
      </c>
      <c r="K4397" s="187">
        <v>15511.238098259724</v>
      </c>
      <c r="L4397" s="187">
        <v>37119.655589883077</v>
      </c>
      <c r="M4397" s="187">
        <v>53441.6796875</v>
      </c>
      <c r="N4397" s="187">
        <v>37119.65625</v>
      </c>
      <c r="O4397" t="s">
        <v>4855</v>
      </c>
    </row>
    <row r="4398" spans="1:15" hidden="1" x14ac:dyDescent="0.45">
      <c r="A4398" s="187">
        <v>2021</v>
      </c>
      <c r="B4398" t="s">
        <v>317</v>
      </c>
      <c r="C4398" t="s">
        <v>322</v>
      </c>
      <c r="D4398" t="s">
        <v>35</v>
      </c>
      <c r="E4398" t="s">
        <v>353</v>
      </c>
      <c r="F4398" t="s">
        <v>383</v>
      </c>
      <c r="G4398" t="s">
        <v>36</v>
      </c>
      <c r="H4398" t="s">
        <v>43</v>
      </c>
      <c r="I4398" s="187">
        <v>15005.952566568214</v>
      </c>
      <c r="J4398" s="187">
        <v>889.90729120752439</v>
      </c>
      <c r="K4398" s="187">
        <v>19316.261838336417</v>
      </c>
      <c r="L4398" s="187">
        <v>28196.965361038801</v>
      </c>
      <c r="M4398" s="187">
        <v>63409.0859375</v>
      </c>
      <c r="N4398" s="187">
        <v>43202.91796875</v>
      </c>
      <c r="O4398" t="s">
        <v>4856</v>
      </c>
    </row>
    <row r="4399" spans="1:15" hidden="1" x14ac:dyDescent="0.45">
      <c r="A4399" s="187">
        <v>2021</v>
      </c>
      <c r="B4399" t="s">
        <v>312</v>
      </c>
      <c r="C4399" t="s">
        <v>322</v>
      </c>
      <c r="D4399" t="s">
        <v>35</v>
      </c>
      <c r="E4399" t="s">
        <v>353</v>
      </c>
      <c r="F4399" t="s">
        <v>383</v>
      </c>
      <c r="G4399" t="s">
        <v>37</v>
      </c>
      <c r="H4399" t="s">
        <v>43</v>
      </c>
      <c r="I4399" s="187">
        <v>12503.61896227429</v>
      </c>
      <c r="J4399" s="187">
        <v>889</v>
      </c>
      <c r="K4399" s="187">
        <v>14657.409297845061</v>
      </c>
      <c r="L4399" s="187">
        <v>22225</v>
      </c>
      <c r="M4399" s="187">
        <v>50275.03125</v>
      </c>
      <c r="N4399" s="187">
        <v>34728.6171875</v>
      </c>
      <c r="O4399" t="s">
        <v>4864</v>
      </c>
    </row>
    <row r="4400" spans="1:15" hidden="1" x14ac:dyDescent="0.45">
      <c r="A4400" s="187">
        <v>2021</v>
      </c>
      <c r="B4400" t="s">
        <v>315</v>
      </c>
      <c r="C4400" t="s">
        <v>322</v>
      </c>
      <c r="D4400" t="s">
        <v>35</v>
      </c>
      <c r="E4400" t="s">
        <v>353</v>
      </c>
      <c r="F4400" t="s">
        <v>383</v>
      </c>
      <c r="G4400" t="s">
        <v>37</v>
      </c>
      <c r="H4400" t="s">
        <v>43</v>
      </c>
      <c r="I4400" s="187">
        <v>17409.496446421559</v>
      </c>
      <c r="J4400" s="187">
        <v>775</v>
      </c>
      <c r="K4400" s="187">
        <v>16207.89248884783</v>
      </c>
      <c r="L4400" s="187">
        <v>31028</v>
      </c>
      <c r="M4400" s="187">
        <v>65420.38671875</v>
      </c>
      <c r="N4400" s="187">
        <v>48437.49609375</v>
      </c>
      <c r="O4400" t="s">
        <v>4862</v>
      </c>
    </row>
    <row r="4401" spans="1:15" hidden="1" x14ac:dyDescent="0.45">
      <c r="A4401" s="187">
        <v>2021</v>
      </c>
      <c r="B4401" t="s">
        <v>316</v>
      </c>
      <c r="C4401" t="s">
        <v>322</v>
      </c>
      <c r="D4401" t="s">
        <v>35</v>
      </c>
      <c r="E4401" t="s">
        <v>353</v>
      </c>
      <c r="F4401" t="s">
        <v>383</v>
      </c>
      <c r="G4401" t="s">
        <v>37</v>
      </c>
      <c r="H4401" t="s">
        <v>43</v>
      </c>
      <c r="I4401" s="187">
        <v>14436</v>
      </c>
      <c r="J4401" s="187">
        <v>901.55</v>
      </c>
      <c r="K4401" s="187">
        <v>16089.539169424979</v>
      </c>
      <c r="L4401" s="187">
        <v>29086</v>
      </c>
      <c r="M4401" s="187">
        <v>60513.08984375</v>
      </c>
      <c r="N4401" s="187">
        <v>43522</v>
      </c>
      <c r="O4401" t="s">
        <v>4865</v>
      </c>
    </row>
    <row r="4402" spans="1:15" hidden="1" x14ac:dyDescent="0.45">
      <c r="A4402" s="187">
        <v>2021</v>
      </c>
      <c r="B4402" t="s">
        <v>313</v>
      </c>
      <c r="C4402" t="s">
        <v>322</v>
      </c>
      <c r="D4402" t="s">
        <v>35</v>
      </c>
      <c r="E4402" t="s">
        <v>353</v>
      </c>
      <c r="F4402" t="s">
        <v>383</v>
      </c>
      <c r="G4402" t="s">
        <v>37</v>
      </c>
      <c r="H4402" t="s">
        <v>43</v>
      </c>
      <c r="I4402" s="187">
        <v>14355.00758140371</v>
      </c>
      <c r="J4402" s="187">
        <v>779</v>
      </c>
      <c r="K4402" s="187">
        <v>12818.98565075578</v>
      </c>
      <c r="L4402" s="187">
        <v>22200.82597459872</v>
      </c>
      <c r="M4402" s="187">
        <v>50153.8203125</v>
      </c>
      <c r="N4402" s="187">
        <v>36555.83203125</v>
      </c>
      <c r="O4402" t="s">
        <v>4863</v>
      </c>
    </row>
    <row r="4403" spans="1:15" hidden="1" x14ac:dyDescent="0.45">
      <c r="A4403" s="187">
        <v>2021</v>
      </c>
      <c r="B4403" t="s">
        <v>317</v>
      </c>
      <c r="C4403" t="s">
        <v>322</v>
      </c>
      <c r="D4403" t="s">
        <v>35</v>
      </c>
      <c r="E4403" t="s">
        <v>353</v>
      </c>
      <c r="F4403" t="s">
        <v>383</v>
      </c>
      <c r="G4403" t="s">
        <v>37</v>
      </c>
      <c r="H4403" t="s">
        <v>43</v>
      </c>
      <c r="I4403" s="187">
        <v>13888</v>
      </c>
      <c r="J4403" s="187">
        <v>823.6</v>
      </c>
      <c r="K4403" s="187">
        <v>17877.000680000001</v>
      </c>
      <c r="L4403" s="187">
        <v>26129</v>
      </c>
      <c r="M4403" s="187">
        <v>58717.6015625</v>
      </c>
      <c r="N4403" s="187">
        <v>40017</v>
      </c>
      <c r="O4403" t="s">
        <v>4860</v>
      </c>
    </row>
    <row r="4404" spans="1:15" hidden="1" x14ac:dyDescent="0.45">
      <c r="A4404" s="187">
        <v>2021</v>
      </c>
      <c r="B4404" t="s">
        <v>311</v>
      </c>
      <c r="C4404" t="s">
        <v>322</v>
      </c>
      <c r="D4404" t="s">
        <v>35</v>
      </c>
      <c r="E4404" t="s">
        <v>353</v>
      </c>
      <c r="F4404" t="s">
        <v>383</v>
      </c>
      <c r="G4404" t="s">
        <v>37</v>
      </c>
      <c r="H4404" t="s">
        <v>43</v>
      </c>
      <c r="I4404" s="187"/>
      <c r="J4404" s="187">
        <v>891</v>
      </c>
      <c r="K4404" s="187">
        <v>15349.412183235259</v>
      </c>
      <c r="L4404" s="187">
        <v>33669</v>
      </c>
      <c r="M4404" s="187">
        <v>49909.4140625</v>
      </c>
      <c r="N4404" s="187">
        <v>33669</v>
      </c>
      <c r="O4404" t="s">
        <v>4859</v>
      </c>
    </row>
    <row r="4405" spans="1:15" hidden="1" x14ac:dyDescent="0.45">
      <c r="A4405" s="187">
        <v>2021</v>
      </c>
      <c r="B4405" t="s">
        <v>310</v>
      </c>
      <c r="C4405" t="s">
        <v>322</v>
      </c>
      <c r="D4405" t="s">
        <v>35</v>
      </c>
      <c r="E4405" t="s">
        <v>353</v>
      </c>
      <c r="F4405" t="s">
        <v>383</v>
      </c>
      <c r="G4405" t="s">
        <v>37</v>
      </c>
      <c r="H4405" t="s">
        <v>43</v>
      </c>
      <c r="I4405" s="187"/>
      <c r="J4405" s="187">
        <v>714</v>
      </c>
      <c r="K4405" s="187">
        <v>13679.38990578941</v>
      </c>
      <c r="L4405" s="187">
        <v>34086</v>
      </c>
      <c r="M4405" s="187">
        <v>48479.390625</v>
      </c>
      <c r="N4405" s="187">
        <v>34086</v>
      </c>
      <c r="O4405" t="s">
        <v>4858</v>
      </c>
    </row>
    <row r="4406" spans="1:15" hidden="1" x14ac:dyDescent="0.45">
      <c r="A4406" s="187">
        <v>2021</v>
      </c>
      <c r="B4406" t="s">
        <v>309</v>
      </c>
      <c r="C4406" t="s">
        <v>322</v>
      </c>
      <c r="D4406" t="s">
        <v>35</v>
      </c>
      <c r="E4406" t="s">
        <v>353</v>
      </c>
      <c r="F4406" t="s">
        <v>383</v>
      </c>
      <c r="G4406" t="s">
        <v>37</v>
      </c>
      <c r="H4406" t="s">
        <v>43</v>
      </c>
      <c r="I4406" s="187"/>
      <c r="J4406" s="187">
        <v>757.30830000000003</v>
      </c>
      <c r="K4406" s="187">
        <v>14180.152162599719</v>
      </c>
      <c r="L4406" s="187">
        <v>26574</v>
      </c>
      <c r="M4406" s="187">
        <v>41511.4609375</v>
      </c>
      <c r="N4406" s="187">
        <v>26574</v>
      </c>
      <c r="O4406" t="s">
        <v>4861</v>
      </c>
    </row>
    <row r="4407" spans="1:15" hidden="1" x14ac:dyDescent="0.45">
      <c r="A4407" s="187">
        <v>2021</v>
      </c>
      <c r="B4407" t="s">
        <v>314</v>
      </c>
      <c r="C4407" t="s">
        <v>322</v>
      </c>
      <c r="D4407" t="s">
        <v>35</v>
      </c>
      <c r="E4407" t="s">
        <v>353</v>
      </c>
      <c r="F4407" t="s">
        <v>383</v>
      </c>
      <c r="G4407" t="s">
        <v>37</v>
      </c>
      <c r="H4407" t="s">
        <v>43</v>
      </c>
      <c r="I4407" s="187">
        <v>16802.045138664202</v>
      </c>
      <c r="J4407" s="187">
        <v>758</v>
      </c>
      <c r="K4407" s="187">
        <v>14968.28542371704</v>
      </c>
      <c r="L4407" s="187">
        <v>24547</v>
      </c>
      <c r="M4407" s="187">
        <v>57075.328125</v>
      </c>
      <c r="N4407" s="187">
        <v>41349.046875</v>
      </c>
      <c r="O4407" t="s">
        <v>4866</v>
      </c>
    </row>
    <row r="4408" spans="1:15" hidden="1" x14ac:dyDescent="0.45">
      <c r="A4408" s="187">
        <v>2021</v>
      </c>
      <c r="B4408" t="s">
        <v>311</v>
      </c>
      <c r="C4408" t="s">
        <v>322</v>
      </c>
      <c r="D4408" t="s">
        <v>35</v>
      </c>
      <c r="E4408" t="s">
        <v>38</v>
      </c>
      <c r="F4408" t="s">
        <v>38</v>
      </c>
      <c r="G4408" t="s">
        <v>36</v>
      </c>
      <c r="H4408" t="s">
        <v>43</v>
      </c>
      <c r="I4408" s="187"/>
      <c r="J4408" s="187">
        <v>184.91764778497557</v>
      </c>
      <c r="K4408" s="187">
        <v>1313.8652080619563</v>
      </c>
      <c r="L4408" s="187">
        <v>2406.4800094499924</v>
      </c>
      <c r="M4408" s="187">
        <v>3905.262939453125</v>
      </c>
      <c r="N4408" s="187">
        <v>2406.47998046875</v>
      </c>
      <c r="O4408" t="s">
        <v>4868</v>
      </c>
    </row>
    <row r="4409" spans="1:15" hidden="1" x14ac:dyDescent="0.45">
      <c r="A4409" s="187">
        <v>2021</v>
      </c>
      <c r="B4409" t="s">
        <v>317</v>
      </c>
      <c r="C4409" t="s">
        <v>322</v>
      </c>
      <c r="D4409" t="s">
        <v>35</v>
      </c>
      <c r="E4409" t="s">
        <v>38</v>
      </c>
      <c r="F4409" t="s">
        <v>38</v>
      </c>
      <c r="G4409" t="s">
        <v>36</v>
      </c>
      <c r="H4409" t="s">
        <v>43</v>
      </c>
      <c r="I4409" s="187">
        <v>540.25454784332464</v>
      </c>
      <c r="J4409" s="187">
        <v>62.669527549825659</v>
      </c>
      <c r="K4409" s="187">
        <v>2879.5894081972187</v>
      </c>
      <c r="L4409" s="187">
        <v>1542.9669886405352</v>
      </c>
      <c r="M4409" s="187">
        <v>5025.48046875</v>
      </c>
      <c r="N4409" s="187">
        <v>2083.2216796875</v>
      </c>
      <c r="O4409" t="s">
        <v>4867</v>
      </c>
    </row>
    <row r="4410" spans="1:15" hidden="1" x14ac:dyDescent="0.45">
      <c r="A4410" s="187">
        <v>2021</v>
      </c>
      <c r="B4410" t="s">
        <v>315</v>
      </c>
      <c r="C4410" t="s">
        <v>322</v>
      </c>
      <c r="D4410" t="s">
        <v>35</v>
      </c>
      <c r="E4410" t="s">
        <v>38</v>
      </c>
      <c r="F4410" t="s">
        <v>38</v>
      </c>
      <c r="G4410" t="s">
        <v>36</v>
      </c>
      <c r="H4410" t="s">
        <v>43</v>
      </c>
      <c r="I4410" s="187">
        <v>509.42580383701244</v>
      </c>
      <c r="J4410" s="187">
        <v>101.95176925665017</v>
      </c>
      <c r="K4410" s="187">
        <v>2562.4345927661948</v>
      </c>
      <c r="L4410" s="187">
        <v>1926.8884389506882</v>
      </c>
      <c r="M4410" s="187">
        <v>5100.70068359375</v>
      </c>
      <c r="N4410" s="187">
        <v>2436.314208984375</v>
      </c>
      <c r="O4410" t="s">
        <v>4870</v>
      </c>
    </row>
    <row r="4411" spans="1:15" hidden="1" x14ac:dyDescent="0.45">
      <c r="A4411" s="187">
        <v>2021</v>
      </c>
      <c r="B4411" t="s">
        <v>310</v>
      </c>
      <c r="C4411" t="s">
        <v>322</v>
      </c>
      <c r="D4411" t="s">
        <v>35</v>
      </c>
      <c r="E4411" t="s">
        <v>38</v>
      </c>
      <c r="F4411" t="s">
        <v>38</v>
      </c>
      <c r="G4411" t="s">
        <v>36</v>
      </c>
      <c r="H4411" t="s">
        <v>43</v>
      </c>
      <c r="I4411" s="187"/>
      <c r="J4411" s="187">
        <v>143.84929064249212</v>
      </c>
      <c r="K4411" s="187">
        <v>1314.3403380850243</v>
      </c>
      <c r="L4411" s="187">
        <v>1111.5627004192572</v>
      </c>
      <c r="M4411" s="187">
        <v>2569.752197265625</v>
      </c>
      <c r="N4411" s="187">
        <v>1111.562744140625</v>
      </c>
      <c r="O4411" t="s">
        <v>4871</v>
      </c>
    </row>
    <row r="4412" spans="1:15" hidden="1" x14ac:dyDescent="0.45">
      <c r="A4412" s="187">
        <v>2021</v>
      </c>
      <c r="B4412" t="s">
        <v>312</v>
      </c>
      <c r="C4412" t="s">
        <v>322</v>
      </c>
      <c r="D4412" t="s">
        <v>35</v>
      </c>
      <c r="E4412" t="s">
        <v>38</v>
      </c>
      <c r="F4412" t="s">
        <v>38</v>
      </c>
      <c r="G4412" t="s">
        <v>36</v>
      </c>
      <c r="H4412" t="s">
        <v>43</v>
      </c>
      <c r="I4412" s="187">
        <v>753.87500980048196</v>
      </c>
      <c r="J4412" s="187">
        <v>80.377325336967118</v>
      </c>
      <c r="K4412" s="187">
        <v>1288.8979707904175</v>
      </c>
      <c r="L4412" s="187">
        <v>2094.7567557049583</v>
      </c>
      <c r="M4412" s="187">
        <v>4217.9072265625</v>
      </c>
      <c r="N4412" s="187">
        <v>2848.6318359375</v>
      </c>
      <c r="O4412" t="s">
        <v>4875</v>
      </c>
    </row>
    <row r="4413" spans="1:15" hidden="1" x14ac:dyDescent="0.45">
      <c r="A4413" s="187">
        <v>2021</v>
      </c>
      <c r="B4413" t="s">
        <v>316</v>
      </c>
      <c r="C4413" t="s">
        <v>322</v>
      </c>
      <c r="D4413" t="s">
        <v>35</v>
      </c>
      <c r="E4413" t="s">
        <v>38</v>
      </c>
      <c r="F4413" t="s">
        <v>38</v>
      </c>
      <c r="G4413" t="s">
        <v>36</v>
      </c>
      <c r="H4413" t="s">
        <v>43</v>
      </c>
      <c r="I4413" s="187">
        <v>525.12692920028337</v>
      </c>
      <c r="J4413" s="187">
        <v>230.42414304259032</v>
      </c>
      <c r="K4413" s="187">
        <v>2580.9189321186436</v>
      </c>
      <c r="L4413" s="187">
        <v>2036.5881476374261</v>
      </c>
      <c r="M4413" s="187">
        <v>5373.05810546875</v>
      </c>
      <c r="N4413" s="187">
        <v>2561.715087890625</v>
      </c>
      <c r="O4413" t="s">
        <v>4869</v>
      </c>
    </row>
    <row r="4414" spans="1:15" hidden="1" x14ac:dyDescent="0.45">
      <c r="A4414" s="187">
        <v>2021</v>
      </c>
      <c r="B4414" t="s">
        <v>313</v>
      </c>
      <c r="C4414" t="s">
        <v>322</v>
      </c>
      <c r="D4414" t="s">
        <v>35</v>
      </c>
      <c r="E4414" t="s">
        <v>38</v>
      </c>
      <c r="F4414" t="s">
        <v>38</v>
      </c>
      <c r="G4414" t="s">
        <v>36</v>
      </c>
      <c r="H4414" t="s">
        <v>43</v>
      </c>
      <c r="I4414" s="187">
        <v>730.29238552472304</v>
      </c>
      <c r="J4414" s="187">
        <v>89.841890589904708</v>
      </c>
      <c r="K4414" s="187">
        <v>2267.9164152297685</v>
      </c>
      <c r="L4414" s="187">
        <v>1965.740566107115</v>
      </c>
      <c r="M4414" s="187">
        <v>5053.79150390625</v>
      </c>
      <c r="N4414" s="187">
        <v>2696.032958984375</v>
      </c>
      <c r="O4414" t="s">
        <v>4874</v>
      </c>
    </row>
    <row r="4415" spans="1:15" hidden="1" x14ac:dyDescent="0.45">
      <c r="A4415" s="187">
        <v>2021</v>
      </c>
      <c r="B4415" t="s">
        <v>309</v>
      </c>
      <c r="C4415" t="s">
        <v>322</v>
      </c>
      <c r="D4415" t="s">
        <v>35</v>
      </c>
      <c r="E4415" t="s">
        <v>38</v>
      </c>
      <c r="F4415" t="s">
        <v>38</v>
      </c>
      <c r="G4415" t="s">
        <v>36</v>
      </c>
      <c r="H4415" t="s">
        <v>43</v>
      </c>
      <c r="I4415" s="187"/>
      <c r="J4415" s="187">
        <v>198.70276177136154</v>
      </c>
      <c r="K4415" s="187">
        <v>1368.18341950287</v>
      </c>
      <c r="L4415" s="187">
        <v>1722.0906020184666</v>
      </c>
      <c r="M4415" s="187">
        <v>3288.976806640625</v>
      </c>
      <c r="N4415" s="187">
        <v>1722.090576171875</v>
      </c>
      <c r="O4415" t="s">
        <v>4872</v>
      </c>
    </row>
    <row r="4416" spans="1:15" hidden="1" x14ac:dyDescent="0.45">
      <c r="A4416" s="187">
        <v>2021</v>
      </c>
      <c r="B4416" t="s">
        <v>314</v>
      </c>
      <c r="C4416" t="s">
        <v>322</v>
      </c>
      <c r="D4416" t="s">
        <v>35</v>
      </c>
      <c r="E4416" t="s">
        <v>38</v>
      </c>
      <c r="F4416" t="s">
        <v>38</v>
      </c>
      <c r="G4416" t="s">
        <v>36</v>
      </c>
      <c r="H4416" t="s">
        <v>43</v>
      </c>
      <c r="I4416" s="187">
        <v>523.82684022014189</v>
      </c>
      <c r="J4416" s="187">
        <v>110.65796280439548</v>
      </c>
      <c r="K4416" s="187">
        <v>2257.6195955376738</v>
      </c>
      <c r="L4416" s="187">
        <v>2124.6328858443931</v>
      </c>
      <c r="M4416" s="187">
        <v>5016.7373046875</v>
      </c>
      <c r="N4416" s="187">
        <v>2648.459716796875</v>
      </c>
      <c r="O4416" t="s">
        <v>4873</v>
      </c>
    </row>
    <row r="4417" spans="1:15" hidden="1" x14ac:dyDescent="0.45">
      <c r="A4417" s="187">
        <v>2021</v>
      </c>
      <c r="B4417" t="s">
        <v>314</v>
      </c>
      <c r="C4417" t="s">
        <v>322</v>
      </c>
      <c r="D4417" t="s">
        <v>35</v>
      </c>
      <c r="E4417" t="s">
        <v>38</v>
      </c>
      <c r="F4417" t="s">
        <v>38</v>
      </c>
      <c r="G4417" t="s">
        <v>37</v>
      </c>
      <c r="H4417" t="s">
        <v>43</v>
      </c>
      <c r="I4417" s="187">
        <v>526.88902505336716</v>
      </c>
      <c r="J4417" s="187">
        <v>101</v>
      </c>
      <c r="K4417" s="187">
        <v>2060.5935766056391</v>
      </c>
      <c r="L4417" s="187">
        <v>2016</v>
      </c>
      <c r="M4417" s="187">
        <v>4704.482421875</v>
      </c>
      <c r="N4417" s="187">
        <v>2542.88916015625</v>
      </c>
      <c r="O4417" t="s">
        <v>4881</v>
      </c>
    </row>
    <row r="4418" spans="1:15" hidden="1" x14ac:dyDescent="0.45">
      <c r="A4418" s="187">
        <v>2021</v>
      </c>
      <c r="B4418" t="s">
        <v>309</v>
      </c>
      <c r="C4418" t="s">
        <v>322</v>
      </c>
      <c r="D4418" t="s">
        <v>35</v>
      </c>
      <c r="E4418" t="s">
        <v>38</v>
      </c>
      <c r="F4418" t="s">
        <v>38</v>
      </c>
      <c r="G4418" t="s">
        <v>37</v>
      </c>
      <c r="H4418" t="s">
        <v>43</v>
      </c>
      <c r="I4418" s="187"/>
      <c r="J4418" s="187">
        <v>174.495</v>
      </c>
      <c r="K4418" s="187">
        <v>1233.773613462849</v>
      </c>
      <c r="L4418" s="187">
        <v>1624</v>
      </c>
      <c r="M4418" s="187">
        <v>3032.2685546875</v>
      </c>
      <c r="N4418" s="187">
        <v>1624</v>
      </c>
      <c r="O4418" t="s">
        <v>4880</v>
      </c>
    </row>
    <row r="4419" spans="1:15" hidden="1" x14ac:dyDescent="0.45">
      <c r="A4419" s="187">
        <v>2021</v>
      </c>
      <c r="B4419" t="s">
        <v>313</v>
      </c>
      <c r="C4419" t="s">
        <v>322</v>
      </c>
      <c r="D4419" t="s">
        <v>35</v>
      </c>
      <c r="E4419" t="s">
        <v>38</v>
      </c>
      <c r="F4419" t="s">
        <v>38</v>
      </c>
      <c r="G4419" t="s">
        <v>37</v>
      </c>
      <c r="H4419" t="s">
        <v>43</v>
      </c>
      <c r="I4419" s="187">
        <v>658.54319820365083</v>
      </c>
      <c r="J4419" s="187">
        <v>81</v>
      </c>
      <c r="K4419" s="187">
        <v>2040.155460867677</v>
      </c>
      <c r="L4419" s="187">
        <v>1779.0571215824871</v>
      </c>
      <c r="M4419" s="187">
        <v>4558.755859375</v>
      </c>
      <c r="N4419" s="187">
        <v>2437.600341796875</v>
      </c>
      <c r="O4419" t="s">
        <v>4877</v>
      </c>
    </row>
    <row r="4420" spans="1:15" hidden="1" x14ac:dyDescent="0.45">
      <c r="A4420" s="187">
        <v>2021</v>
      </c>
      <c r="B4420" t="s">
        <v>311</v>
      </c>
      <c r="C4420" t="s">
        <v>322</v>
      </c>
      <c r="D4420" t="s">
        <v>35</v>
      </c>
      <c r="E4420" t="s">
        <v>38</v>
      </c>
      <c r="F4420" t="s">
        <v>38</v>
      </c>
      <c r="G4420" t="s">
        <v>37</v>
      </c>
      <c r="H4420" t="s">
        <v>43</v>
      </c>
      <c r="I4420" s="187"/>
      <c r="J4420" s="187">
        <v>163</v>
      </c>
      <c r="K4420" s="187">
        <v>1151.7541846694189</v>
      </c>
      <c r="L4420" s="187">
        <v>2212</v>
      </c>
      <c r="M4420" s="187">
        <v>3526.754150390625</v>
      </c>
      <c r="N4420" s="187">
        <v>2212</v>
      </c>
      <c r="O4420" t="s">
        <v>4883</v>
      </c>
    </row>
    <row r="4421" spans="1:15" hidden="1" x14ac:dyDescent="0.45">
      <c r="A4421" s="187">
        <v>2021</v>
      </c>
      <c r="B4421" t="s">
        <v>315</v>
      </c>
      <c r="C4421" t="s">
        <v>322</v>
      </c>
      <c r="D4421" t="s">
        <v>35</v>
      </c>
      <c r="E4421" t="s">
        <v>38</v>
      </c>
      <c r="F4421" t="s">
        <v>38</v>
      </c>
      <c r="G4421" t="s">
        <v>37</v>
      </c>
      <c r="H4421" t="s">
        <v>43</v>
      </c>
      <c r="I4421" s="187">
        <v>516.40598358655996</v>
      </c>
      <c r="J4421" s="187">
        <v>92</v>
      </c>
      <c r="K4421" s="187">
        <v>2347.2647606336909</v>
      </c>
      <c r="L4421" s="187">
        <v>1770</v>
      </c>
      <c r="M4421" s="187">
        <v>4725.6708984375</v>
      </c>
      <c r="N4421" s="187">
        <v>2286.406005859375</v>
      </c>
      <c r="O4421" t="s">
        <v>4879</v>
      </c>
    </row>
    <row r="4422" spans="1:15" hidden="1" x14ac:dyDescent="0.45">
      <c r="A4422" s="187">
        <v>2021</v>
      </c>
      <c r="B4422" t="s">
        <v>316</v>
      </c>
      <c r="C4422" t="s">
        <v>322</v>
      </c>
      <c r="D4422" t="s">
        <v>35</v>
      </c>
      <c r="E4422" t="s">
        <v>38</v>
      </c>
      <c r="F4422" t="s">
        <v>38</v>
      </c>
      <c r="G4422" t="s">
        <v>37</v>
      </c>
      <c r="H4422" t="s">
        <v>43</v>
      </c>
      <c r="I4422" s="187">
        <v>486</v>
      </c>
      <c r="J4422" s="187">
        <v>209.2</v>
      </c>
      <c r="K4422" s="187">
        <v>2369.0955242766122</v>
      </c>
      <c r="L4422" s="187">
        <v>1901</v>
      </c>
      <c r="M4422" s="187">
        <v>4965.2958984375</v>
      </c>
      <c r="N4422" s="187">
        <v>2387</v>
      </c>
      <c r="O4422" t="s">
        <v>4878</v>
      </c>
    </row>
    <row r="4423" spans="1:15" hidden="1" x14ac:dyDescent="0.45">
      <c r="A4423" s="187">
        <v>2021</v>
      </c>
      <c r="B4423" t="s">
        <v>312</v>
      </c>
      <c r="C4423" t="s">
        <v>322</v>
      </c>
      <c r="D4423" t="s">
        <v>35</v>
      </c>
      <c r="E4423" t="s">
        <v>38</v>
      </c>
      <c r="F4423" t="s">
        <v>38</v>
      </c>
      <c r="G4423" t="s">
        <v>37</v>
      </c>
      <c r="H4423" t="s">
        <v>43</v>
      </c>
      <c r="I4423" s="187">
        <v>661.83591419466916</v>
      </c>
      <c r="J4423" s="187">
        <v>72</v>
      </c>
      <c r="K4423" s="187">
        <v>1147.2492794064019</v>
      </c>
      <c r="L4423" s="187">
        <v>1864</v>
      </c>
      <c r="M4423" s="187">
        <v>3745.085205078125</v>
      </c>
      <c r="N4423" s="187">
        <v>2525.8359375</v>
      </c>
      <c r="O4423" t="s">
        <v>4884</v>
      </c>
    </row>
    <row r="4424" spans="1:15" hidden="1" x14ac:dyDescent="0.45">
      <c r="A4424" s="187">
        <v>2021</v>
      </c>
      <c r="B4424" t="s">
        <v>310</v>
      </c>
      <c r="C4424" t="s">
        <v>322</v>
      </c>
      <c r="D4424" t="s">
        <v>35</v>
      </c>
      <c r="E4424" t="s">
        <v>38</v>
      </c>
      <c r="F4424" t="s">
        <v>38</v>
      </c>
      <c r="G4424" t="s">
        <v>37</v>
      </c>
      <c r="H4424" t="s">
        <v>43</v>
      </c>
      <c r="I4424" s="187"/>
      <c r="J4424" s="187">
        <v>127</v>
      </c>
      <c r="K4424" s="187">
        <v>1159.119203746174</v>
      </c>
      <c r="L4424" s="187">
        <v>1021</v>
      </c>
      <c r="M4424" s="187">
        <v>2307.119140625</v>
      </c>
      <c r="N4424" s="187">
        <v>1021</v>
      </c>
      <c r="O4424" t="s">
        <v>4876</v>
      </c>
    </row>
    <row r="4425" spans="1:15" hidden="1" x14ac:dyDescent="0.45">
      <c r="A4425" s="187">
        <v>2021</v>
      </c>
      <c r="B4425" t="s">
        <v>317</v>
      </c>
      <c r="C4425" t="s">
        <v>322</v>
      </c>
      <c r="D4425" t="s">
        <v>35</v>
      </c>
      <c r="E4425" t="s">
        <v>38</v>
      </c>
      <c r="F4425" t="s">
        <v>38</v>
      </c>
      <c r="G4425" t="s">
        <v>37</v>
      </c>
      <c r="H4425" t="s">
        <v>43</v>
      </c>
      <c r="I4425" s="187">
        <v>500</v>
      </c>
      <c r="J4425" s="187">
        <v>58</v>
      </c>
      <c r="K4425" s="187">
        <v>2665.030234074316</v>
      </c>
      <c r="L4425" s="187">
        <v>1428</v>
      </c>
      <c r="M4425" s="187">
        <v>4651.0302734375</v>
      </c>
      <c r="N4425" s="187">
        <v>1928</v>
      </c>
      <c r="O4425" t="s">
        <v>4882</v>
      </c>
    </row>
    <row r="4426" spans="1:15" hidden="1" x14ac:dyDescent="0.45">
      <c r="A4426" s="187">
        <v>2021</v>
      </c>
      <c r="B4426" t="s">
        <v>314</v>
      </c>
      <c r="C4426" t="s">
        <v>322</v>
      </c>
      <c r="D4426" t="s">
        <v>35</v>
      </c>
      <c r="E4426" t="s">
        <v>354</v>
      </c>
      <c r="F4426" t="s">
        <v>384</v>
      </c>
      <c r="G4426" t="s">
        <v>36</v>
      </c>
      <c r="H4426" t="s">
        <v>43</v>
      </c>
      <c r="I4426" s="187">
        <v>0</v>
      </c>
      <c r="J4426" s="187">
        <v>0</v>
      </c>
      <c r="K4426" s="187">
        <v>0</v>
      </c>
      <c r="L4426" s="187">
        <v>0</v>
      </c>
      <c r="M4426" s="187">
        <v>0</v>
      </c>
      <c r="N4426" s="187">
        <v>0</v>
      </c>
      <c r="O4426" t="s">
        <v>4891</v>
      </c>
    </row>
    <row r="4427" spans="1:15" hidden="1" x14ac:dyDescent="0.45">
      <c r="A4427" s="187">
        <v>2021</v>
      </c>
      <c r="B4427" t="s">
        <v>317</v>
      </c>
      <c r="C4427" t="s">
        <v>322</v>
      </c>
      <c r="D4427" t="s">
        <v>35</v>
      </c>
      <c r="E4427" t="s">
        <v>354</v>
      </c>
      <c r="F4427" t="s">
        <v>384</v>
      </c>
      <c r="G4427" t="s">
        <v>36</v>
      </c>
      <c r="H4427" t="s">
        <v>43</v>
      </c>
      <c r="I4427" s="187">
        <v>0</v>
      </c>
      <c r="J4427" s="187">
        <v>0</v>
      </c>
      <c r="K4427" s="187">
        <v>0</v>
      </c>
      <c r="L4427" s="187">
        <v>35.656800157659426</v>
      </c>
      <c r="M4427" s="187">
        <v>35.65679931640625</v>
      </c>
      <c r="N4427" s="187">
        <v>35.65679931640625</v>
      </c>
      <c r="O4427" t="s">
        <v>4886</v>
      </c>
    </row>
    <row r="4428" spans="1:15" hidden="1" x14ac:dyDescent="0.45">
      <c r="A4428" s="187">
        <v>2021</v>
      </c>
      <c r="B4428" t="s">
        <v>316</v>
      </c>
      <c r="C4428" t="s">
        <v>322</v>
      </c>
      <c r="D4428" t="s">
        <v>35</v>
      </c>
      <c r="E4428" t="s">
        <v>354</v>
      </c>
      <c r="F4428" t="s">
        <v>384</v>
      </c>
      <c r="G4428" t="s">
        <v>36</v>
      </c>
      <c r="H4428" t="s">
        <v>43</v>
      </c>
      <c r="I4428" s="187">
        <v>0</v>
      </c>
      <c r="J4428" s="187">
        <v>44.058153545428361</v>
      </c>
      <c r="K4428" s="187">
        <v>0</v>
      </c>
      <c r="L4428" s="187">
        <v>0</v>
      </c>
      <c r="M4428" s="187">
        <v>44.058155059814453</v>
      </c>
      <c r="N4428" s="187">
        <v>0</v>
      </c>
      <c r="O4428" t="s">
        <v>4885</v>
      </c>
    </row>
    <row r="4429" spans="1:15" hidden="1" x14ac:dyDescent="0.45">
      <c r="A4429" s="187">
        <v>2021</v>
      </c>
      <c r="B4429" t="s">
        <v>309</v>
      </c>
      <c r="C4429" t="s">
        <v>322</v>
      </c>
      <c r="D4429" t="s">
        <v>35</v>
      </c>
      <c r="E4429" t="s">
        <v>354</v>
      </c>
      <c r="F4429" t="s">
        <v>384</v>
      </c>
      <c r="G4429" t="s">
        <v>36</v>
      </c>
      <c r="H4429" t="s">
        <v>43</v>
      </c>
      <c r="I4429" s="187"/>
      <c r="J4429" s="187">
        <v>0</v>
      </c>
      <c r="K4429" s="187">
        <v>0</v>
      </c>
      <c r="L4429" s="187">
        <v>0</v>
      </c>
      <c r="M4429" s="187">
        <v>0</v>
      </c>
      <c r="N4429" s="187">
        <v>0</v>
      </c>
      <c r="O4429" t="s">
        <v>4892</v>
      </c>
    </row>
    <row r="4430" spans="1:15" hidden="1" x14ac:dyDescent="0.45">
      <c r="A4430" s="187">
        <v>2021</v>
      </c>
      <c r="B4430" t="s">
        <v>310</v>
      </c>
      <c r="C4430" t="s">
        <v>322</v>
      </c>
      <c r="D4430" t="s">
        <v>35</v>
      </c>
      <c r="E4430" t="s">
        <v>354</v>
      </c>
      <c r="F4430" t="s">
        <v>384</v>
      </c>
      <c r="G4430" t="s">
        <v>36</v>
      </c>
      <c r="H4430" t="s">
        <v>43</v>
      </c>
      <c r="I4430" s="187"/>
      <c r="J4430" s="187">
        <v>0</v>
      </c>
      <c r="K4430" s="187">
        <v>0</v>
      </c>
      <c r="L4430" s="187">
        <v>0</v>
      </c>
      <c r="M4430" s="187">
        <v>0</v>
      </c>
      <c r="N4430" s="187">
        <v>0</v>
      </c>
      <c r="O4430" t="s">
        <v>4888</v>
      </c>
    </row>
    <row r="4431" spans="1:15" hidden="1" x14ac:dyDescent="0.45">
      <c r="A4431" s="187">
        <v>2021</v>
      </c>
      <c r="B4431" t="s">
        <v>312</v>
      </c>
      <c r="C4431" t="s">
        <v>322</v>
      </c>
      <c r="D4431" t="s">
        <v>35</v>
      </c>
      <c r="E4431" t="s">
        <v>354</v>
      </c>
      <c r="F4431" t="s">
        <v>384</v>
      </c>
      <c r="G4431" t="s">
        <v>36</v>
      </c>
      <c r="H4431" t="s">
        <v>43</v>
      </c>
      <c r="I4431" s="187">
        <v>0</v>
      </c>
      <c r="J4431" s="187">
        <v>0</v>
      </c>
      <c r="K4431" s="187">
        <v>0</v>
      </c>
      <c r="L4431" s="187">
        <v>0</v>
      </c>
      <c r="M4431" s="187">
        <v>0</v>
      </c>
      <c r="N4431" s="187">
        <v>0</v>
      </c>
      <c r="O4431" t="s">
        <v>4890</v>
      </c>
    </row>
    <row r="4432" spans="1:15" hidden="1" x14ac:dyDescent="0.45">
      <c r="A4432" s="187">
        <v>2021</v>
      </c>
      <c r="B4432" t="s">
        <v>313</v>
      </c>
      <c r="C4432" t="s">
        <v>322</v>
      </c>
      <c r="D4432" t="s">
        <v>35</v>
      </c>
      <c r="E4432" t="s">
        <v>354</v>
      </c>
      <c r="F4432" t="s">
        <v>384</v>
      </c>
      <c r="G4432" t="s">
        <v>36</v>
      </c>
      <c r="H4432" t="s">
        <v>43</v>
      </c>
      <c r="I4432" s="187">
        <v>0</v>
      </c>
      <c r="J4432" s="187">
        <v>0</v>
      </c>
      <c r="K4432" s="187">
        <v>0</v>
      </c>
      <c r="L4432" s="187">
        <v>0</v>
      </c>
      <c r="M4432" s="187">
        <v>0</v>
      </c>
      <c r="N4432" s="187">
        <v>0</v>
      </c>
      <c r="O4432" t="s">
        <v>4889</v>
      </c>
    </row>
    <row r="4433" spans="1:15" hidden="1" x14ac:dyDescent="0.45">
      <c r="A4433" s="187">
        <v>2021</v>
      </c>
      <c r="B4433" t="s">
        <v>311</v>
      </c>
      <c r="C4433" t="s">
        <v>322</v>
      </c>
      <c r="D4433" t="s">
        <v>35</v>
      </c>
      <c r="E4433" t="s">
        <v>354</v>
      </c>
      <c r="F4433" t="s">
        <v>384</v>
      </c>
      <c r="G4433" t="s">
        <v>36</v>
      </c>
      <c r="H4433" t="s">
        <v>43</v>
      </c>
      <c r="I4433" s="187"/>
      <c r="J4433" s="187">
        <v>0</v>
      </c>
      <c r="K4433" s="187">
        <v>0</v>
      </c>
      <c r="L4433" s="187">
        <v>0</v>
      </c>
      <c r="M4433" s="187">
        <v>0</v>
      </c>
      <c r="N4433" s="187">
        <v>0</v>
      </c>
      <c r="O4433" t="s">
        <v>4887</v>
      </c>
    </row>
    <row r="4434" spans="1:15" hidden="1" x14ac:dyDescent="0.45">
      <c r="A4434" s="187">
        <v>2021</v>
      </c>
      <c r="B4434" t="s">
        <v>315</v>
      </c>
      <c r="C4434" t="s">
        <v>322</v>
      </c>
      <c r="D4434" t="s">
        <v>35</v>
      </c>
      <c r="E4434" t="s">
        <v>354</v>
      </c>
      <c r="F4434" t="s">
        <v>384</v>
      </c>
      <c r="G4434" t="s">
        <v>36</v>
      </c>
      <c r="H4434" t="s">
        <v>43</v>
      </c>
      <c r="I4434" s="187">
        <v>0</v>
      </c>
      <c r="J4434" s="187">
        <v>0</v>
      </c>
      <c r="K4434" s="187">
        <v>0</v>
      </c>
      <c r="L4434" s="187">
        <v>0</v>
      </c>
      <c r="M4434" s="187">
        <v>0</v>
      </c>
      <c r="N4434" s="187">
        <v>0</v>
      </c>
      <c r="O4434" t="s">
        <v>4893</v>
      </c>
    </row>
    <row r="4435" spans="1:15" hidden="1" x14ac:dyDescent="0.45">
      <c r="A4435" s="187">
        <v>2021</v>
      </c>
      <c r="B4435" t="s">
        <v>316</v>
      </c>
      <c r="C4435" t="s">
        <v>322</v>
      </c>
      <c r="D4435" t="s">
        <v>35</v>
      </c>
      <c r="E4435" t="s">
        <v>354</v>
      </c>
      <c r="F4435" t="s">
        <v>384</v>
      </c>
      <c r="G4435" t="s">
        <v>37</v>
      </c>
      <c r="H4435" t="s">
        <v>43</v>
      </c>
      <c r="I4435" s="187">
        <v>0</v>
      </c>
      <c r="J4435" s="187">
        <v>40</v>
      </c>
      <c r="K4435" s="187">
        <v>0</v>
      </c>
      <c r="L4435" s="187">
        <v>0</v>
      </c>
      <c r="M4435" s="187">
        <v>40</v>
      </c>
      <c r="N4435" s="187">
        <v>0</v>
      </c>
      <c r="O4435" t="s">
        <v>4900</v>
      </c>
    </row>
    <row r="4436" spans="1:15" hidden="1" x14ac:dyDescent="0.45">
      <c r="A4436" s="187">
        <v>2021</v>
      </c>
      <c r="B4436" t="s">
        <v>312</v>
      </c>
      <c r="C4436" t="s">
        <v>322</v>
      </c>
      <c r="D4436" t="s">
        <v>35</v>
      </c>
      <c r="E4436" t="s">
        <v>354</v>
      </c>
      <c r="F4436" t="s">
        <v>384</v>
      </c>
      <c r="G4436" t="s">
        <v>37</v>
      </c>
      <c r="H4436" t="s">
        <v>43</v>
      </c>
      <c r="I4436" s="187"/>
      <c r="J4436" s="187">
        <v>0</v>
      </c>
      <c r="K4436" s="187">
        <v>0</v>
      </c>
      <c r="L4436" s="187">
        <v>0</v>
      </c>
      <c r="M4436" s="187">
        <v>0</v>
      </c>
      <c r="N4436" s="187">
        <v>0</v>
      </c>
      <c r="O4436" t="s">
        <v>4896</v>
      </c>
    </row>
    <row r="4437" spans="1:15" hidden="1" x14ac:dyDescent="0.45">
      <c r="A4437" s="187">
        <v>2021</v>
      </c>
      <c r="B4437" t="s">
        <v>317</v>
      </c>
      <c r="C4437" t="s">
        <v>322</v>
      </c>
      <c r="D4437" t="s">
        <v>35</v>
      </c>
      <c r="E4437" t="s">
        <v>354</v>
      </c>
      <c r="F4437" t="s">
        <v>384</v>
      </c>
      <c r="G4437" t="s">
        <v>37</v>
      </c>
      <c r="H4437" t="s">
        <v>43</v>
      </c>
      <c r="I4437" s="187">
        <v>0</v>
      </c>
      <c r="J4437" s="187">
        <v>0</v>
      </c>
      <c r="K4437" s="187">
        <v>0</v>
      </c>
      <c r="L4437" s="187">
        <v>33</v>
      </c>
      <c r="M4437" s="187">
        <v>33</v>
      </c>
      <c r="N4437" s="187">
        <v>33</v>
      </c>
      <c r="O4437" t="s">
        <v>4898</v>
      </c>
    </row>
    <row r="4438" spans="1:15" hidden="1" x14ac:dyDescent="0.45">
      <c r="A4438" s="187">
        <v>2021</v>
      </c>
      <c r="B4438" t="s">
        <v>309</v>
      </c>
      <c r="C4438" t="s">
        <v>322</v>
      </c>
      <c r="D4438" t="s">
        <v>35</v>
      </c>
      <c r="E4438" t="s">
        <v>354</v>
      </c>
      <c r="F4438" t="s">
        <v>384</v>
      </c>
      <c r="G4438" t="s">
        <v>37</v>
      </c>
      <c r="H4438" t="s">
        <v>43</v>
      </c>
      <c r="I4438" s="187"/>
      <c r="J4438" s="187">
        <v>0</v>
      </c>
      <c r="K4438" s="187">
        <v>0</v>
      </c>
      <c r="L4438" s="187">
        <v>0</v>
      </c>
      <c r="M4438" s="187">
        <v>0</v>
      </c>
      <c r="N4438" s="187">
        <v>0</v>
      </c>
      <c r="O4438" t="s">
        <v>4894</v>
      </c>
    </row>
    <row r="4439" spans="1:15" hidden="1" x14ac:dyDescent="0.45">
      <c r="A4439" s="187">
        <v>2021</v>
      </c>
      <c r="B4439" t="s">
        <v>311</v>
      </c>
      <c r="C4439" t="s">
        <v>322</v>
      </c>
      <c r="D4439" t="s">
        <v>35</v>
      </c>
      <c r="E4439" t="s">
        <v>354</v>
      </c>
      <c r="F4439" t="s">
        <v>384</v>
      </c>
      <c r="G4439" t="s">
        <v>37</v>
      </c>
      <c r="H4439" t="s">
        <v>43</v>
      </c>
      <c r="I4439" s="187"/>
      <c r="J4439" s="187">
        <v>0</v>
      </c>
      <c r="K4439" s="187">
        <v>0</v>
      </c>
      <c r="L4439" s="187">
        <v>0</v>
      </c>
      <c r="M4439" s="187">
        <v>0</v>
      </c>
      <c r="N4439" s="187">
        <v>0</v>
      </c>
      <c r="O4439" t="s">
        <v>4895</v>
      </c>
    </row>
    <row r="4440" spans="1:15" hidden="1" x14ac:dyDescent="0.45">
      <c r="A4440" s="187">
        <v>2021</v>
      </c>
      <c r="B4440" t="s">
        <v>310</v>
      </c>
      <c r="C4440" t="s">
        <v>322</v>
      </c>
      <c r="D4440" t="s">
        <v>35</v>
      </c>
      <c r="E4440" t="s">
        <v>354</v>
      </c>
      <c r="F4440" t="s">
        <v>384</v>
      </c>
      <c r="G4440" t="s">
        <v>37</v>
      </c>
      <c r="H4440" t="s">
        <v>43</v>
      </c>
      <c r="I4440" s="187"/>
      <c r="J4440" s="187">
        <v>0</v>
      </c>
      <c r="K4440" s="187">
        <v>0</v>
      </c>
      <c r="L4440" s="187">
        <v>0</v>
      </c>
      <c r="M4440" s="187">
        <v>0</v>
      </c>
      <c r="N4440" s="187">
        <v>0</v>
      </c>
      <c r="O4440" t="s">
        <v>4901</v>
      </c>
    </row>
    <row r="4441" spans="1:15" hidden="1" x14ac:dyDescent="0.45">
      <c r="A4441" s="187">
        <v>2021</v>
      </c>
      <c r="B4441" t="s">
        <v>313</v>
      </c>
      <c r="C4441" t="s">
        <v>322</v>
      </c>
      <c r="D4441" t="s">
        <v>35</v>
      </c>
      <c r="E4441" t="s">
        <v>354</v>
      </c>
      <c r="F4441" t="s">
        <v>384</v>
      </c>
      <c r="G4441" t="s">
        <v>37</v>
      </c>
      <c r="H4441" t="s">
        <v>43</v>
      </c>
      <c r="I4441" s="187"/>
      <c r="J4441" s="187">
        <v>0</v>
      </c>
      <c r="K4441" s="187">
        <v>0</v>
      </c>
      <c r="L4441" s="187">
        <v>0</v>
      </c>
      <c r="M4441" s="187">
        <v>0</v>
      </c>
      <c r="N4441" s="187">
        <v>0</v>
      </c>
      <c r="O4441" t="s">
        <v>4902</v>
      </c>
    </row>
    <row r="4442" spans="1:15" hidden="1" x14ac:dyDescent="0.45">
      <c r="A4442" s="187">
        <v>2021</v>
      </c>
      <c r="B4442" t="s">
        <v>314</v>
      </c>
      <c r="C4442" t="s">
        <v>322</v>
      </c>
      <c r="D4442" t="s">
        <v>35</v>
      </c>
      <c r="E4442" t="s">
        <v>354</v>
      </c>
      <c r="F4442" t="s">
        <v>384</v>
      </c>
      <c r="G4442" t="s">
        <v>37</v>
      </c>
      <c r="H4442" t="s">
        <v>43</v>
      </c>
      <c r="I4442" s="187">
        <v>0</v>
      </c>
      <c r="J4442" s="187">
        <v>0</v>
      </c>
      <c r="K4442" s="187">
        <v>0</v>
      </c>
      <c r="L4442" s="187">
        <v>0</v>
      </c>
      <c r="M4442" s="187">
        <v>0</v>
      </c>
      <c r="N4442" s="187">
        <v>0</v>
      </c>
      <c r="O4442" t="s">
        <v>4897</v>
      </c>
    </row>
    <row r="4443" spans="1:15" hidden="1" x14ac:dyDescent="0.45">
      <c r="A4443" s="187">
        <v>2021</v>
      </c>
      <c r="B4443" t="s">
        <v>315</v>
      </c>
      <c r="C4443" t="s">
        <v>322</v>
      </c>
      <c r="D4443" t="s">
        <v>35</v>
      </c>
      <c r="E4443" t="s">
        <v>354</v>
      </c>
      <c r="F4443" t="s">
        <v>384</v>
      </c>
      <c r="G4443" t="s">
        <v>37</v>
      </c>
      <c r="H4443" t="s">
        <v>43</v>
      </c>
      <c r="I4443" s="187">
        <v>0</v>
      </c>
      <c r="J4443" s="187">
        <v>0</v>
      </c>
      <c r="K4443" s="187">
        <v>0</v>
      </c>
      <c r="L4443" s="187">
        <v>0</v>
      </c>
      <c r="M4443" s="187">
        <v>0</v>
      </c>
      <c r="N4443" s="187">
        <v>0</v>
      </c>
      <c r="O4443" t="s">
        <v>4899</v>
      </c>
    </row>
    <row r="4444" spans="1:15" hidden="1" x14ac:dyDescent="0.45">
      <c r="A4444" s="187">
        <v>2021</v>
      </c>
      <c r="B4444" t="s">
        <v>316</v>
      </c>
      <c r="C4444" t="s">
        <v>322</v>
      </c>
      <c r="D4444" t="s">
        <v>35</v>
      </c>
      <c r="E4444" t="s">
        <v>354</v>
      </c>
      <c r="F4444" t="s">
        <v>385</v>
      </c>
      <c r="G4444" t="s">
        <v>36</v>
      </c>
      <c r="H4444" t="s">
        <v>43</v>
      </c>
      <c r="I4444" s="187">
        <v>0</v>
      </c>
      <c r="J4444" s="187">
        <v>87.896016323129601</v>
      </c>
      <c r="K4444" s="187">
        <v>3239.7832519163908</v>
      </c>
      <c r="L4444" s="187">
        <v>526.49493486786889</v>
      </c>
      <c r="M4444" s="187">
        <v>3854.174072265625</v>
      </c>
      <c r="N4444" s="187">
        <v>526.49493408203125</v>
      </c>
      <c r="O4444" t="s">
        <v>4910</v>
      </c>
    </row>
    <row r="4445" spans="1:15" hidden="1" x14ac:dyDescent="0.45">
      <c r="A4445" s="187">
        <v>2021</v>
      </c>
      <c r="B4445" t="s">
        <v>310</v>
      </c>
      <c r="C4445" t="s">
        <v>322</v>
      </c>
      <c r="D4445" t="s">
        <v>35</v>
      </c>
      <c r="E4445" t="s">
        <v>354</v>
      </c>
      <c r="F4445" t="s">
        <v>385</v>
      </c>
      <c r="G4445" t="s">
        <v>36</v>
      </c>
      <c r="H4445" t="s">
        <v>43</v>
      </c>
      <c r="I4445" s="187"/>
      <c r="J4445" s="187">
        <v>0</v>
      </c>
      <c r="K4445" s="187">
        <v>1483.732549996831</v>
      </c>
      <c r="L4445" s="187">
        <v>0</v>
      </c>
      <c r="M4445" s="187">
        <v>1483.7325439453125</v>
      </c>
      <c r="N4445" s="187">
        <v>0</v>
      </c>
      <c r="O4445" t="s">
        <v>4906</v>
      </c>
    </row>
    <row r="4446" spans="1:15" hidden="1" x14ac:dyDescent="0.45">
      <c r="A4446" s="187">
        <v>2021</v>
      </c>
      <c r="B4446" t="s">
        <v>312</v>
      </c>
      <c r="C4446" t="s">
        <v>322</v>
      </c>
      <c r="D4446" t="s">
        <v>35</v>
      </c>
      <c r="E4446" t="s">
        <v>354</v>
      </c>
      <c r="F4446" t="s">
        <v>385</v>
      </c>
      <c r="G4446" t="s">
        <v>36</v>
      </c>
      <c r="H4446" t="s">
        <v>43</v>
      </c>
      <c r="I4446" s="187">
        <v>0</v>
      </c>
      <c r="J4446" s="187">
        <v>43.280098258366905</v>
      </c>
      <c r="K4446" s="187">
        <v>2240.7349230187347</v>
      </c>
      <c r="L4446" s="187">
        <v>0</v>
      </c>
      <c r="M4446" s="187">
        <v>2284.01513671875</v>
      </c>
      <c r="N4446" s="187">
        <v>0</v>
      </c>
      <c r="O4446" t="s">
        <v>4907</v>
      </c>
    </row>
    <row r="4447" spans="1:15" hidden="1" x14ac:dyDescent="0.45">
      <c r="A4447" s="187">
        <v>2021</v>
      </c>
      <c r="B4447" t="s">
        <v>315</v>
      </c>
      <c r="C4447" t="s">
        <v>322</v>
      </c>
      <c r="D4447" t="s">
        <v>35</v>
      </c>
      <c r="E4447" t="s">
        <v>354</v>
      </c>
      <c r="F4447" t="s">
        <v>385</v>
      </c>
      <c r="G4447" t="s">
        <v>36</v>
      </c>
      <c r="H4447" t="s">
        <v>43</v>
      </c>
      <c r="I4447" s="187">
        <v>0</v>
      </c>
      <c r="J4447" s="187">
        <v>45.311897447400071</v>
      </c>
      <c r="K4447" s="187">
        <v>1131.9099394153984</v>
      </c>
      <c r="L4447" s="187">
        <v>176.71640004486028</v>
      </c>
      <c r="M4447" s="187">
        <v>1353.938232421875</v>
      </c>
      <c r="N4447" s="187">
        <v>176.71640014648438</v>
      </c>
      <c r="O4447" t="s">
        <v>4904</v>
      </c>
    </row>
    <row r="4448" spans="1:15" hidden="1" x14ac:dyDescent="0.45">
      <c r="A4448" s="187">
        <v>2021</v>
      </c>
      <c r="B4448" t="s">
        <v>311</v>
      </c>
      <c r="C4448" t="s">
        <v>322</v>
      </c>
      <c r="D4448" t="s">
        <v>35</v>
      </c>
      <c r="E4448" t="s">
        <v>354</v>
      </c>
      <c r="F4448" t="s">
        <v>385</v>
      </c>
      <c r="G4448" t="s">
        <v>36</v>
      </c>
      <c r="H4448" t="s">
        <v>43</v>
      </c>
      <c r="I4448" s="187"/>
      <c r="J4448" s="187">
        <v>51.011764906200156</v>
      </c>
      <c r="K4448" s="187">
        <v>1415.3431250185652</v>
      </c>
      <c r="L4448" s="187">
        <v>0</v>
      </c>
      <c r="M4448" s="187">
        <v>1466.3548583984375</v>
      </c>
      <c r="N4448" s="187">
        <v>0</v>
      </c>
      <c r="O4448" t="s">
        <v>4911</v>
      </c>
    </row>
    <row r="4449" spans="1:15" hidden="1" x14ac:dyDescent="0.45">
      <c r="A4449" s="187">
        <v>2021</v>
      </c>
      <c r="B4449" t="s">
        <v>317</v>
      </c>
      <c r="C4449" t="s">
        <v>322</v>
      </c>
      <c r="D4449" t="s">
        <v>35</v>
      </c>
      <c r="E4449" t="s">
        <v>354</v>
      </c>
      <c r="F4449" t="s">
        <v>385</v>
      </c>
      <c r="G4449" t="s">
        <v>36</v>
      </c>
      <c r="H4449" t="s">
        <v>43</v>
      </c>
      <c r="I4449" s="187">
        <v>25.932218296479583</v>
      </c>
      <c r="J4449" s="187">
        <v>54.025454784332467</v>
      </c>
      <c r="K4449" s="187">
        <v>3034.8102207979287</v>
      </c>
      <c r="L4449" s="187">
        <v>491.63163853742543</v>
      </c>
      <c r="M4449" s="187">
        <v>3606.3994140625</v>
      </c>
      <c r="N4449" s="187">
        <v>517.5638427734375</v>
      </c>
      <c r="O4449" t="s">
        <v>4909</v>
      </c>
    </row>
    <row r="4450" spans="1:15" hidden="1" x14ac:dyDescent="0.45">
      <c r="A4450" s="187">
        <v>2021</v>
      </c>
      <c r="B4450" t="s">
        <v>313</v>
      </c>
      <c r="C4450" t="s">
        <v>322</v>
      </c>
      <c r="D4450" t="s">
        <v>35</v>
      </c>
      <c r="E4450" t="s">
        <v>354</v>
      </c>
      <c r="F4450" t="s">
        <v>385</v>
      </c>
      <c r="G4450" t="s">
        <v>36</v>
      </c>
      <c r="H4450" t="s">
        <v>43</v>
      </c>
      <c r="I4450" s="187">
        <v>0</v>
      </c>
      <c r="J4450" s="187">
        <v>47.915674981282514</v>
      </c>
      <c r="K4450" s="187">
        <v>1859.0031251806977</v>
      </c>
      <c r="L4450" s="187">
        <v>0</v>
      </c>
      <c r="M4450" s="187">
        <v>1906.9188232421875</v>
      </c>
      <c r="N4450" s="187">
        <v>0</v>
      </c>
      <c r="O4450" t="s">
        <v>4905</v>
      </c>
    </row>
    <row r="4451" spans="1:15" hidden="1" x14ac:dyDescent="0.45">
      <c r="A4451" s="187">
        <v>2021</v>
      </c>
      <c r="B4451" t="s">
        <v>314</v>
      </c>
      <c r="C4451" t="s">
        <v>322</v>
      </c>
      <c r="D4451" t="s">
        <v>35</v>
      </c>
      <c r="E4451" t="s">
        <v>354</v>
      </c>
      <c r="F4451" t="s">
        <v>385</v>
      </c>
      <c r="G4451" t="s">
        <v>36</v>
      </c>
      <c r="H4451" t="s">
        <v>43</v>
      </c>
      <c r="I4451" s="187">
        <v>0</v>
      </c>
      <c r="J4451" s="187">
        <v>46.592826443955992</v>
      </c>
      <c r="K4451" s="187">
        <v>760.12511324298725</v>
      </c>
      <c r="L4451" s="187">
        <v>0</v>
      </c>
      <c r="M4451" s="187">
        <v>806.71795654296875</v>
      </c>
      <c r="N4451" s="187">
        <v>0</v>
      </c>
      <c r="O4451" t="s">
        <v>4903</v>
      </c>
    </row>
    <row r="4452" spans="1:15" hidden="1" x14ac:dyDescent="0.45">
      <c r="A4452" s="187">
        <v>2021</v>
      </c>
      <c r="B4452" t="s">
        <v>309</v>
      </c>
      <c r="C4452" t="s">
        <v>322</v>
      </c>
      <c r="D4452" t="s">
        <v>35</v>
      </c>
      <c r="E4452" t="s">
        <v>354</v>
      </c>
      <c r="F4452" t="s">
        <v>385</v>
      </c>
      <c r="G4452" t="s">
        <v>36</v>
      </c>
      <c r="H4452" t="s">
        <v>43</v>
      </c>
      <c r="I4452" s="187"/>
      <c r="J4452" s="187">
        <v>59.610828531408458</v>
      </c>
      <c r="K4452" s="187">
        <v>1503.5736416984589</v>
      </c>
      <c r="L4452" s="187">
        <v>0</v>
      </c>
      <c r="M4452" s="187">
        <v>1563.1844482421875</v>
      </c>
      <c r="N4452" s="187">
        <v>0</v>
      </c>
      <c r="O4452" t="s">
        <v>4908</v>
      </c>
    </row>
    <row r="4453" spans="1:15" hidden="1" x14ac:dyDescent="0.45">
      <c r="A4453" s="187">
        <v>2021</v>
      </c>
      <c r="B4453" t="s">
        <v>316</v>
      </c>
      <c r="C4453" t="s">
        <v>322</v>
      </c>
      <c r="D4453" t="s">
        <v>35</v>
      </c>
      <c r="E4453" t="s">
        <v>354</v>
      </c>
      <c r="F4453" t="s">
        <v>385</v>
      </c>
      <c r="G4453" t="s">
        <v>37</v>
      </c>
      <c r="H4453" t="s">
        <v>43</v>
      </c>
      <c r="I4453" s="187">
        <v>0</v>
      </c>
      <c r="J4453" s="187">
        <v>79.800000000000011</v>
      </c>
      <c r="K4453" s="187">
        <v>2973.8849625318721</v>
      </c>
      <c r="L4453" s="187">
        <v>491</v>
      </c>
      <c r="M4453" s="187">
        <v>3544.68505859375</v>
      </c>
      <c r="N4453" s="187">
        <v>491</v>
      </c>
      <c r="O4453" t="s">
        <v>4912</v>
      </c>
    </row>
    <row r="4454" spans="1:15" hidden="1" x14ac:dyDescent="0.45">
      <c r="A4454" s="187">
        <v>2021</v>
      </c>
      <c r="B4454" t="s">
        <v>310</v>
      </c>
      <c r="C4454" t="s">
        <v>322</v>
      </c>
      <c r="D4454" t="s">
        <v>35</v>
      </c>
      <c r="E4454" t="s">
        <v>354</v>
      </c>
      <c r="F4454" t="s">
        <v>385</v>
      </c>
      <c r="G4454" t="s">
        <v>37</v>
      </c>
      <c r="H4454" t="s">
        <v>43</v>
      </c>
      <c r="I4454" s="187"/>
      <c r="J4454" s="187">
        <v>0</v>
      </c>
      <c r="K4454" s="187">
        <v>1308.5065124230789</v>
      </c>
      <c r="L4454" s="187">
        <v>0</v>
      </c>
      <c r="M4454" s="187">
        <v>1308.5064697265625</v>
      </c>
      <c r="N4454" s="187">
        <v>0</v>
      </c>
      <c r="O4454" t="s">
        <v>4918</v>
      </c>
    </row>
    <row r="4455" spans="1:15" hidden="1" x14ac:dyDescent="0.45">
      <c r="A4455" s="187">
        <v>2021</v>
      </c>
      <c r="B4455" t="s">
        <v>317</v>
      </c>
      <c r="C4455" t="s">
        <v>322</v>
      </c>
      <c r="D4455" t="s">
        <v>35</v>
      </c>
      <c r="E4455" t="s">
        <v>354</v>
      </c>
      <c r="F4455" t="s">
        <v>385</v>
      </c>
      <c r="G4455" t="s">
        <v>37</v>
      </c>
      <c r="H4455" t="s">
        <v>43</v>
      </c>
      <c r="I4455" s="187">
        <v>24</v>
      </c>
      <c r="J4455" s="187">
        <v>50</v>
      </c>
      <c r="K4455" s="187">
        <v>2808.6854917860242</v>
      </c>
      <c r="L4455" s="187">
        <v>455</v>
      </c>
      <c r="M4455" s="187">
        <v>3337.685546875</v>
      </c>
      <c r="N4455" s="187">
        <v>479</v>
      </c>
      <c r="O4455" t="s">
        <v>4920</v>
      </c>
    </row>
    <row r="4456" spans="1:15" hidden="1" x14ac:dyDescent="0.45">
      <c r="A4456" s="187">
        <v>2021</v>
      </c>
      <c r="B4456" t="s">
        <v>313</v>
      </c>
      <c r="C4456" t="s">
        <v>322</v>
      </c>
      <c r="D4456" t="s">
        <v>35</v>
      </c>
      <c r="E4456" t="s">
        <v>354</v>
      </c>
      <c r="F4456" t="s">
        <v>385</v>
      </c>
      <c r="G4456" t="s">
        <v>37</v>
      </c>
      <c r="H4456" t="s">
        <v>43</v>
      </c>
      <c r="I4456" s="187"/>
      <c r="J4456" s="187">
        <v>43</v>
      </c>
      <c r="K4456" s="187">
        <v>1672.308270330692</v>
      </c>
      <c r="L4456" s="187">
        <v>0</v>
      </c>
      <c r="M4456" s="187">
        <v>1715.3082275390625</v>
      </c>
      <c r="N4456" s="187">
        <v>0</v>
      </c>
      <c r="O4456" t="s">
        <v>4917</v>
      </c>
    </row>
    <row r="4457" spans="1:15" hidden="1" x14ac:dyDescent="0.45">
      <c r="A4457" s="187">
        <v>2021</v>
      </c>
      <c r="B4457" t="s">
        <v>314</v>
      </c>
      <c r="C4457" t="s">
        <v>322</v>
      </c>
      <c r="D4457" t="s">
        <v>35</v>
      </c>
      <c r="E4457" t="s">
        <v>354</v>
      </c>
      <c r="F4457" t="s">
        <v>385</v>
      </c>
      <c r="G4457" t="s">
        <v>37</v>
      </c>
      <c r="H4457" t="s">
        <v>43</v>
      </c>
      <c r="I4457" s="187">
        <v>0</v>
      </c>
      <c r="J4457" s="187">
        <v>42</v>
      </c>
      <c r="K4457" s="187">
        <v>693.78779705006116</v>
      </c>
      <c r="L4457" s="187">
        <v>0</v>
      </c>
      <c r="M4457" s="187">
        <v>735.78778076171875</v>
      </c>
      <c r="N4457" s="187">
        <v>0</v>
      </c>
      <c r="O4457" t="s">
        <v>4913</v>
      </c>
    </row>
    <row r="4458" spans="1:15" hidden="1" x14ac:dyDescent="0.45">
      <c r="A4458" s="187">
        <v>2021</v>
      </c>
      <c r="B4458" t="s">
        <v>312</v>
      </c>
      <c r="C4458" t="s">
        <v>322</v>
      </c>
      <c r="D4458" t="s">
        <v>35</v>
      </c>
      <c r="E4458" t="s">
        <v>354</v>
      </c>
      <c r="F4458" t="s">
        <v>385</v>
      </c>
      <c r="G4458" t="s">
        <v>37</v>
      </c>
      <c r="H4458" t="s">
        <v>43</v>
      </c>
      <c r="I4458" s="187"/>
      <c r="J4458" s="187">
        <v>39</v>
      </c>
      <c r="K4458" s="187">
        <v>1994.480233526577</v>
      </c>
      <c r="L4458" s="187">
        <v>0</v>
      </c>
      <c r="M4458" s="187">
        <v>2033.480224609375</v>
      </c>
      <c r="N4458" s="187">
        <v>0</v>
      </c>
      <c r="O4458" t="s">
        <v>4914</v>
      </c>
    </row>
    <row r="4459" spans="1:15" hidden="1" x14ac:dyDescent="0.45">
      <c r="A4459" s="187">
        <v>2021</v>
      </c>
      <c r="B4459" t="s">
        <v>315</v>
      </c>
      <c r="C4459" t="s">
        <v>322</v>
      </c>
      <c r="D4459" t="s">
        <v>35</v>
      </c>
      <c r="E4459" t="s">
        <v>354</v>
      </c>
      <c r="F4459" t="s">
        <v>385</v>
      </c>
      <c r="G4459" t="s">
        <v>37</v>
      </c>
      <c r="H4459" t="s">
        <v>43</v>
      </c>
      <c r="I4459" s="187">
        <v>0</v>
      </c>
      <c r="J4459" s="187">
        <v>41</v>
      </c>
      <c r="K4459" s="187">
        <v>1036.8624902665781</v>
      </c>
      <c r="L4459" s="187">
        <v>162</v>
      </c>
      <c r="M4459" s="187">
        <v>1239.862548828125</v>
      </c>
      <c r="N4459" s="187">
        <v>162</v>
      </c>
      <c r="O4459" t="s">
        <v>4915</v>
      </c>
    </row>
    <row r="4460" spans="1:15" hidden="1" x14ac:dyDescent="0.45">
      <c r="A4460" s="187">
        <v>2021</v>
      </c>
      <c r="B4460" t="s">
        <v>311</v>
      </c>
      <c r="C4460" t="s">
        <v>322</v>
      </c>
      <c r="D4460" t="s">
        <v>35</v>
      </c>
      <c r="E4460" t="s">
        <v>354</v>
      </c>
      <c r="F4460" t="s">
        <v>385</v>
      </c>
      <c r="G4460" t="s">
        <v>37</v>
      </c>
      <c r="H4460" t="s">
        <v>43</v>
      </c>
      <c r="I4460" s="187"/>
      <c r="J4460" s="187">
        <v>45</v>
      </c>
      <c r="K4460" s="187">
        <v>1240.711267016331</v>
      </c>
      <c r="L4460" s="187">
        <v>0</v>
      </c>
      <c r="M4460" s="187">
        <v>1285.7113037109375</v>
      </c>
      <c r="N4460" s="187">
        <v>0</v>
      </c>
      <c r="O4460" t="s">
        <v>4916</v>
      </c>
    </row>
    <row r="4461" spans="1:15" hidden="1" x14ac:dyDescent="0.45">
      <c r="A4461" s="187">
        <v>2021</v>
      </c>
      <c r="B4461" t="s">
        <v>309</v>
      </c>
      <c r="C4461" t="s">
        <v>322</v>
      </c>
      <c r="D4461" t="s">
        <v>35</v>
      </c>
      <c r="E4461" t="s">
        <v>354</v>
      </c>
      <c r="F4461" t="s">
        <v>385</v>
      </c>
      <c r="G4461" t="s">
        <v>37</v>
      </c>
      <c r="H4461" t="s">
        <v>43</v>
      </c>
      <c r="I4461" s="187"/>
      <c r="J4461" s="187">
        <v>52.348500000000001</v>
      </c>
      <c r="K4461" s="187">
        <v>1355.863152982691</v>
      </c>
      <c r="L4461" s="187">
        <v>0</v>
      </c>
      <c r="M4461" s="187">
        <v>1408.211669921875</v>
      </c>
      <c r="N4461" s="187">
        <v>0</v>
      </c>
      <c r="O4461" t="s">
        <v>4919</v>
      </c>
    </row>
    <row r="4462" spans="1:15" hidden="1" x14ac:dyDescent="0.45">
      <c r="A4462" s="187">
        <v>2021</v>
      </c>
      <c r="B4462" t="s">
        <v>317</v>
      </c>
      <c r="C4462" t="s">
        <v>322</v>
      </c>
      <c r="D4462" t="s">
        <v>35</v>
      </c>
      <c r="E4462" t="s">
        <v>354</v>
      </c>
      <c r="F4462" t="s">
        <v>386</v>
      </c>
      <c r="G4462" t="s">
        <v>36</v>
      </c>
      <c r="H4462" t="s">
        <v>43</v>
      </c>
      <c r="I4462" s="187">
        <v>0</v>
      </c>
      <c r="J4462" s="187">
        <v>91.843273133365187</v>
      </c>
      <c r="K4462" s="187">
        <v>1438.6575381456475</v>
      </c>
      <c r="L4462" s="187">
        <v>153.43229158750421</v>
      </c>
      <c r="M4462" s="187">
        <v>1683.93310546875</v>
      </c>
      <c r="N4462" s="187">
        <v>153.43229675292969</v>
      </c>
      <c r="O4462" t="s">
        <v>4929</v>
      </c>
    </row>
    <row r="4463" spans="1:15" hidden="1" x14ac:dyDescent="0.45">
      <c r="A4463" s="187">
        <v>2021</v>
      </c>
      <c r="B4463" t="s">
        <v>314</v>
      </c>
      <c r="C4463" t="s">
        <v>322</v>
      </c>
      <c r="D4463" t="s">
        <v>35</v>
      </c>
      <c r="E4463" t="s">
        <v>354</v>
      </c>
      <c r="F4463" t="s">
        <v>386</v>
      </c>
      <c r="G4463" t="s">
        <v>36</v>
      </c>
      <c r="H4463" t="s">
        <v>43</v>
      </c>
      <c r="I4463" s="187">
        <v>0</v>
      </c>
      <c r="J4463" s="187">
        <v>58.241033054944985</v>
      </c>
      <c r="K4463" s="187">
        <v>3879.3686427237858</v>
      </c>
      <c r="L4463" s="187">
        <v>297.02926858021942</v>
      </c>
      <c r="M4463" s="187">
        <v>4234.638671875</v>
      </c>
      <c r="N4463" s="187">
        <v>297.02926635742188</v>
      </c>
      <c r="O4463" t="s">
        <v>4927</v>
      </c>
    </row>
    <row r="4464" spans="1:15" hidden="1" x14ac:dyDescent="0.45">
      <c r="A4464" s="187">
        <v>2021</v>
      </c>
      <c r="B4464" t="s">
        <v>315</v>
      </c>
      <c r="C4464" t="s">
        <v>322</v>
      </c>
      <c r="D4464" t="s">
        <v>35</v>
      </c>
      <c r="E4464" t="s">
        <v>354</v>
      </c>
      <c r="F4464" t="s">
        <v>386</v>
      </c>
      <c r="G4464" t="s">
        <v>36</v>
      </c>
      <c r="H4464" t="s">
        <v>43</v>
      </c>
      <c r="I4464" s="187">
        <v>0</v>
      </c>
      <c r="J4464" s="187">
        <v>56.639871809250089</v>
      </c>
      <c r="K4464" s="187">
        <v>3527.5828437852365</v>
      </c>
      <c r="L4464" s="187">
        <v>805.41897712753632</v>
      </c>
      <c r="M4464" s="187">
        <v>4389.6416015625</v>
      </c>
      <c r="N4464" s="187">
        <v>805.41900634765625</v>
      </c>
      <c r="O4464" t="s">
        <v>4925</v>
      </c>
    </row>
    <row r="4465" spans="1:15" hidden="1" x14ac:dyDescent="0.45">
      <c r="A4465" s="187">
        <v>2021</v>
      </c>
      <c r="B4465" t="s">
        <v>313</v>
      </c>
      <c r="C4465" t="s">
        <v>322</v>
      </c>
      <c r="D4465" t="s">
        <v>35</v>
      </c>
      <c r="E4465" t="s">
        <v>354</v>
      </c>
      <c r="F4465" t="s">
        <v>386</v>
      </c>
      <c r="G4465" t="s">
        <v>36</v>
      </c>
      <c r="H4465" t="s">
        <v>43</v>
      </c>
      <c r="I4465" s="187">
        <v>0</v>
      </c>
      <c r="J4465" s="187">
        <v>59.894593726603141</v>
      </c>
      <c r="K4465" s="187">
        <v>2277.5315971020759</v>
      </c>
      <c r="L4465" s="187">
        <v>239.57837490641256</v>
      </c>
      <c r="M4465" s="187">
        <v>2577.004638671875</v>
      </c>
      <c r="N4465" s="187">
        <v>239.578369140625</v>
      </c>
      <c r="O4465" t="s">
        <v>4923</v>
      </c>
    </row>
    <row r="4466" spans="1:15" hidden="1" x14ac:dyDescent="0.45">
      <c r="A4466" s="187">
        <v>2021</v>
      </c>
      <c r="B4466" t="s">
        <v>312</v>
      </c>
      <c r="C4466" t="s">
        <v>322</v>
      </c>
      <c r="D4466" t="s">
        <v>35</v>
      </c>
      <c r="E4466" t="s">
        <v>354</v>
      </c>
      <c r="F4466" t="s">
        <v>386</v>
      </c>
      <c r="G4466" t="s">
        <v>36</v>
      </c>
      <c r="H4466" t="s">
        <v>43</v>
      </c>
      <c r="I4466" s="187">
        <v>0</v>
      </c>
      <c r="J4466" s="187">
        <v>61.828711797667012</v>
      </c>
      <c r="K4466" s="187">
        <v>2899.7509129515706</v>
      </c>
      <c r="L4466" s="187">
        <v>243.60512448280804</v>
      </c>
      <c r="M4466" s="187">
        <v>3205.184814453125</v>
      </c>
      <c r="N4466" s="187">
        <v>243.60511779785156</v>
      </c>
      <c r="O4466" t="s">
        <v>4926</v>
      </c>
    </row>
    <row r="4467" spans="1:15" hidden="1" x14ac:dyDescent="0.45">
      <c r="A4467" s="187">
        <v>2021</v>
      </c>
      <c r="B4467" t="s">
        <v>309</v>
      </c>
      <c r="C4467" t="s">
        <v>322</v>
      </c>
      <c r="D4467" t="s">
        <v>35</v>
      </c>
      <c r="E4467" t="s">
        <v>354</v>
      </c>
      <c r="F4467" t="s">
        <v>386</v>
      </c>
      <c r="G4467" t="s">
        <v>36</v>
      </c>
      <c r="H4467" t="s">
        <v>43</v>
      </c>
      <c r="I4467" s="187"/>
      <c r="J4467" s="187">
        <v>72.857679316165886</v>
      </c>
      <c r="K4467" s="187">
        <v>1205.6753710254827</v>
      </c>
      <c r="L4467" s="187">
        <v>102.00075104263225</v>
      </c>
      <c r="M4467" s="187">
        <v>1380.5338134765625</v>
      </c>
      <c r="N4467" s="187">
        <v>102.00074768066406</v>
      </c>
      <c r="O4467" t="s">
        <v>4928</v>
      </c>
    </row>
    <row r="4468" spans="1:15" hidden="1" x14ac:dyDescent="0.45">
      <c r="A4468" s="187">
        <v>2021</v>
      </c>
      <c r="B4468" t="s">
        <v>316</v>
      </c>
      <c r="C4468" t="s">
        <v>322</v>
      </c>
      <c r="D4468" t="s">
        <v>35</v>
      </c>
      <c r="E4468" t="s">
        <v>354</v>
      </c>
      <c r="F4468" t="s">
        <v>386</v>
      </c>
      <c r="G4468" t="s">
        <v>36</v>
      </c>
      <c r="H4468" t="s">
        <v>43</v>
      </c>
      <c r="I4468" s="187">
        <v>0</v>
      </c>
      <c r="J4468" s="187">
        <v>33.043615159071273</v>
      </c>
      <c r="K4468" s="187">
        <v>1004.0678641848348</v>
      </c>
      <c r="L4468" s="187">
        <v>37.449430513614111</v>
      </c>
      <c r="M4468" s="187">
        <v>1074.5609130859375</v>
      </c>
      <c r="N4468" s="187">
        <v>37.449432373046875</v>
      </c>
      <c r="O4468" t="s">
        <v>4924</v>
      </c>
    </row>
    <row r="4469" spans="1:15" hidden="1" x14ac:dyDescent="0.45">
      <c r="A4469" s="187">
        <v>2021</v>
      </c>
      <c r="B4469" t="s">
        <v>310</v>
      </c>
      <c r="C4469" t="s">
        <v>322</v>
      </c>
      <c r="D4469" t="s">
        <v>35</v>
      </c>
      <c r="E4469" t="s">
        <v>354</v>
      </c>
      <c r="F4469" t="s">
        <v>386</v>
      </c>
      <c r="G4469" t="s">
        <v>36</v>
      </c>
      <c r="H4469" t="s">
        <v>43</v>
      </c>
      <c r="I4469" s="187"/>
      <c r="J4469" s="187">
        <v>0</v>
      </c>
      <c r="K4469" s="187">
        <v>2081.8887956505491</v>
      </c>
      <c r="L4469" s="187">
        <v>102.00222427376713</v>
      </c>
      <c r="M4469" s="187">
        <v>2183.89111328125</v>
      </c>
      <c r="N4469" s="187">
        <v>102.00222778320313</v>
      </c>
      <c r="O4469" t="s">
        <v>4922</v>
      </c>
    </row>
    <row r="4470" spans="1:15" hidden="1" x14ac:dyDescent="0.45">
      <c r="A4470" s="187">
        <v>2021</v>
      </c>
      <c r="B4470" t="s">
        <v>311</v>
      </c>
      <c r="C4470" t="s">
        <v>322</v>
      </c>
      <c r="D4470" t="s">
        <v>35</v>
      </c>
      <c r="E4470" t="s">
        <v>354</v>
      </c>
      <c r="F4470" t="s">
        <v>386</v>
      </c>
      <c r="G4470" t="s">
        <v>36</v>
      </c>
      <c r="H4470" t="s">
        <v>43</v>
      </c>
      <c r="I4470" s="187"/>
      <c r="J4470" s="187">
        <v>63.764706132750199</v>
      </c>
      <c r="K4470" s="187">
        <v>4042.2161429549801</v>
      </c>
      <c r="L4470" s="187">
        <v>98.197647444435304</v>
      </c>
      <c r="M4470" s="187">
        <v>4204.1787109375</v>
      </c>
      <c r="N4470" s="187">
        <v>98.197647094726563</v>
      </c>
      <c r="O4470" t="s">
        <v>4921</v>
      </c>
    </row>
    <row r="4471" spans="1:15" hidden="1" x14ac:dyDescent="0.45">
      <c r="A4471" s="187">
        <v>2021</v>
      </c>
      <c r="B4471" t="s">
        <v>316</v>
      </c>
      <c r="C4471" t="s">
        <v>322</v>
      </c>
      <c r="D4471" t="s">
        <v>35</v>
      </c>
      <c r="E4471" t="s">
        <v>354</v>
      </c>
      <c r="F4471" t="s">
        <v>386</v>
      </c>
      <c r="G4471" t="s">
        <v>37</v>
      </c>
      <c r="H4471" t="s">
        <v>43</v>
      </c>
      <c r="I4471" s="187">
        <v>0</v>
      </c>
      <c r="J4471" s="187">
        <v>30</v>
      </c>
      <c r="K4471" s="187">
        <v>921.66113918099632</v>
      </c>
      <c r="L4471" s="187">
        <v>35</v>
      </c>
      <c r="M4471" s="187">
        <v>986.6611328125</v>
      </c>
      <c r="N4471" s="187">
        <v>35</v>
      </c>
      <c r="O4471" t="s">
        <v>4933</v>
      </c>
    </row>
    <row r="4472" spans="1:15" hidden="1" x14ac:dyDescent="0.45">
      <c r="A4472" s="187">
        <v>2021</v>
      </c>
      <c r="B4472" t="s">
        <v>313</v>
      </c>
      <c r="C4472" t="s">
        <v>322</v>
      </c>
      <c r="D4472" t="s">
        <v>35</v>
      </c>
      <c r="E4472" t="s">
        <v>354</v>
      </c>
      <c r="F4472" t="s">
        <v>386</v>
      </c>
      <c r="G4472" t="s">
        <v>37</v>
      </c>
      <c r="H4472" t="s">
        <v>43</v>
      </c>
      <c r="I4472" s="187"/>
      <c r="J4472" s="187">
        <v>54</v>
      </c>
      <c r="K4472" s="187">
        <v>2048.8050150012841</v>
      </c>
      <c r="L4472" s="187">
        <v>216.82597459871869</v>
      </c>
      <c r="M4472" s="187">
        <v>2319.630859375</v>
      </c>
      <c r="N4472" s="187">
        <v>216.82597351074219</v>
      </c>
      <c r="O4472" t="s">
        <v>4936</v>
      </c>
    </row>
    <row r="4473" spans="1:15" hidden="1" x14ac:dyDescent="0.45">
      <c r="A4473" s="187">
        <v>2021</v>
      </c>
      <c r="B4473" t="s">
        <v>314</v>
      </c>
      <c r="C4473" t="s">
        <v>322</v>
      </c>
      <c r="D4473" t="s">
        <v>35</v>
      </c>
      <c r="E4473" t="s">
        <v>354</v>
      </c>
      <c r="F4473" t="s">
        <v>386</v>
      </c>
      <c r="G4473" t="s">
        <v>37</v>
      </c>
      <c r="H4473" t="s">
        <v>43</v>
      </c>
      <c r="I4473" s="187">
        <v>0</v>
      </c>
      <c r="J4473" s="187">
        <v>53</v>
      </c>
      <c r="K4473" s="187">
        <v>3540.8100294142619</v>
      </c>
      <c r="L4473" s="187">
        <v>282</v>
      </c>
      <c r="M4473" s="187">
        <v>3875.81005859375</v>
      </c>
      <c r="N4473" s="187">
        <v>282</v>
      </c>
      <c r="O4473" t="s">
        <v>4930</v>
      </c>
    </row>
    <row r="4474" spans="1:15" hidden="1" x14ac:dyDescent="0.45">
      <c r="A4474" s="187">
        <v>2021</v>
      </c>
      <c r="B4474" t="s">
        <v>311</v>
      </c>
      <c r="C4474" t="s">
        <v>322</v>
      </c>
      <c r="D4474" t="s">
        <v>35</v>
      </c>
      <c r="E4474" t="s">
        <v>354</v>
      </c>
      <c r="F4474" t="s">
        <v>386</v>
      </c>
      <c r="G4474" t="s">
        <v>37</v>
      </c>
      <c r="H4474" t="s">
        <v>43</v>
      </c>
      <c r="I4474" s="187"/>
      <c r="J4474" s="187">
        <v>56</v>
      </c>
      <c r="K4474" s="187">
        <v>3543.4680280894818</v>
      </c>
      <c r="L4474" s="187">
        <v>91</v>
      </c>
      <c r="M4474" s="187">
        <v>3690.468017578125</v>
      </c>
      <c r="N4474" s="187">
        <v>91</v>
      </c>
      <c r="O4474" t="s">
        <v>4932</v>
      </c>
    </row>
    <row r="4475" spans="1:15" hidden="1" x14ac:dyDescent="0.45">
      <c r="A4475" s="187">
        <v>2021</v>
      </c>
      <c r="B4475" t="s">
        <v>309</v>
      </c>
      <c r="C4475" t="s">
        <v>322</v>
      </c>
      <c r="D4475" t="s">
        <v>35</v>
      </c>
      <c r="E4475" t="s">
        <v>354</v>
      </c>
      <c r="F4475" t="s">
        <v>386</v>
      </c>
      <c r="G4475" t="s">
        <v>37</v>
      </c>
      <c r="H4475" t="s">
        <v>43</v>
      </c>
      <c r="I4475" s="187"/>
      <c r="J4475" s="187">
        <v>63.981499999999997</v>
      </c>
      <c r="K4475" s="187">
        <v>1087.2302923490799</v>
      </c>
      <c r="L4475" s="187">
        <v>96</v>
      </c>
      <c r="M4475" s="187">
        <v>1247.2117919921875</v>
      </c>
      <c r="N4475" s="187">
        <v>96</v>
      </c>
      <c r="O4475" t="s">
        <v>4938</v>
      </c>
    </row>
    <row r="4476" spans="1:15" hidden="1" x14ac:dyDescent="0.45">
      <c r="A4476" s="187">
        <v>2021</v>
      </c>
      <c r="B4476" t="s">
        <v>317</v>
      </c>
      <c r="C4476" t="s">
        <v>322</v>
      </c>
      <c r="D4476" t="s">
        <v>35</v>
      </c>
      <c r="E4476" t="s">
        <v>354</v>
      </c>
      <c r="F4476" t="s">
        <v>386</v>
      </c>
      <c r="G4476" t="s">
        <v>37</v>
      </c>
      <c r="H4476" t="s">
        <v>43</v>
      </c>
      <c r="I4476" s="187">
        <v>0</v>
      </c>
      <c r="J4476" s="187">
        <v>85</v>
      </c>
      <c r="K4476" s="187">
        <v>1331.4626817013509</v>
      </c>
      <c r="L4476" s="187">
        <v>142</v>
      </c>
      <c r="M4476" s="187">
        <v>1558.462646484375</v>
      </c>
      <c r="N4476" s="187">
        <v>142</v>
      </c>
      <c r="O4476" t="s">
        <v>4935</v>
      </c>
    </row>
    <row r="4477" spans="1:15" hidden="1" x14ac:dyDescent="0.45">
      <c r="A4477" s="187">
        <v>2021</v>
      </c>
      <c r="B4477" t="s">
        <v>310</v>
      </c>
      <c r="C4477" t="s">
        <v>322</v>
      </c>
      <c r="D4477" t="s">
        <v>35</v>
      </c>
      <c r="E4477" t="s">
        <v>354</v>
      </c>
      <c r="F4477" t="s">
        <v>386</v>
      </c>
      <c r="G4477" t="s">
        <v>37</v>
      </c>
      <c r="H4477" t="s">
        <v>43</v>
      </c>
      <c r="I4477" s="187"/>
      <c r="J4477" s="187">
        <v>0</v>
      </c>
      <c r="K4477" s="187">
        <v>1836.021624823964</v>
      </c>
      <c r="L4477" s="187">
        <v>93</v>
      </c>
      <c r="M4477" s="187">
        <v>1929.0216064453125</v>
      </c>
      <c r="N4477" s="187">
        <v>93</v>
      </c>
      <c r="O4477" t="s">
        <v>4934</v>
      </c>
    </row>
    <row r="4478" spans="1:15" hidden="1" x14ac:dyDescent="0.45">
      <c r="A4478" s="187">
        <v>2021</v>
      </c>
      <c r="B4478" t="s">
        <v>315</v>
      </c>
      <c r="C4478" t="s">
        <v>322</v>
      </c>
      <c r="D4478" t="s">
        <v>35</v>
      </c>
      <c r="E4478" t="s">
        <v>354</v>
      </c>
      <c r="F4478" t="s">
        <v>386</v>
      </c>
      <c r="G4478" t="s">
        <v>37</v>
      </c>
      <c r="H4478" t="s">
        <v>43</v>
      </c>
      <c r="I4478" s="187">
        <v>0</v>
      </c>
      <c r="J4478" s="187">
        <v>51</v>
      </c>
      <c r="K4478" s="187">
        <v>3231.3686846127348</v>
      </c>
      <c r="L4478" s="187">
        <v>740</v>
      </c>
      <c r="M4478" s="187">
        <v>4022.36865234375</v>
      </c>
      <c r="N4478" s="187">
        <v>740</v>
      </c>
      <c r="O4478" t="s">
        <v>4937</v>
      </c>
    </row>
    <row r="4479" spans="1:15" hidden="1" x14ac:dyDescent="0.45">
      <c r="A4479" s="187">
        <v>2021</v>
      </c>
      <c r="B4479" t="s">
        <v>312</v>
      </c>
      <c r="C4479" t="s">
        <v>322</v>
      </c>
      <c r="D4479" t="s">
        <v>35</v>
      </c>
      <c r="E4479" t="s">
        <v>354</v>
      </c>
      <c r="F4479" t="s">
        <v>386</v>
      </c>
      <c r="G4479" t="s">
        <v>37</v>
      </c>
      <c r="H4479" t="s">
        <v>43</v>
      </c>
      <c r="I4479" s="187"/>
      <c r="J4479" s="187">
        <v>55</v>
      </c>
      <c r="K4479" s="187">
        <v>2581.0709774813458</v>
      </c>
      <c r="L4479" s="187">
        <v>217</v>
      </c>
      <c r="M4479" s="187">
        <v>2853.071044921875</v>
      </c>
      <c r="N4479" s="187">
        <v>217</v>
      </c>
      <c r="O4479" t="s">
        <v>4931</v>
      </c>
    </row>
    <row r="4480" spans="1:15" hidden="1" x14ac:dyDescent="0.45">
      <c r="A4480" s="187">
        <v>2021</v>
      </c>
      <c r="B4480" t="s">
        <v>313</v>
      </c>
      <c r="C4480" t="s">
        <v>322</v>
      </c>
      <c r="D4480" t="s">
        <v>35</v>
      </c>
      <c r="E4480" t="s">
        <v>354</v>
      </c>
      <c r="F4480" t="s">
        <v>387</v>
      </c>
      <c r="G4480" t="s">
        <v>36</v>
      </c>
      <c r="H4480" t="s">
        <v>43</v>
      </c>
      <c r="I4480" s="187">
        <v>0</v>
      </c>
      <c r="J4480" s="187">
        <v>107.81026870788565</v>
      </c>
      <c r="K4480" s="187">
        <v>4136.5347222827741</v>
      </c>
      <c r="L4480" s="187">
        <v>239.57837490641256</v>
      </c>
      <c r="M4480" s="187">
        <v>4483.923828125</v>
      </c>
      <c r="N4480" s="187">
        <v>239.578369140625</v>
      </c>
      <c r="O4480" t="s">
        <v>4947</v>
      </c>
    </row>
    <row r="4481" spans="1:15" hidden="1" x14ac:dyDescent="0.45">
      <c r="A4481" s="187">
        <v>2021</v>
      </c>
      <c r="B4481" t="s">
        <v>317</v>
      </c>
      <c r="C4481" t="s">
        <v>322</v>
      </c>
      <c r="D4481" t="s">
        <v>35</v>
      </c>
      <c r="E4481" t="s">
        <v>354</v>
      </c>
      <c r="F4481" t="s">
        <v>387</v>
      </c>
      <c r="G4481" t="s">
        <v>36</v>
      </c>
      <c r="H4481" t="s">
        <v>43</v>
      </c>
      <c r="I4481" s="187">
        <v>25.932218296479583</v>
      </c>
      <c r="J4481" s="187">
        <v>145.86872791769767</v>
      </c>
      <c r="K4481" s="187">
        <v>4473.467758943576</v>
      </c>
      <c r="L4481" s="187">
        <v>680.7207302825891</v>
      </c>
      <c r="M4481" s="187">
        <v>5325.9892578125</v>
      </c>
      <c r="N4481" s="187">
        <v>706.6529541015625</v>
      </c>
      <c r="O4481" t="s">
        <v>4939</v>
      </c>
    </row>
    <row r="4482" spans="1:15" hidden="1" x14ac:dyDescent="0.45">
      <c r="A4482" s="187">
        <v>2021</v>
      </c>
      <c r="B4482" t="s">
        <v>310</v>
      </c>
      <c r="C4482" t="s">
        <v>322</v>
      </c>
      <c r="D4482" t="s">
        <v>35</v>
      </c>
      <c r="E4482" t="s">
        <v>354</v>
      </c>
      <c r="F4482" t="s">
        <v>387</v>
      </c>
      <c r="G4482" t="s">
        <v>36</v>
      </c>
      <c r="H4482" t="s">
        <v>43</v>
      </c>
      <c r="I4482" s="187"/>
      <c r="J4482" s="187">
        <v>0</v>
      </c>
      <c r="K4482" s="187">
        <v>3565.6213456473802</v>
      </c>
      <c r="L4482" s="187">
        <v>102.00222427376713</v>
      </c>
      <c r="M4482" s="187">
        <v>3667.62353515625</v>
      </c>
      <c r="N4482" s="187">
        <v>102.00222778320313</v>
      </c>
      <c r="O4482" t="s">
        <v>4942</v>
      </c>
    </row>
    <row r="4483" spans="1:15" hidden="1" x14ac:dyDescent="0.45">
      <c r="A4483" s="187">
        <v>2021</v>
      </c>
      <c r="B4483" t="s">
        <v>316</v>
      </c>
      <c r="C4483" t="s">
        <v>322</v>
      </c>
      <c r="D4483" t="s">
        <v>35</v>
      </c>
      <c r="E4483" t="s">
        <v>354</v>
      </c>
      <c r="F4483" t="s">
        <v>387</v>
      </c>
      <c r="G4483" t="s">
        <v>36</v>
      </c>
      <c r="H4483" t="s">
        <v>43</v>
      </c>
      <c r="I4483" s="187">
        <v>0</v>
      </c>
      <c r="J4483" s="187">
        <v>164.99778502762922</v>
      </c>
      <c r="K4483" s="187">
        <v>4243.8511161012257</v>
      </c>
      <c r="L4483" s="187">
        <v>563.94436538148307</v>
      </c>
      <c r="M4483" s="187">
        <v>4972.79345703125</v>
      </c>
      <c r="N4483" s="187">
        <v>563.9443359375</v>
      </c>
      <c r="O4483" t="s">
        <v>4945</v>
      </c>
    </row>
    <row r="4484" spans="1:15" hidden="1" x14ac:dyDescent="0.45">
      <c r="A4484" s="187">
        <v>2021</v>
      </c>
      <c r="B4484" t="s">
        <v>314</v>
      </c>
      <c r="C4484" t="s">
        <v>322</v>
      </c>
      <c r="D4484" t="s">
        <v>35</v>
      </c>
      <c r="E4484" t="s">
        <v>354</v>
      </c>
      <c r="F4484" t="s">
        <v>387</v>
      </c>
      <c r="G4484" t="s">
        <v>36</v>
      </c>
      <c r="H4484" t="s">
        <v>43</v>
      </c>
      <c r="I4484" s="187">
        <v>0</v>
      </c>
      <c r="J4484" s="187">
        <v>104.83385949890098</v>
      </c>
      <c r="K4484" s="187">
        <v>4639.4937559667733</v>
      </c>
      <c r="L4484" s="187">
        <v>297.02926858021942</v>
      </c>
      <c r="M4484" s="187">
        <v>5041.35693359375</v>
      </c>
      <c r="N4484" s="187">
        <v>297.02926635742188</v>
      </c>
      <c r="O4484" t="s">
        <v>4946</v>
      </c>
    </row>
    <row r="4485" spans="1:15" hidden="1" x14ac:dyDescent="0.45">
      <c r="A4485" s="187">
        <v>2021</v>
      </c>
      <c r="B4485" t="s">
        <v>312</v>
      </c>
      <c r="C4485" t="s">
        <v>322</v>
      </c>
      <c r="D4485" t="s">
        <v>35</v>
      </c>
      <c r="E4485" t="s">
        <v>354</v>
      </c>
      <c r="F4485" t="s">
        <v>387</v>
      </c>
      <c r="G4485" t="s">
        <v>36</v>
      </c>
      <c r="H4485" t="s">
        <v>43</v>
      </c>
      <c r="I4485" s="187">
        <v>0</v>
      </c>
      <c r="J4485" s="187">
        <v>105.10881005603392</v>
      </c>
      <c r="K4485" s="187">
        <v>5140.4858359703048</v>
      </c>
      <c r="L4485" s="187">
        <v>243.60512448280804</v>
      </c>
      <c r="M4485" s="187">
        <v>5489.19970703125</v>
      </c>
      <c r="N4485" s="187">
        <v>243.60511779785156</v>
      </c>
      <c r="O4485" t="s">
        <v>4943</v>
      </c>
    </row>
    <row r="4486" spans="1:15" hidden="1" x14ac:dyDescent="0.45">
      <c r="A4486" s="187">
        <v>2021</v>
      </c>
      <c r="B4486" t="s">
        <v>315</v>
      </c>
      <c r="C4486" t="s">
        <v>322</v>
      </c>
      <c r="D4486" t="s">
        <v>35</v>
      </c>
      <c r="E4486" t="s">
        <v>354</v>
      </c>
      <c r="F4486" t="s">
        <v>387</v>
      </c>
      <c r="G4486" t="s">
        <v>36</v>
      </c>
      <c r="H4486" t="s">
        <v>43</v>
      </c>
      <c r="I4486" s="187">
        <v>0</v>
      </c>
      <c r="J4486" s="187">
        <v>101.95176925665017</v>
      </c>
      <c r="K4486" s="187">
        <v>4659.4927832006342</v>
      </c>
      <c r="L4486" s="187">
        <v>982.1353771723966</v>
      </c>
      <c r="M4486" s="187">
        <v>5743.57958984375</v>
      </c>
      <c r="N4486" s="187">
        <v>982.1353759765625</v>
      </c>
      <c r="O4486" t="s">
        <v>4941</v>
      </c>
    </row>
    <row r="4487" spans="1:15" hidden="1" x14ac:dyDescent="0.45">
      <c r="A4487" s="187">
        <v>2021</v>
      </c>
      <c r="B4487" t="s">
        <v>309</v>
      </c>
      <c r="C4487" t="s">
        <v>322</v>
      </c>
      <c r="D4487" t="s">
        <v>35</v>
      </c>
      <c r="E4487" t="s">
        <v>354</v>
      </c>
      <c r="F4487" t="s">
        <v>387</v>
      </c>
      <c r="G4487" t="s">
        <v>36</v>
      </c>
      <c r="H4487" t="s">
        <v>43</v>
      </c>
      <c r="I4487" s="187"/>
      <c r="J4487" s="187">
        <v>132.46850784757436</v>
      </c>
      <c r="K4487" s="187">
        <v>2709.2490127239416</v>
      </c>
      <c r="L4487" s="187">
        <v>102.00075104263225</v>
      </c>
      <c r="M4487" s="187">
        <v>2943.71826171875</v>
      </c>
      <c r="N4487" s="187">
        <v>102.00074768066406</v>
      </c>
      <c r="O4487" t="s">
        <v>4940</v>
      </c>
    </row>
    <row r="4488" spans="1:15" hidden="1" x14ac:dyDescent="0.45">
      <c r="A4488" s="187">
        <v>2021</v>
      </c>
      <c r="B4488" t="s">
        <v>311</v>
      </c>
      <c r="C4488" t="s">
        <v>322</v>
      </c>
      <c r="D4488" t="s">
        <v>35</v>
      </c>
      <c r="E4488" t="s">
        <v>354</v>
      </c>
      <c r="F4488" t="s">
        <v>387</v>
      </c>
      <c r="G4488" t="s">
        <v>36</v>
      </c>
      <c r="H4488" t="s">
        <v>43</v>
      </c>
      <c r="I4488" s="187"/>
      <c r="J4488" s="187">
        <v>114.77647103895036</v>
      </c>
      <c r="K4488" s="187">
        <v>5457.5592679735464</v>
      </c>
      <c r="L4488" s="187">
        <v>98.197647444435304</v>
      </c>
      <c r="M4488" s="187">
        <v>5670.53369140625</v>
      </c>
      <c r="N4488" s="187">
        <v>98.197647094726563</v>
      </c>
      <c r="O4488" t="s">
        <v>4944</v>
      </c>
    </row>
    <row r="4489" spans="1:15" hidden="1" x14ac:dyDescent="0.45">
      <c r="A4489" s="187">
        <v>2021</v>
      </c>
      <c r="B4489" t="s">
        <v>315</v>
      </c>
      <c r="C4489" t="s">
        <v>322</v>
      </c>
      <c r="D4489" t="s">
        <v>35</v>
      </c>
      <c r="E4489" t="s">
        <v>354</v>
      </c>
      <c r="F4489" t="s">
        <v>387</v>
      </c>
      <c r="G4489" t="s">
        <v>37</v>
      </c>
      <c r="H4489" t="s">
        <v>43</v>
      </c>
      <c r="I4489" s="187">
        <v>0</v>
      </c>
      <c r="J4489" s="187">
        <v>92</v>
      </c>
      <c r="K4489" s="187">
        <v>4268.2311748793127</v>
      </c>
      <c r="L4489" s="187">
        <v>902</v>
      </c>
      <c r="M4489" s="187">
        <v>5262.23095703125</v>
      </c>
      <c r="N4489" s="187">
        <v>902</v>
      </c>
      <c r="O4489" t="s">
        <v>4955</v>
      </c>
    </row>
    <row r="4490" spans="1:15" hidden="1" x14ac:dyDescent="0.45">
      <c r="A4490" s="187">
        <v>2021</v>
      </c>
      <c r="B4490" t="s">
        <v>311</v>
      </c>
      <c r="C4490" t="s">
        <v>322</v>
      </c>
      <c r="D4490" t="s">
        <v>35</v>
      </c>
      <c r="E4490" t="s">
        <v>354</v>
      </c>
      <c r="F4490" t="s">
        <v>387</v>
      </c>
      <c r="G4490" t="s">
        <v>37</v>
      </c>
      <c r="H4490" t="s">
        <v>43</v>
      </c>
      <c r="I4490" s="187"/>
      <c r="J4490" s="187">
        <v>101</v>
      </c>
      <c r="K4490" s="187">
        <v>4784.1792951058133</v>
      </c>
      <c r="L4490" s="187">
        <v>91</v>
      </c>
      <c r="M4490" s="187">
        <v>4976.17919921875</v>
      </c>
      <c r="N4490" s="187">
        <v>91</v>
      </c>
      <c r="O4490" t="s">
        <v>4950</v>
      </c>
    </row>
    <row r="4491" spans="1:15" hidden="1" x14ac:dyDescent="0.45">
      <c r="A4491" s="187">
        <v>2021</v>
      </c>
      <c r="B4491" t="s">
        <v>313</v>
      </c>
      <c r="C4491" t="s">
        <v>322</v>
      </c>
      <c r="D4491" t="s">
        <v>35</v>
      </c>
      <c r="E4491" t="s">
        <v>354</v>
      </c>
      <c r="F4491" t="s">
        <v>387</v>
      </c>
      <c r="G4491" t="s">
        <v>37</v>
      </c>
      <c r="H4491" t="s">
        <v>43</v>
      </c>
      <c r="I4491" s="187">
        <v>0</v>
      </c>
      <c r="J4491" s="187">
        <v>97</v>
      </c>
      <c r="K4491" s="187">
        <v>3721.1132853319759</v>
      </c>
      <c r="L4491" s="187">
        <v>216.82597459871869</v>
      </c>
      <c r="M4491" s="187">
        <v>4034.939208984375</v>
      </c>
      <c r="N4491" s="187">
        <v>216.82597351074219</v>
      </c>
      <c r="O4491" t="s">
        <v>4953</v>
      </c>
    </row>
    <row r="4492" spans="1:15" hidden="1" x14ac:dyDescent="0.45">
      <c r="A4492" s="187">
        <v>2021</v>
      </c>
      <c r="B4492" t="s">
        <v>314</v>
      </c>
      <c r="C4492" t="s">
        <v>322</v>
      </c>
      <c r="D4492" t="s">
        <v>35</v>
      </c>
      <c r="E4492" t="s">
        <v>354</v>
      </c>
      <c r="F4492" t="s">
        <v>387</v>
      </c>
      <c r="G4492" t="s">
        <v>37</v>
      </c>
      <c r="H4492" t="s">
        <v>43</v>
      </c>
      <c r="I4492" s="187">
        <v>0</v>
      </c>
      <c r="J4492" s="187">
        <v>95</v>
      </c>
      <c r="K4492" s="187">
        <v>4234.5978264643227</v>
      </c>
      <c r="L4492" s="187">
        <v>282</v>
      </c>
      <c r="M4492" s="187">
        <v>4611.59765625</v>
      </c>
      <c r="N4492" s="187">
        <v>282</v>
      </c>
      <c r="O4492" t="s">
        <v>4948</v>
      </c>
    </row>
    <row r="4493" spans="1:15" hidden="1" x14ac:dyDescent="0.45">
      <c r="A4493" s="187">
        <v>2021</v>
      </c>
      <c r="B4493" t="s">
        <v>312</v>
      </c>
      <c r="C4493" t="s">
        <v>322</v>
      </c>
      <c r="D4493" t="s">
        <v>35</v>
      </c>
      <c r="E4493" t="s">
        <v>354</v>
      </c>
      <c r="F4493" t="s">
        <v>387</v>
      </c>
      <c r="G4493" t="s">
        <v>37</v>
      </c>
      <c r="H4493" t="s">
        <v>43</v>
      </c>
      <c r="I4493" s="187">
        <v>0</v>
      </c>
      <c r="J4493" s="187">
        <v>94</v>
      </c>
      <c r="K4493" s="187">
        <v>4575.5512110079226</v>
      </c>
      <c r="L4493" s="187">
        <v>217</v>
      </c>
      <c r="M4493" s="187">
        <v>4886.55126953125</v>
      </c>
      <c r="N4493" s="187">
        <v>217</v>
      </c>
      <c r="O4493" t="s">
        <v>4954</v>
      </c>
    </row>
    <row r="4494" spans="1:15" hidden="1" x14ac:dyDescent="0.45">
      <c r="A4494" s="187">
        <v>2021</v>
      </c>
      <c r="B4494" t="s">
        <v>316</v>
      </c>
      <c r="C4494" t="s">
        <v>322</v>
      </c>
      <c r="D4494" t="s">
        <v>35</v>
      </c>
      <c r="E4494" t="s">
        <v>354</v>
      </c>
      <c r="F4494" t="s">
        <v>387</v>
      </c>
      <c r="G4494" t="s">
        <v>37</v>
      </c>
      <c r="H4494" t="s">
        <v>43</v>
      </c>
      <c r="I4494" s="187">
        <v>0</v>
      </c>
      <c r="J4494" s="187">
        <v>149.80000000000001</v>
      </c>
      <c r="K4494" s="187">
        <v>3895.5461017128682</v>
      </c>
      <c r="L4494" s="187">
        <v>526</v>
      </c>
      <c r="M4494" s="187">
        <v>4571.34619140625</v>
      </c>
      <c r="N4494" s="187">
        <v>526</v>
      </c>
      <c r="O4494" t="s">
        <v>4949</v>
      </c>
    </row>
    <row r="4495" spans="1:15" hidden="1" x14ac:dyDescent="0.45">
      <c r="A4495" s="187">
        <v>2021</v>
      </c>
      <c r="B4495" t="s">
        <v>317</v>
      </c>
      <c r="C4495" t="s">
        <v>322</v>
      </c>
      <c r="D4495" t="s">
        <v>35</v>
      </c>
      <c r="E4495" t="s">
        <v>354</v>
      </c>
      <c r="F4495" t="s">
        <v>387</v>
      </c>
      <c r="G4495" t="s">
        <v>37</v>
      </c>
      <c r="H4495" t="s">
        <v>43</v>
      </c>
      <c r="I4495" s="187">
        <v>24</v>
      </c>
      <c r="J4495" s="187">
        <v>135</v>
      </c>
      <c r="K4495" s="187">
        <v>4140.1481734873742</v>
      </c>
      <c r="L4495" s="187">
        <v>630</v>
      </c>
      <c r="M4495" s="187">
        <v>4929.14794921875</v>
      </c>
      <c r="N4495" s="187">
        <v>654</v>
      </c>
      <c r="O4495" t="s">
        <v>4956</v>
      </c>
    </row>
    <row r="4496" spans="1:15" hidden="1" x14ac:dyDescent="0.45">
      <c r="A4496" s="187">
        <v>2021</v>
      </c>
      <c r="B4496" t="s">
        <v>309</v>
      </c>
      <c r="C4496" t="s">
        <v>322</v>
      </c>
      <c r="D4496" t="s">
        <v>35</v>
      </c>
      <c r="E4496" t="s">
        <v>354</v>
      </c>
      <c r="F4496" t="s">
        <v>387</v>
      </c>
      <c r="G4496" t="s">
        <v>37</v>
      </c>
      <c r="H4496" t="s">
        <v>43</v>
      </c>
      <c r="I4496" s="187"/>
      <c r="J4496" s="187">
        <v>116.33</v>
      </c>
      <c r="K4496" s="187">
        <v>2443.0934453317709</v>
      </c>
      <c r="L4496" s="187">
        <v>96</v>
      </c>
      <c r="M4496" s="187">
        <v>2655.42333984375</v>
      </c>
      <c r="N4496" s="187">
        <v>96</v>
      </c>
      <c r="O4496" t="s">
        <v>4951</v>
      </c>
    </row>
    <row r="4497" spans="1:15" hidden="1" x14ac:dyDescent="0.45">
      <c r="A4497" s="187">
        <v>2021</v>
      </c>
      <c r="B4497" t="s">
        <v>310</v>
      </c>
      <c r="C4497" t="s">
        <v>322</v>
      </c>
      <c r="D4497" t="s">
        <v>35</v>
      </c>
      <c r="E4497" t="s">
        <v>354</v>
      </c>
      <c r="F4497" t="s">
        <v>387</v>
      </c>
      <c r="G4497" t="s">
        <v>37</v>
      </c>
      <c r="H4497" t="s">
        <v>43</v>
      </c>
      <c r="I4497" s="187"/>
      <c r="J4497" s="187">
        <v>0</v>
      </c>
      <c r="K4497" s="187">
        <v>3144.5281372470431</v>
      </c>
      <c r="L4497" s="187">
        <v>93</v>
      </c>
      <c r="M4497" s="187">
        <v>3237.528076171875</v>
      </c>
      <c r="N4497" s="187">
        <v>93</v>
      </c>
      <c r="O4497" t="s">
        <v>4952</v>
      </c>
    </row>
    <row r="4498" spans="1:15" hidden="1" x14ac:dyDescent="0.45">
      <c r="A4498" s="187">
        <v>2021</v>
      </c>
      <c r="B4498" t="s">
        <v>317</v>
      </c>
      <c r="C4498" t="s">
        <v>322</v>
      </c>
      <c r="D4498" t="s">
        <v>35</v>
      </c>
      <c r="E4498" t="s">
        <v>17</v>
      </c>
      <c r="F4498" t="s">
        <v>17</v>
      </c>
      <c r="G4498" t="s">
        <v>36</v>
      </c>
      <c r="H4498" t="s">
        <v>43</v>
      </c>
      <c r="I4498" s="187">
        <v>4157.797919693131</v>
      </c>
      <c r="J4498" s="187">
        <v>183.68654626673037</v>
      </c>
      <c r="K4498" s="187">
        <v>1743.363936254706</v>
      </c>
      <c r="L4498" s="187">
        <v>3177.7772504144355</v>
      </c>
      <c r="M4498" s="187">
        <v>9262.625</v>
      </c>
      <c r="N4498" s="187">
        <v>7335.5751953125</v>
      </c>
      <c r="O4498" t="s">
        <v>4963</v>
      </c>
    </row>
    <row r="4499" spans="1:15" hidden="1" x14ac:dyDescent="0.45">
      <c r="A4499" s="187">
        <v>2021</v>
      </c>
      <c r="B4499" t="s">
        <v>314</v>
      </c>
      <c r="C4499" t="s">
        <v>322</v>
      </c>
      <c r="D4499" t="s">
        <v>35</v>
      </c>
      <c r="E4499" t="s">
        <v>17</v>
      </c>
      <c r="F4499" t="s">
        <v>17</v>
      </c>
      <c r="G4499" t="s">
        <v>36</v>
      </c>
      <c r="H4499" t="s">
        <v>43</v>
      </c>
      <c r="I4499" s="187">
        <v>3762.370735349446</v>
      </c>
      <c r="J4499" s="187">
        <v>81.537446276922978</v>
      </c>
      <c r="K4499" s="187">
        <v>1546.5802749535228</v>
      </c>
      <c r="L4499" s="187">
        <v>1438.5535164571411</v>
      </c>
      <c r="M4499" s="187">
        <v>6829.0419921875</v>
      </c>
      <c r="N4499" s="187">
        <v>5200.92431640625</v>
      </c>
      <c r="O4499" t="s">
        <v>4964</v>
      </c>
    </row>
    <row r="4500" spans="1:15" hidden="1" x14ac:dyDescent="0.45">
      <c r="A4500" s="187">
        <v>2021</v>
      </c>
      <c r="B4500" t="s">
        <v>315</v>
      </c>
      <c r="C4500" t="s">
        <v>322</v>
      </c>
      <c r="D4500" t="s">
        <v>35</v>
      </c>
      <c r="E4500" t="s">
        <v>17</v>
      </c>
      <c r="F4500" t="s">
        <v>17</v>
      </c>
      <c r="G4500" t="s">
        <v>36</v>
      </c>
      <c r="H4500" t="s">
        <v>43</v>
      </c>
      <c r="I4500" s="187">
        <v>4684.1173986249823</v>
      </c>
      <c r="J4500" s="187">
        <v>79.295820532950131</v>
      </c>
      <c r="K4500" s="187">
        <v>2121.1395653402719</v>
      </c>
      <c r="L4500" s="187">
        <v>1643.6890799044377</v>
      </c>
      <c r="M4500" s="187">
        <v>8528.2421875</v>
      </c>
      <c r="N4500" s="187">
        <v>6327.80615234375</v>
      </c>
      <c r="O4500" t="s">
        <v>4960</v>
      </c>
    </row>
    <row r="4501" spans="1:15" hidden="1" x14ac:dyDescent="0.45">
      <c r="A4501" s="187">
        <v>2021</v>
      </c>
      <c r="B4501" t="s">
        <v>312</v>
      </c>
      <c r="C4501" t="s">
        <v>322</v>
      </c>
      <c r="D4501" t="s">
        <v>35</v>
      </c>
      <c r="E4501" t="s">
        <v>17</v>
      </c>
      <c r="F4501" t="s">
        <v>17</v>
      </c>
      <c r="G4501" t="s">
        <v>36</v>
      </c>
      <c r="H4501" t="s">
        <v>43</v>
      </c>
      <c r="I4501" s="187">
        <v>3456.2249894895858</v>
      </c>
      <c r="J4501" s="187">
        <v>80.377325336967118</v>
      </c>
      <c r="K4501" s="187">
        <v>2887.0875207665435</v>
      </c>
      <c r="L4501" s="187">
        <v>2006.9599849522713</v>
      </c>
      <c r="M4501" s="187">
        <v>8430.650390625</v>
      </c>
      <c r="N4501" s="187">
        <v>5463.18505859375</v>
      </c>
      <c r="O4501" t="s">
        <v>4957</v>
      </c>
    </row>
    <row r="4502" spans="1:15" hidden="1" x14ac:dyDescent="0.45">
      <c r="A4502" s="187">
        <v>2021</v>
      </c>
      <c r="B4502" t="s">
        <v>316</v>
      </c>
      <c r="C4502" t="s">
        <v>322</v>
      </c>
      <c r="D4502" t="s">
        <v>35</v>
      </c>
      <c r="E4502" t="s">
        <v>17</v>
      </c>
      <c r="F4502" t="s">
        <v>17</v>
      </c>
      <c r="G4502" t="s">
        <v>36</v>
      </c>
      <c r="H4502" t="s">
        <v>43</v>
      </c>
      <c r="I4502" s="187">
        <v>2528.0843867826452</v>
      </c>
      <c r="J4502" s="187">
        <v>272.05909814302015</v>
      </c>
      <c r="K4502" s="187">
        <v>2174.8232028101261</v>
      </c>
      <c r="L4502" s="187">
        <v>3394.6807306752553</v>
      </c>
      <c r="M4502" s="187">
        <v>8369.6474609375</v>
      </c>
      <c r="N4502" s="187">
        <v>5922.76513671875</v>
      </c>
      <c r="O4502" t="s">
        <v>4961</v>
      </c>
    </row>
    <row r="4503" spans="1:15" hidden="1" x14ac:dyDescent="0.45">
      <c r="A4503" s="187">
        <v>2021</v>
      </c>
      <c r="B4503" t="s">
        <v>311</v>
      </c>
      <c r="C4503" t="s">
        <v>322</v>
      </c>
      <c r="D4503" t="s">
        <v>35</v>
      </c>
      <c r="E4503" t="s">
        <v>17</v>
      </c>
      <c r="F4503" t="s">
        <v>17</v>
      </c>
      <c r="G4503" t="s">
        <v>36</v>
      </c>
      <c r="H4503" t="s">
        <v>43</v>
      </c>
      <c r="I4503" s="187"/>
      <c r="J4503" s="187">
        <v>57.388235519475181</v>
      </c>
      <c r="K4503" s="187">
        <v>2589.989008360003</v>
      </c>
      <c r="L4503" s="187">
        <v>7284.4800286053824</v>
      </c>
      <c r="M4503" s="187">
        <v>9931.857421875</v>
      </c>
      <c r="N4503" s="187">
        <v>7284.47998046875</v>
      </c>
      <c r="O4503" t="s">
        <v>4959</v>
      </c>
    </row>
    <row r="4504" spans="1:15" hidden="1" x14ac:dyDescent="0.45">
      <c r="A4504" s="187">
        <v>2021</v>
      </c>
      <c r="B4504" t="s">
        <v>313</v>
      </c>
      <c r="C4504" t="s">
        <v>322</v>
      </c>
      <c r="D4504" t="s">
        <v>35</v>
      </c>
      <c r="E4504" t="s">
        <v>17</v>
      </c>
      <c r="F4504" t="s">
        <v>17</v>
      </c>
      <c r="G4504" t="s">
        <v>36</v>
      </c>
      <c r="H4504" t="s">
        <v>43</v>
      </c>
      <c r="I4504" s="187">
        <v>3461.9075173976616</v>
      </c>
      <c r="J4504" s="187">
        <v>77.862971844584081</v>
      </c>
      <c r="K4504" s="187">
        <v>1747.2613805327464</v>
      </c>
      <c r="L4504" s="187">
        <v>1822.603273080771</v>
      </c>
      <c r="M4504" s="187">
        <v>7109.63525390625</v>
      </c>
      <c r="N4504" s="187">
        <v>5284.5107421875</v>
      </c>
      <c r="O4504" t="s">
        <v>4965</v>
      </c>
    </row>
    <row r="4505" spans="1:15" hidden="1" x14ac:dyDescent="0.45">
      <c r="A4505" s="187">
        <v>2021</v>
      </c>
      <c r="B4505" t="s">
        <v>309</v>
      </c>
      <c r="C4505" t="s">
        <v>322</v>
      </c>
      <c r="D4505" t="s">
        <v>35</v>
      </c>
      <c r="E4505" t="s">
        <v>17</v>
      </c>
      <c r="F4505" t="s">
        <v>17</v>
      </c>
      <c r="G4505" t="s">
        <v>36</v>
      </c>
      <c r="H4505" t="s">
        <v>43</v>
      </c>
      <c r="I4505" s="187"/>
      <c r="J4505" s="187">
        <v>43.714607589699533</v>
      </c>
      <c r="K4505" s="187">
        <v>4209.7662673568511</v>
      </c>
      <c r="L4505" s="187">
        <v>9221.1328312696496</v>
      </c>
      <c r="M4505" s="187">
        <v>13474.6142578125</v>
      </c>
      <c r="N4505" s="187">
        <v>9221.1328125</v>
      </c>
      <c r="O4505" t="s">
        <v>4962</v>
      </c>
    </row>
    <row r="4506" spans="1:15" hidden="1" x14ac:dyDescent="0.45">
      <c r="A4506" s="187">
        <v>2021</v>
      </c>
      <c r="B4506" t="s">
        <v>310</v>
      </c>
      <c r="C4506" t="s">
        <v>322</v>
      </c>
      <c r="D4506" t="s">
        <v>35</v>
      </c>
      <c r="E4506" t="s">
        <v>17</v>
      </c>
      <c r="F4506" t="s">
        <v>17</v>
      </c>
      <c r="G4506" t="s">
        <v>36</v>
      </c>
      <c r="H4506" t="s">
        <v>43</v>
      </c>
      <c r="I4506" s="187"/>
      <c r="J4506" s="187">
        <v>52.308832960906223</v>
      </c>
      <c r="K4506" s="187">
        <v>2611.0279937427008</v>
      </c>
      <c r="L4506" s="187">
        <v>9163.1998139267471</v>
      </c>
      <c r="M4506" s="187">
        <v>11826.537109375</v>
      </c>
      <c r="N4506" s="187">
        <v>9163.2001953125</v>
      </c>
      <c r="O4506" t="s">
        <v>4958</v>
      </c>
    </row>
    <row r="4507" spans="1:15" hidden="1" x14ac:dyDescent="0.45">
      <c r="A4507" s="187">
        <v>2021</v>
      </c>
      <c r="B4507" t="s">
        <v>316</v>
      </c>
      <c r="C4507" t="s">
        <v>322</v>
      </c>
      <c r="D4507" t="s">
        <v>35</v>
      </c>
      <c r="E4507" t="s">
        <v>17</v>
      </c>
      <c r="F4507" t="s">
        <v>17</v>
      </c>
      <c r="G4507" t="s">
        <v>37</v>
      </c>
      <c r="H4507" t="s">
        <v>43</v>
      </c>
      <c r="I4507" s="187">
        <v>2341</v>
      </c>
      <c r="J4507" s="187">
        <v>247</v>
      </c>
      <c r="K4507" s="187">
        <v>1996.3292344253859</v>
      </c>
      <c r="L4507" s="187">
        <v>3169</v>
      </c>
      <c r="M4507" s="187">
        <v>7753.3291015625</v>
      </c>
      <c r="N4507" s="187">
        <v>5510</v>
      </c>
      <c r="O4507" t="s">
        <v>4969</v>
      </c>
    </row>
    <row r="4508" spans="1:15" hidden="1" x14ac:dyDescent="0.45">
      <c r="A4508" s="187">
        <v>2021</v>
      </c>
      <c r="B4508" t="s">
        <v>315</v>
      </c>
      <c r="C4508" t="s">
        <v>322</v>
      </c>
      <c r="D4508" t="s">
        <v>35</v>
      </c>
      <c r="E4508" t="s">
        <v>17</v>
      </c>
      <c r="F4508" t="s">
        <v>17</v>
      </c>
      <c r="G4508" t="s">
        <v>37</v>
      </c>
      <c r="H4508" t="s">
        <v>43</v>
      </c>
      <c r="I4508" s="187">
        <v>4302.8975813500001</v>
      </c>
      <c r="J4508" s="187">
        <v>71</v>
      </c>
      <c r="K4508" s="187">
        <v>1943.0256554311879</v>
      </c>
      <c r="L4508" s="187">
        <v>1510</v>
      </c>
      <c r="M4508" s="187">
        <v>7826.92333984375</v>
      </c>
      <c r="N4508" s="187">
        <v>5812.8974609375</v>
      </c>
      <c r="O4508" t="s">
        <v>4971</v>
      </c>
    </row>
    <row r="4509" spans="1:15" hidden="1" x14ac:dyDescent="0.45">
      <c r="A4509" s="187">
        <v>2021</v>
      </c>
      <c r="B4509" t="s">
        <v>314</v>
      </c>
      <c r="C4509" t="s">
        <v>322</v>
      </c>
      <c r="D4509" t="s">
        <v>35</v>
      </c>
      <c r="E4509" t="s">
        <v>17</v>
      </c>
      <c r="F4509" t="s">
        <v>17</v>
      </c>
      <c r="G4509" t="s">
        <v>37</v>
      </c>
      <c r="H4509" t="s">
        <v>43</v>
      </c>
      <c r="I4509" s="187">
        <v>3429.3823166316902</v>
      </c>
      <c r="J4509" s="187">
        <v>74</v>
      </c>
      <c r="K4509" s="187">
        <v>1411.607777755502</v>
      </c>
      <c r="L4509" s="187">
        <v>1365</v>
      </c>
      <c r="M4509" s="187">
        <v>6279.990234375</v>
      </c>
      <c r="N4509" s="187">
        <v>4794.38232421875</v>
      </c>
      <c r="O4509" t="s">
        <v>4972</v>
      </c>
    </row>
    <row r="4510" spans="1:15" hidden="1" x14ac:dyDescent="0.45">
      <c r="A4510" s="187">
        <v>2021</v>
      </c>
      <c r="B4510" t="s">
        <v>309</v>
      </c>
      <c r="C4510" t="s">
        <v>322</v>
      </c>
      <c r="D4510" t="s">
        <v>35</v>
      </c>
      <c r="E4510" t="s">
        <v>17</v>
      </c>
      <c r="F4510" t="s">
        <v>17</v>
      </c>
      <c r="G4510" t="s">
        <v>37</v>
      </c>
      <c r="H4510" t="s">
        <v>43</v>
      </c>
      <c r="I4510" s="187"/>
      <c r="J4510" s="187">
        <v>38.3889</v>
      </c>
      <c r="K4510" s="187">
        <v>3796.2004695233582</v>
      </c>
      <c r="L4510" s="187">
        <v>8697</v>
      </c>
      <c r="M4510" s="187">
        <v>12531.58984375</v>
      </c>
      <c r="N4510" s="187">
        <v>8697</v>
      </c>
      <c r="O4510" t="s">
        <v>4973</v>
      </c>
    </row>
    <row r="4511" spans="1:15" hidden="1" x14ac:dyDescent="0.45">
      <c r="A4511" s="187">
        <v>2021</v>
      </c>
      <c r="B4511" t="s">
        <v>311</v>
      </c>
      <c r="C4511" t="s">
        <v>322</v>
      </c>
      <c r="D4511" t="s">
        <v>35</v>
      </c>
      <c r="E4511" t="s">
        <v>17</v>
      </c>
      <c r="F4511" t="s">
        <v>17</v>
      </c>
      <c r="G4511" t="s">
        <v>37</v>
      </c>
      <c r="H4511" t="s">
        <v>43</v>
      </c>
      <c r="I4511" s="187"/>
      <c r="J4511" s="187">
        <v>51</v>
      </c>
      <c r="K4511" s="187">
        <v>2270.423678412652</v>
      </c>
      <c r="L4511" s="187">
        <v>6698</v>
      </c>
      <c r="M4511" s="187">
        <v>9019.423828125</v>
      </c>
      <c r="N4511" s="187">
        <v>6698</v>
      </c>
      <c r="O4511" t="s">
        <v>4966</v>
      </c>
    </row>
    <row r="4512" spans="1:15" hidden="1" x14ac:dyDescent="0.45">
      <c r="A4512" s="187">
        <v>2021</v>
      </c>
      <c r="B4512" t="s">
        <v>313</v>
      </c>
      <c r="C4512" t="s">
        <v>322</v>
      </c>
      <c r="D4512" t="s">
        <v>35</v>
      </c>
      <c r="E4512" t="s">
        <v>17</v>
      </c>
      <c r="F4512" t="s">
        <v>17</v>
      </c>
      <c r="G4512" t="s">
        <v>37</v>
      </c>
      <c r="H4512" t="s">
        <v>43</v>
      </c>
      <c r="I4512" s="187">
        <v>3121.7847722104411</v>
      </c>
      <c r="J4512" s="187">
        <v>70</v>
      </c>
      <c r="K4512" s="187">
        <v>1571.78845883345</v>
      </c>
      <c r="L4512" s="187">
        <v>1650</v>
      </c>
      <c r="M4512" s="187">
        <v>6413.5732421875</v>
      </c>
      <c r="N4512" s="187">
        <v>4771.78466796875</v>
      </c>
      <c r="O4512" t="s">
        <v>4968</v>
      </c>
    </row>
    <row r="4513" spans="1:15" hidden="1" x14ac:dyDescent="0.45">
      <c r="A4513" s="187">
        <v>2021</v>
      </c>
      <c r="B4513" t="s">
        <v>317</v>
      </c>
      <c r="C4513" t="s">
        <v>322</v>
      </c>
      <c r="D4513" t="s">
        <v>35</v>
      </c>
      <c r="E4513" t="s">
        <v>17</v>
      </c>
      <c r="F4513" t="s">
        <v>17</v>
      </c>
      <c r="G4513" t="s">
        <v>37</v>
      </c>
      <c r="H4513" t="s">
        <v>43</v>
      </c>
      <c r="I4513" s="187">
        <v>3848</v>
      </c>
      <c r="J4513" s="187">
        <v>170</v>
      </c>
      <c r="K4513" s="187">
        <v>1613.4653037296471</v>
      </c>
      <c r="L4513" s="187">
        <v>2974</v>
      </c>
      <c r="M4513" s="187">
        <v>8605.46484375</v>
      </c>
      <c r="N4513" s="187">
        <v>6822</v>
      </c>
      <c r="O4513" t="s">
        <v>4974</v>
      </c>
    </row>
    <row r="4514" spans="1:15" hidden="1" x14ac:dyDescent="0.45">
      <c r="A4514" s="187">
        <v>2021</v>
      </c>
      <c r="B4514" t="s">
        <v>312</v>
      </c>
      <c r="C4514" t="s">
        <v>322</v>
      </c>
      <c r="D4514" t="s">
        <v>35</v>
      </c>
      <c r="E4514" t="s">
        <v>17</v>
      </c>
      <c r="F4514" t="s">
        <v>17</v>
      </c>
      <c r="G4514" t="s">
        <v>37</v>
      </c>
      <c r="H4514" t="s">
        <v>43</v>
      </c>
      <c r="I4514" s="187">
        <v>3034.2613773424991</v>
      </c>
      <c r="J4514" s="187">
        <v>72</v>
      </c>
      <c r="K4514" s="187">
        <v>2569.799280350654</v>
      </c>
      <c r="L4514" s="187">
        <v>1785</v>
      </c>
      <c r="M4514" s="187">
        <v>7461.060546875</v>
      </c>
      <c r="N4514" s="187">
        <v>4819.26171875</v>
      </c>
      <c r="O4514" t="s">
        <v>4967</v>
      </c>
    </row>
    <row r="4515" spans="1:15" hidden="1" x14ac:dyDescent="0.45">
      <c r="A4515" s="187">
        <v>2021</v>
      </c>
      <c r="B4515" t="s">
        <v>310</v>
      </c>
      <c r="C4515" t="s">
        <v>322</v>
      </c>
      <c r="D4515" t="s">
        <v>35</v>
      </c>
      <c r="E4515" t="s">
        <v>17</v>
      </c>
      <c r="F4515" t="s">
        <v>17</v>
      </c>
      <c r="G4515" t="s">
        <v>37</v>
      </c>
      <c r="H4515" t="s">
        <v>43</v>
      </c>
      <c r="I4515" s="187"/>
      <c r="J4515" s="187">
        <v>46</v>
      </c>
      <c r="K4515" s="187">
        <v>2302.6704738253461</v>
      </c>
      <c r="L4515" s="187">
        <v>8415</v>
      </c>
      <c r="M4515" s="187">
        <v>10763.669921875</v>
      </c>
      <c r="N4515" s="187">
        <v>8415</v>
      </c>
      <c r="O4515" t="s">
        <v>4970</v>
      </c>
    </row>
    <row r="4516" spans="1:15" hidden="1" x14ac:dyDescent="0.45">
      <c r="A4516" s="187">
        <v>2021</v>
      </c>
      <c r="B4516" t="s">
        <v>310</v>
      </c>
      <c r="C4516" t="s">
        <v>322</v>
      </c>
      <c r="D4516" t="s">
        <v>35</v>
      </c>
      <c r="E4516" t="s">
        <v>45</v>
      </c>
      <c r="F4516" t="s">
        <v>45</v>
      </c>
      <c r="G4516" t="s">
        <v>37</v>
      </c>
      <c r="H4516" t="s">
        <v>43</v>
      </c>
      <c r="I4516" s="187"/>
      <c r="J4516" s="187">
        <v>0</v>
      </c>
      <c r="K4516" s="187">
        <v>693.42672105294491</v>
      </c>
      <c r="L4516" s="187">
        <v>6508</v>
      </c>
      <c r="M4516" s="187">
        <v>7201.4267578125</v>
      </c>
      <c r="N4516" s="187">
        <v>6508</v>
      </c>
      <c r="O4516" t="s">
        <v>4979</v>
      </c>
    </row>
    <row r="4517" spans="1:15" hidden="1" x14ac:dyDescent="0.45">
      <c r="A4517" s="187">
        <v>2021</v>
      </c>
      <c r="B4517" t="s">
        <v>316</v>
      </c>
      <c r="C4517" t="s">
        <v>322</v>
      </c>
      <c r="D4517" t="s">
        <v>35</v>
      </c>
      <c r="E4517" t="s">
        <v>45</v>
      </c>
      <c r="F4517" t="s">
        <v>45</v>
      </c>
      <c r="G4517" t="s">
        <v>37</v>
      </c>
      <c r="H4517" t="s">
        <v>43</v>
      </c>
      <c r="I4517" s="187">
        <v>1568</v>
      </c>
      <c r="J4517" s="187"/>
      <c r="K4517" s="187">
        <v>895.52973017987995</v>
      </c>
      <c r="L4517" s="187">
        <v>9114</v>
      </c>
      <c r="M4517" s="187">
        <v>11577.529296875</v>
      </c>
      <c r="N4517" s="187">
        <v>10682</v>
      </c>
      <c r="O4517" t="s">
        <v>4978</v>
      </c>
    </row>
    <row r="4518" spans="1:15" hidden="1" x14ac:dyDescent="0.45">
      <c r="A4518" s="187">
        <v>2021</v>
      </c>
      <c r="B4518" t="s">
        <v>313</v>
      </c>
      <c r="C4518" t="s">
        <v>322</v>
      </c>
      <c r="D4518" t="s">
        <v>35</v>
      </c>
      <c r="E4518" t="s">
        <v>45</v>
      </c>
      <c r="F4518" t="s">
        <v>45</v>
      </c>
      <c r="G4518" t="s">
        <v>37</v>
      </c>
      <c r="H4518" t="s">
        <v>43</v>
      </c>
      <c r="I4518" s="187">
        <v>1175.5752229575501</v>
      </c>
      <c r="J4518" s="187">
        <v>0</v>
      </c>
      <c r="K4518" s="187">
        <v>345.41585370889248</v>
      </c>
      <c r="L4518" s="187">
        <v>4703</v>
      </c>
      <c r="M4518" s="187">
        <v>6223.9912109375</v>
      </c>
      <c r="N4518" s="187">
        <v>5878.5751953125</v>
      </c>
      <c r="O4518" t="s">
        <v>4981</v>
      </c>
    </row>
    <row r="4519" spans="1:15" hidden="1" x14ac:dyDescent="0.45">
      <c r="A4519" s="187">
        <v>2021</v>
      </c>
      <c r="B4519" t="s">
        <v>315</v>
      </c>
      <c r="C4519" t="s">
        <v>322</v>
      </c>
      <c r="D4519" t="s">
        <v>35</v>
      </c>
      <c r="E4519" t="s">
        <v>45</v>
      </c>
      <c r="F4519" t="s">
        <v>45</v>
      </c>
      <c r="G4519" t="s">
        <v>37</v>
      </c>
      <c r="H4519" t="s">
        <v>43</v>
      </c>
      <c r="I4519" s="187">
        <v>1529.6331589290739</v>
      </c>
      <c r="J4519" s="187">
        <v>0</v>
      </c>
      <c r="K4519" s="187">
        <v>878.56702970703054</v>
      </c>
      <c r="L4519" s="187">
        <v>12620</v>
      </c>
      <c r="M4519" s="187">
        <v>15028.2001953125</v>
      </c>
      <c r="N4519" s="187">
        <v>14149.6328125</v>
      </c>
      <c r="O4519" t="s">
        <v>4977</v>
      </c>
    </row>
    <row r="4520" spans="1:15" hidden="1" x14ac:dyDescent="0.45">
      <c r="A4520" s="187">
        <v>2021</v>
      </c>
      <c r="B4520" t="s">
        <v>309</v>
      </c>
      <c r="C4520" t="s">
        <v>322</v>
      </c>
      <c r="D4520" t="s">
        <v>35</v>
      </c>
      <c r="E4520" t="s">
        <v>45</v>
      </c>
      <c r="F4520" t="s">
        <v>45</v>
      </c>
      <c r="G4520" t="s">
        <v>37</v>
      </c>
      <c r="H4520" t="s">
        <v>43</v>
      </c>
      <c r="I4520" s="187"/>
      <c r="J4520" s="187">
        <v>0</v>
      </c>
      <c r="K4520" s="187">
        <v>721.05885022682651</v>
      </c>
      <c r="L4520" s="187">
        <v>4819</v>
      </c>
      <c r="M4520" s="187">
        <v>5540.05859375</v>
      </c>
      <c r="N4520" s="187">
        <v>4819</v>
      </c>
      <c r="O4520" t="s">
        <v>4976</v>
      </c>
    </row>
    <row r="4521" spans="1:15" hidden="1" x14ac:dyDescent="0.45">
      <c r="A4521" s="187">
        <v>2021</v>
      </c>
      <c r="B4521" t="s">
        <v>317</v>
      </c>
      <c r="C4521" t="s">
        <v>322</v>
      </c>
      <c r="D4521" t="s">
        <v>35</v>
      </c>
      <c r="E4521" t="s">
        <v>45</v>
      </c>
      <c r="F4521" t="s">
        <v>45</v>
      </c>
      <c r="G4521" t="s">
        <v>37</v>
      </c>
      <c r="H4521" t="s">
        <v>43</v>
      </c>
      <c r="I4521" s="187">
        <v>799</v>
      </c>
      <c r="J4521" s="187"/>
      <c r="K4521" s="187">
        <v>966.81926836637172</v>
      </c>
      <c r="L4521" s="187">
        <v>9009</v>
      </c>
      <c r="M4521" s="187">
        <v>10774.8193359375</v>
      </c>
      <c r="N4521" s="187">
        <v>9808</v>
      </c>
      <c r="O4521" t="s">
        <v>4980</v>
      </c>
    </row>
    <row r="4522" spans="1:15" hidden="1" x14ac:dyDescent="0.45">
      <c r="A4522" s="187">
        <v>2021</v>
      </c>
      <c r="B4522" t="s">
        <v>314</v>
      </c>
      <c r="C4522" t="s">
        <v>322</v>
      </c>
      <c r="D4522" t="s">
        <v>35</v>
      </c>
      <c r="E4522" t="s">
        <v>45</v>
      </c>
      <c r="F4522" t="s">
        <v>45</v>
      </c>
      <c r="G4522" t="s">
        <v>37</v>
      </c>
      <c r="H4522" t="s">
        <v>43</v>
      </c>
      <c r="I4522" s="187">
        <v>1469.9474</v>
      </c>
      <c r="J4522" s="187">
        <v>0</v>
      </c>
      <c r="K4522" s="187">
        <v>346.84952317916998</v>
      </c>
      <c r="L4522" s="187">
        <v>8701</v>
      </c>
      <c r="M4522" s="187">
        <v>10517.796875</v>
      </c>
      <c r="N4522" s="187">
        <v>10170.947265625</v>
      </c>
      <c r="O4522" t="s">
        <v>4982</v>
      </c>
    </row>
    <row r="4523" spans="1:15" hidden="1" x14ac:dyDescent="0.45">
      <c r="A4523" s="187">
        <v>2021</v>
      </c>
      <c r="B4523" t="s">
        <v>311</v>
      </c>
      <c r="C4523" t="s">
        <v>322</v>
      </c>
      <c r="D4523" t="s">
        <v>35</v>
      </c>
      <c r="E4523" t="s">
        <v>45</v>
      </c>
      <c r="F4523" t="s">
        <v>45</v>
      </c>
      <c r="G4523" t="s">
        <v>37</v>
      </c>
      <c r="H4523" t="s">
        <v>43</v>
      </c>
      <c r="I4523" s="187"/>
      <c r="J4523" s="187">
        <v>0</v>
      </c>
      <c r="K4523" s="187">
        <v>691.39983926469336</v>
      </c>
      <c r="L4523" s="187">
        <v>7642</v>
      </c>
      <c r="M4523" s="187">
        <v>8333.3994140625</v>
      </c>
      <c r="N4523" s="187">
        <v>7642</v>
      </c>
      <c r="O4523" t="s">
        <v>4983</v>
      </c>
    </row>
    <row r="4524" spans="1:15" hidden="1" x14ac:dyDescent="0.45">
      <c r="A4524" s="187">
        <v>2021</v>
      </c>
      <c r="B4524" t="s">
        <v>312</v>
      </c>
      <c r="C4524" t="s">
        <v>322</v>
      </c>
      <c r="D4524" t="s">
        <v>35</v>
      </c>
      <c r="E4524" t="s">
        <v>45</v>
      </c>
      <c r="F4524" t="s">
        <v>45</v>
      </c>
      <c r="G4524" t="s">
        <v>37</v>
      </c>
      <c r="H4524" t="s">
        <v>43</v>
      </c>
      <c r="I4524" s="187">
        <v>1058.951683695233</v>
      </c>
      <c r="J4524" s="187">
        <v>0</v>
      </c>
      <c r="K4524" s="187">
        <v>761.60361242086663</v>
      </c>
      <c r="L4524" s="187">
        <v>4126</v>
      </c>
      <c r="M4524" s="187">
        <v>5946.55517578125</v>
      </c>
      <c r="N4524" s="187">
        <v>5184.95166015625</v>
      </c>
      <c r="O4524" t="s">
        <v>4975</v>
      </c>
    </row>
    <row r="4525" spans="1:15" hidden="1" x14ac:dyDescent="0.45">
      <c r="A4525" s="187">
        <v>2021</v>
      </c>
      <c r="B4525" t="s">
        <v>313</v>
      </c>
      <c r="C4525" t="s">
        <v>322</v>
      </c>
      <c r="D4525" t="s">
        <v>35</v>
      </c>
      <c r="E4525" t="s">
        <v>355</v>
      </c>
      <c r="F4525" t="s">
        <v>355</v>
      </c>
      <c r="G4525" t="s">
        <v>37</v>
      </c>
      <c r="H4525" t="s">
        <v>43</v>
      </c>
      <c r="I4525" s="187"/>
      <c r="J4525" s="187"/>
      <c r="K4525" s="187"/>
      <c r="L4525" s="187">
        <v>19634</v>
      </c>
      <c r="M4525" s="187">
        <v>19634</v>
      </c>
      <c r="N4525" s="187">
        <v>19634</v>
      </c>
      <c r="O4525" t="s">
        <v>4984</v>
      </c>
    </row>
    <row r="4526" spans="1:15" hidden="1" x14ac:dyDescent="0.45">
      <c r="A4526" s="187">
        <v>2021</v>
      </c>
      <c r="B4526" t="s">
        <v>309</v>
      </c>
      <c r="C4526" t="s">
        <v>322</v>
      </c>
      <c r="D4526" t="s">
        <v>35</v>
      </c>
      <c r="E4526" t="s">
        <v>355</v>
      </c>
      <c r="F4526" t="s">
        <v>355</v>
      </c>
      <c r="G4526" t="s">
        <v>37</v>
      </c>
      <c r="H4526" t="s">
        <v>43</v>
      </c>
      <c r="I4526" s="187"/>
      <c r="J4526" s="187">
        <v>931.80330000000004</v>
      </c>
      <c r="K4526" s="187">
        <v>14150.66178414613</v>
      </c>
      <c r="L4526" s="187">
        <v>23582</v>
      </c>
      <c r="M4526" s="187">
        <v>38664.46484375</v>
      </c>
      <c r="N4526" s="187">
        <v>23582</v>
      </c>
      <c r="O4526" t="s">
        <v>4986</v>
      </c>
    </row>
    <row r="4527" spans="1:15" hidden="1" x14ac:dyDescent="0.45">
      <c r="A4527" s="187">
        <v>2021</v>
      </c>
      <c r="B4527" t="s">
        <v>310</v>
      </c>
      <c r="C4527" t="s">
        <v>322</v>
      </c>
      <c r="D4527" t="s">
        <v>35</v>
      </c>
      <c r="E4527" t="s">
        <v>355</v>
      </c>
      <c r="F4527" t="s">
        <v>355</v>
      </c>
      <c r="G4527" t="s">
        <v>37</v>
      </c>
      <c r="H4527" t="s">
        <v>43</v>
      </c>
      <c r="I4527" s="187"/>
      <c r="J4527" s="187">
        <v>841</v>
      </c>
      <c r="K4527" s="187">
        <v>14162.72764141755</v>
      </c>
      <c r="L4527" s="187">
        <v>28830</v>
      </c>
      <c r="M4527" s="187">
        <v>43833.7265625</v>
      </c>
      <c r="N4527" s="187">
        <v>28830</v>
      </c>
      <c r="O4527" t="s">
        <v>4985</v>
      </c>
    </row>
    <row r="4528" spans="1:15" hidden="1" x14ac:dyDescent="0.45">
      <c r="A4528" s="187">
        <v>2021</v>
      </c>
      <c r="B4528" t="s">
        <v>309</v>
      </c>
      <c r="C4528" t="s">
        <v>322</v>
      </c>
      <c r="D4528" t="s">
        <v>35</v>
      </c>
      <c r="E4528" t="s">
        <v>356</v>
      </c>
      <c r="F4528" t="s">
        <v>356</v>
      </c>
      <c r="G4528" t="s">
        <v>37</v>
      </c>
      <c r="H4528" t="s">
        <v>43</v>
      </c>
      <c r="I4528" s="187"/>
      <c r="J4528" s="187">
        <v>0</v>
      </c>
      <c r="K4528" s="187">
        <v>0</v>
      </c>
      <c r="L4528" s="187">
        <v>0</v>
      </c>
      <c r="M4528" s="187">
        <v>0</v>
      </c>
      <c r="N4528" s="187">
        <v>0</v>
      </c>
      <c r="O4528" t="s">
        <v>4990</v>
      </c>
    </row>
    <row r="4529" spans="1:15" hidden="1" x14ac:dyDescent="0.45">
      <c r="A4529" s="187">
        <v>2021</v>
      </c>
      <c r="B4529" t="s">
        <v>314</v>
      </c>
      <c r="C4529" t="s">
        <v>322</v>
      </c>
      <c r="D4529" t="s">
        <v>35</v>
      </c>
      <c r="E4529" t="s">
        <v>356</v>
      </c>
      <c r="F4529" t="s">
        <v>356</v>
      </c>
      <c r="G4529" t="s">
        <v>37</v>
      </c>
      <c r="H4529" t="s">
        <v>43</v>
      </c>
      <c r="I4529" s="187"/>
      <c r="J4529" s="187">
        <v>0</v>
      </c>
      <c r="K4529" s="187">
        <v>0</v>
      </c>
      <c r="L4529" s="187">
        <v>0</v>
      </c>
      <c r="M4529" s="187">
        <v>0</v>
      </c>
      <c r="N4529" s="187">
        <v>0</v>
      </c>
      <c r="O4529" t="s">
        <v>4987</v>
      </c>
    </row>
    <row r="4530" spans="1:15" hidden="1" x14ac:dyDescent="0.45">
      <c r="A4530" s="187">
        <v>2021</v>
      </c>
      <c r="B4530" t="s">
        <v>313</v>
      </c>
      <c r="C4530" t="s">
        <v>322</v>
      </c>
      <c r="D4530" t="s">
        <v>35</v>
      </c>
      <c r="E4530" t="s">
        <v>356</v>
      </c>
      <c r="F4530" t="s">
        <v>356</v>
      </c>
      <c r="G4530" t="s">
        <v>37</v>
      </c>
      <c r="H4530" t="s">
        <v>43</v>
      </c>
      <c r="I4530" s="187"/>
      <c r="J4530" s="187">
        <v>0</v>
      </c>
      <c r="K4530" s="187">
        <v>0</v>
      </c>
      <c r="L4530" s="187">
        <v>0</v>
      </c>
      <c r="M4530" s="187">
        <v>0</v>
      </c>
      <c r="N4530" s="187">
        <v>0</v>
      </c>
      <c r="O4530" t="s">
        <v>4988</v>
      </c>
    </row>
    <row r="4531" spans="1:15" hidden="1" x14ac:dyDescent="0.45">
      <c r="A4531" s="187">
        <v>2021</v>
      </c>
      <c r="B4531" t="s">
        <v>316</v>
      </c>
      <c r="C4531" t="s">
        <v>322</v>
      </c>
      <c r="D4531" t="s">
        <v>35</v>
      </c>
      <c r="E4531" t="s">
        <v>356</v>
      </c>
      <c r="F4531" t="s">
        <v>356</v>
      </c>
      <c r="G4531" t="s">
        <v>37</v>
      </c>
      <c r="H4531" t="s">
        <v>43</v>
      </c>
      <c r="I4531" s="187"/>
      <c r="J4531" s="187"/>
      <c r="K4531" s="187">
        <v>0</v>
      </c>
      <c r="L4531" s="187">
        <v>0</v>
      </c>
      <c r="M4531" s="187">
        <v>0</v>
      </c>
      <c r="N4531" s="187">
        <v>0</v>
      </c>
      <c r="O4531" t="s">
        <v>4994</v>
      </c>
    </row>
    <row r="4532" spans="1:15" hidden="1" x14ac:dyDescent="0.45">
      <c r="A4532" s="187">
        <v>2021</v>
      </c>
      <c r="B4532" t="s">
        <v>312</v>
      </c>
      <c r="C4532" t="s">
        <v>322</v>
      </c>
      <c r="D4532" t="s">
        <v>35</v>
      </c>
      <c r="E4532" t="s">
        <v>356</v>
      </c>
      <c r="F4532" t="s">
        <v>356</v>
      </c>
      <c r="G4532" t="s">
        <v>37</v>
      </c>
      <c r="H4532" t="s">
        <v>43</v>
      </c>
      <c r="I4532" s="187">
        <v>0</v>
      </c>
      <c r="J4532" s="187">
        <v>0</v>
      </c>
      <c r="K4532" s="187">
        <v>0</v>
      </c>
      <c r="L4532" s="187">
        <v>0</v>
      </c>
      <c r="M4532" s="187">
        <v>0</v>
      </c>
      <c r="N4532" s="187">
        <v>0</v>
      </c>
      <c r="O4532" t="s">
        <v>4995</v>
      </c>
    </row>
    <row r="4533" spans="1:15" hidden="1" x14ac:dyDescent="0.45">
      <c r="A4533" s="187">
        <v>2021</v>
      </c>
      <c r="B4533" t="s">
        <v>317</v>
      </c>
      <c r="C4533" t="s">
        <v>322</v>
      </c>
      <c r="D4533" t="s">
        <v>35</v>
      </c>
      <c r="E4533" t="s">
        <v>356</v>
      </c>
      <c r="F4533" t="s">
        <v>356</v>
      </c>
      <c r="G4533" t="s">
        <v>37</v>
      </c>
      <c r="H4533" t="s">
        <v>43</v>
      </c>
      <c r="I4533" s="187"/>
      <c r="J4533" s="187"/>
      <c r="K4533" s="187">
        <v>0</v>
      </c>
      <c r="L4533" s="187">
        <v>0</v>
      </c>
      <c r="M4533" s="187">
        <v>0</v>
      </c>
      <c r="N4533" s="187">
        <v>0</v>
      </c>
      <c r="O4533" t="s">
        <v>4991</v>
      </c>
    </row>
    <row r="4534" spans="1:15" hidden="1" x14ac:dyDescent="0.45">
      <c r="A4534" s="187">
        <v>2021</v>
      </c>
      <c r="B4534" t="s">
        <v>310</v>
      </c>
      <c r="C4534" t="s">
        <v>322</v>
      </c>
      <c r="D4534" t="s">
        <v>35</v>
      </c>
      <c r="E4534" t="s">
        <v>356</v>
      </c>
      <c r="F4534" t="s">
        <v>356</v>
      </c>
      <c r="G4534" t="s">
        <v>37</v>
      </c>
      <c r="H4534" t="s">
        <v>43</v>
      </c>
      <c r="I4534" s="187"/>
      <c r="J4534" s="187">
        <v>0</v>
      </c>
      <c r="K4534" s="187">
        <v>0</v>
      </c>
      <c r="L4534" s="187">
        <v>0</v>
      </c>
      <c r="M4534" s="187">
        <v>0</v>
      </c>
      <c r="N4534" s="187">
        <v>0</v>
      </c>
      <c r="O4534" t="s">
        <v>4992</v>
      </c>
    </row>
    <row r="4535" spans="1:15" hidden="1" x14ac:dyDescent="0.45">
      <c r="A4535" s="187">
        <v>2021</v>
      </c>
      <c r="B4535" t="s">
        <v>315</v>
      </c>
      <c r="C4535" t="s">
        <v>322</v>
      </c>
      <c r="D4535" t="s">
        <v>35</v>
      </c>
      <c r="E4535" t="s">
        <v>356</v>
      </c>
      <c r="F4535" t="s">
        <v>356</v>
      </c>
      <c r="G4535" t="s">
        <v>37</v>
      </c>
      <c r="H4535" t="s">
        <v>43</v>
      </c>
      <c r="I4535" s="187"/>
      <c r="J4535" s="187">
        <v>0</v>
      </c>
      <c r="K4535" s="187">
        <v>0</v>
      </c>
      <c r="L4535" s="187">
        <v>0</v>
      </c>
      <c r="M4535" s="187">
        <v>0</v>
      </c>
      <c r="N4535" s="187">
        <v>0</v>
      </c>
      <c r="O4535" t="s">
        <v>4993</v>
      </c>
    </row>
    <row r="4536" spans="1:15" hidden="1" x14ac:dyDescent="0.45">
      <c r="A4536" s="187">
        <v>2021</v>
      </c>
      <c r="B4536" t="s">
        <v>311</v>
      </c>
      <c r="C4536" t="s">
        <v>322</v>
      </c>
      <c r="D4536" t="s">
        <v>35</v>
      </c>
      <c r="E4536" t="s">
        <v>356</v>
      </c>
      <c r="F4536" t="s">
        <v>356</v>
      </c>
      <c r="G4536" t="s">
        <v>37</v>
      </c>
      <c r="H4536" t="s">
        <v>43</v>
      </c>
      <c r="I4536" s="187"/>
      <c r="J4536" s="187">
        <v>0</v>
      </c>
      <c r="K4536" s="187">
        <v>0</v>
      </c>
      <c r="L4536" s="187">
        <v>0</v>
      </c>
      <c r="M4536" s="187">
        <v>0</v>
      </c>
      <c r="N4536" s="187">
        <v>0</v>
      </c>
      <c r="O4536" t="s">
        <v>4989</v>
      </c>
    </row>
    <row r="4537" spans="1:15" hidden="1" x14ac:dyDescent="0.45">
      <c r="A4537" s="187">
        <v>2021</v>
      </c>
      <c r="B4537" t="s">
        <v>314</v>
      </c>
      <c r="C4537" t="s">
        <v>323</v>
      </c>
      <c r="D4537" t="s">
        <v>35</v>
      </c>
      <c r="E4537" t="s">
        <v>349</v>
      </c>
      <c r="F4537" t="s">
        <v>388</v>
      </c>
      <c r="G4537" t="s">
        <v>36</v>
      </c>
      <c r="H4537" t="s">
        <v>43</v>
      </c>
      <c r="I4537" s="187">
        <v>4420.4944088703242</v>
      </c>
      <c r="J4537" s="187">
        <v>506.69698757802138</v>
      </c>
      <c r="K4537" s="187">
        <v>3191.9630751002996</v>
      </c>
      <c r="L4537" s="187">
        <v>2316.8282949257118</v>
      </c>
      <c r="M4537" s="187">
        <v>10435.982421875</v>
      </c>
      <c r="N4537" s="187">
        <v>6737.32275390625</v>
      </c>
      <c r="O4537" t="s">
        <v>4996</v>
      </c>
    </row>
    <row r="4538" spans="1:15" hidden="1" x14ac:dyDescent="0.45">
      <c r="A4538" s="187">
        <v>2021</v>
      </c>
      <c r="B4538" t="s">
        <v>315</v>
      </c>
      <c r="C4538" t="s">
        <v>323</v>
      </c>
      <c r="D4538" t="s">
        <v>35</v>
      </c>
      <c r="E4538" t="s">
        <v>349</v>
      </c>
      <c r="F4538" t="s">
        <v>388</v>
      </c>
      <c r="G4538" t="s">
        <v>36</v>
      </c>
      <c r="H4538" t="s">
        <v>43</v>
      </c>
      <c r="I4538" s="187">
        <v>4298.966270322082</v>
      </c>
      <c r="J4538" s="187">
        <v>430.46302575030069</v>
      </c>
      <c r="K4538" s="187">
        <v>3215.5893247321828</v>
      </c>
      <c r="L4538" s="187">
        <v>3218.2775162015901</v>
      </c>
      <c r="M4538" s="187">
        <v>11163.2958984375</v>
      </c>
      <c r="N4538" s="187">
        <v>7517.24365234375</v>
      </c>
      <c r="O4538" t="s">
        <v>4998</v>
      </c>
    </row>
    <row r="4539" spans="1:15" hidden="1" x14ac:dyDescent="0.45">
      <c r="A4539" s="187">
        <v>2021</v>
      </c>
      <c r="B4539" t="s">
        <v>317</v>
      </c>
      <c r="C4539" t="s">
        <v>323</v>
      </c>
      <c r="D4539" t="s">
        <v>35</v>
      </c>
      <c r="E4539" t="s">
        <v>349</v>
      </c>
      <c r="F4539" t="s">
        <v>388</v>
      </c>
      <c r="G4539" t="s">
        <v>36</v>
      </c>
      <c r="H4539" t="s">
        <v>43</v>
      </c>
      <c r="I4539" s="187">
        <v>3428.4553606137383</v>
      </c>
      <c r="J4539" s="187">
        <v>302.11034315398717</v>
      </c>
      <c r="K4539" s="187">
        <v>3955.1865457914123</v>
      </c>
      <c r="L4539" s="187">
        <v>3750.4470711283598</v>
      </c>
      <c r="M4539" s="187">
        <v>11436.19921875</v>
      </c>
      <c r="N4539" s="187">
        <v>7178.90234375</v>
      </c>
      <c r="O4539" t="s">
        <v>4999</v>
      </c>
    </row>
    <row r="4540" spans="1:15" hidden="1" x14ac:dyDescent="0.45">
      <c r="A4540" s="187">
        <v>2021</v>
      </c>
      <c r="B4540" t="s">
        <v>316</v>
      </c>
      <c r="C4540" t="s">
        <v>323</v>
      </c>
      <c r="D4540" t="s">
        <v>35</v>
      </c>
      <c r="E4540" t="s">
        <v>349</v>
      </c>
      <c r="F4540" t="s">
        <v>388</v>
      </c>
      <c r="G4540" t="s">
        <v>36</v>
      </c>
      <c r="H4540" t="s">
        <v>43</v>
      </c>
      <c r="I4540" s="187">
        <v>4378.7611699948066</v>
      </c>
      <c r="J4540" s="187">
        <v>341.17532651741089</v>
      </c>
      <c r="K4540" s="187">
        <v>3198.7177262467944</v>
      </c>
      <c r="L4540" s="187">
        <v>3554.3915372774331</v>
      </c>
      <c r="M4540" s="187">
        <v>11473.0458984375</v>
      </c>
      <c r="N4540" s="187">
        <v>7933.15283203125</v>
      </c>
      <c r="O4540" t="s">
        <v>5000</v>
      </c>
    </row>
    <row r="4541" spans="1:15" hidden="1" x14ac:dyDescent="0.45">
      <c r="A4541" s="187">
        <v>2021</v>
      </c>
      <c r="B4541" t="s">
        <v>313</v>
      </c>
      <c r="C4541" t="s">
        <v>323</v>
      </c>
      <c r="D4541" t="s">
        <v>35</v>
      </c>
      <c r="E4541" t="s">
        <v>349</v>
      </c>
      <c r="F4541" t="s">
        <v>388</v>
      </c>
      <c r="G4541" t="s">
        <v>36</v>
      </c>
      <c r="H4541" t="s">
        <v>43</v>
      </c>
      <c r="I4541" s="187">
        <v>4444.1788545139525</v>
      </c>
      <c r="J4541" s="187">
        <v>539.05134353942822</v>
      </c>
      <c r="K4541" s="187">
        <v>2325.1730438002792</v>
      </c>
      <c r="L4541" s="187">
        <v>2267.6093184891947</v>
      </c>
      <c r="M4541" s="187">
        <v>9576.01171875</v>
      </c>
      <c r="N4541" s="187">
        <v>6711.7880859375</v>
      </c>
      <c r="O4541" t="s">
        <v>4997</v>
      </c>
    </row>
    <row r="4542" spans="1:15" hidden="1" x14ac:dyDescent="0.45">
      <c r="A4542" s="187">
        <v>2021</v>
      </c>
      <c r="B4542" t="s">
        <v>312</v>
      </c>
      <c r="C4542" t="s">
        <v>323</v>
      </c>
      <c r="D4542" t="s">
        <v>35</v>
      </c>
      <c r="E4542" t="s">
        <v>349</v>
      </c>
      <c r="F4542" t="s">
        <v>388</v>
      </c>
      <c r="G4542" t="s">
        <v>36</v>
      </c>
      <c r="H4542" t="s">
        <v>43</v>
      </c>
      <c r="I4542" s="187">
        <v>4525.8617035892257</v>
      </c>
      <c r="J4542" s="187">
        <v>680.11582977433716</v>
      </c>
      <c r="K4542" s="187">
        <v>3389.346942381279</v>
      </c>
      <c r="L4542" s="187">
        <v>2087.3373102892383</v>
      </c>
      <c r="M4542" s="187">
        <v>10682.6611328125</v>
      </c>
      <c r="N4542" s="187">
        <v>6613.19921875</v>
      </c>
      <c r="O4542" t="s">
        <v>5001</v>
      </c>
    </row>
    <row r="4543" spans="1:15" hidden="1" x14ac:dyDescent="0.45">
      <c r="A4543" s="187">
        <v>2021</v>
      </c>
      <c r="B4543" t="s">
        <v>317</v>
      </c>
      <c r="C4543" t="s">
        <v>323</v>
      </c>
      <c r="D4543" t="s">
        <v>35</v>
      </c>
      <c r="E4543" t="s">
        <v>349</v>
      </c>
      <c r="F4543" t="s">
        <v>389</v>
      </c>
      <c r="G4543" t="s">
        <v>36</v>
      </c>
      <c r="H4543" t="s">
        <v>43</v>
      </c>
      <c r="I4543" s="187">
        <v>0</v>
      </c>
      <c r="J4543" s="187"/>
      <c r="K4543" s="187">
        <v>0</v>
      </c>
      <c r="L4543" s="187">
        <v>0</v>
      </c>
      <c r="M4543" s="187">
        <v>0</v>
      </c>
      <c r="N4543" s="187">
        <v>0</v>
      </c>
      <c r="O4543" t="s">
        <v>5002</v>
      </c>
    </row>
    <row r="4544" spans="1:15" hidden="1" x14ac:dyDescent="0.45">
      <c r="A4544" s="187">
        <v>2021</v>
      </c>
      <c r="B4544" t="s">
        <v>314</v>
      </c>
      <c r="C4544" t="s">
        <v>323</v>
      </c>
      <c r="D4544" t="s">
        <v>35</v>
      </c>
      <c r="E4544" t="s">
        <v>349</v>
      </c>
      <c r="F4544" t="s">
        <v>389</v>
      </c>
      <c r="G4544" t="s">
        <v>36</v>
      </c>
      <c r="H4544" t="s">
        <v>43</v>
      </c>
      <c r="I4544" s="187">
        <v>0</v>
      </c>
      <c r="J4544" s="187">
        <v>0</v>
      </c>
      <c r="K4544" s="187">
        <v>0</v>
      </c>
      <c r="L4544" s="187"/>
      <c r="M4544" s="187">
        <v>0</v>
      </c>
      <c r="N4544" s="187">
        <v>0</v>
      </c>
      <c r="O4544" t="s">
        <v>5003</v>
      </c>
    </row>
    <row r="4545" spans="1:15" hidden="1" x14ac:dyDescent="0.45">
      <c r="A4545" s="187">
        <v>2021</v>
      </c>
      <c r="B4545" t="s">
        <v>313</v>
      </c>
      <c r="C4545" t="s">
        <v>323</v>
      </c>
      <c r="D4545" t="s">
        <v>35</v>
      </c>
      <c r="E4545" t="s">
        <v>349</v>
      </c>
      <c r="F4545" t="s">
        <v>389</v>
      </c>
      <c r="G4545" t="s">
        <v>36</v>
      </c>
      <c r="H4545" t="s">
        <v>43</v>
      </c>
      <c r="I4545" s="187"/>
      <c r="J4545" s="187">
        <v>0</v>
      </c>
      <c r="K4545" s="187">
        <v>0</v>
      </c>
      <c r="L4545" s="187"/>
      <c r="M4545" s="187">
        <v>0</v>
      </c>
      <c r="N4545" s="187">
        <v>0</v>
      </c>
      <c r="O4545" t="s">
        <v>5005</v>
      </c>
    </row>
    <row r="4546" spans="1:15" hidden="1" x14ac:dyDescent="0.45">
      <c r="A4546" s="187">
        <v>2021</v>
      </c>
      <c r="B4546" t="s">
        <v>315</v>
      </c>
      <c r="C4546" t="s">
        <v>323</v>
      </c>
      <c r="D4546" t="s">
        <v>35</v>
      </c>
      <c r="E4546" t="s">
        <v>349</v>
      </c>
      <c r="F4546" t="s">
        <v>389</v>
      </c>
      <c r="G4546" t="s">
        <v>36</v>
      </c>
      <c r="H4546" t="s">
        <v>43</v>
      </c>
      <c r="I4546" s="187">
        <v>0</v>
      </c>
      <c r="J4546" s="187">
        <v>0</v>
      </c>
      <c r="K4546" s="187">
        <v>0</v>
      </c>
      <c r="L4546" s="187"/>
      <c r="M4546" s="187">
        <v>0</v>
      </c>
      <c r="N4546" s="187">
        <v>0</v>
      </c>
      <c r="O4546" t="s">
        <v>5004</v>
      </c>
    </row>
    <row r="4547" spans="1:15" hidden="1" x14ac:dyDescent="0.45">
      <c r="A4547" s="187">
        <v>2021</v>
      </c>
      <c r="B4547" t="s">
        <v>316</v>
      </c>
      <c r="C4547" t="s">
        <v>323</v>
      </c>
      <c r="D4547" t="s">
        <v>35</v>
      </c>
      <c r="E4547" t="s">
        <v>349</v>
      </c>
      <c r="F4547" t="s">
        <v>389</v>
      </c>
      <c r="G4547" t="s">
        <v>36</v>
      </c>
      <c r="H4547" t="s">
        <v>43</v>
      </c>
      <c r="I4547" s="187">
        <v>0</v>
      </c>
      <c r="J4547" s="187"/>
      <c r="K4547" s="187">
        <v>0</v>
      </c>
      <c r="L4547" s="187"/>
      <c r="M4547" s="187">
        <v>0</v>
      </c>
      <c r="N4547" s="187">
        <v>0</v>
      </c>
      <c r="O4547" t="s">
        <v>5007</v>
      </c>
    </row>
    <row r="4548" spans="1:15" hidden="1" x14ac:dyDescent="0.45">
      <c r="A4548" s="187">
        <v>2021</v>
      </c>
      <c r="B4548" t="s">
        <v>312</v>
      </c>
      <c r="C4548" t="s">
        <v>323</v>
      </c>
      <c r="D4548" t="s">
        <v>35</v>
      </c>
      <c r="E4548" t="s">
        <v>349</v>
      </c>
      <c r="F4548" t="s">
        <v>389</v>
      </c>
      <c r="G4548" t="s">
        <v>36</v>
      </c>
      <c r="H4548" t="s">
        <v>43</v>
      </c>
      <c r="I4548" s="187"/>
      <c r="J4548" s="187">
        <v>0</v>
      </c>
      <c r="K4548" s="187">
        <v>0</v>
      </c>
      <c r="L4548" s="187">
        <v>0</v>
      </c>
      <c r="M4548" s="187">
        <v>0</v>
      </c>
      <c r="N4548" s="187">
        <v>0</v>
      </c>
      <c r="O4548" t="s">
        <v>5006</v>
      </c>
    </row>
    <row r="4549" spans="1:15" hidden="1" x14ac:dyDescent="0.45">
      <c r="A4549" s="187">
        <v>2021</v>
      </c>
      <c r="B4549" t="s">
        <v>317</v>
      </c>
      <c r="C4549" t="s">
        <v>323</v>
      </c>
      <c r="D4549" t="s">
        <v>35</v>
      </c>
      <c r="E4549" t="s">
        <v>349</v>
      </c>
      <c r="F4549" t="s">
        <v>390</v>
      </c>
      <c r="G4549" t="s">
        <v>36</v>
      </c>
      <c r="H4549" t="s">
        <v>43</v>
      </c>
      <c r="I4549" s="187">
        <v>3428.4553606137383</v>
      </c>
      <c r="J4549" s="187">
        <v>302.11034315398717</v>
      </c>
      <c r="K4549" s="187">
        <v>3955.1865457914123</v>
      </c>
      <c r="L4549" s="187">
        <v>3750.4470711283598</v>
      </c>
      <c r="M4549" s="187">
        <v>11436.19921875</v>
      </c>
      <c r="N4549" s="187">
        <v>7178.90234375</v>
      </c>
      <c r="O4549" t="s">
        <v>5013</v>
      </c>
    </row>
    <row r="4550" spans="1:15" hidden="1" x14ac:dyDescent="0.45">
      <c r="A4550" s="187">
        <v>2021</v>
      </c>
      <c r="B4550" t="s">
        <v>315</v>
      </c>
      <c r="C4550" t="s">
        <v>323</v>
      </c>
      <c r="D4550" t="s">
        <v>35</v>
      </c>
      <c r="E4550" t="s">
        <v>349</v>
      </c>
      <c r="F4550" t="s">
        <v>390</v>
      </c>
      <c r="G4550" t="s">
        <v>36</v>
      </c>
      <c r="H4550" t="s">
        <v>43</v>
      </c>
      <c r="I4550" s="187">
        <v>4298.966270322082</v>
      </c>
      <c r="J4550" s="187">
        <v>430.46302575030069</v>
      </c>
      <c r="K4550" s="187">
        <v>3215.5893247321828</v>
      </c>
      <c r="L4550" s="187">
        <v>3218.2775162015901</v>
      </c>
      <c r="M4550" s="187">
        <v>11163.2958984375</v>
      </c>
      <c r="N4550" s="187">
        <v>7517.24365234375</v>
      </c>
      <c r="O4550" t="s">
        <v>5008</v>
      </c>
    </row>
    <row r="4551" spans="1:15" hidden="1" x14ac:dyDescent="0.45">
      <c r="A4551" s="187">
        <v>2021</v>
      </c>
      <c r="B4551" t="s">
        <v>312</v>
      </c>
      <c r="C4551" t="s">
        <v>323</v>
      </c>
      <c r="D4551" t="s">
        <v>35</v>
      </c>
      <c r="E4551" t="s">
        <v>349</v>
      </c>
      <c r="F4551" t="s">
        <v>390</v>
      </c>
      <c r="G4551" t="s">
        <v>36</v>
      </c>
      <c r="H4551" t="s">
        <v>43</v>
      </c>
      <c r="I4551" s="187">
        <v>4525.8617035892257</v>
      </c>
      <c r="J4551" s="187">
        <v>680.11582977433716</v>
      </c>
      <c r="K4551" s="187">
        <v>3389.346942381279</v>
      </c>
      <c r="L4551" s="187">
        <v>2087.3373102892383</v>
      </c>
      <c r="M4551" s="187">
        <v>10682.6611328125</v>
      </c>
      <c r="N4551" s="187">
        <v>6613.19921875</v>
      </c>
      <c r="O4551" t="s">
        <v>5011</v>
      </c>
    </row>
    <row r="4552" spans="1:15" hidden="1" x14ac:dyDescent="0.45">
      <c r="A4552" s="187">
        <v>2021</v>
      </c>
      <c r="B4552" t="s">
        <v>313</v>
      </c>
      <c r="C4552" t="s">
        <v>323</v>
      </c>
      <c r="D4552" t="s">
        <v>35</v>
      </c>
      <c r="E4552" t="s">
        <v>349</v>
      </c>
      <c r="F4552" t="s">
        <v>390</v>
      </c>
      <c r="G4552" t="s">
        <v>36</v>
      </c>
      <c r="H4552" t="s">
        <v>43</v>
      </c>
      <c r="I4552" s="187">
        <v>4444.1788545139525</v>
      </c>
      <c r="J4552" s="187">
        <v>539.05134353942822</v>
      </c>
      <c r="K4552" s="187">
        <v>2325.1730438002792</v>
      </c>
      <c r="L4552" s="187">
        <v>2267.6093184891947</v>
      </c>
      <c r="M4552" s="187">
        <v>9576.01171875</v>
      </c>
      <c r="N4552" s="187">
        <v>6711.7880859375</v>
      </c>
      <c r="O4552" t="s">
        <v>5010</v>
      </c>
    </row>
    <row r="4553" spans="1:15" hidden="1" x14ac:dyDescent="0.45">
      <c r="A4553" s="187">
        <v>2021</v>
      </c>
      <c r="B4553" t="s">
        <v>316</v>
      </c>
      <c r="C4553" t="s">
        <v>323</v>
      </c>
      <c r="D4553" t="s">
        <v>35</v>
      </c>
      <c r="E4553" t="s">
        <v>349</v>
      </c>
      <c r="F4553" t="s">
        <v>390</v>
      </c>
      <c r="G4553" t="s">
        <v>36</v>
      </c>
      <c r="H4553" t="s">
        <v>43</v>
      </c>
      <c r="I4553" s="187">
        <v>4378.7611699948066</v>
      </c>
      <c r="J4553" s="187">
        <v>341.17532651741089</v>
      </c>
      <c r="K4553" s="187">
        <v>3198.7177262467944</v>
      </c>
      <c r="L4553" s="187">
        <v>3554.3915372774331</v>
      </c>
      <c r="M4553" s="187">
        <v>11473.0458984375</v>
      </c>
      <c r="N4553" s="187">
        <v>7933.15283203125</v>
      </c>
      <c r="O4553" t="s">
        <v>5012</v>
      </c>
    </row>
    <row r="4554" spans="1:15" hidden="1" x14ac:dyDescent="0.45">
      <c r="A4554" s="187">
        <v>2021</v>
      </c>
      <c r="B4554" t="s">
        <v>314</v>
      </c>
      <c r="C4554" t="s">
        <v>323</v>
      </c>
      <c r="D4554" t="s">
        <v>35</v>
      </c>
      <c r="E4554" t="s">
        <v>349</v>
      </c>
      <c r="F4554" t="s">
        <v>390</v>
      </c>
      <c r="G4554" t="s">
        <v>36</v>
      </c>
      <c r="H4554" t="s">
        <v>43</v>
      </c>
      <c r="I4554" s="187">
        <v>4420.4944088703242</v>
      </c>
      <c r="J4554" s="187">
        <v>506.69698757802138</v>
      </c>
      <c r="K4554" s="187">
        <v>3191.9630751002996</v>
      </c>
      <c r="L4554" s="187">
        <v>2316.8282949257118</v>
      </c>
      <c r="M4554" s="187">
        <v>10435.982421875</v>
      </c>
      <c r="N4554" s="187">
        <v>6737.32275390625</v>
      </c>
      <c r="O4554" t="s">
        <v>5009</v>
      </c>
    </row>
    <row r="4555" spans="1:15" hidden="1" x14ac:dyDescent="0.45">
      <c r="A4555" s="187">
        <v>2021</v>
      </c>
      <c r="B4555" t="s">
        <v>314</v>
      </c>
      <c r="C4555" t="s">
        <v>323</v>
      </c>
      <c r="D4555" t="s">
        <v>35</v>
      </c>
      <c r="E4555" t="s">
        <v>349</v>
      </c>
      <c r="F4555" t="s">
        <v>391</v>
      </c>
      <c r="G4555" t="s">
        <v>36</v>
      </c>
      <c r="H4555" t="s">
        <v>43</v>
      </c>
      <c r="I4555" s="187">
        <v>314.50157849670296</v>
      </c>
      <c r="J4555" s="187">
        <v>0</v>
      </c>
      <c r="K4555" s="187">
        <v>306.30428916414553</v>
      </c>
      <c r="L4555" s="187">
        <v>654.62921153758168</v>
      </c>
      <c r="M4555" s="187">
        <v>1275.43505859375</v>
      </c>
      <c r="N4555" s="187">
        <v>969.13079833984375</v>
      </c>
      <c r="O4555" t="s">
        <v>5014</v>
      </c>
    </row>
    <row r="4556" spans="1:15" hidden="1" x14ac:dyDescent="0.45">
      <c r="A4556" s="187">
        <v>2021</v>
      </c>
      <c r="B4556" t="s">
        <v>315</v>
      </c>
      <c r="C4556" t="s">
        <v>323</v>
      </c>
      <c r="D4556" t="s">
        <v>35</v>
      </c>
      <c r="E4556" t="s">
        <v>349</v>
      </c>
      <c r="F4556" t="s">
        <v>391</v>
      </c>
      <c r="G4556" t="s">
        <v>36</v>
      </c>
      <c r="H4556" t="s">
        <v>43</v>
      </c>
      <c r="I4556" s="187">
        <v>305.85530776995051</v>
      </c>
      <c r="J4556" s="187">
        <v>5.6639871809250089</v>
      </c>
      <c r="K4556" s="187">
        <v>393.27540127544557</v>
      </c>
      <c r="L4556" s="187">
        <v>1077.2903618119367</v>
      </c>
      <c r="M4556" s="187">
        <v>1782.0850830078125</v>
      </c>
      <c r="N4556" s="187">
        <v>1383.1456298828125</v>
      </c>
      <c r="O4556" t="s">
        <v>5017</v>
      </c>
    </row>
    <row r="4557" spans="1:15" hidden="1" x14ac:dyDescent="0.45">
      <c r="A4557" s="187">
        <v>2021</v>
      </c>
      <c r="B4557" t="s">
        <v>317</v>
      </c>
      <c r="C4557" t="s">
        <v>323</v>
      </c>
      <c r="D4557" t="s">
        <v>35</v>
      </c>
      <c r="E4557" t="s">
        <v>349</v>
      </c>
      <c r="F4557" t="s">
        <v>391</v>
      </c>
      <c r="G4557" t="s">
        <v>36</v>
      </c>
      <c r="H4557" t="s">
        <v>43</v>
      </c>
      <c r="I4557" s="187">
        <v>303.62305588794845</v>
      </c>
      <c r="J4557" s="187">
        <v>3.2415272870599479</v>
      </c>
      <c r="K4557" s="187">
        <v>1450.0974242547588</v>
      </c>
      <c r="L4557" s="187">
        <v>1840.1069899543638</v>
      </c>
      <c r="M4557" s="187">
        <v>3597.069091796875</v>
      </c>
      <c r="N4557" s="187">
        <v>2143.72998046875</v>
      </c>
      <c r="O4557" t="s">
        <v>5018</v>
      </c>
    </row>
    <row r="4558" spans="1:15" hidden="1" x14ac:dyDescent="0.45">
      <c r="A4558" s="187">
        <v>2021</v>
      </c>
      <c r="B4558" t="s">
        <v>316</v>
      </c>
      <c r="C4558" t="s">
        <v>323</v>
      </c>
      <c r="D4558" t="s">
        <v>35</v>
      </c>
      <c r="E4558" t="s">
        <v>349</v>
      </c>
      <c r="F4558" t="s">
        <v>391</v>
      </c>
      <c r="G4558" t="s">
        <v>36</v>
      </c>
      <c r="H4558" t="s">
        <v>43</v>
      </c>
      <c r="I4558" s="187">
        <v>418.09563070199528</v>
      </c>
      <c r="J4558" s="187">
        <v>12.942082603969581</v>
      </c>
      <c r="K4558" s="187">
        <v>1116.4283089494916</v>
      </c>
      <c r="L4558" s="187">
        <v>1167.5410689538517</v>
      </c>
      <c r="M4558" s="187">
        <v>2715.007080078125</v>
      </c>
      <c r="N4558" s="187">
        <v>1585.63671875</v>
      </c>
      <c r="O4558" t="s">
        <v>5019</v>
      </c>
    </row>
    <row r="4559" spans="1:15" hidden="1" x14ac:dyDescent="0.45">
      <c r="A4559" s="187">
        <v>2021</v>
      </c>
      <c r="B4559" t="s">
        <v>312</v>
      </c>
      <c r="C4559" t="s">
        <v>323</v>
      </c>
      <c r="D4559" t="s">
        <v>35</v>
      </c>
      <c r="E4559" t="s">
        <v>349</v>
      </c>
      <c r="F4559" t="s">
        <v>391</v>
      </c>
      <c r="G4559" t="s">
        <v>36</v>
      </c>
      <c r="H4559" t="s">
        <v>43</v>
      </c>
      <c r="I4559" s="187">
        <v>432.80098258366911</v>
      </c>
      <c r="J4559" s="187">
        <v>0</v>
      </c>
      <c r="K4559" s="187">
        <v>693.49521215315474</v>
      </c>
      <c r="L4559" s="187">
        <v>435.27413105557577</v>
      </c>
      <c r="M4559" s="187">
        <v>1561.5704345703125</v>
      </c>
      <c r="N4559" s="187">
        <v>868.07513427734375</v>
      </c>
      <c r="O4559" t="s">
        <v>5015</v>
      </c>
    </row>
    <row r="4560" spans="1:15" hidden="1" x14ac:dyDescent="0.45">
      <c r="A4560" s="187">
        <v>2021</v>
      </c>
      <c r="B4560" t="s">
        <v>313</v>
      </c>
      <c r="C4560" t="s">
        <v>323</v>
      </c>
      <c r="D4560" t="s">
        <v>35</v>
      </c>
      <c r="E4560" t="s">
        <v>349</v>
      </c>
      <c r="F4560" t="s">
        <v>391</v>
      </c>
      <c r="G4560" t="s">
        <v>36</v>
      </c>
      <c r="H4560" t="s">
        <v>43</v>
      </c>
      <c r="I4560" s="187">
        <v>479.15674981282513</v>
      </c>
      <c r="J4560" s="187">
        <v>0</v>
      </c>
      <c r="K4560" s="187">
        <v>166.82393059610266</v>
      </c>
      <c r="L4560" s="187">
        <v>660.03842286716656</v>
      </c>
      <c r="M4560" s="187">
        <v>1306.01904296875</v>
      </c>
      <c r="N4560" s="187">
        <v>1139.1951904296875</v>
      </c>
      <c r="O4560" t="s">
        <v>5016</v>
      </c>
    </row>
    <row r="4561" spans="1:15" hidden="1" x14ac:dyDescent="0.45">
      <c r="A4561" s="187">
        <v>2021</v>
      </c>
      <c r="B4561" t="s">
        <v>312</v>
      </c>
      <c r="C4561" t="s">
        <v>323</v>
      </c>
      <c r="D4561" t="s">
        <v>35</v>
      </c>
      <c r="E4561" t="s">
        <v>349</v>
      </c>
      <c r="F4561" t="s">
        <v>392</v>
      </c>
      <c r="G4561" t="s">
        <v>36</v>
      </c>
      <c r="H4561" t="s">
        <v>43</v>
      </c>
      <c r="I4561" s="187">
        <v>61.828711797667012</v>
      </c>
      <c r="J4561" s="187">
        <v>0</v>
      </c>
      <c r="K4561" s="187">
        <v>0.49263960248024441</v>
      </c>
      <c r="L4561" s="187">
        <v>0</v>
      </c>
      <c r="M4561" s="187">
        <v>62.321353912353516</v>
      </c>
      <c r="N4561" s="187">
        <v>61.828712463378906</v>
      </c>
      <c r="O4561" t="s">
        <v>5023</v>
      </c>
    </row>
    <row r="4562" spans="1:15" hidden="1" x14ac:dyDescent="0.45">
      <c r="A4562" s="187">
        <v>2021</v>
      </c>
      <c r="B4562" t="s">
        <v>315</v>
      </c>
      <c r="C4562" t="s">
        <v>323</v>
      </c>
      <c r="D4562" t="s">
        <v>35</v>
      </c>
      <c r="E4562" t="s">
        <v>349</v>
      </c>
      <c r="F4562" t="s">
        <v>392</v>
      </c>
      <c r="G4562" t="s">
        <v>36</v>
      </c>
      <c r="H4562" t="s">
        <v>43</v>
      </c>
      <c r="I4562" s="187">
        <v>113.27974361850018</v>
      </c>
      <c r="J4562" s="187">
        <v>0</v>
      </c>
      <c r="K4562" s="187">
        <v>0.12423983881513719</v>
      </c>
      <c r="L4562" s="187">
        <v>0</v>
      </c>
      <c r="M4562" s="187">
        <v>113.40398406982422</v>
      </c>
      <c r="N4562" s="187">
        <v>113.27974700927734</v>
      </c>
      <c r="O4562" t="s">
        <v>5020</v>
      </c>
    </row>
    <row r="4563" spans="1:15" hidden="1" x14ac:dyDescent="0.45">
      <c r="A4563" s="187">
        <v>2021</v>
      </c>
      <c r="B4563" t="s">
        <v>316</v>
      </c>
      <c r="C4563" t="s">
        <v>323</v>
      </c>
      <c r="D4563" t="s">
        <v>35</v>
      </c>
      <c r="E4563" t="s">
        <v>349</v>
      </c>
      <c r="F4563" t="s">
        <v>392</v>
      </c>
      <c r="G4563" t="s">
        <v>36</v>
      </c>
      <c r="H4563" t="s">
        <v>43</v>
      </c>
      <c r="I4563" s="187">
        <v>112.35930607922869</v>
      </c>
      <c r="J4563" s="187">
        <v>7.434813410791036</v>
      </c>
      <c r="K4563" s="187">
        <v>259.82014848568468</v>
      </c>
      <c r="L4563" s="187">
        <v>0</v>
      </c>
      <c r="M4563" s="187">
        <v>379.6142578125</v>
      </c>
      <c r="N4563" s="187">
        <v>112.35930633544922</v>
      </c>
      <c r="O4563" t="s">
        <v>5025</v>
      </c>
    </row>
    <row r="4564" spans="1:15" hidden="1" x14ac:dyDescent="0.45">
      <c r="A4564" s="187">
        <v>2021</v>
      </c>
      <c r="B4564" t="s">
        <v>314</v>
      </c>
      <c r="C4564" t="s">
        <v>323</v>
      </c>
      <c r="D4564" t="s">
        <v>35</v>
      </c>
      <c r="E4564" t="s">
        <v>349</v>
      </c>
      <c r="F4564" t="s">
        <v>392</v>
      </c>
      <c r="G4564" t="s">
        <v>36</v>
      </c>
      <c r="H4564" t="s">
        <v>43</v>
      </c>
      <c r="I4564" s="187">
        <v>116.48206610988997</v>
      </c>
      <c r="J4564" s="187">
        <v>0</v>
      </c>
      <c r="K4564" s="187">
        <v>0.40491603597144837</v>
      </c>
      <c r="L4564" s="187">
        <v>0</v>
      </c>
      <c r="M4564" s="187">
        <v>116.88697814941406</v>
      </c>
      <c r="N4564" s="187">
        <v>116.48206329345703</v>
      </c>
      <c r="O4564" t="s">
        <v>5024</v>
      </c>
    </row>
    <row r="4565" spans="1:15" hidden="1" x14ac:dyDescent="0.45">
      <c r="A4565" s="187">
        <v>2021</v>
      </c>
      <c r="B4565" t="s">
        <v>313</v>
      </c>
      <c r="C4565" t="s">
        <v>323</v>
      </c>
      <c r="D4565" t="s">
        <v>35</v>
      </c>
      <c r="E4565" t="s">
        <v>349</v>
      </c>
      <c r="F4565" t="s">
        <v>392</v>
      </c>
      <c r="G4565" t="s">
        <v>36</v>
      </c>
      <c r="H4565" t="s">
        <v>43</v>
      </c>
      <c r="I4565" s="187">
        <v>119.78918745320628</v>
      </c>
      <c r="J4565" s="187">
        <v>0</v>
      </c>
      <c r="K4565" s="187">
        <v>0.30325781563143622</v>
      </c>
      <c r="L4565" s="187">
        <v>0</v>
      </c>
      <c r="M4565" s="187">
        <v>120.09244537353516</v>
      </c>
      <c r="N4565" s="187">
        <v>119.7891845703125</v>
      </c>
      <c r="O4565" t="s">
        <v>5021</v>
      </c>
    </row>
    <row r="4566" spans="1:15" hidden="1" x14ac:dyDescent="0.45">
      <c r="A4566" s="187">
        <v>2021</v>
      </c>
      <c r="B4566" t="s">
        <v>317</v>
      </c>
      <c r="C4566" t="s">
        <v>323</v>
      </c>
      <c r="D4566" t="s">
        <v>35</v>
      </c>
      <c r="E4566" t="s">
        <v>349</v>
      </c>
      <c r="F4566" t="s">
        <v>392</v>
      </c>
      <c r="G4566" t="s">
        <v>36</v>
      </c>
      <c r="H4566" t="s">
        <v>43</v>
      </c>
      <c r="I4566" s="187"/>
      <c r="J4566" s="187"/>
      <c r="K4566" s="187">
        <v>8.7934527963579967</v>
      </c>
      <c r="L4566" s="187">
        <v>199.89418270203012</v>
      </c>
      <c r="M4566" s="187">
        <v>208.68763732910156</v>
      </c>
      <c r="N4566" s="187">
        <v>199.89418029785156</v>
      </c>
      <c r="O4566" t="s">
        <v>5022</v>
      </c>
    </row>
    <row r="4567" spans="1:15" hidden="1" x14ac:dyDescent="0.45">
      <c r="A4567" s="187">
        <v>2021</v>
      </c>
      <c r="B4567" t="s">
        <v>312</v>
      </c>
      <c r="C4567" t="s">
        <v>323</v>
      </c>
      <c r="D4567" t="s">
        <v>35</v>
      </c>
      <c r="E4567" t="s">
        <v>349</v>
      </c>
      <c r="F4567" t="s">
        <v>393</v>
      </c>
      <c r="G4567" t="s">
        <v>36</v>
      </c>
      <c r="H4567" t="s">
        <v>43</v>
      </c>
      <c r="I4567" s="187">
        <v>24.731484719066806</v>
      </c>
      <c r="J4567" s="187">
        <v>0</v>
      </c>
      <c r="K4567" s="187">
        <v>45.592893660421332</v>
      </c>
      <c r="L4567" s="187">
        <v>0</v>
      </c>
      <c r="M4567" s="187">
        <v>70.324378967285156</v>
      </c>
      <c r="N4567" s="187">
        <v>24.731485366821289</v>
      </c>
      <c r="O4567" t="s">
        <v>5030</v>
      </c>
    </row>
    <row r="4568" spans="1:15" hidden="1" x14ac:dyDescent="0.45">
      <c r="A4568" s="187">
        <v>2021</v>
      </c>
      <c r="B4568" t="s">
        <v>317</v>
      </c>
      <c r="C4568" t="s">
        <v>323</v>
      </c>
      <c r="D4568" t="s">
        <v>35</v>
      </c>
      <c r="E4568" t="s">
        <v>349</v>
      </c>
      <c r="F4568" t="s">
        <v>393</v>
      </c>
      <c r="G4568" t="s">
        <v>36</v>
      </c>
      <c r="H4568" t="s">
        <v>43</v>
      </c>
      <c r="I4568" s="187"/>
      <c r="J4568" s="187"/>
      <c r="K4568" s="187">
        <v>10.787478027287941</v>
      </c>
      <c r="L4568" s="187">
        <v>128.58058238671126</v>
      </c>
      <c r="M4568" s="187">
        <v>139.36805725097656</v>
      </c>
      <c r="N4568" s="187">
        <v>128.58058166503906</v>
      </c>
      <c r="O4568" t="s">
        <v>5028</v>
      </c>
    </row>
    <row r="4569" spans="1:15" hidden="1" x14ac:dyDescent="0.45">
      <c r="A4569" s="187">
        <v>2021</v>
      </c>
      <c r="B4569" t="s">
        <v>314</v>
      </c>
      <c r="C4569" t="s">
        <v>323</v>
      </c>
      <c r="D4569" t="s">
        <v>35</v>
      </c>
      <c r="E4569" t="s">
        <v>349</v>
      </c>
      <c r="F4569" t="s">
        <v>393</v>
      </c>
      <c r="G4569" t="s">
        <v>36</v>
      </c>
      <c r="H4569" t="s">
        <v>43</v>
      </c>
      <c r="I4569" s="187">
        <v>23.296413221977996</v>
      </c>
      <c r="J4569" s="187">
        <v>0</v>
      </c>
      <c r="K4569" s="187">
        <v>30.548589842113238</v>
      </c>
      <c r="L4569" s="187">
        <v>0</v>
      </c>
      <c r="M4569" s="187">
        <v>53.845005035400391</v>
      </c>
      <c r="N4569" s="187">
        <v>23.296413421630859</v>
      </c>
      <c r="O4569" t="s">
        <v>5029</v>
      </c>
    </row>
    <row r="4570" spans="1:15" hidden="1" x14ac:dyDescent="0.45">
      <c r="A4570" s="187">
        <v>2021</v>
      </c>
      <c r="B4570" t="s">
        <v>313</v>
      </c>
      <c r="C4570" t="s">
        <v>323</v>
      </c>
      <c r="D4570" t="s">
        <v>35</v>
      </c>
      <c r="E4570" t="s">
        <v>349</v>
      </c>
      <c r="F4570" t="s">
        <v>393</v>
      </c>
      <c r="G4570" t="s">
        <v>36</v>
      </c>
      <c r="H4570" t="s">
        <v>43</v>
      </c>
      <c r="I4570" s="187">
        <v>23.957837490641257</v>
      </c>
      <c r="J4570" s="187">
        <v>0</v>
      </c>
      <c r="K4570" s="187">
        <v>22.879060850020704</v>
      </c>
      <c r="L4570" s="187">
        <v>0</v>
      </c>
      <c r="M4570" s="187">
        <v>46.836898803710938</v>
      </c>
      <c r="N4570" s="187">
        <v>23.95783805847168</v>
      </c>
      <c r="O4570" t="s">
        <v>5026</v>
      </c>
    </row>
    <row r="4571" spans="1:15" hidden="1" x14ac:dyDescent="0.45">
      <c r="A4571" s="187">
        <v>2021</v>
      </c>
      <c r="B4571" t="s">
        <v>315</v>
      </c>
      <c r="C4571" t="s">
        <v>323</v>
      </c>
      <c r="D4571" t="s">
        <v>35</v>
      </c>
      <c r="E4571" t="s">
        <v>349</v>
      </c>
      <c r="F4571" t="s">
        <v>393</v>
      </c>
      <c r="G4571" t="s">
        <v>36</v>
      </c>
      <c r="H4571" t="s">
        <v>43</v>
      </c>
      <c r="I4571" s="187">
        <v>22.655948723700035</v>
      </c>
      <c r="J4571" s="187">
        <v>0</v>
      </c>
      <c r="K4571" s="187">
        <v>8.605516697880919</v>
      </c>
      <c r="L4571" s="187">
        <v>0</v>
      </c>
      <c r="M4571" s="187">
        <v>31.261465072631836</v>
      </c>
      <c r="N4571" s="187">
        <v>22.655948638916016</v>
      </c>
      <c r="O4571" t="s">
        <v>5031</v>
      </c>
    </row>
    <row r="4572" spans="1:15" hidden="1" x14ac:dyDescent="0.45">
      <c r="A4572" s="187">
        <v>2021</v>
      </c>
      <c r="B4572" t="s">
        <v>316</v>
      </c>
      <c r="C4572" t="s">
        <v>323</v>
      </c>
      <c r="D4572" t="s">
        <v>35</v>
      </c>
      <c r="E4572" t="s">
        <v>349</v>
      </c>
      <c r="F4572" t="s">
        <v>393</v>
      </c>
      <c r="G4572" t="s">
        <v>36</v>
      </c>
      <c r="H4572" t="s">
        <v>43</v>
      </c>
      <c r="I4572" s="187">
        <v>22.029076772714181</v>
      </c>
      <c r="J4572" s="187"/>
      <c r="K4572" s="187">
        <v>10.130016236601747</v>
      </c>
      <c r="L4572" s="187">
        <v>0</v>
      </c>
      <c r="M4572" s="187">
        <v>32.159091949462891</v>
      </c>
      <c r="N4572" s="187">
        <v>22.029077529907227</v>
      </c>
      <c r="O4572" t="s">
        <v>5027</v>
      </c>
    </row>
    <row r="4573" spans="1:15" hidden="1" x14ac:dyDescent="0.45">
      <c r="A4573" s="187">
        <v>2021</v>
      </c>
      <c r="B4573" t="s">
        <v>313</v>
      </c>
      <c r="C4573" t="s">
        <v>323</v>
      </c>
      <c r="D4573" t="s">
        <v>35</v>
      </c>
      <c r="E4573" t="s">
        <v>349</v>
      </c>
      <c r="F4573" t="s">
        <v>394</v>
      </c>
      <c r="G4573" t="s">
        <v>36</v>
      </c>
      <c r="H4573" t="s">
        <v>43</v>
      </c>
      <c r="I4573" s="187">
        <v>0</v>
      </c>
      <c r="J4573" s="187">
        <v>0</v>
      </c>
      <c r="K4573" s="187">
        <v>9.8520093649746698</v>
      </c>
      <c r="L4573" s="187">
        <v>0</v>
      </c>
      <c r="M4573" s="187">
        <v>9.8520097732543945</v>
      </c>
      <c r="N4573" s="187">
        <v>0</v>
      </c>
      <c r="O4573" t="s">
        <v>5033</v>
      </c>
    </row>
    <row r="4574" spans="1:15" hidden="1" x14ac:dyDescent="0.45">
      <c r="A4574" s="187">
        <v>2021</v>
      </c>
      <c r="B4574" t="s">
        <v>317</v>
      </c>
      <c r="C4574" t="s">
        <v>323</v>
      </c>
      <c r="D4574" t="s">
        <v>35</v>
      </c>
      <c r="E4574" t="s">
        <v>349</v>
      </c>
      <c r="F4574" t="s">
        <v>394</v>
      </c>
      <c r="G4574" t="s">
        <v>36</v>
      </c>
      <c r="H4574" t="s">
        <v>43</v>
      </c>
      <c r="I4574" s="187"/>
      <c r="J4574" s="187"/>
      <c r="K4574" s="187">
        <v>5.0846811874629072</v>
      </c>
      <c r="L4574" s="187">
        <v>0</v>
      </c>
      <c r="M4574" s="187">
        <v>5.0846810340881348</v>
      </c>
      <c r="N4574" s="187">
        <v>0</v>
      </c>
      <c r="O4574" t="s">
        <v>5032</v>
      </c>
    </row>
    <row r="4575" spans="1:15" hidden="1" x14ac:dyDescent="0.45">
      <c r="A4575" s="187">
        <v>2021</v>
      </c>
      <c r="B4575" t="s">
        <v>312</v>
      </c>
      <c r="C4575" t="s">
        <v>323</v>
      </c>
      <c r="D4575" t="s">
        <v>35</v>
      </c>
      <c r="E4575" t="s">
        <v>349</v>
      </c>
      <c r="F4575" t="s">
        <v>394</v>
      </c>
      <c r="G4575" t="s">
        <v>36</v>
      </c>
      <c r="H4575" t="s">
        <v>43</v>
      </c>
      <c r="I4575" s="187">
        <v>74.194454157200411</v>
      </c>
      <c r="J4575" s="187">
        <v>0</v>
      </c>
      <c r="K4575" s="187">
        <v>19.676568725062861</v>
      </c>
      <c r="L4575" s="187">
        <v>0</v>
      </c>
      <c r="M4575" s="187">
        <v>93.871017456054688</v>
      </c>
      <c r="N4575" s="187">
        <v>74.194450378417969</v>
      </c>
      <c r="O4575" t="s">
        <v>5034</v>
      </c>
    </row>
    <row r="4576" spans="1:15" hidden="1" x14ac:dyDescent="0.45">
      <c r="A4576" s="187">
        <v>2021</v>
      </c>
      <c r="B4576" t="s">
        <v>315</v>
      </c>
      <c r="C4576" t="s">
        <v>323</v>
      </c>
      <c r="D4576" t="s">
        <v>35</v>
      </c>
      <c r="E4576" t="s">
        <v>349</v>
      </c>
      <c r="F4576" t="s">
        <v>394</v>
      </c>
      <c r="G4576" t="s">
        <v>36</v>
      </c>
      <c r="H4576" t="s">
        <v>43</v>
      </c>
      <c r="I4576" s="187">
        <v>0</v>
      </c>
      <c r="J4576" s="187">
        <v>0</v>
      </c>
      <c r="K4576" s="187">
        <v>3.9207284760236432</v>
      </c>
      <c r="L4576" s="187">
        <v>0</v>
      </c>
      <c r="M4576" s="187">
        <v>3.9207284450531006</v>
      </c>
      <c r="N4576" s="187">
        <v>0</v>
      </c>
      <c r="O4576" t="s">
        <v>5037</v>
      </c>
    </row>
    <row r="4577" spans="1:15" hidden="1" x14ac:dyDescent="0.45">
      <c r="A4577" s="187">
        <v>2021</v>
      </c>
      <c r="B4577" t="s">
        <v>316</v>
      </c>
      <c r="C4577" t="s">
        <v>323</v>
      </c>
      <c r="D4577" t="s">
        <v>35</v>
      </c>
      <c r="E4577" t="s">
        <v>349</v>
      </c>
      <c r="F4577" t="s">
        <v>394</v>
      </c>
      <c r="G4577" t="s">
        <v>36</v>
      </c>
      <c r="H4577" t="s">
        <v>43</v>
      </c>
      <c r="I4577" s="187">
        <v>0</v>
      </c>
      <c r="J4577" s="187"/>
      <c r="K4577" s="187">
        <v>4.6840785673178624</v>
      </c>
      <c r="L4577" s="187">
        <v>0</v>
      </c>
      <c r="M4577" s="187">
        <v>4.6840786933898926</v>
      </c>
      <c r="N4577" s="187">
        <v>0</v>
      </c>
      <c r="O4577" t="s">
        <v>5036</v>
      </c>
    </row>
    <row r="4578" spans="1:15" hidden="1" x14ac:dyDescent="0.45">
      <c r="A4578" s="187">
        <v>2021</v>
      </c>
      <c r="B4578" t="s">
        <v>314</v>
      </c>
      <c r="C4578" t="s">
        <v>323</v>
      </c>
      <c r="D4578" t="s">
        <v>35</v>
      </c>
      <c r="E4578" t="s">
        <v>349</v>
      </c>
      <c r="F4578" t="s">
        <v>394</v>
      </c>
      <c r="G4578" t="s">
        <v>36</v>
      </c>
      <c r="H4578" t="s">
        <v>43</v>
      </c>
      <c r="I4578" s="187">
        <v>0</v>
      </c>
      <c r="J4578" s="187">
        <v>0</v>
      </c>
      <c r="K4578" s="187">
        <v>13.154604342555315</v>
      </c>
      <c r="L4578" s="187">
        <v>0</v>
      </c>
      <c r="M4578" s="187">
        <v>13.154603958129883</v>
      </c>
      <c r="N4578" s="187">
        <v>0</v>
      </c>
      <c r="O4578" t="s">
        <v>5035</v>
      </c>
    </row>
    <row r="4579" spans="1:15" hidden="1" x14ac:dyDescent="0.45">
      <c r="A4579" s="187">
        <v>2021</v>
      </c>
      <c r="B4579" t="s">
        <v>313</v>
      </c>
      <c r="C4579" t="s">
        <v>323</v>
      </c>
      <c r="D4579" t="s">
        <v>35</v>
      </c>
      <c r="E4579" t="s">
        <v>349</v>
      </c>
      <c r="F4579" t="s">
        <v>395</v>
      </c>
      <c r="G4579" t="s">
        <v>36</v>
      </c>
      <c r="H4579" t="s">
        <v>43</v>
      </c>
      <c r="I4579" s="187">
        <v>71.87351247192376</v>
      </c>
      <c r="J4579" s="187">
        <v>0</v>
      </c>
      <c r="K4579" s="187">
        <v>4.8370538087619951E-2</v>
      </c>
      <c r="L4579" s="187">
        <v>294.68140113488744</v>
      </c>
      <c r="M4579" s="187">
        <v>366.603271484375</v>
      </c>
      <c r="N4579" s="187">
        <v>366.55490112304688</v>
      </c>
      <c r="O4579" t="s">
        <v>5041</v>
      </c>
    </row>
    <row r="4580" spans="1:15" hidden="1" x14ac:dyDescent="0.45">
      <c r="A4580" s="187">
        <v>2021</v>
      </c>
      <c r="B4580" t="s">
        <v>317</v>
      </c>
      <c r="C4580" t="s">
        <v>323</v>
      </c>
      <c r="D4580" t="s">
        <v>35</v>
      </c>
      <c r="E4580" t="s">
        <v>349</v>
      </c>
      <c r="F4580" t="s">
        <v>395</v>
      </c>
      <c r="G4580" t="s">
        <v>36</v>
      </c>
      <c r="H4580" t="s">
        <v>43</v>
      </c>
      <c r="I4580" s="187"/>
      <c r="J4580" s="187"/>
      <c r="K4580" s="187">
        <v>671.72374526564852</v>
      </c>
      <c r="L4580" s="187">
        <v>836.31404006146659</v>
      </c>
      <c r="M4580" s="187">
        <v>1508.037841796875</v>
      </c>
      <c r="N4580" s="187">
        <v>836.31402587890625</v>
      </c>
      <c r="O4580" t="s">
        <v>5038</v>
      </c>
    </row>
    <row r="4581" spans="1:15" hidden="1" x14ac:dyDescent="0.45">
      <c r="A4581" s="187">
        <v>2021</v>
      </c>
      <c r="B4581" t="s">
        <v>314</v>
      </c>
      <c r="C4581" t="s">
        <v>323</v>
      </c>
      <c r="D4581" t="s">
        <v>35</v>
      </c>
      <c r="E4581" t="s">
        <v>349</v>
      </c>
      <c r="F4581" t="s">
        <v>395</v>
      </c>
      <c r="G4581" t="s">
        <v>36</v>
      </c>
      <c r="H4581" t="s">
        <v>43</v>
      </c>
      <c r="I4581" s="187">
        <v>0</v>
      </c>
      <c r="J4581" s="187">
        <v>0</v>
      </c>
      <c r="K4581" s="187">
        <v>6.4585331459515768E-2</v>
      </c>
      <c r="L4581" s="187">
        <v>292.36998593582382</v>
      </c>
      <c r="M4581" s="187">
        <v>292.4345703125</v>
      </c>
      <c r="N4581" s="187">
        <v>292.3699951171875</v>
      </c>
      <c r="O4581" t="s">
        <v>5042</v>
      </c>
    </row>
    <row r="4582" spans="1:15" hidden="1" x14ac:dyDescent="0.45">
      <c r="A4582" s="187">
        <v>2021</v>
      </c>
      <c r="B4582" t="s">
        <v>316</v>
      </c>
      <c r="C4582" t="s">
        <v>323</v>
      </c>
      <c r="D4582" t="s">
        <v>35</v>
      </c>
      <c r="E4582" t="s">
        <v>349</v>
      </c>
      <c r="F4582" t="s">
        <v>395</v>
      </c>
      <c r="G4582" t="s">
        <v>36</v>
      </c>
      <c r="H4582" t="s">
        <v>43</v>
      </c>
      <c r="I4582" s="187">
        <v>56.179653039614344</v>
      </c>
      <c r="J4582" s="187"/>
      <c r="K4582" s="187">
        <v>182.125983405618</v>
      </c>
      <c r="L4582" s="187">
        <v>560.64000386557586</v>
      </c>
      <c r="M4582" s="187">
        <v>798.94561767578125</v>
      </c>
      <c r="N4582" s="187">
        <v>616.81964111328125</v>
      </c>
      <c r="O4582" t="s">
        <v>5043</v>
      </c>
    </row>
    <row r="4583" spans="1:15" hidden="1" x14ac:dyDescent="0.45">
      <c r="A4583" s="187">
        <v>2021</v>
      </c>
      <c r="B4583" t="s">
        <v>315</v>
      </c>
      <c r="C4583" t="s">
        <v>323</v>
      </c>
      <c r="D4583" t="s">
        <v>35</v>
      </c>
      <c r="E4583" t="s">
        <v>349</v>
      </c>
      <c r="F4583" t="s">
        <v>395</v>
      </c>
      <c r="G4583" t="s">
        <v>36</v>
      </c>
      <c r="H4583" t="s">
        <v>43</v>
      </c>
      <c r="I4583" s="187">
        <v>0</v>
      </c>
      <c r="J4583" s="187">
        <v>0</v>
      </c>
      <c r="K4583" s="187">
        <v>2.2970633589285194E-2</v>
      </c>
      <c r="L4583" s="187">
        <v>568.66431296487087</v>
      </c>
      <c r="M4583" s="187">
        <v>568.687255859375</v>
      </c>
      <c r="N4583" s="187">
        <v>568.664306640625</v>
      </c>
      <c r="O4583" t="s">
        <v>5039</v>
      </c>
    </row>
    <row r="4584" spans="1:15" hidden="1" x14ac:dyDescent="0.45">
      <c r="A4584" s="187">
        <v>2021</v>
      </c>
      <c r="B4584" t="s">
        <v>312</v>
      </c>
      <c r="C4584" t="s">
        <v>323</v>
      </c>
      <c r="D4584" t="s">
        <v>35</v>
      </c>
      <c r="E4584" t="s">
        <v>349</v>
      </c>
      <c r="F4584" t="s">
        <v>395</v>
      </c>
      <c r="G4584" t="s">
        <v>36</v>
      </c>
      <c r="H4584" t="s">
        <v>43</v>
      </c>
      <c r="I4584" s="187">
        <v>0</v>
      </c>
      <c r="J4584" s="187">
        <v>0</v>
      </c>
      <c r="K4584" s="187">
        <v>7.6268983471909982E-2</v>
      </c>
      <c r="L4584" s="187">
        <v>60.59213756171367</v>
      </c>
      <c r="M4584" s="187">
        <v>60.668407440185547</v>
      </c>
      <c r="N4584" s="187">
        <v>60.592136383056641</v>
      </c>
      <c r="O4584" t="s">
        <v>5040</v>
      </c>
    </row>
    <row r="4585" spans="1:15" hidden="1" x14ac:dyDescent="0.45">
      <c r="A4585" s="187">
        <v>2021</v>
      </c>
      <c r="B4585" t="s">
        <v>317</v>
      </c>
      <c r="C4585" t="s">
        <v>323</v>
      </c>
      <c r="D4585" t="s">
        <v>35</v>
      </c>
      <c r="E4585" t="s">
        <v>349</v>
      </c>
      <c r="F4585" t="s">
        <v>396</v>
      </c>
      <c r="G4585" t="s">
        <v>36</v>
      </c>
      <c r="H4585" t="s">
        <v>43</v>
      </c>
      <c r="I4585" s="187">
        <v>303.62305588794845</v>
      </c>
      <c r="J4585" s="187">
        <v>3.2415272870599479</v>
      </c>
      <c r="K4585" s="187">
        <v>753.70806697800163</v>
      </c>
      <c r="L4585" s="187">
        <v>675.31818480415586</v>
      </c>
      <c r="M4585" s="187">
        <v>1735.890869140625</v>
      </c>
      <c r="N4585" s="187">
        <v>978.94122314453125</v>
      </c>
      <c r="O4585" t="s">
        <v>5049</v>
      </c>
    </row>
    <row r="4586" spans="1:15" hidden="1" x14ac:dyDescent="0.45">
      <c r="A4586" s="187">
        <v>2021</v>
      </c>
      <c r="B4586" t="s">
        <v>312</v>
      </c>
      <c r="C4586" t="s">
        <v>323</v>
      </c>
      <c r="D4586" t="s">
        <v>35</v>
      </c>
      <c r="E4586" t="s">
        <v>349</v>
      </c>
      <c r="F4586" t="s">
        <v>396</v>
      </c>
      <c r="G4586" t="s">
        <v>36</v>
      </c>
      <c r="H4586" t="s">
        <v>43</v>
      </c>
      <c r="I4586" s="187">
        <v>272.04633190973487</v>
      </c>
      <c r="J4586" s="187">
        <v>0</v>
      </c>
      <c r="K4586" s="187">
        <v>627.65684118171828</v>
      </c>
      <c r="L4586" s="187">
        <v>374.68199349386208</v>
      </c>
      <c r="M4586" s="187">
        <v>1274.3851318359375</v>
      </c>
      <c r="N4586" s="187">
        <v>646.72833251953125</v>
      </c>
      <c r="O4586" t="s">
        <v>5047</v>
      </c>
    </row>
    <row r="4587" spans="1:15" hidden="1" x14ac:dyDescent="0.45">
      <c r="A4587" s="187">
        <v>2021</v>
      </c>
      <c r="B4587" t="s">
        <v>316</v>
      </c>
      <c r="C4587" t="s">
        <v>323</v>
      </c>
      <c r="D4587" t="s">
        <v>35</v>
      </c>
      <c r="E4587" t="s">
        <v>349</v>
      </c>
      <c r="F4587" t="s">
        <v>396</v>
      </c>
      <c r="G4587" t="s">
        <v>36</v>
      </c>
      <c r="H4587" t="s">
        <v>43</v>
      </c>
      <c r="I4587" s="187">
        <v>227.52759481043807</v>
      </c>
      <c r="J4587" s="187">
        <v>5.5072691931785451</v>
      </c>
      <c r="K4587" s="187">
        <v>659.66808225426939</v>
      </c>
      <c r="L4587" s="187">
        <v>606.90106508827569</v>
      </c>
      <c r="M4587" s="187">
        <v>1499.60400390625</v>
      </c>
      <c r="N4587" s="187">
        <v>834.42864990234375</v>
      </c>
      <c r="O4587" t="s">
        <v>5044</v>
      </c>
    </row>
    <row r="4588" spans="1:15" hidden="1" x14ac:dyDescent="0.45">
      <c r="A4588" s="187">
        <v>2021</v>
      </c>
      <c r="B4588" t="s">
        <v>315</v>
      </c>
      <c r="C4588" t="s">
        <v>323</v>
      </c>
      <c r="D4588" t="s">
        <v>35</v>
      </c>
      <c r="E4588" t="s">
        <v>349</v>
      </c>
      <c r="F4588" t="s">
        <v>396</v>
      </c>
      <c r="G4588" t="s">
        <v>36</v>
      </c>
      <c r="H4588" t="s">
        <v>43</v>
      </c>
      <c r="I4588" s="187">
        <v>169.91961542775027</v>
      </c>
      <c r="J4588" s="187">
        <v>5.6639871809250089</v>
      </c>
      <c r="K4588" s="187">
        <v>380.60194562913659</v>
      </c>
      <c r="L4588" s="187">
        <v>508.62604884706582</v>
      </c>
      <c r="M4588" s="187">
        <v>1064.8116455078125</v>
      </c>
      <c r="N4588" s="187">
        <v>678.545654296875</v>
      </c>
      <c r="O4588" t="s">
        <v>5046</v>
      </c>
    </row>
    <row r="4589" spans="1:15" hidden="1" x14ac:dyDescent="0.45">
      <c r="A4589" s="187">
        <v>2021</v>
      </c>
      <c r="B4589" t="s">
        <v>313</v>
      </c>
      <c r="C4589" t="s">
        <v>323</v>
      </c>
      <c r="D4589" t="s">
        <v>35</v>
      </c>
      <c r="E4589" t="s">
        <v>349</v>
      </c>
      <c r="F4589" t="s">
        <v>396</v>
      </c>
      <c r="G4589" t="s">
        <v>36</v>
      </c>
      <c r="H4589" t="s">
        <v>43</v>
      </c>
      <c r="I4589" s="187">
        <v>263.53621239705382</v>
      </c>
      <c r="J4589" s="187">
        <v>0</v>
      </c>
      <c r="K4589" s="187">
        <v>133.74123202738829</v>
      </c>
      <c r="L4589" s="187">
        <v>365.35702173227912</v>
      </c>
      <c r="M4589" s="187">
        <v>762.63446044921875</v>
      </c>
      <c r="N4589" s="187">
        <v>628.89324951171875</v>
      </c>
      <c r="O4589" t="s">
        <v>5048</v>
      </c>
    </row>
    <row r="4590" spans="1:15" hidden="1" x14ac:dyDescent="0.45">
      <c r="A4590" s="187">
        <v>2021</v>
      </c>
      <c r="B4590" t="s">
        <v>314</v>
      </c>
      <c r="C4590" t="s">
        <v>323</v>
      </c>
      <c r="D4590" t="s">
        <v>35</v>
      </c>
      <c r="E4590" t="s">
        <v>349</v>
      </c>
      <c r="F4590" t="s">
        <v>396</v>
      </c>
      <c r="G4590" t="s">
        <v>36</v>
      </c>
      <c r="H4590" t="s">
        <v>43</v>
      </c>
      <c r="I4590" s="187">
        <v>174.72309916483496</v>
      </c>
      <c r="J4590" s="187">
        <v>0</v>
      </c>
      <c r="K4590" s="187">
        <v>262.131593612046</v>
      </c>
      <c r="L4590" s="187">
        <v>362.25922560175781</v>
      </c>
      <c r="M4590" s="187">
        <v>799.11395263671875</v>
      </c>
      <c r="N4590" s="187">
        <v>536.9822998046875</v>
      </c>
      <c r="O4590" t="s">
        <v>5045</v>
      </c>
    </row>
    <row r="4591" spans="1:15" hidden="1" x14ac:dyDescent="0.45">
      <c r="A4591" s="187">
        <v>2021</v>
      </c>
      <c r="B4591" t="s">
        <v>312</v>
      </c>
      <c r="C4591" t="s">
        <v>323</v>
      </c>
      <c r="D4591" t="s">
        <v>35</v>
      </c>
      <c r="E4591" t="s">
        <v>349</v>
      </c>
      <c r="F4591" t="s">
        <v>397</v>
      </c>
      <c r="G4591" t="s">
        <v>36</v>
      </c>
      <c r="H4591" t="s">
        <v>43</v>
      </c>
      <c r="I4591" s="187">
        <v>0</v>
      </c>
      <c r="J4591" s="187">
        <v>0</v>
      </c>
      <c r="K4591" s="187">
        <v>0.1166742002649729</v>
      </c>
      <c r="L4591" s="187">
        <v>0</v>
      </c>
      <c r="M4591" s="187">
        <v>0.11667419970035553</v>
      </c>
      <c r="N4591" s="187">
        <v>0</v>
      </c>
      <c r="O4591" t="s">
        <v>5052</v>
      </c>
    </row>
    <row r="4592" spans="1:15" hidden="1" x14ac:dyDescent="0.45">
      <c r="A4592" s="187">
        <v>2021</v>
      </c>
      <c r="B4592" t="s">
        <v>315</v>
      </c>
      <c r="C4592" t="s">
        <v>323</v>
      </c>
      <c r="D4592" t="s">
        <v>35</v>
      </c>
      <c r="E4592" t="s">
        <v>349</v>
      </c>
      <c r="F4592" t="s">
        <v>397</v>
      </c>
      <c r="G4592" t="s">
        <v>36</v>
      </c>
      <c r="H4592" t="s">
        <v>43</v>
      </c>
      <c r="I4592" s="187">
        <v>0</v>
      </c>
      <c r="J4592" s="187">
        <v>0</v>
      </c>
      <c r="K4592" s="187">
        <v>2.1361182654308579E-2</v>
      </c>
      <c r="L4592" s="187">
        <v>0</v>
      </c>
      <c r="M4592" s="187">
        <v>2.1361183375120163E-2</v>
      </c>
      <c r="N4592" s="187">
        <v>0</v>
      </c>
      <c r="O4592" t="s">
        <v>5055</v>
      </c>
    </row>
    <row r="4593" spans="1:15" hidden="1" x14ac:dyDescent="0.45">
      <c r="A4593" s="187">
        <v>2021</v>
      </c>
      <c r="B4593" t="s">
        <v>313</v>
      </c>
      <c r="C4593" t="s">
        <v>323</v>
      </c>
      <c r="D4593" t="s">
        <v>35</v>
      </c>
      <c r="E4593" t="s">
        <v>349</v>
      </c>
      <c r="F4593" t="s">
        <v>397</v>
      </c>
      <c r="G4593" t="s">
        <v>36</v>
      </c>
      <c r="H4593" t="s">
        <v>43</v>
      </c>
      <c r="I4593" s="187">
        <v>0</v>
      </c>
      <c r="J4593" s="187">
        <v>0</v>
      </c>
      <c r="K4593" s="187">
        <v>6.0908896924682945E-2</v>
      </c>
      <c r="L4593" s="187">
        <v>0</v>
      </c>
      <c r="M4593" s="187">
        <v>6.0908898711204529E-2</v>
      </c>
      <c r="N4593" s="187">
        <v>0</v>
      </c>
      <c r="O4593" t="s">
        <v>5054</v>
      </c>
    </row>
    <row r="4594" spans="1:15" hidden="1" x14ac:dyDescent="0.45">
      <c r="A4594" s="187">
        <v>2021</v>
      </c>
      <c r="B4594" t="s">
        <v>317</v>
      </c>
      <c r="C4594" t="s">
        <v>323</v>
      </c>
      <c r="D4594" t="s">
        <v>35</v>
      </c>
      <c r="E4594" t="s">
        <v>349</v>
      </c>
      <c r="F4594" t="s">
        <v>397</v>
      </c>
      <c r="G4594" t="s">
        <v>36</v>
      </c>
      <c r="H4594" t="s">
        <v>43</v>
      </c>
      <c r="I4594" s="187">
        <v>0</v>
      </c>
      <c r="J4594" s="187"/>
      <c r="K4594" s="187">
        <v>1.2633063111216839E-2</v>
      </c>
      <c r="L4594" s="187">
        <v>0</v>
      </c>
      <c r="M4594" s="187">
        <v>1.2633062899112701E-2</v>
      </c>
      <c r="N4594" s="187">
        <v>0</v>
      </c>
      <c r="O4594" t="s">
        <v>5053</v>
      </c>
    </row>
    <row r="4595" spans="1:15" hidden="1" x14ac:dyDescent="0.45">
      <c r="A4595" s="187">
        <v>2021</v>
      </c>
      <c r="B4595" t="s">
        <v>314</v>
      </c>
      <c r="C4595" t="s">
        <v>323</v>
      </c>
      <c r="D4595" t="s">
        <v>35</v>
      </c>
      <c r="E4595" t="s">
        <v>349</v>
      </c>
      <c r="F4595" t="s">
        <v>397</v>
      </c>
      <c r="G4595" t="s">
        <v>36</v>
      </c>
      <c r="H4595" t="s">
        <v>43</v>
      </c>
      <c r="I4595" s="187">
        <v>0</v>
      </c>
      <c r="J4595" s="187">
        <v>0</v>
      </c>
      <c r="K4595" s="187">
        <v>8.1326804543465636E-2</v>
      </c>
      <c r="L4595" s="187"/>
      <c r="M4595" s="187">
        <v>8.1326805055141449E-2</v>
      </c>
      <c r="N4595" s="187">
        <v>0</v>
      </c>
      <c r="O4595" t="s">
        <v>5051</v>
      </c>
    </row>
    <row r="4596" spans="1:15" hidden="1" x14ac:dyDescent="0.45">
      <c r="A4596" s="187">
        <v>2021</v>
      </c>
      <c r="B4596" t="s">
        <v>316</v>
      </c>
      <c r="C4596" t="s">
        <v>323</v>
      </c>
      <c r="D4596" t="s">
        <v>35</v>
      </c>
      <c r="E4596" t="s">
        <v>349</v>
      </c>
      <c r="F4596" t="s">
        <v>397</v>
      </c>
      <c r="G4596" t="s">
        <v>36</v>
      </c>
      <c r="H4596" t="s">
        <v>43</v>
      </c>
      <c r="I4596" s="187">
        <v>0</v>
      </c>
      <c r="J4596" s="187"/>
      <c r="K4596" s="187">
        <v>1.7402127974493274E-2</v>
      </c>
      <c r="L4596" s="187">
        <v>0</v>
      </c>
      <c r="M4596" s="187">
        <v>1.7402127385139465E-2</v>
      </c>
      <c r="N4596" s="187">
        <v>0</v>
      </c>
      <c r="O4596" t="s">
        <v>5050</v>
      </c>
    </row>
    <row r="4597" spans="1:15" hidden="1" x14ac:dyDescent="0.45">
      <c r="A4597" s="187">
        <v>2021</v>
      </c>
      <c r="B4597" t="s">
        <v>314</v>
      </c>
      <c r="C4597" t="s">
        <v>323</v>
      </c>
      <c r="D4597" t="s">
        <v>35</v>
      </c>
      <c r="E4597" t="s">
        <v>349</v>
      </c>
      <c r="F4597" t="s">
        <v>398</v>
      </c>
      <c r="G4597" t="s">
        <v>36</v>
      </c>
      <c r="H4597" t="s">
        <v>43</v>
      </c>
      <c r="I4597" s="187">
        <v>0</v>
      </c>
      <c r="J4597" s="187">
        <v>506.69698757802138</v>
      </c>
      <c r="K4597" s="187">
        <v>8.8720224890696109</v>
      </c>
      <c r="L4597" s="187">
        <v>0</v>
      </c>
      <c r="M4597" s="187">
        <v>515.56903076171875</v>
      </c>
      <c r="N4597" s="187">
        <v>0</v>
      </c>
      <c r="O4597" t="s">
        <v>5058</v>
      </c>
    </row>
    <row r="4598" spans="1:15" hidden="1" x14ac:dyDescent="0.45">
      <c r="A4598" s="187">
        <v>2021</v>
      </c>
      <c r="B4598" t="s">
        <v>317</v>
      </c>
      <c r="C4598" t="s">
        <v>323</v>
      </c>
      <c r="D4598" t="s">
        <v>35</v>
      </c>
      <c r="E4598" t="s">
        <v>349</v>
      </c>
      <c r="F4598" t="s">
        <v>398</v>
      </c>
      <c r="G4598" t="s">
        <v>36</v>
      </c>
      <c r="H4598" t="s">
        <v>43</v>
      </c>
      <c r="I4598" s="187">
        <v>0</v>
      </c>
      <c r="J4598" s="187">
        <v>164.88568800178268</v>
      </c>
      <c r="K4598" s="187">
        <v>1.1759511648417442</v>
      </c>
      <c r="L4598" s="187">
        <v>0</v>
      </c>
      <c r="M4598" s="187">
        <v>166.06163024902344</v>
      </c>
      <c r="N4598" s="187">
        <v>0</v>
      </c>
      <c r="O4598" t="s">
        <v>5060</v>
      </c>
    </row>
    <row r="4599" spans="1:15" hidden="1" x14ac:dyDescent="0.45">
      <c r="A4599" s="187">
        <v>2021</v>
      </c>
      <c r="B4599" t="s">
        <v>312</v>
      </c>
      <c r="C4599" t="s">
        <v>323</v>
      </c>
      <c r="D4599" t="s">
        <v>35</v>
      </c>
      <c r="E4599" t="s">
        <v>349</v>
      </c>
      <c r="F4599" t="s">
        <v>398</v>
      </c>
      <c r="G4599" t="s">
        <v>36</v>
      </c>
      <c r="H4599" t="s">
        <v>43</v>
      </c>
      <c r="I4599" s="187">
        <v>0</v>
      </c>
      <c r="J4599" s="187">
        <v>680.11582977433716</v>
      </c>
      <c r="K4599" s="187">
        <v>15.59281722615671</v>
      </c>
      <c r="L4599" s="187">
        <v>0</v>
      </c>
      <c r="M4599" s="187">
        <v>695.70867919921875</v>
      </c>
      <c r="N4599" s="187">
        <v>0</v>
      </c>
      <c r="O4599" t="s">
        <v>5061</v>
      </c>
    </row>
    <row r="4600" spans="1:15" hidden="1" x14ac:dyDescent="0.45">
      <c r="A4600" s="187">
        <v>2021</v>
      </c>
      <c r="B4600" t="s">
        <v>315</v>
      </c>
      <c r="C4600" t="s">
        <v>323</v>
      </c>
      <c r="D4600" t="s">
        <v>35</v>
      </c>
      <c r="E4600" t="s">
        <v>349</v>
      </c>
      <c r="F4600" t="s">
        <v>398</v>
      </c>
      <c r="G4600" t="s">
        <v>36</v>
      </c>
      <c r="H4600" t="s">
        <v>43</v>
      </c>
      <c r="I4600" s="187">
        <v>0</v>
      </c>
      <c r="J4600" s="187">
        <v>424.79903856937568</v>
      </c>
      <c r="K4600" s="187">
        <v>2.1790112052938424</v>
      </c>
      <c r="L4600" s="187">
        <v>0</v>
      </c>
      <c r="M4600" s="187">
        <v>426.97805786132813</v>
      </c>
      <c r="N4600" s="187">
        <v>0</v>
      </c>
      <c r="O4600" t="s">
        <v>5057</v>
      </c>
    </row>
    <row r="4601" spans="1:15" hidden="1" x14ac:dyDescent="0.45">
      <c r="A4601" s="187">
        <v>2021</v>
      </c>
      <c r="B4601" t="s">
        <v>313</v>
      </c>
      <c r="C4601" t="s">
        <v>323</v>
      </c>
      <c r="D4601" t="s">
        <v>35</v>
      </c>
      <c r="E4601" t="s">
        <v>349</v>
      </c>
      <c r="F4601" t="s">
        <v>398</v>
      </c>
      <c r="G4601" t="s">
        <v>36</v>
      </c>
      <c r="H4601" t="s">
        <v>43</v>
      </c>
      <c r="I4601" s="187">
        <v>0</v>
      </c>
      <c r="J4601" s="187">
        <v>539.05134353942822</v>
      </c>
      <c r="K4601" s="187">
        <v>6.6446125153164894</v>
      </c>
      <c r="L4601" s="187">
        <v>0</v>
      </c>
      <c r="M4601" s="187">
        <v>545.6959228515625</v>
      </c>
      <c r="N4601" s="187">
        <v>0</v>
      </c>
      <c r="O4601" t="s">
        <v>5056</v>
      </c>
    </row>
    <row r="4602" spans="1:15" hidden="1" x14ac:dyDescent="0.45">
      <c r="A4602" s="187">
        <v>2021</v>
      </c>
      <c r="B4602" t="s">
        <v>316</v>
      </c>
      <c r="C4602" t="s">
        <v>323</v>
      </c>
      <c r="D4602" t="s">
        <v>35</v>
      </c>
      <c r="E4602" t="s">
        <v>349</v>
      </c>
      <c r="F4602" t="s">
        <v>398</v>
      </c>
      <c r="G4602" t="s">
        <v>36</v>
      </c>
      <c r="H4602" t="s">
        <v>43</v>
      </c>
      <c r="I4602" s="187">
        <v>0</v>
      </c>
      <c r="J4602" s="187">
        <v>273.16055198165583</v>
      </c>
      <c r="K4602" s="187">
        <v>1.6260044165097298</v>
      </c>
      <c r="L4602" s="187">
        <v>0</v>
      </c>
      <c r="M4602" s="187">
        <v>274.78656005859375</v>
      </c>
      <c r="N4602" s="187">
        <v>0</v>
      </c>
      <c r="O4602" t="s">
        <v>5059</v>
      </c>
    </row>
    <row r="4603" spans="1:15" hidden="1" x14ac:dyDescent="0.45">
      <c r="A4603" s="187">
        <v>2021</v>
      </c>
      <c r="B4603" t="s">
        <v>314</v>
      </c>
      <c r="C4603" t="s">
        <v>323</v>
      </c>
      <c r="D4603" t="s">
        <v>35</v>
      </c>
      <c r="E4603" t="s">
        <v>349</v>
      </c>
      <c r="F4603" t="s">
        <v>399</v>
      </c>
      <c r="G4603" t="s">
        <v>36</v>
      </c>
      <c r="H4603" t="s">
        <v>43</v>
      </c>
      <c r="I4603" s="187">
        <v>0</v>
      </c>
      <c r="J4603" s="187">
        <v>349.44619832966993</v>
      </c>
      <c r="K4603" s="187">
        <v>6.1356404154446089</v>
      </c>
      <c r="L4603" s="187"/>
      <c r="M4603" s="187">
        <v>355.58184814453125</v>
      </c>
      <c r="N4603" s="187">
        <v>0</v>
      </c>
      <c r="O4603" t="s">
        <v>5062</v>
      </c>
    </row>
    <row r="4604" spans="1:15" hidden="1" x14ac:dyDescent="0.45">
      <c r="A4604" s="187">
        <v>2021</v>
      </c>
      <c r="B4604" t="s">
        <v>313</v>
      </c>
      <c r="C4604" t="s">
        <v>323</v>
      </c>
      <c r="D4604" t="s">
        <v>35</v>
      </c>
      <c r="E4604" t="s">
        <v>349</v>
      </c>
      <c r="F4604" t="s">
        <v>399</v>
      </c>
      <c r="G4604" t="s">
        <v>36</v>
      </c>
      <c r="H4604" t="s">
        <v>43</v>
      </c>
      <c r="I4604" s="187">
        <v>0</v>
      </c>
      <c r="J4604" s="187">
        <v>359.36756235961883</v>
      </c>
      <c r="K4604" s="187">
        <v>4.5952265274544262</v>
      </c>
      <c r="L4604" s="187">
        <v>0</v>
      </c>
      <c r="M4604" s="187">
        <v>363.9627685546875</v>
      </c>
      <c r="N4604" s="187">
        <v>0</v>
      </c>
      <c r="O4604" t="s">
        <v>5065</v>
      </c>
    </row>
    <row r="4605" spans="1:15" hidden="1" x14ac:dyDescent="0.45">
      <c r="A4605" s="187">
        <v>2021</v>
      </c>
      <c r="B4605" t="s">
        <v>315</v>
      </c>
      <c r="C4605" t="s">
        <v>323</v>
      </c>
      <c r="D4605" t="s">
        <v>35</v>
      </c>
      <c r="E4605" t="s">
        <v>349</v>
      </c>
      <c r="F4605" t="s">
        <v>399</v>
      </c>
      <c r="G4605" t="s">
        <v>36</v>
      </c>
      <c r="H4605" t="s">
        <v>43</v>
      </c>
      <c r="I4605" s="187">
        <v>0</v>
      </c>
      <c r="J4605" s="187">
        <v>294.52733340810045</v>
      </c>
      <c r="K4605" s="187">
        <v>1.4795899268000341</v>
      </c>
      <c r="L4605" s="187">
        <v>0</v>
      </c>
      <c r="M4605" s="187">
        <v>296.00692749023438</v>
      </c>
      <c r="N4605" s="187">
        <v>0</v>
      </c>
      <c r="O4605" t="s">
        <v>5067</v>
      </c>
    </row>
    <row r="4606" spans="1:15" hidden="1" x14ac:dyDescent="0.45">
      <c r="A4606" s="187">
        <v>2021</v>
      </c>
      <c r="B4606" t="s">
        <v>312</v>
      </c>
      <c r="C4606" t="s">
        <v>323</v>
      </c>
      <c r="D4606" t="s">
        <v>35</v>
      </c>
      <c r="E4606" t="s">
        <v>349</v>
      </c>
      <c r="F4606" t="s">
        <v>399</v>
      </c>
      <c r="G4606" t="s">
        <v>36</v>
      </c>
      <c r="H4606" t="s">
        <v>43</v>
      </c>
      <c r="I4606" s="187">
        <v>0</v>
      </c>
      <c r="J4606" s="187">
        <v>494.62969438133609</v>
      </c>
      <c r="K4606" s="187">
        <v>10.797983716319147</v>
      </c>
      <c r="L4606" s="187">
        <v>0</v>
      </c>
      <c r="M4606" s="187">
        <v>505.42767333984375</v>
      </c>
      <c r="N4606" s="187">
        <v>0</v>
      </c>
      <c r="O4606" t="s">
        <v>5066</v>
      </c>
    </row>
    <row r="4607" spans="1:15" hidden="1" x14ac:dyDescent="0.45">
      <c r="A4607" s="187">
        <v>2021</v>
      </c>
      <c r="B4607" t="s">
        <v>316</v>
      </c>
      <c r="C4607" t="s">
        <v>323</v>
      </c>
      <c r="D4607" t="s">
        <v>35</v>
      </c>
      <c r="E4607" t="s">
        <v>349</v>
      </c>
      <c r="F4607" t="s">
        <v>399</v>
      </c>
      <c r="G4607" t="s">
        <v>36</v>
      </c>
      <c r="H4607" t="s">
        <v>43</v>
      </c>
      <c r="I4607" s="187">
        <v>0</v>
      </c>
      <c r="J4607" s="187">
        <v>230.20385227486318</v>
      </c>
      <c r="K4607" s="187">
        <v>1.0971182887850699</v>
      </c>
      <c r="L4607" s="187">
        <v>0</v>
      </c>
      <c r="M4607" s="187">
        <v>231.30097961425781</v>
      </c>
      <c r="N4607" s="187">
        <v>0</v>
      </c>
      <c r="O4607" t="s">
        <v>5063</v>
      </c>
    </row>
    <row r="4608" spans="1:15" hidden="1" x14ac:dyDescent="0.45">
      <c r="A4608" s="187">
        <v>2021</v>
      </c>
      <c r="B4608" t="s">
        <v>317</v>
      </c>
      <c r="C4608" t="s">
        <v>323</v>
      </c>
      <c r="D4608" t="s">
        <v>35</v>
      </c>
      <c r="E4608" t="s">
        <v>349</v>
      </c>
      <c r="F4608" t="s">
        <v>399</v>
      </c>
      <c r="G4608" t="s">
        <v>36</v>
      </c>
      <c r="H4608" t="s">
        <v>43</v>
      </c>
      <c r="I4608" s="187">
        <v>0</v>
      </c>
      <c r="J4608" s="187">
        <v>164.88568800178268</v>
      </c>
      <c r="K4608" s="187">
        <v>0.78854199707449912</v>
      </c>
      <c r="L4608" s="187">
        <v>0</v>
      </c>
      <c r="M4608" s="187">
        <v>165.67422485351563</v>
      </c>
      <c r="N4608" s="187">
        <v>0</v>
      </c>
      <c r="O4608" t="s">
        <v>5064</v>
      </c>
    </row>
    <row r="4609" spans="1:15" hidden="1" x14ac:dyDescent="0.45">
      <c r="A4609" s="187">
        <v>2021</v>
      </c>
      <c r="B4609" t="s">
        <v>315</v>
      </c>
      <c r="C4609" t="s">
        <v>323</v>
      </c>
      <c r="D4609" t="s">
        <v>35</v>
      </c>
      <c r="E4609" t="s">
        <v>349</v>
      </c>
      <c r="F4609" t="s">
        <v>400</v>
      </c>
      <c r="G4609" t="s">
        <v>36</v>
      </c>
      <c r="H4609" t="s">
        <v>43</v>
      </c>
      <c r="I4609" s="187">
        <v>0</v>
      </c>
      <c r="J4609" s="187">
        <v>130.27170516127521</v>
      </c>
      <c r="K4609" s="187">
        <v>0.67411063884997491</v>
      </c>
      <c r="L4609" s="187">
        <v>0</v>
      </c>
      <c r="M4609" s="187">
        <v>130.94581604003906</v>
      </c>
      <c r="N4609" s="187">
        <v>0</v>
      </c>
      <c r="O4609" t="s">
        <v>5069</v>
      </c>
    </row>
    <row r="4610" spans="1:15" hidden="1" x14ac:dyDescent="0.45">
      <c r="A4610" s="187">
        <v>2021</v>
      </c>
      <c r="B4610" t="s">
        <v>314</v>
      </c>
      <c r="C4610" t="s">
        <v>323</v>
      </c>
      <c r="D4610" t="s">
        <v>35</v>
      </c>
      <c r="E4610" t="s">
        <v>349</v>
      </c>
      <c r="F4610" t="s">
        <v>400</v>
      </c>
      <c r="G4610" t="s">
        <v>36</v>
      </c>
      <c r="H4610" t="s">
        <v>43</v>
      </c>
      <c r="I4610" s="187">
        <v>0</v>
      </c>
      <c r="J4610" s="187">
        <v>157.25078924835148</v>
      </c>
      <c r="K4610" s="187">
        <v>2.6420833979740315</v>
      </c>
      <c r="L4610" s="187"/>
      <c r="M4610" s="187">
        <v>159.89288330078125</v>
      </c>
      <c r="N4610" s="187">
        <v>0</v>
      </c>
      <c r="O4610" t="s">
        <v>5070</v>
      </c>
    </row>
    <row r="4611" spans="1:15" hidden="1" x14ac:dyDescent="0.45">
      <c r="A4611" s="187">
        <v>2021</v>
      </c>
      <c r="B4611" t="s">
        <v>317</v>
      </c>
      <c r="C4611" t="s">
        <v>323</v>
      </c>
      <c r="D4611" t="s">
        <v>35</v>
      </c>
      <c r="E4611" t="s">
        <v>349</v>
      </c>
      <c r="F4611" t="s">
        <v>400</v>
      </c>
      <c r="G4611" t="s">
        <v>36</v>
      </c>
      <c r="H4611" t="s">
        <v>43</v>
      </c>
      <c r="I4611" s="187">
        <v>0</v>
      </c>
      <c r="J4611" s="187"/>
      <c r="K4611" s="187">
        <v>0.37167952026477064</v>
      </c>
      <c r="L4611" s="187">
        <v>0</v>
      </c>
      <c r="M4611" s="187">
        <v>0.37167951464653015</v>
      </c>
      <c r="N4611" s="187">
        <v>0</v>
      </c>
      <c r="O4611" t="s">
        <v>5073</v>
      </c>
    </row>
    <row r="4612" spans="1:15" hidden="1" x14ac:dyDescent="0.45">
      <c r="A4612" s="187">
        <v>2021</v>
      </c>
      <c r="B4612" t="s">
        <v>312</v>
      </c>
      <c r="C4612" t="s">
        <v>323</v>
      </c>
      <c r="D4612" t="s">
        <v>35</v>
      </c>
      <c r="E4612" t="s">
        <v>349</v>
      </c>
      <c r="F4612" t="s">
        <v>400</v>
      </c>
      <c r="G4612" t="s">
        <v>36</v>
      </c>
      <c r="H4612" t="s">
        <v>43</v>
      </c>
      <c r="I4612" s="187">
        <v>0</v>
      </c>
      <c r="J4612" s="187">
        <v>185.48613539300104</v>
      </c>
      <c r="K4612" s="187">
        <v>4.6600961603519284</v>
      </c>
      <c r="L4612" s="187">
        <v>0</v>
      </c>
      <c r="M4612" s="187">
        <v>190.14622497558594</v>
      </c>
      <c r="N4612" s="187">
        <v>0</v>
      </c>
      <c r="O4612" t="s">
        <v>5071</v>
      </c>
    </row>
    <row r="4613" spans="1:15" hidden="1" x14ac:dyDescent="0.45">
      <c r="A4613" s="187">
        <v>2021</v>
      </c>
      <c r="B4613" t="s">
        <v>316</v>
      </c>
      <c r="C4613" t="s">
        <v>323</v>
      </c>
      <c r="D4613" t="s">
        <v>35</v>
      </c>
      <c r="E4613" t="s">
        <v>349</v>
      </c>
      <c r="F4613" t="s">
        <v>400</v>
      </c>
      <c r="G4613" t="s">
        <v>36</v>
      </c>
      <c r="H4613" t="s">
        <v>43</v>
      </c>
      <c r="I4613" s="187">
        <v>0</v>
      </c>
      <c r="J4613" s="187">
        <v>42.956699706792655</v>
      </c>
      <c r="K4613" s="187">
        <v>0.50730306272781844</v>
      </c>
      <c r="L4613" s="187">
        <v>0</v>
      </c>
      <c r="M4613" s="187">
        <v>43.464000701904297</v>
      </c>
      <c r="N4613" s="187">
        <v>0</v>
      </c>
      <c r="O4613" t="s">
        <v>5072</v>
      </c>
    </row>
    <row r="4614" spans="1:15" hidden="1" x14ac:dyDescent="0.45">
      <c r="A4614" s="187">
        <v>2021</v>
      </c>
      <c r="B4614" t="s">
        <v>313</v>
      </c>
      <c r="C4614" t="s">
        <v>323</v>
      </c>
      <c r="D4614" t="s">
        <v>35</v>
      </c>
      <c r="E4614" t="s">
        <v>349</v>
      </c>
      <c r="F4614" t="s">
        <v>400</v>
      </c>
      <c r="G4614" t="s">
        <v>36</v>
      </c>
      <c r="H4614" t="s">
        <v>43</v>
      </c>
      <c r="I4614" s="187">
        <v>0</v>
      </c>
      <c r="J4614" s="187">
        <v>179.68378117980942</v>
      </c>
      <c r="K4614" s="187">
        <v>1.978761937801309</v>
      </c>
      <c r="L4614" s="187">
        <v>0</v>
      </c>
      <c r="M4614" s="187">
        <v>181.66253662109375</v>
      </c>
      <c r="N4614" s="187">
        <v>0</v>
      </c>
      <c r="O4614" t="s">
        <v>5068</v>
      </c>
    </row>
    <row r="4615" spans="1:15" hidden="1" x14ac:dyDescent="0.45">
      <c r="A4615" s="187">
        <v>2021</v>
      </c>
      <c r="B4615" t="s">
        <v>315</v>
      </c>
      <c r="C4615" t="s">
        <v>323</v>
      </c>
      <c r="D4615" t="s">
        <v>35</v>
      </c>
      <c r="E4615" t="s">
        <v>349</v>
      </c>
      <c r="F4615" t="s">
        <v>401</v>
      </c>
      <c r="G4615" t="s">
        <v>36</v>
      </c>
      <c r="H4615" t="s">
        <v>43</v>
      </c>
      <c r="I4615" s="187">
        <v>0</v>
      </c>
      <c r="J4615" s="187">
        <v>0</v>
      </c>
      <c r="K4615" s="187">
        <v>3.9494569895250778E-3</v>
      </c>
      <c r="L4615" s="187">
        <v>0</v>
      </c>
      <c r="M4615" s="187">
        <v>3.9494568482041359E-3</v>
      </c>
      <c r="N4615" s="187">
        <v>0</v>
      </c>
      <c r="O4615" t="s">
        <v>5077</v>
      </c>
    </row>
    <row r="4616" spans="1:15" hidden="1" x14ac:dyDescent="0.45">
      <c r="A4616" s="187">
        <v>2021</v>
      </c>
      <c r="B4616" t="s">
        <v>314</v>
      </c>
      <c r="C4616" t="s">
        <v>323</v>
      </c>
      <c r="D4616" t="s">
        <v>35</v>
      </c>
      <c r="E4616" t="s">
        <v>349</v>
      </c>
      <c r="F4616" t="s">
        <v>401</v>
      </c>
      <c r="G4616" t="s">
        <v>36</v>
      </c>
      <c r="H4616" t="s">
        <v>43</v>
      </c>
      <c r="I4616" s="187">
        <v>0</v>
      </c>
      <c r="J4616" s="187">
        <v>0</v>
      </c>
      <c r="K4616" s="187">
        <v>1.2971871107503762E-2</v>
      </c>
      <c r="L4616" s="187"/>
      <c r="M4616" s="187">
        <v>1.297187153249979E-2</v>
      </c>
      <c r="N4616" s="187">
        <v>0</v>
      </c>
      <c r="O4616" t="s">
        <v>5075</v>
      </c>
    </row>
    <row r="4617" spans="1:15" hidden="1" x14ac:dyDescent="0.45">
      <c r="A4617" s="187">
        <v>2021</v>
      </c>
      <c r="B4617" t="s">
        <v>317</v>
      </c>
      <c r="C4617" t="s">
        <v>323</v>
      </c>
      <c r="D4617" t="s">
        <v>35</v>
      </c>
      <c r="E4617" t="s">
        <v>349</v>
      </c>
      <c r="F4617" t="s">
        <v>401</v>
      </c>
      <c r="G4617" t="s">
        <v>36</v>
      </c>
      <c r="H4617" t="s">
        <v>43</v>
      </c>
      <c r="I4617" s="187">
        <v>0</v>
      </c>
      <c r="J4617" s="187"/>
      <c r="K4617" s="187">
        <v>3.0965843912577865E-3</v>
      </c>
      <c r="L4617" s="187">
        <v>0</v>
      </c>
      <c r="M4617" s="187">
        <v>3.0965844634920359E-3</v>
      </c>
      <c r="N4617" s="187">
        <v>0</v>
      </c>
      <c r="O4617" t="s">
        <v>5076</v>
      </c>
    </row>
    <row r="4618" spans="1:15" hidden="1" x14ac:dyDescent="0.45">
      <c r="A4618" s="187">
        <v>2021</v>
      </c>
      <c r="B4618" t="s">
        <v>312</v>
      </c>
      <c r="C4618" t="s">
        <v>323</v>
      </c>
      <c r="D4618" t="s">
        <v>35</v>
      </c>
      <c r="E4618" t="s">
        <v>349</v>
      </c>
      <c r="F4618" t="s">
        <v>401</v>
      </c>
      <c r="G4618" t="s">
        <v>36</v>
      </c>
      <c r="H4618" t="s">
        <v>43</v>
      </c>
      <c r="I4618" s="187">
        <v>0</v>
      </c>
      <c r="J4618" s="187">
        <v>0</v>
      </c>
      <c r="K4618" s="187">
        <v>1.8063149220660539E-2</v>
      </c>
      <c r="L4618" s="187">
        <v>0</v>
      </c>
      <c r="M4618" s="187">
        <v>1.8063148483633995E-2</v>
      </c>
      <c r="N4618" s="187">
        <v>0</v>
      </c>
      <c r="O4618" t="s">
        <v>5079</v>
      </c>
    </row>
    <row r="4619" spans="1:15" hidden="1" x14ac:dyDescent="0.45">
      <c r="A4619" s="187">
        <v>2021</v>
      </c>
      <c r="B4619" t="s">
        <v>313</v>
      </c>
      <c r="C4619" t="s">
        <v>323</v>
      </c>
      <c r="D4619" t="s">
        <v>35</v>
      </c>
      <c r="E4619" t="s">
        <v>349</v>
      </c>
      <c r="F4619" t="s">
        <v>401</v>
      </c>
      <c r="G4619" t="s">
        <v>36</v>
      </c>
      <c r="H4619" t="s">
        <v>43</v>
      </c>
      <c r="I4619" s="187">
        <v>0</v>
      </c>
      <c r="J4619" s="187">
        <v>0</v>
      </c>
      <c r="K4619" s="187">
        <v>9.7151531360726226E-3</v>
      </c>
      <c r="L4619" s="187">
        <v>0</v>
      </c>
      <c r="M4619" s="187">
        <v>9.7151529043912888E-3</v>
      </c>
      <c r="N4619" s="187">
        <v>0</v>
      </c>
      <c r="O4619" t="s">
        <v>5078</v>
      </c>
    </row>
    <row r="4620" spans="1:15" hidden="1" x14ac:dyDescent="0.45">
      <c r="A4620" s="187">
        <v>2021</v>
      </c>
      <c r="B4620" t="s">
        <v>316</v>
      </c>
      <c r="C4620" t="s">
        <v>323</v>
      </c>
      <c r="D4620" t="s">
        <v>35</v>
      </c>
      <c r="E4620" t="s">
        <v>349</v>
      </c>
      <c r="F4620" t="s">
        <v>401</v>
      </c>
      <c r="G4620" t="s">
        <v>36</v>
      </c>
      <c r="H4620" t="s">
        <v>43</v>
      </c>
      <c r="I4620" s="187">
        <v>0</v>
      </c>
      <c r="J4620" s="187"/>
      <c r="K4620" s="187">
        <v>4.1809370223485848E-3</v>
      </c>
      <c r="L4620" s="187">
        <v>0</v>
      </c>
      <c r="M4620" s="187">
        <v>4.1809370741248131E-3</v>
      </c>
      <c r="N4620" s="187">
        <v>0</v>
      </c>
      <c r="O4620" t="s">
        <v>5074</v>
      </c>
    </row>
    <row r="4621" spans="1:15" hidden="1" x14ac:dyDescent="0.45">
      <c r="A4621" s="187">
        <v>2021</v>
      </c>
      <c r="B4621" t="s">
        <v>314</v>
      </c>
      <c r="C4621" t="s">
        <v>323</v>
      </c>
      <c r="D4621" t="s">
        <v>35</v>
      </c>
      <c r="E4621" t="s">
        <v>349</v>
      </c>
      <c r="F4621" t="s">
        <v>402</v>
      </c>
      <c r="G4621" t="s">
        <v>36</v>
      </c>
      <c r="H4621" t="s">
        <v>43</v>
      </c>
      <c r="I4621" s="187">
        <v>0</v>
      </c>
      <c r="J4621" s="187">
        <v>0</v>
      </c>
      <c r="K4621" s="187">
        <v>8.107625020096064</v>
      </c>
      <c r="L4621" s="187">
        <v>0</v>
      </c>
      <c r="M4621" s="187">
        <v>8.1076250076293945</v>
      </c>
      <c r="N4621" s="187">
        <v>0</v>
      </c>
      <c r="O4621" t="s">
        <v>5084</v>
      </c>
    </row>
    <row r="4622" spans="1:15" hidden="1" x14ac:dyDescent="0.45">
      <c r="A4622" s="187">
        <v>2021</v>
      </c>
      <c r="B4622" t="s">
        <v>316</v>
      </c>
      <c r="C4622" t="s">
        <v>323</v>
      </c>
      <c r="D4622" t="s">
        <v>35</v>
      </c>
      <c r="E4622" t="s">
        <v>349</v>
      </c>
      <c r="F4622" t="s">
        <v>402</v>
      </c>
      <c r="G4622" t="s">
        <v>36</v>
      </c>
      <c r="H4622" t="s">
        <v>43</v>
      </c>
      <c r="I4622" s="187">
        <v>0</v>
      </c>
      <c r="J4622" s="187"/>
      <c r="K4622" s="187">
        <v>189.0004920297861</v>
      </c>
      <c r="L4622" s="187">
        <v>0</v>
      </c>
      <c r="M4622" s="187">
        <v>189.00048828125</v>
      </c>
      <c r="N4622" s="187">
        <v>0</v>
      </c>
      <c r="O4622" t="s">
        <v>5085</v>
      </c>
    </row>
    <row r="4623" spans="1:15" hidden="1" x14ac:dyDescent="0.45">
      <c r="A4623" s="187">
        <v>2021</v>
      </c>
      <c r="B4623" t="s">
        <v>312</v>
      </c>
      <c r="C4623" t="s">
        <v>323</v>
      </c>
      <c r="D4623" t="s">
        <v>35</v>
      </c>
      <c r="E4623" t="s">
        <v>349</v>
      </c>
      <c r="F4623" t="s">
        <v>402</v>
      </c>
      <c r="G4623" t="s">
        <v>36</v>
      </c>
      <c r="H4623" t="s">
        <v>43</v>
      </c>
      <c r="I4623" s="187">
        <v>0</v>
      </c>
      <c r="J4623" s="187">
        <v>0</v>
      </c>
      <c r="K4623" s="187">
        <v>9.7229430070324074</v>
      </c>
      <c r="L4623" s="187">
        <v>0</v>
      </c>
      <c r="M4623" s="187">
        <v>9.7229433059692383</v>
      </c>
      <c r="N4623" s="187">
        <v>0</v>
      </c>
      <c r="O4623" t="s">
        <v>5082</v>
      </c>
    </row>
    <row r="4624" spans="1:15" hidden="1" x14ac:dyDescent="0.45">
      <c r="A4624" s="187">
        <v>2021</v>
      </c>
      <c r="B4624" t="s">
        <v>313</v>
      </c>
      <c r="C4624" t="s">
        <v>323</v>
      </c>
      <c r="D4624" t="s">
        <v>35</v>
      </c>
      <c r="E4624" t="s">
        <v>349</v>
      </c>
      <c r="F4624" t="s">
        <v>402</v>
      </c>
      <c r="G4624" t="s">
        <v>36</v>
      </c>
      <c r="H4624" t="s">
        <v>43</v>
      </c>
      <c r="I4624" s="187">
        <v>0</v>
      </c>
      <c r="J4624" s="187">
        <v>0</v>
      </c>
      <c r="K4624" s="187">
        <v>6.0721246755623213</v>
      </c>
      <c r="L4624" s="187">
        <v>0</v>
      </c>
      <c r="M4624" s="187">
        <v>6.0721244812011719</v>
      </c>
      <c r="N4624" s="187">
        <v>0</v>
      </c>
      <c r="O4624" t="s">
        <v>5083</v>
      </c>
    </row>
    <row r="4625" spans="1:15" hidden="1" x14ac:dyDescent="0.45">
      <c r="A4625" s="187">
        <v>2021</v>
      </c>
      <c r="B4625" t="s">
        <v>317</v>
      </c>
      <c r="C4625" t="s">
        <v>323</v>
      </c>
      <c r="D4625" t="s">
        <v>35</v>
      </c>
      <c r="E4625" t="s">
        <v>349</v>
      </c>
      <c r="F4625" t="s">
        <v>402</v>
      </c>
      <c r="G4625" t="s">
        <v>36</v>
      </c>
      <c r="H4625" t="s">
        <v>43</v>
      </c>
      <c r="I4625" s="187">
        <v>0</v>
      </c>
      <c r="J4625" s="187"/>
      <c r="K4625" s="187">
        <v>7.076154409218927</v>
      </c>
      <c r="L4625" s="187">
        <v>0</v>
      </c>
      <c r="M4625" s="187">
        <v>7.0761542320251465</v>
      </c>
      <c r="N4625" s="187">
        <v>0</v>
      </c>
      <c r="O4625" t="s">
        <v>5080</v>
      </c>
    </row>
    <row r="4626" spans="1:15" hidden="1" x14ac:dyDescent="0.45">
      <c r="A4626" s="187">
        <v>2021</v>
      </c>
      <c r="B4626" t="s">
        <v>315</v>
      </c>
      <c r="C4626" t="s">
        <v>323</v>
      </c>
      <c r="D4626" t="s">
        <v>35</v>
      </c>
      <c r="E4626" t="s">
        <v>349</v>
      </c>
      <c r="F4626" t="s">
        <v>402</v>
      </c>
      <c r="G4626" t="s">
        <v>36</v>
      </c>
      <c r="H4626" t="s">
        <v>43</v>
      </c>
      <c r="I4626" s="187">
        <v>0</v>
      </c>
      <c r="J4626" s="187">
        <v>0</v>
      </c>
      <c r="K4626" s="187">
        <v>2.5311078510011846</v>
      </c>
      <c r="L4626" s="187">
        <v>0</v>
      </c>
      <c r="M4626" s="187">
        <v>2.5311079025268555</v>
      </c>
      <c r="N4626" s="187">
        <v>0</v>
      </c>
      <c r="O4626" t="s">
        <v>5081</v>
      </c>
    </row>
    <row r="4627" spans="1:15" hidden="1" x14ac:dyDescent="0.45">
      <c r="A4627" s="187">
        <v>2021</v>
      </c>
      <c r="B4627" t="s">
        <v>313</v>
      </c>
      <c r="C4627" t="s">
        <v>323</v>
      </c>
      <c r="D4627" t="s">
        <v>35</v>
      </c>
      <c r="E4627" t="s">
        <v>349</v>
      </c>
      <c r="F4627" t="s">
        <v>403</v>
      </c>
      <c r="G4627" t="s">
        <v>36</v>
      </c>
      <c r="H4627" t="s">
        <v>43</v>
      </c>
      <c r="I4627" s="187">
        <v>3665.5491360681121</v>
      </c>
      <c r="J4627" s="187">
        <v>0</v>
      </c>
      <c r="K4627" s="187">
        <v>1396.9921984723078</v>
      </c>
      <c r="L4627" s="187">
        <v>1296.119008243692</v>
      </c>
      <c r="M4627" s="187">
        <v>6358.66064453125</v>
      </c>
      <c r="N4627" s="187">
        <v>4961.66796875</v>
      </c>
      <c r="O4627" t="s">
        <v>5087</v>
      </c>
    </row>
    <row r="4628" spans="1:15" hidden="1" x14ac:dyDescent="0.45">
      <c r="A4628" s="187">
        <v>2021</v>
      </c>
      <c r="B4628" t="s">
        <v>316</v>
      </c>
      <c r="C4628" t="s">
        <v>323</v>
      </c>
      <c r="D4628" t="s">
        <v>35</v>
      </c>
      <c r="E4628" t="s">
        <v>349</v>
      </c>
      <c r="F4628" t="s">
        <v>403</v>
      </c>
      <c r="G4628" t="s">
        <v>36</v>
      </c>
      <c r="H4628" t="s">
        <v>43</v>
      </c>
      <c r="I4628" s="187">
        <v>3634.8235516630475</v>
      </c>
      <c r="J4628" s="187">
        <v>20.927622934078471</v>
      </c>
      <c r="K4628" s="187">
        <v>916.51497064030627</v>
      </c>
      <c r="L4628" s="187">
        <v>1570.6731738945211</v>
      </c>
      <c r="M4628" s="187">
        <v>6142.939453125</v>
      </c>
      <c r="N4628" s="187">
        <v>5205.49658203125</v>
      </c>
      <c r="O4628" t="s">
        <v>5090</v>
      </c>
    </row>
    <row r="4629" spans="1:15" hidden="1" x14ac:dyDescent="0.45">
      <c r="A4629" s="187">
        <v>2021</v>
      </c>
      <c r="B4629" t="s">
        <v>317</v>
      </c>
      <c r="C4629" t="s">
        <v>323</v>
      </c>
      <c r="D4629" t="s">
        <v>35</v>
      </c>
      <c r="E4629" t="s">
        <v>349</v>
      </c>
      <c r="F4629" t="s">
        <v>403</v>
      </c>
      <c r="G4629" t="s">
        <v>36</v>
      </c>
      <c r="H4629" t="s">
        <v>43</v>
      </c>
      <c r="I4629" s="187">
        <v>3008.1373223916316</v>
      </c>
      <c r="J4629" s="187">
        <v>98.326327707485092</v>
      </c>
      <c r="K4629" s="187">
        <v>1348.4506640205395</v>
      </c>
      <c r="L4629" s="187">
        <v>1243.6659691353334</v>
      </c>
      <c r="M4629" s="187">
        <v>5698.580078125</v>
      </c>
      <c r="N4629" s="187">
        <v>4251.80322265625</v>
      </c>
      <c r="O4629" t="s">
        <v>5089</v>
      </c>
    </row>
    <row r="4630" spans="1:15" hidden="1" x14ac:dyDescent="0.45">
      <c r="A4630" s="187">
        <v>2021</v>
      </c>
      <c r="B4630" t="s">
        <v>314</v>
      </c>
      <c r="C4630" t="s">
        <v>323</v>
      </c>
      <c r="D4630" t="s">
        <v>35</v>
      </c>
      <c r="E4630" t="s">
        <v>349</v>
      </c>
      <c r="F4630" t="s">
        <v>403</v>
      </c>
      <c r="G4630" t="s">
        <v>36</v>
      </c>
      <c r="H4630" t="s">
        <v>43</v>
      </c>
      <c r="I4630" s="187">
        <v>3768.1948386549407</v>
      </c>
      <c r="J4630" s="187">
        <v>0</v>
      </c>
      <c r="K4630" s="187">
        <v>1527.8253852141397</v>
      </c>
      <c r="L4630" s="187">
        <v>1283.6323685309876</v>
      </c>
      <c r="M4630" s="187">
        <v>6579.65234375</v>
      </c>
      <c r="N4630" s="187">
        <v>5051.8271484375</v>
      </c>
      <c r="O4630" t="s">
        <v>5088</v>
      </c>
    </row>
    <row r="4631" spans="1:15" hidden="1" x14ac:dyDescent="0.45">
      <c r="A4631" s="187">
        <v>2021</v>
      </c>
      <c r="B4631" t="s">
        <v>315</v>
      </c>
      <c r="C4631" t="s">
        <v>323</v>
      </c>
      <c r="D4631" t="s">
        <v>35</v>
      </c>
      <c r="E4631" t="s">
        <v>349</v>
      </c>
      <c r="F4631" t="s">
        <v>403</v>
      </c>
      <c r="G4631" t="s">
        <v>36</v>
      </c>
      <c r="H4631" t="s">
        <v>43</v>
      </c>
      <c r="I4631" s="187">
        <v>3664.5997060584809</v>
      </c>
      <c r="J4631" s="187">
        <v>0</v>
      </c>
      <c r="K4631" s="187">
        <v>1480.3519139130831</v>
      </c>
      <c r="L4631" s="187">
        <v>1532.6749311583073</v>
      </c>
      <c r="M4631" s="187">
        <v>6677.62646484375</v>
      </c>
      <c r="N4631" s="187">
        <v>5197.2744140625</v>
      </c>
      <c r="O4631" t="s">
        <v>5091</v>
      </c>
    </row>
    <row r="4632" spans="1:15" hidden="1" x14ac:dyDescent="0.45">
      <c r="A4632" s="187">
        <v>2021</v>
      </c>
      <c r="B4632" t="s">
        <v>312</v>
      </c>
      <c r="C4632" t="s">
        <v>323</v>
      </c>
      <c r="D4632" t="s">
        <v>35</v>
      </c>
      <c r="E4632" t="s">
        <v>349</v>
      </c>
      <c r="F4632" t="s">
        <v>403</v>
      </c>
      <c r="G4632" t="s">
        <v>36</v>
      </c>
      <c r="H4632" t="s">
        <v>43</v>
      </c>
      <c r="I4632" s="187">
        <v>3783.917162017221</v>
      </c>
      <c r="J4632" s="187">
        <v>0</v>
      </c>
      <c r="K4632" s="187">
        <v>1864.4068469744398</v>
      </c>
      <c r="L4632" s="187">
        <v>1330.553877885794</v>
      </c>
      <c r="M4632" s="187">
        <v>6978.8779296875</v>
      </c>
      <c r="N4632" s="187">
        <v>5114.47119140625</v>
      </c>
      <c r="O4632" t="s">
        <v>5086</v>
      </c>
    </row>
    <row r="4633" spans="1:15" hidden="1" x14ac:dyDescent="0.45">
      <c r="A4633" s="187">
        <v>2021</v>
      </c>
      <c r="B4633" t="s">
        <v>315</v>
      </c>
      <c r="C4633" t="s">
        <v>323</v>
      </c>
      <c r="D4633" t="s">
        <v>35</v>
      </c>
      <c r="E4633" t="s">
        <v>349</v>
      </c>
      <c r="F4633" t="s">
        <v>404</v>
      </c>
      <c r="G4633" t="s">
        <v>36</v>
      </c>
      <c r="H4633" t="s">
        <v>43</v>
      </c>
      <c r="I4633" s="187">
        <v>3664.5997060584809</v>
      </c>
      <c r="J4633" s="187">
        <v>0</v>
      </c>
      <c r="K4633" s="187">
        <v>2468.0793482151635</v>
      </c>
      <c r="L4633" s="187">
        <v>1815.8742902045578</v>
      </c>
      <c r="M4633" s="187">
        <v>7948.5537109375</v>
      </c>
      <c r="N4633" s="187">
        <v>5480.47412109375</v>
      </c>
      <c r="O4633" t="s">
        <v>5095</v>
      </c>
    </row>
    <row r="4634" spans="1:15" hidden="1" x14ac:dyDescent="0.45">
      <c r="A4634" s="187">
        <v>2021</v>
      </c>
      <c r="B4634" t="s">
        <v>317</v>
      </c>
      <c r="C4634" t="s">
        <v>323</v>
      </c>
      <c r="D4634" t="s">
        <v>35</v>
      </c>
      <c r="E4634" t="s">
        <v>349</v>
      </c>
      <c r="F4634" t="s">
        <v>404</v>
      </c>
      <c r="G4634" t="s">
        <v>36</v>
      </c>
      <c r="H4634" t="s">
        <v>43</v>
      </c>
      <c r="I4634" s="187">
        <v>3008.1373223916316</v>
      </c>
      <c r="J4634" s="187">
        <v>133.98312786514452</v>
      </c>
      <c r="K4634" s="187">
        <v>1992.0047194429847</v>
      </c>
      <c r="L4634" s="187">
        <v>1588.3483706593745</v>
      </c>
      <c r="M4634" s="187">
        <v>6722.47314453125</v>
      </c>
      <c r="N4634" s="187">
        <v>4596.4853515625</v>
      </c>
      <c r="O4634" t="s">
        <v>5092</v>
      </c>
    </row>
    <row r="4635" spans="1:15" hidden="1" x14ac:dyDescent="0.45">
      <c r="A4635" s="187">
        <v>2021</v>
      </c>
      <c r="B4635" t="s">
        <v>313</v>
      </c>
      <c r="C4635" t="s">
        <v>323</v>
      </c>
      <c r="D4635" t="s">
        <v>35</v>
      </c>
      <c r="E4635" t="s">
        <v>349</v>
      </c>
      <c r="F4635" t="s">
        <v>404</v>
      </c>
      <c r="G4635" t="s">
        <v>36</v>
      </c>
      <c r="H4635" t="s">
        <v>43</v>
      </c>
      <c r="I4635" s="187">
        <v>3665.5491360681121</v>
      </c>
      <c r="J4635" s="187">
        <v>0</v>
      </c>
      <c r="K4635" s="187">
        <v>2151.7045006888598</v>
      </c>
      <c r="L4635" s="187">
        <v>1413.5124119478342</v>
      </c>
      <c r="M4635" s="187">
        <v>7230.765625</v>
      </c>
      <c r="N4635" s="187">
        <v>5079.0615234375</v>
      </c>
      <c r="O4635" t="s">
        <v>5093</v>
      </c>
    </row>
    <row r="4636" spans="1:15" hidden="1" x14ac:dyDescent="0.45">
      <c r="A4636" s="187">
        <v>2021</v>
      </c>
      <c r="B4636" t="s">
        <v>316</v>
      </c>
      <c r="C4636" t="s">
        <v>323</v>
      </c>
      <c r="D4636" t="s">
        <v>35</v>
      </c>
      <c r="E4636" t="s">
        <v>349</v>
      </c>
      <c r="F4636" t="s">
        <v>404</v>
      </c>
      <c r="G4636" t="s">
        <v>36</v>
      </c>
      <c r="H4636" t="s">
        <v>43</v>
      </c>
      <c r="I4636" s="187">
        <v>3634.8235516630475</v>
      </c>
      <c r="J4636" s="187">
        <v>55.07269193178545</v>
      </c>
      <c r="K4636" s="187">
        <v>1582.1648703816581</v>
      </c>
      <c r="L4636" s="187">
        <v>1901.1093254852337</v>
      </c>
      <c r="M4636" s="187">
        <v>7173.17041015625</v>
      </c>
      <c r="N4636" s="187">
        <v>5535.9326171875</v>
      </c>
      <c r="O4636" t="s">
        <v>5097</v>
      </c>
    </row>
    <row r="4637" spans="1:15" hidden="1" x14ac:dyDescent="0.45">
      <c r="A4637" s="187">
        <v>2021</v>
      </c>
      <c r="B4637" t="s">
        <v>312</v>
      </c>
      <c r="C4637" t="s">
        <v>323</v>
      </c>
      <c r="D4637" t="s">
        <v>35</v>
      </c>
      <c r="E4637" t="s">
        <v>349</v>
      </c>
      <c r="F4637" t="s">
        <v>404</v>
      </c>
      <c r="G4637" t="s">
        <v>36</v>
      </c>
      <c r="H4637" t="s">
        <v>43</v>
      </c>
      <c r="I4637" s="187">
        <v>3783.917162017221</v>
      </c>
      <c r="J4637" s="187">
        <v>0</v>
      </c>
      <c r="K4637" s="187">
        <v>2680.2589130019674</v>
      </c>
      <c r="L4637" s="187">
        <v>1451.7381530092214</v>
      </c>
      <c r="M4637" s="187">
        <v>7915.91455078125</v>
      </c>
      <c r="N4637" s="187">
        <v>5235.6552734375</v>
      </c>
      <c r="O4637" t="s">
        <v>5094</v>
      </c>
    </row>
    <row r="4638" spans="1:15" hidden="1" x14ac:dyDescent="0.45">
      <c r="A4638" s="187">
        <v>2021</v>
      </c>
      <c r="B4638" t="s">
        <v>314</v>
      </c>
      <c r="C4638" t="s">
        <v>323</v>
      </c>
      <c r="D4638" t="s">
        <v>35</v>
      </c>
      <c r="E4638" t="s">
        <v>349</v>
      </c>
      <c r="F4638" t="s">
        <v>404</v>
      </c>
      <c r="G4638" t="s">
        <v>36</v>
      </c>
      <c r="H4638" t="s">
        <v>43</v>
      </c>
      <c r="I4638" s="187">
        <v>3768.1948386549407</v>
      </c>
      <c r="J4638" s="187">
        <v>0</v>
      </c>
      <c r="K4638" s="187">
        <v>2516.2380967473009</v>
      </c>
      <c r="L4638" s="187">
        <v>1400.1144346408776</v>
      </c>
      <c r="M4638" s="187">
        <v>7684.54736328125</v>
      </c>
      <c r="N4638" s="187">
        <v>5168.30908203125</v>
      </c>
      <c r="O4638" t="s">
        <v>5096</v>
      </c>
    </row>
    <row r="4639" spans="1:15" hidden="1" x14ac:dyDescent="0.45">
      <c r="A4639" s="187">
        <v>2021</v>
      </c>
      <c r="B4639" t="s">
        <v>316</v>
      </c>
      <c r="C4639" t="s">
        <v>323</v>
      </c>
      <c r="D4639" t="s">
        <v>35</v>
      </c>
      <c r="E4639" t="s">
        <v>349</v>
      </c>
      <c r="F4639" t="s">
        <v>405</v>
      </c>
      <c r="G4639" t="s">
        <v>36</v>
      </c>
      <c r="H4639" t="s">
        <v>43</v>
      </c>
      <c r="I4639" s="187">
        <v>0</v>
      </c>
      <c r="J4639" s="187">
        <v>34.145068997706979</v>
      </c>
      <c r="K4639" s="187">
        <v>423.79281832645643</v>
      </c>
      <c r="L4639" s="187">
        <v>0</v>
      </c>
      <c r="M4639" s="187">
        <v>457.93789672851563</v>
      </c>
      <c r="N4639" s="187">
        <v>0</v>
      </c>
      <c r="O4639" t="s">
        <v>5098</v>
      </c>
    </row>
    <row r="4640" spans="1:15" hidden="1" x14ac:dyDescent="0.45">
      <c r="A4640" s="187">
        <v>2021</v>
      </c>
      <c r="B4640" t="s">
        <v>313</v>
      </c>
      <c r="C4640" t="s">
        <v>323</v>
      </c>
      <c r="D4640" t="s">
        <v>35</v>
      </c>
      <c r="E4640" t="s">
        <v>349</v>
      </c>
      <c r="F4640" t="s">
        <v>405</v>
      </c>
      <c r="G4640" t="s">
        <v>36</v>
      </c>
      <c r="H4640" t="s">
        <v>43</v>
      </c>
      <c r="I4640" s="187">
        <v>0</v>
      </c>
      <c r="J4640" s="187">
        <v>0</v>
      </c>
      <c r="K4640" s="187">
        <v>747.67165530428952</v>
      </c>
      <c r="L4640" s="187">
        <v>0</v>
      </c>
      <c r="M4640" s="187">
        <v>747.671630859375</v>
      </c>
      <c r="N4640" s="187">
        <v>0</v>
      </c>
      <c r="O4640" t="s">
        <v>5101</v>
      </c>
    </row>
    <row r="4641" spans="1:15" hidden="1" x14ac:dyDescent="0.45">
      <c r="A4641" s="187">
        <v>2021</v>
      </c>
      <c r="B4641" t="s">
        <v>317</v>
      </c>
      <c r="C4641" t="s">
        <v>323</v>
      </c>
      <c r="D4641" t="s">
        <v>35</v>
      </c>
      <c r="E4641" t="s">
        <v>349</v>
      </c>
      <c r="F4641" t="s">
        <v>405</v>
      </c>
      <c r="G4641" t="s">
        <v>36</v>
      </c>
      <c r="H4641" t="s">
        <v>43</v>
      </c>
      <c r="I4641" s="187">
        <v>0</v>
      </c>
      <c r="J4641" s="187"/>
      <c r="K4641" s="187">
        <v>635.59264790371651</v>
      </c>
      <c r="L4641" s="187">
        <v>97.245818611798441</v>
      </c>
      <c r="M4641" s="187">
        <v>732.83843994140625</v>
      </c>
      <c r="N4641" s="187">
        <v>97.245819091796875</v>
      </c>
      <c r="O4641" t="s">
        <v>5099</v>
      </c>
    </row>
    <row r="4642" spans="1:15" hidden="1" x14ac:dyDescent="0.45">
      <c r="A4642" s="187">
        <v>2021</v>
      </c>
      <c r="B4642" t="s">
        <v>314</v>
      </c>
      <c r="C4642" t="s">
        <v>323</v>
      </c>
      <c r="D4642" t="s">
        <v>35</v>
      </c>
      <c r="E4642" t="s">
        <v>349</v>
      </c>
      <c r="F4642" t="s">
        <v>405</v>
      </c>
      <c r="G4642" t="s">
        <v>36</v>
      </c>
      <c r="H4642" t="s">
        <v>43</v>
      </c>
      <c r="I4642" s="187">
        <v>0</v>
      </c>
      <c r="J4642" s="187">
        <v>0</v>
      </c>
      <c r="K4642" s="187">
        <v>979.01189581979781</v>
      </c>
      <c r="L4642" s="187">
        <v>0</v>
      </c>
      <c r="M4642" s="187">
        <v>979.01190185546875</v>
      </c>
      <c r="N4642" s="187">
        <v>0</v>
      </c>
      <c r="O4642" t="s">
        <v>5100</v>
      </c>
    </row>
    <row r="4643" spans="1:15" hidden="1" x14ac:dyDescent="0.45">
      <c r="A4643" s="187">
        <v>2021</v>
      </c>
      <c r="B4643" t="s">
        <v>315</v>
      </c>
      <c r="C4643" t="s">
        <v>323</v>
      </c>
      <c r="D4643" t="s">
        <v>35</v>
      </c>
      <c r="E4643" t="s">
        <v>349</v>
      </c>
      <c r="F4643" t="s">
        <v>405</v>
      </c>
      <c r="G4643" t="s">
        <v>36</v>
      </c>
      <c r="H4643" t="s">
        <v>43</v>
      </c>
      <c r="I4643" s="187">
        <v>0</v>
      </c>
      <c r="J4643" s="187">
        <v>0</v>
      </c>
      <c r="K4643" s="187">
        <v>984.72835135086439</v>
      </c>
      <c r="L4643" s="187">
        <v>0</v>
      </c>
      <c r="M4643" s="187">
        <v>984.72833251953125</v>
      </c>
      <c r="N4643" s="187">
        <v>0</v>
      </c>
      <c r="O4643" t="s">
        <v>5102</v>
      </c>
    </row>
    <row r="4644" spans="1:15" hidden="1" x14ac:dyDescent="0.45">
      <c r="A4644" s="187">
        <v>2021</v>
      </c>
      <c r="B4644" t="s">
        <v>312</v>
      </c>
      <c r="C4644" t="s">
        <v>323</v>
      </c>
      <c r="D4644" t="s">
        <v>35</v>
      </c>
      <c r="E4644" t="s">
        <v>349</v>
      </c>
      <c r="F4644" t="s">
        <v>405</v>
      </c>
      <c r="G4644" t="s">
        <v>36</v>
      </c>
      <c r="H4644" t="s">
        <v>43</v>
      </c>
      <c r="I4644" s="187">
        <v>0</v>
      </c>
      <c r="J4644" s="187">
        <v>0</v>
      </c>
      <c r="K4644" s="187">
        <v>804.62384618978979</v>
      </c>
      <c r="L4644" s="187">
        <v>0</v>
      </c>
      <c r="M4644" s="187">
        <v>804.62384033203125</v>
      </c>
      <c r="N4644" s="187">
        <v>0</v>
      </c>
      <c r="O4644" t="s">
        <v>5103</v>
      </c>
    </row>
    <row r="4645" spans="1:15" hidden="1" x14ac:dyDescent="0.45">
      <c r="A4645" s="187">
        <v>2021</v>
      </c>
      <c r="B4645" t="s">
        <v>315</v>
      </c>
      <c r="C4645" t="s">
        <v>323</v>
      </c>
      <c r="D4645" t="s">
        <v>35</v>
      </c>
      <c r="E4645" t="s">
        <v>349</v>
      </c>
      <c r="F4645" t="s">
        <v>406</v>
      </c>
      <c r="G4645" t="s">
        <v>36</v>
      </c>
      <c r="H4645" t="s">
        <v>43</v>
      </c>
      <c r="I4645" s="187"/>
      <c r="J4645" s="187">
        <v>0</v>
      </c>
      <c r="K4645" s="187">
        <v>0.46797510021582106</v>
      </c>
      <c r="L4645" s="187">
        <v>0</v>
      </c>
      <c r="M4645" s="187">
        <v>0.46797510981559753</v>
      </c>
      <c r="N4645" s="187">
        <v>0</v>
      </c>
      <c r="O4645" t="s">
        <v>5109</v>
      </c>
    </row>
    <row r="4646" spans="1:15" hidden="1" x14ac:dyDescent="0.45">
      <c r="A4646" s="187">
        <v>2021</v>
      </c>
      <c r="B4646" t="s">
        <v>314</v>
      </c>
      <c r="C4646" t="s">
        <v>323</v>
      </c>
      <c r="D4646" t="s">
        <v>35</v>
      </c>
      <c r="E4646" t="s">
        <v>349</v>
      </c>
      <c r="F4646" t="s">
        <v>406</v>
      </c>
      <c r="G4646" t="s">
        <v>36</v>
      </c>
      <c r="H4646" t="s">
        <v>43</v>
      </c>
      <c r="I4646" s="187">
        <v>0</v>
      </c>
      <c r="J4646" s="187">
        <v>0</v>
      </c>
      <c r="K4646" s="187">
        <v>1.2931906932658266</v>
      </c>
      <c r="L4646" s="187">
        <v>0</v>
      </c>
      <c r="M4646" s="187">
        <v>1.2931907176971436</v>
      </c>
      <c r="N4646" s="187">
        <v>0</v>
      </c>
      <c r="O4646" t="s">
        <v>5105</v>
      </c>
    </row>
    <row r="4647" spans="1:15" hidden="1" x14ac:dyDescent="0.45">
      <c r="A4647" s="187">
        <v>2021</v>
      </c>
      <c r="B4647" t="s">
        <v>312</v>
      </c>
      <c r="C4647" t="s">
        <v>323</v>
      </c>
      <c r="D4647" t="s">
        <v>35</v>
      </c>
      <c r="E4647" t="s">
        <v>349</v>
      </c>
      <c r="F4647" t="s">
        <v>406</v>
      </c>
      <c r="G4647" t="s">
        <v>36</v>
      </c>
      <c r="H4647" t="s">
        <v>43</v>
      </c>
      <c r="I4647" s="187">
        <v>0</v>
      </c>
      <c r="J4647" s="187">
        <v>0</v>
      </c>
      <c r="K4647" s="187">
        <v>1.5052768307059006</v>
      </c>
      <c r="L4647" s="187">
        <v>0</v>
      </c>
      <c r="M4647" s="187">
        <v>1.5052767992019653</v>
      </c>
      <c r="N4647" s="187">
        <v>0</v>
      </c>
      <c r="O4647" t="s">
        <v>5104</v>
      </c>
    </row>
    <row r="4648" spans="1:15" hidden="1" x14ac:dyDescent="0.45">
      <c r="A4648" s="187">
        <v>2021</v>
      </c>
      <c r="B4648" t="s">
        <v>317</v>
      </c>
      <c r="C4648" t="s">
        <v>323</v>
      </c>
      <c r="D4648" t="s">
        <v>35</v>
      </c>
      <c r="E4648" t="s">
        <v>349</v>
      </c>
      <c r="F4648" t="s">
        <v>406</v>
      </c>
      <c r="G4648" t="s">
        <v>36</v>
      </c>
      <c r="H4648" t="s">
        <v>43</v>
      </c>
      <c r="I4648" s="187">
        <v>0</v>
      </c>
      <c r="J4648" s="187">
        <v>35.656800157659426</v>
      </c>
      <c r="K4648" s="187">
        <v>0.88525310950936731</v>
      </c>
      <c r="L4648" s="187">
        <v>45.381382018839268</v>
      </c>
      <c r="M4648" s="187">
        <v>81.923439025878906</v>
      </c>
      <c r="N4648" s="187">
        <v>45.381381988525391</v>
      </c>
      <c r="O4648" t="s">
        <v>5108</v>
      </c>
    </row>
    <row r="4649" spans="1:15" hidden="1" x14ac:dyDescent="0.45">
      <c r="A4649" s="187">
        <v>2021</v>
      </c>
      <c r="B4649" t="s">
        <v>316</v>
      </c>
      <c r="C4649" t="s">
        <v>323</v>
      </c>
      <c r="D4649" t="s">
        <v>35</v>
      </c>
      <c r="E4649" t="s">
        <v>349</v>
      </c>
      <c r="F4649" t="s">
        <v>406</v>
      </c>
      <c r="G4649" t="s">
        <v>36</v>
      </c>
      <c r="H4649" t="s">
        <v>43</v>
      </c>
      <c r="I4649" s="187">
        <v>0</v>
      </c>
      <c r="J4649" s="187"/>
      <c r="K4649" s="187">
        <v>49.133595436916224</v>
      </c>
      <c r="L4649" s="187">
        <v>0</v>
      </c>
      <c r="M4649" s="187">
        <v>49.133594512939453</v>
      </c>
      <c r="N4649" s="187">
        <v>0</v>
      </c>
      <c r="O4649" t="s">
        <v>5106</v>
      </c>
    </row>
    <row r="4650" spans="1:15" hidden="1" x14ac:dyDescent="0.45">
      <c r="A4650" s="187">
        <v>2021</v>
      </c>
      <c r="B4650" t="s">
        <v>313</v>
      </c>
      <c r="C4650" t="s">
        <v>323</v>
      </c>
      <c r="D4650" t="s">
        <v>35</v>
      </c>
      <c r="E4650" t="s">
        <v>349</v>
      </c>
      <c r="F4650" t="s">
        <v>406</v>
      </c>
      <c r="G4650" t="s">
        <v>36</v>
      </c>
      <c r="H4650" t="s">
        <v>43</v>
      </c>
      <c r="I4650" s="187">
        <v>0</v>
      </c>
      <c r="J4650" s="187">
        <v>0</v>
      </c>
      <c r="K4650" s="187">
        <v>0.96852223669983295</v>
      </c>
      <c r="L4650" s="187">
        <v>0</v>
      </c>
      <c r="M4650" s="187">
        <v>0.96852225065231323</v>
      </c>
      <c r="N4650" s="187">
        <v>0</v>
      </c>
      <c r="O4650" t="s">
        <v>5107</v>
      </c>
    </row>
    <row r="4651" spans="1:15" hidden="1" x14ac:dyDescent="0.45">
      <c r="A4651" s="187">
        <v>2021</v>
      </c>
      <c r="B4651" t="s">
        <v>312</v>
      </c>
      <c r="C4651" t="s">
        <v>323</v>
      </c>
      <c r="D4651" t="s">
        <v>35</v>
      </c>
      <c r="E4651" t="s">
        <v>349</v>
      </c>
      <c r="F4651" t="s">
        <v>407</v>
      </c>
      <c r="G4651" t="s">
        <v>36</v>
      </c>
      <c r="H4651" t="s">
        <v>43</v>
      </c>
      <c r="I4651" s="187">
        <v>0</v>
      </c>
      <c r="J4651" s="187">
        <v>0</v>
      </c>
      <c r="K4651" s="187">
        <v>0</v>
      </c>
      <c r="L4651" s="187">
        <v>121.18427512342734</v>
      </c>
      <c r="M4651" s="187">
        <v>121.18427276611328</v>
      </c>
      <c r="N4651" s="187">
        <v>121.18427276611328</v>
      </c>
      <c r="O4651" t="s">
        <v>5110</v>
      </c>
    </row>
    <row r="4652" spans="1:15" hidden="1" x14ac:dyDescent="0.45">
      <c r="A4652" s="187">
        <v>2021</v>
      </c>
      <c r="B4652" t="s">
        <v>317</v>
      </c>
      <c r="C4652" t="s">
        <v>323</v>
      </c>
      <c r="D4652" t="s">
        <v>35</v>
      </c>
      <c r="E4652" t="s">
        <v>349</v>
      </c>
      <c r="F4652" t="s">
        <v>407</v>
      </c>
      <c r="G4652" t="s">
        <v>36</v>
      </c>
      <c r="H4652" t="s">
        <v>43</v>
      </c>
      <c r="I4652" s="187">
        <v>0</v>
      </c>
      <c r="J4652" s="187"/>
      <c r="K4652" s="187">
        <v>0</v>
      </c>
      <c r="L4652" s="187">
        <v>202.05520089340342</v>
      </c>
      <c r="M4652" s="187">
        <v>202.05520629882813</v>
      </c>
      <c r="N4652" s="187">
        <v>202.05520629882813</v>
      </c>
      <c r="O4652" t="s">
        <v>5114</v>
      </c>
    </row>
    <row r="4653" spans="1:15" hidden="1" x14ac:dyDescent="0.45">
      <c r="A4653" s="187">
        <v>2021</v>
      </c>
      <c r="B4653" t="s">
        <v>314</v>
      </c>
      <c r="C4653" t="s">
        <v>323</v>
      </c>
      <c r="D4653" t="s">
        <v>35</v>
      </c>
      <c r="E4653" t="s">
        <v>349</v>
      </c>
      <c r="F4653" t="s">
        <v>407</v>
      </c>
      <c r="G4653" t="s">
        <v>36</v>
      </c>
      <c r="H4653" t="s">
        <v>43</v>
      </c>
      <c r="I4653" s="187">
        <v>0</v>
      </c>
      <c r="J4653" s="187">
        <v>0</v>
      </c>
      <c r="K4653" s="187">
        <v>0</v>
      </c>
      <c r="L4653" s="187">
        <v>116.48206610988997</v>
      </c>
      <c r="M4653" s="187">
        <v>116.48206329345703</v>
      </c>
      <c r="N4653" s="187">
        <v>116.48206329345703</v>
      </c>
      <c r="O4653" t="s">
        <v>5111</v>
      </c>
    </row>
    <row r="4654" spans="1:15" hidden="1" x14ac:dyDescent="0.45">
      <c r="A4654" s="187">
        <v>2021</v>
      </c>
      <c r="B4654" t="s">
        <v>313</v>
      </c>
      <c r="C4654" t="s">
        <v>323</v>
      </c>
      <c r="D4654" t="s">
        <v>35</v>
      </c>
      <c r="E4654" t="s">
        <v>349</v>
      </c>
      <c r="F4654" t="s">
        <v>407</v>
      </c>
      <c r="G4654" t="s">
        <v>36</v>
      </c>
      <c r="H4654" t="s">
        <v>43</v>
      </c>
      <c r="I4654" s="187">
        <v>0</v>
      </c>
      <c r="J4654" s="187">
        <v>0</v>
      </c>
      <c r="K4654" s="187">
        <v>0</v>
      </c>
      <c r="L4654" s="187">
        <v>117.39340370414216</v>
      </c>
      <c r="M4654" s="187">
        <v>117.39340209960938</v>
      </c>
      <c r="N4654" s="187">
        <v>117.39340209960938</v>
      </c>
      <c r="O4654" t="s">
        <v>5115</v>
      </c>
    </row>
    <row r="4655" spans="1:15" hidden="1" x14ac:dyDescent="0.45">
      <c r="A4655" s="187">
        <v>2021</v>
      </c>
      <c r="B4655" t="s">
        <v>315</v>
      </c>
      <c r="C4655" t="s">
        <v>323</v>
      </c>
      <c r="D4655" t="s">
        <v>35</v>
      </c>
      <c r="E4655" t="s">
        <v>349</v>
      </c>
      <c r="F4655" t="s">
        <v>407</v>
      </c>
      <c r="G4655" t="s">
        <v>36</v>
      </c>
      <c r="H4655" t="s">
        <v>43</v>
      </c>
      <c r="I4655" s="187">
        <v>0</v>
      </c>
      <c r="J4655" s="187">
        <v>0</v>
      </c>
      <c r="K4655" s="187">
        <v>0</v>
      </c>
      <c r="L4655" s="187">
        <v>283.19935904625044</v>
      </c>
      <c r="M4655" s="187">
        <v>283.19937133789063</v>
      </c>
      <c r="N4655" s="187">
        <v>283.19937133789063</v>
      </c>
      <c r="O4655" t="s">
        <v>5113</v>
      </c>
    </row>
    <row r="4656" spans="1:15" hidden="1" x14ac:dyDescent="0.45">
      <c r="A4656" s="187">
        <v>2021</v>
      </c>
      <c r="B4656" t="s">
        <v>316</v>
      </c>
      <c r="C4656" t="s">
        <v>323</v>
      </c>
      <c r="D4656" t="s">
        <v>35</v>
      </c>
      <c r="E4656" t="s">
        <v>349</v>
      </c>
      <c r="F4656" t="s">
        <v>407</v>
      </c>
      <c r="G4656" t="s">
        <v>36</v>
      </c>
      <c r="H4656" t="s">
        <v>43</v>
      </c>
      <c r="I4656" s="187">
        <v>0</v>
      </c>
      <c r="J4656" s="187"/>
      <c r="K4656" s="187">
        <v>3.7229939481927574</v>
      </c>
      <c r="L4656" s="187">
        <v>330.43615159071271</v>
      </c>
      <c r="M4656" s="187">
        <v>334.15914916992188</v>
      </c>
      <c r="N4656" s="187">
        <v>330.4361572265625</v>
      </c>
      <c r="O4656" t="s">
        <v>5112</v>
      </c>
    </row>
    <row r="4657" spans="1:15" hidden="1" x14ac:dyDescent="0.45">
      <c r="A4657" s="187">
        <v>2021</v>
      </c>
      <c r="B4657" t="s">
        <v>313</v>
      </c>
      <c r="C4657" t="s">
        <v>323</v>
      </c>
      <c r="D4657" t="s">
        <v>35</v>
      </c>
      <c r="E4657" t="s">
        <v>349</v>
      </c>
      <c r="F4657" t="s">
        <v>408</v>
      </c>
      <c r="G4657" t="s">
        <v>36</v>
      </c>
      <c r="H4657" t="s">
        <v>43</v>
      </c>
      <c r="I4657" s="187"/>
      <c r="J4657" s="187"/>
      <c r="K4657" s="187"/>
      <c r="L4657" s="187">
        <v>82.654539342712326</v>
      </c>
      <c r="M4657" s="187">
        <v>82.654541015625</v>
      </c>
      <c r="N4657" s="187">
        <v>82.654541015625</v>
      </c>
      <c r="O4657" t="s">
        <v>5116</v>
      </c>
    </row>
    <row r="4658" spans="1:15" hidden="1" x14ac:dyDescent="0.45">
      <c r="A4658" s="187">
        <v>2021</v>
      </c>
      <c r="B4658" t="s">
        <v>313</v>
      </c>
      <c r="C4658" t="s">
        <v>323</v>
      </c>
      <c r="D4658" t="s">
        <v>35</v>
      </c>
      <c r="E4658" t="s">
        <v>349</v>
      </c>
      <c r="F4658" t="s">
        <v>409</v>
      </c>
      <c r="G4658" t="s">
        <v>36</v>
      </c>
      <c r="H4658" t="s">
        <v>43</v>
      </c>
      <c r="I4658" s="187"/>
      <c r="J4658" s="187"/>
      <c r="K4658" s="187"/>
      <c r="L4658" s="187">
        <v>0</v>
      </c>
      <c r="M4658" s="187">
        <v>0</v>
      </c>
      <c r="N4658" s="187">
        <v>0</v>
      </c>
      <c r="O4658" t="s">
        <v>5117</v>
      </c>
    </row>
    <row r="4659" spans="1:15" hidden="1" x14ac:dyDescent="0.45">
      <c r="A4659" s="187">
        <v>2021</v>
      </c>
      <c r="B4659" t="s">
        <v>313</v>
      </c>
      <c r="C4659" t="s">
        <v>323</v>
      </c>
      <c r="D4659" t="s">
        <v>35</v>
      </c>
      <c r="E4659" t="s">
        <v>349</v>
      </c>
      <c r="F4659" t="s">
        <v>410</v>
      </c>
      <c r="G4659" t="s">
        <v>36</v>
      </c>
      <c r="H4659" t="s">
        <v>43</v>
      </c>
      <c r="I4659" s="187"/>
      <c r="J4659" s="187"/>
      <c r="K4659" s="187"/>
      <c r="L4659" s="187">
        <v>111.40394433148184</v>
      </c>
      <c r="M4659" s="187">
        <v>111.40394592285156</v>
      </c>
      <c r="N4659" s="187">
        <v>111.40394592285156</v>
      </c>
      <c r="O4659" t="s">
        <v>5118</v>
      </c>
    </row>
    <row r="4660" spans="1:15" hidden="1" x14ac:dyDescent="0.45">
      <c r="A4660" s="187">
        <v>2021</v>
      </c>
      <c r="B4660" t="s">
        <v>313</v>
      </c>
      <c r="C4660" t="s">
        <v>323</v>
      </c>
      <c r="D4660" t="s">
        <v>35</v>
      </c>
      <c r="E4660" t="s">
        <v>349</v>
      </c>
      <c r="F4660" t="s">
        <v>411</v>
      </c>
      <c r="G4660" t="s">
        <v>36</v>
      </c>
      <c r="H4660" t="s">
        <v>43</v>
      </c>
      <c r="I4660" s="187"/>
      <c r="J4660" s="187"/>
      <c r="K4660" s="187"/>
      <c r="L4660" s="187">
        <v>194.05848367419418</v>
      </c>
      <c r="M4660" s="187">
        <v>194.05848693847656</v>
      </c>
      <c r="N4660" s="187">
        <v>194.05848693847656</v>
      </c>
      <c r="O4660" t="s">
        <v>5119</v>
      </c>
    </row>
    <row r="4661" spans="1:15" hidden="1" x14ac:dyDescent="0.45">
      <c r="A4661" s="187">
        <v>2021</v>
      </c>
      <c r="B4661" t="s">
        <v>317</v>
      </c>
      <c r="C4661" t="s">
        <v>323</v>
      </c>
      <c r="D4661" t="s">
        <v>35</v>
      </c>
      <c r="E4661" t="s">
        <v>349</v>
      </c>
      <c r="F4661" t="s">
        <v>423</v>
      </c>
      <c r="G4661" t="s">
        <v>36</v>
      </c>
      <c r="H4661" t="s">
        <v>43</v>
      </c>
      <c r="I4661" s="187">
        <v>72.394109411005502</v>
      </c>
      <c r="J4661" s="187"/>
      <c r="K4661" s="187">
        <v>511.90845092882722</v>
      </c>
      <c r="L4661" s="187">
        <v>36.737309253346076</v>
      </c>
      <c r="M4661" s="187">
        <v>621.03985595703125</v>
      </c>
      <c r="N4661" s="187">
        <v>109.13142395019531</v>
      </c>
      <c r="O4661" t="s">
        <v>5122</v>
      </c>
    </row>
    <row r="4662" spans="1:15" hidden="1" x14ac:dyDescent="0.45">
      <c r="A4662" s="187">
        <v>2021</v>
      </c>
      <c r="B4662" t="s">
        <v>312</v>
      </c>
      <c r="C4662" t="s">
        <v>323</v>
      </c>
      <c r="D4662" t="s">
        <v>35</v>
      </c>
      <c r="E4662" t="s">
        <v>349</v>
      </c>
      <c r="F4662" t="s">
        <v>423</v>
      </c>
      <c r="G4662" t="s">
        <v>36</v>
      </c>
      <c r="H4662" t="s">
        <v>43</v>
      </c>
      <c r="I4662" s="187">
        <v>0</v>
      </c>
      <c r="J4662" s="187">
        <v>0</v>
      </c>
      <c r="K4662" s="187">
        <v>0</v>
      </c>
      <c r="L4662" s="187">
        <v>85.323622280780484</v>
      </c>
      <c r="M4662" s="187">
        <v>85.323623657226563</v>
      </c>
      <c r="N4662" s="187">
        <v>85.323623657226563</v>
      </c>
      <c r="O4662" t="s">
        <v>5124</v>
      </c>
    </row>
    <row r="4663" spans="1:15" hidden="1" x14ac:dyDescent="0.45">
      <c r="A4663" s="187">
        <v>2021</v>
      </c>
      <c r="B4663" t="s">
        <v>313</v>
      </c>
      <c r="C4663" t="s">
        <v>323</v>
      </c>
      <c r="D4663" t="s">
        <v>35</v>
      </c>
      <c r="E4663" t="s">
        <v>349</v>
      </c>
      <c r="F4663" t="s">
        <v>423</v>
      </c>
      <c r="G4663" t="s">
        <v>36</v>
      </c>
      <c r="H4663" t="s">
        <v>43</v>
      </c>
      <c r="I4663" s="187">
        <v>59.894593726603141</v>
      </c>
      <c r="J4663" s="187">
        <v>0</v>
      </c>
      <c r="K4663" s="187">
        <v>0</v>
      </c>
      <c r="L4663" s="187"/>
      <c r="M4663" s="187">
        <v>59.89459228515625</v>
      </c>
      <c r="N4663" s="187">
        <v>59.89459228515625</v>
      </c>
      <c r="O4663" t="s">
        <v>5120</v>
      </c>
    </row>
    <row r="4664" spans="1:15" hidden="1" x14ac:dyDescent="0.45">
      <c r="A4664" s="187">
        <v>2021</v>
      </c>
      <c r="B4664" t="s">
        <v>315</v>
      </c>
      <c r="C4664" t="s">
        <v>323</v>
      </c>
      <c r="D4664" t="s">
        <v>35</v>
      </c>
      <c r="E4664" t="s">
        <v>349</v>
      </c>
      <c r="F4664" t="s">
        <v>423</v>
      </c>
      <c r="G4664" t="s">
        <v>36</v>
      </c>
      <c r="H4664" t="s">
        <v>43</v>
      </c>
      <c r="I4664" s="187">
        <v>56.639871809250089</v>
      </c>
      <c r="J4664" s="187">
        <v>0</v>
      </c>
      <c r="K4664" s="187">
        <v>352.0555640362798</v>
      </c>
      <c r="L4664" s="187">
        <v>140.46688208694022</v>
      </c>
      <c r="M4664" s="187">
        <v>549.16229248046875</v>
      </c>
      <c r="N4664" s="187">
        <v>197.10675048828125</v>
      </c>
      <c r="O4664" t="s">
        <v>5123</v>
      </c>
    </row>
    <row r="4665" spans="1:15" hidden="1" x14ac:dyDescent="0.45">
      <c r="A4665" s="187">
        <v>2021</v>
      </c>
      <c r="B4665" t="s">
        <v>314</v>
      </c>
      <c r="C4665" t="s">
        <v>323</v>
      </c>
      <c r="D4665" t="s">
        <v>35</v>
      </c>
      <c r="E4665" t="s">
        <v>349</v>
      </c>
      <c r="F4665" t="s">
        <v>423</v>
      </c>
      <c r="G4665" t="s">
        <v>36</v>
      </c>
      <c r="H4665" t="s">
        <v>43</v>
      </c>
      <c r="I4665" s="187">
        <v>58.241033054944985</v>
      </c>
      <c r="J4665" s="187">
        <v>0</v>
      </c>
      <c r="K4665" s="187">
        <v>360.54866669978412</v>
      </c>
      <c r="L4665" s="187">
        <v>81.537446276922978</v>
      </c>
      <c r="M4665" s="187">
        <v>500.3271484375</v>
      </c>
      <c r="N4665" s="187">
        <v>139.77847290039063</v>
      </c>
      <c r="O4665" t="s">
        <v>5125</v>
      </c>
    </row>
    <row r="4666" spans="1:15" hidden="1" x14ac:dyDescent="0.45">
      <c r="A4666" s="187">
        <v>2021</v>
      </c>
      <c r="B4666" t="s">
        <v>316</v>
      </c>
      <c r="C4666" t="s">
        <v>323</v>
      </c>
      <c r="D4666" t="s">
        <v>35</v>
      </c>
      <c r="E4666" t="s">
        <v>349</v>
      </c>
      <c r="F4666" t="s">
        <v>423</v>
      </c>
      <c r="G4666" t="s">
        <v>36</v>
      </c>
      <c r="H4666" t="s">
        <v>43</v>
      </c>
      <c r="I4666" s="187">
        <v>56.179653039614344</v>
      </c>
      <c r="J4666" s="187"/>
      <c r="K4666" s="187">
        <v>386.80872405335253</v>
      </c>
      <c r="L4666" s="187">
        <v>302.89980562481998</v>
      </c>
      <c r="M4666" s="187">
        <v>745.88818359375</v>
      </c>
      <c r="N4666" s="187">
        <v>359.0794677734375</v>
      </c>
      <c r="O4666" t="s">
        <v>5121</v>
      </c>
    </row>
    <row r="4667" spans="1:15" hidden="1" x14ac:dyDescent="0.45">
      <c r="A4667" s="187">
        <v>2021</v>
      </c>
      <c r="B4667" t="s">
        <v>314</v>
      </c>
      <c r="C4667" t="s">
        <v>323</v>
      </c>
      <c r="D4667" t="s">
        <v>35</v>
      </c>
      <c r="E4667" t="s">
        <v>349</v>
      </c>
      <c r="F4667" t="s">
        <v>424</v>
      </c>
      <c r="G4667" t="s">
        <v>36</v>
      </c>
      <c r="H4667" t="s">
        <v>43</v>
      </c>
      <c r="I4667" s="187">
        <v>145.60258263736247</v>
      </c>
      <c r="J4667" s="187">
        <v>0</v>
      </c>
      <c r="K4667" s="187">
        <v>0</v>
      </c>
      <c r="L4667" s="187">
        <v>69.889239665933985</v>
      </c>
      <c r="M4667" s="187">
        <v>215.4918212890625</v>
      </c>
      <c r="N4667" s="187">
        <v>215.4918212890625</v>
      </c>
      <c r="O4667" t="s">
        <v>5131</v>
      </c>
    </row>
    <row r="4668" spans="1:15" hidden="1" x14ac:dyDescent="0.45">
      <c r="A4668" s="187">
        <v>2021</v>
      </c>
      <c r="B4668" t="s">
        <v>312</v>
      </c>
      <c r="C4668" t="s">
        <v>323</v>
      </c>
      <c r="D4668" t="s">
        <v>35</v>
      </c>
      <c r="E4668" t="s">
        <v>349</v>
      </c>
      <c r="F4668" t="s">
        <v>424</v>
      </c>
      <c r="G4668" t="s">
        <v>36</v>
      </c>
      <c r="H4668" t="s">
        <v>43</v>
      </c>
      <c r="I4668" s="187">
        <v>0</v>
      </c>
      <c r="J4668" s="187">
        <v>0</v>
      </c>
      <c r="K4668" s="187">
        <v>0</v>
      </c>
      <c r="L4668" s="187">
        <v>0</v>
      </c>
      <c r="M4668" s="187">
        <v>0</v>
      </c>
      <c r="N4668" s="187">
        <v>0</v>
      </c>
      <c r="O4668" t="s">
        <v>5130</v>
      </c>
    </row>
    <row r="4669" spans="1:15" hidden="1" x14ac:dyDescent="0.45">
      <c r="A4669" s="187">
        <v>2021</v>
      </c>
      <c r="B4669" t="s">
        <v>316</v>
      </c>
      <c r="C4669" t="s">
        <v>323</v>
      </c>
      <c r="D4669" t="s">
        <v>35</v>
      </c>
      <c r="E4669" t="s">
        <v>349</v>
      </c>
      <c r="F4669" t="s">
        <v>424</v>
      </c>
      <c r="G4669" t="s">
        <v>36</v>
      </c>
      <c r="H4669" t="s">
        <v>43</v>
      </c>
      <c r="I4669" s="187">
        <v>140.44913259903586</v>
      </c>
      <c r="J4669" s="187"/>
      <c r="K4669" s="187">
        <v>0</v>
      </c>
      <c r="L4669" s="187">
        <v>70.493045672685383</v>
      </c>
      <c r="M4669" s="187">
        <v>210.94216918945313</v>
      </c>
      <c r="N4669" s="187">
        <v>210.94216918945313</v>
      </c>
      <c r="O4669" t="s">
        <v>5127</v>
      </c>
    </row>
    <row r="4670" spans="1:15" hidden="1" x14ac:dyDescent="0.45">
      <c r="A4670" s="187">
        <v>2021</v>
      </c>
      <c r="B4670" t="s">
        <v>313</v>
      </c>
      <c r="C4670" t="s">
        <v>323</v>
      </c>
      <c r="D4670" t="s">
        <v>35</v>
      </c>
      <c r="E4670" t="s">
        <v>349</v>
      </c>
      <c r="F4670" t="s">
        <v>424</v>
      </c>
      <c r="G4670" t="s">
        <v>36</v>
      </c>
      <c r="H4670" t="s">
        <v>43</v>
      </c>
      <c r="I4670" s="187">
        <v>119.78918745320628</v>
      </c>
      <c r="J4670" s="187">
        <v>0</v>
      </c>
      <c r="K4670" s="187">
        <v>0</v>
      </c>
      <c r="L4670" s="187"/>
      <c r="M4670" s="187">
        <v>119.7891845703125</v>
      </c>
      <c r="N4670" s="187">
        <v>119.7891845703125</v>
      </c>
      <c r="O4670" t="s">
        <v>5126</v>
      </c>
    </row>
    <row r="4671" spans="1:15" hidden="1" x14ac:dyDescent="0.45">
      <c r="A4671" s="187">
        <v>2021</v>
      </c>
      <c r="B4671" t="s">
        <v>317</v>
      </c>
      <c r="C4671" t="s">
        <v>323</v>
      </c>
      <c r="D4671" t="s">
        <v>35</v>
      </c>
      <c r="E4671" t="s">
        <v>349</v>
      </c>
      <c r="F4671" t="s">
        <v>424</v>
      </c>
      <c r="G4671" t="s">
        <v>36</v>
      </c>
      <c r="H4671" t="s">
        <v>43</v>
      </c>
      <c r="I4671" s="187">
        <v>2.1610181913732984</v>
      </c>
      <c r="J4671" s="187"/>
      <c r="K4671" s="187">
        <v>0</v>
      </c>
      <c r="L4671" s="187">
        <v>34.576291061972775</v>
      </c>
      <c r="M4671" s="187">
        <v>36.737308502197266</v>
      </c>
      <c r="N4671" s="187">
        <v>36.737308502197266</v>
      </c>
      <c r="O4671" t="s">
        <v>5128</v>
      </c>
    </row>
    <row r="4672" spans="1:15" hidden="1" x14ac:dyDescent="0.45">
      <c r="A4672" s="187">
        <v>2021</v>
      </c>
      <c r="B4672" t="s">
        <v>315</v>
      </c>
      <c r="C4672" t="s">
        <v>323</v>
      </c>
      <c r="D4672" t="s">
        <v>35</v>
      </c>
      <c r="E4672" t="s">
        <v>349</v>
      </c>
      <c r="F4672" t="s">
        <v>424</v>
      </c>
      <c r="G4672" t="s">
        <v>36</v>
      </c>
      <c r="H4672" t="s">
        <v>43</v>
      </c>
      <c r="I4672" s="187">
        <v>141.59967952312522</v>
      </c>
      <c r="J4672" s="187">
        <v>0</v>
      </c>
      <c r="K4672" s="187">
        <v>0</v>
      </c>
      <c r="L4672" s="187">
        <v>71.366238479655109</v>
      </c>
      <c r="M4672" s="187">
        <v>212.96592712402344</v>
      </c>
      <c r="N4672" s="187">
        <v>212.96592712402344</v>
      </c>
      <c r="O4672" t="s">
        <v>5129</v>
      </c>
    </row>
    <row r="4673" spans="1:15" hidden="1" x14ac:dyDescent="0.45">
      <c r="A4673" s="187">
        <v>2021</v>
      </c>
      <c r="B4673" t="s">
        <v>314</v>
      </c>
      <c r="C4673" t="s">
        <v>323</v>
      </c>
      <c r="D4673" t="s">
        <v>35</v>
      </c>
      <c r="E4673" t="s">
        <v>349</v>
      </c>
      <c r="F4673" t="s">
        <v>446</v>
      </c>
      <c r="G4673" t="s">
        <v>36</v>
      </c>
      <c r="H4673" t="s">
        <v>43</v>
      </c>
      <c r="I4673" s="187">
        <v>133.95437602637347</v>
      </c>
      <c r="J4673" s="187">
        <v>0</v>
      </c>
      <c r="K4673" s="187">
        <v>0</v>
      </c>
      <c r="L4673" s="187">
        <v>110.65796280439548</v>
      </c>
      <c r="M4673" s="187">
        <v>244.61233520507813</v>
      </c>
      <c r="N4673" s="187">
        <v>244.61233520507813</v>
      </c>
      <c r="O4673" t="s">
        <v>5137</v>
      </c>
    </row>
    <row r="4674" spans="1:15" hidden="1" x14ac:dyDescent="0.45">
      <c r="A4674" s="187">
        <v>2021</v>
      </c>
      <c r="B4674" t="s">
        <v>317</v>
      </c>
      <c r="C4674" t="s">
        <v>323</v>
      </c>
      <c r="D4674" t="s">
        <v>35</v>
      </c>
      <c r="E4674" t="s">
        <v>349</v>
      </c>
      <c r="F4674" t="s">
        <v>446</v>
      </c>
      <c r="G4674" t="s">
        <v>36</v>
      </c>
      <c r="H4674" t="s">
        <v>43</v>
      </c>
      <c r="I4674" s="187">
        <v>42.139854731779323</v>
      </c>
      <c r="J4674" s="187"/>
      <c r="K4674" s="187">
        <v>0</v>
      </c>
      <c r="L4674" s="187">
        <v>250.67811019930264</v>
      </c>
      <c r="M4674" s="187">
        <v>292.81796264648438</v>
      </c>
      <c r="N4674" s="187">
        <v>292.81796264648438</v>
      </c>
      <c r="O4674" t="s">
        <v>5133</v>
      </c>
    </row>
    <row r="4675" spans="1:15" hidden="1" x14ac:dyDescent="0.45">
      <c r="A4675" s="187">
        <v>2021</v>
      </c>
      <c r="B4675" t="s">
        <v>313</v>
      </c>
      <c r="C4675" t="s">
        <v>323</v>
      </c>
      <c r="D4675" t="s">
        <v>35</v>
      </c>
      <c r="E4675" t="s">
        <v>349</v>
      </c>
      <c r="F4675" t="s">
        <v>446</v>
      </c>
      <c r="G4675" t="s">
        <v>36</v>
      </c>
      <c r="H4675" t="s">
        <v>43</v>
      </c>
      <c r="I4675" s="187">
        <v>119.78918745320628</v>
      </c>
      <c r="J4675" s="187">
        <v>0</v>
      </c>
      <c r="K4675" s="187">
        <v>0</v>
      </c>
      <c r="L4675" s="187"/>
      <c r="M4675" s="187">
        <v>119.7891845703125</v>
      </c>
      <c r="N4675" s="187">
        <v>119.7891845703125</v>
      </c>
      <c r="O4675" t="s">
        <v>5132</v>
      </c>
    </row>
    <row r="4676" spans="1:15" hidden="1" x14ac:dyDescent="0.45">
      <c r="A4676" s="187">
        <v>2021</v>
      </c>
      <c r="B4676" t="s">
        <v>316</v>
      </c>
      <c r="C4676" t="s">
        <v>323</v>
      </c>
      <c r="D4676" t="s">
        <v>35</v>
      </c>
      <c r="E4676" t="s">
        <v>349</v>
      </c>
      <c r="F4676" t="s">
        <v>446</v>
      </c>
      <c r="G4676" t="s">
        <v>36</v>
      </c>
      <c r="H4676" t="s">
        <v>43</v>
      </c>
      <c r="I4676" s="187">
        <v>129.21320199111298</v>
      </c>
      <c r="J4676" s="187"/>
      <c r="K4676" s="187">
        <v>111.68981844578273</v>
      </c>
      <c r="L4676" s="187">
        <v>112.34829154084233</v>
      </c>
      <c r="M4676" s="187">
        <v>353.25131225585938</v>
      </c>
      <c r="N4676" s="187">
        <v>241.56149291992188</v>
      </c>
      <c r="O4676" t="s">
        <v>5134</v>
      </c>
    </row>
    <row r="4677" spans="1:15" hidden="1" x14ac:dyDescent="0.45">
      <c r="A4677" s="187">
        <v>2021</v>
      </c>
      <c r="B4677" t="s">
        <v>315</v>
      </c>
      <c r="C4677" t="s">
        <v>323</v>
      </c>
      <c r="D4677" t="s">
        <v>35</v>
      </c>
      <c r="E4677" t="s">
        <v>349</v>
      </c>
      <c r="F4677" t="s">
        <v>446</v>
      </c>
      <c r="G4677" t="s">
        <v>36</v>
      </c>
      <c r="H4677" t="s">
        <v>43</v>
      </c>
      <c r="I4677" s="187">
        <v>130.27170516127521</v>
      </c>
      <c r="J4677" s="187">
        <v>0</v>
      </c>
      <c r="K4677" s="187">
        <v>0</v>
      </c>
      <c r="L4677" s="187">
        <v>113.27974361850018</v>
      </c>
      <c r="M4677" s="187">
        <v>243.55143737792969</v>
      </c>
      <c r="N4677" s="187">
        <v>243.55143737792969</v>
      </c>
      <c r="O4677" t="s">
        <v>5135</v>
      </c>
    </row>
    <row r="4678" spans="1:15" hidden="1" x14ac:dyDescent="0.45">
      <c r="A4678" s="187">
        <v>2021</v>
      </c>
      <c r="B4678" t="s">
        <v>312</v>
      </c>
      <c r="C4678" t="s">
        <v>323</v>
      </c>
      <c r="D4678" t="s">
        <v>35</v>
      </c>
      <c r="E4678" t="s">
        <v>349</v>
      </c>
      <c r="F4678" t="s">
        <v>446</v>
      </c>
      <c r="G4678" t="s">
        <v>36</v>
      </c>
      <c r="H4678" t="s">
        <v>43</v>
      </c>
      <c r="I4678" s="187">
        <v>309.14355898833509</v>
      </c>
      <c r="J4678" s="187">
        <v>0</v>
      </c>
      <c r="K4678" s="187">
        <v>0</v>
      </c>
      <c r="L4678" s="187">
        <v>115.00140394366065</v>
      </c>
      <c r="M4678" s="187">
        <v>424.14495849609375</v>
      </c>
      <c r="N4678" s="187">
        <v>424.14495849609375</v>
      </c>
      <c r="O4678" t="s">
        <v>5136</v>
      </c>
    </row>
    <row r="4679" spans="1:15" hidden="1" x14ac:dyDescent="0.45">
      <c r="A4679" s="187">
        <v>2021</v>
      </c>
      <c r="B4679" t="s">
        <v>314</v>
      </c>
      <c r="C4679" t="s">
        <v>323</v>
      </c>
      <c r="D4679" t="s">
        <v>35</v>
      </c>
      <c r="E4679" t="s">
        <v>349</v>
      </c>
      <c r="F4679" t="s">
        <v>447</v>
      </c>
      <c r="G4679" t="s">
        <v>36</v>
      </c>
      <c r="H4679" t="s">
        <v>43</v>
      </c>
      <c r="I4679" s="187">
        <v>337.79799171868092</v>
      </c>
      <c r="J4679" s="187">
        <v>0</v>
      </c>
      <c r="K4679" s="187">
        <v>360.54866669978412</v>
      </c>
      <c r="L4679" s="187">
        <v>262.08464874725246</v>
      </c>
      <c r="M4679" s="187">
        <v>960.43133544921875</v>
      </c>
      <c r="N4679" s="187">
        <v>599.88262939453125</v>
      </c>
      <c r="O4679" t="s">
        <v>5140</v>
      </c>
    </row>
    <row r="4680" spans="1:15" hidden="1" x14ac:dyDescent="0.45">
      <c r="A4680" s="187">
        <v>2021</v>
      </c>
      <c r="B4680" t="s">
        <v>313</v>
      </c>
      <c r="C4680" t="s">
        <v>323</v>
      </c>
      <c r="D4680" t="s">
        <v>35</v>
      </c>
      <c r="E4680" t="s">
        <v>349</v>
      </c>
      <c r="F4680" t="s">
        <v>447</v>
      </c>
      <c r="G4680" t="s">
        <v>36</v>
      </c>
      <c r="H4680" t="s">
        <v>43</v>
      </c>
      <c r="I4680" s="187">
        <v>299.47296863301568</v>
      </c>
      <c r="J4680" s="187">
        <v>0</v>
      </c>
      <c r="K4680" s="187">
        <v>0</v>
      </c>
      <c r="L4680" s="187"/>
      <c r="M4680" s="187">
        <v>299.47296142578125</v>
      </c>
      <c r="N4680" s="187">
        <v>299.47296142578125</v>
      </c>
      <c r="O4680" t="s">
        <v>5143</v>
      </c>
    </row>
    <row r="4681" spans="1:15" hidden="1" x14ac:dyDescent="0.45">
      <c r="A4681" s="187">
        <v>2021</v>
      </c>
      <c r="B4681" t="s">
        <v>317</v>
      </c>
      <c r="C4681" t="s">
        <v>323</v>
      </c>
      <c r="D4681" t="s">
        <v>35</v>
      </c>
      <c r="E4681" t="s">
        <v>349</v>
      </c>
      <c r="F4681" t="s">
        <v>447</v>
      </c>
      <c r="G4681" t="s">
        <v>36</v>
      </c>
      <c r="H4681" t="s">
        <v>43</v>
      </c>
      <c r="I4681" s="187">
        <v>116.69498233415813</v>
      </c>
      <c r="J4681" s="187">
        <v>0</v>
      </c>
      <c r="K4681" s="187">
        <v>511.90845092882722</v>
      </c>
      <c r="L4681" s="187">
        <v>321.9917105146215</v>
      </c>
      <c r="M4681" s="187">
        <v>950.59515380859375</v>
      </c>
      <c r="N4681" s="187">
        <v>438.68670654296875</v>
      </c>
      <c r="O4681" t="s">
        <v>5138</v>
      </c>
    </row>
    <row r="4682" spans="1:15" hidden="1" x14ac:dyDescent="0.45">
      <c r="A4682" s="187">
        <v>2021</v>
      </c>
      <c r="B4682" t="s">
        <v>316</v>
      </c>
      <c r="C4682" t="s">
        <v>323</v>
      </c>
      <c r="D4682" t="s">
        <v>35</v>
      </c>
      <c r="E4682" t="s">
        <v>349</v>
      </c>
      <c r="F4682" t="s">
        <v>447</v>
      </c>
      <c r="G4682" t="s">
        <v>36</v>
      </c>
      <c r="H4682" t="s">
        <v>43</v>
      </c>
      <c r="I4682" s="187">
        <v>325.8419876297632</v>
      </c>
      <c r="J4682" s="187">
        <v>0</v>
      </c>
      <c r="K4682" s="187">
        <v>498.49854249913523</v>
      </c>
      <c r="L4682" s="187">
        <v>485.74114283834768</v>
      </c>
      <c r="M4682" s="187">
        <v>1310.0816650390625</v>
      </c>
      <c r="N4682" s="187">
        <v>811.5831298828125</v>
      </c>
      <c r="O4682" t="s">
        <v>5142</v>
      </c>
    </row>
    <row r="4683" spans="1:15" hidden="1" x14ac:dyDescent="0.45">
      <c r="A4683" s="187">
        <v>2021</v>
      </c>
      <c r="B4683" t="s">
        <v>312</v>
      </c>
      <c r="C4683" t="s">
        <v>323</v>
      </c>
      <c r="D4683" t="s">
        <v>35</v>
      </c>
      <c r="E4683" t="s">
        <v>349</v>
      </c>
      <c r="F4683" t="s">
        <v>447</v>
      </c>
      <c r="G4683" t="s">
        <v>36</v>
      </c>
      <c r="H4683" t="s">
        <v>43</v>
      </c>
      <c r="I4683" s="187">
        <v>309.14355898833509</v>
      </c>
      <c r="J4683" s="187">
        <v>0</v>
      </c>
      <c r="K4683" s="187">
        <v>0</v>
      </c>
      <c r="L4683" s="187">
        <v>200.32502622444113</v>
      </c>
      <c r="M4683" s="187">
        <v>509.46856689453125</v>
      </c>
      <c r="N4683" s="187">
        <v>509.46856689453125</v>
      </c>
      <c r="O4683" t="s">
        <v>5139</v>
      </c>
    </row>
    <row r="4684" spans="1:15" hidden="1" x14ac:dyDescent="0.45">
      <c r="A4684" s="187">
        <v>2021</v>
      </c>
      <c r="B4684" t="s">
        <v>315</v>
      </c>
      <c r="C4684" t="s">
        <v>323</v>
      </c>
      <c r="D4684" t="s">
        <v>35</v>
      </c>
      <c r="E4684" t="s">
        <v>349</v>
      </c>
      <c r="F4684" t="s">
        <v>447</v>
      </c>
      <c r="G4684" t="s">
        <v>36</v>
      </c>
      <c r="H4684" t="s">
        <v>43</v>
      </c>
      <c r="I4684" s="187">
        <v>328.51125649365054</v>
      </c>
      <c r="J4684" s="187">
        <v>0</v>
      </c>
      <c r="K4684" s="187">
        <v>352.0555640362798</v>
      </c>
      <c r="L4684" s="187">
        <v>325.11286418509553</v>
      </c>
      <c r="M4684" s="187">
        <v>1005.6796875</v>
      </c>
      <c r="N4684" s="187">
        <v>653.6241455078125</v>
      </c>
      <c r="O4684" t="s">
        <v>5141</v>
      </c>
    </row>
    <row r="4685" spans="1:15" hidden="1" x14ac:dyDescent="0.45">
      <c r="A4685" s="187">
        <v>2021</v>
      </c>
      <c r="B4685" t="s">
        <v>34</v>
      </c>
      <c r="C4685" t="s">
        <v>324</v>
      </c>
      <c r="D4685" t="s">
        <v>35</v>
      </c>
      <c r="E4685" t="s">
        <v>348</v>
      </c>
      <c r="F4685" t="s">
        <v>382</v>
      </c>
      <c r="G4685" t="s">
        <v>36</v>
      </c>
      <c r="H4685" t="s">
        <v>43</v>
      </c>
      <c r="I4685" s="187">
        <v>13583.5849609375</v>
      </c>
      <c r="J4685" s="187">
        <v>1037.2886962890625</v>
      </c>
      <c r="K4685" s="187">
        <v>21264.419921875</v>
      </c>
      <c r="L4685" s="187">
        <v>30013.30078125</v>
      </c>
      <c r="M4685" s="187">
        <v>65898.59375</v>
      </c>
      <c r="N4685" s="187">
        <v>43596.88671875</v>
      </c>
      <c r="O4685" t="s">
        <v>5144</v>
      </c>
    </row>
    <row r="4686" spans="1:15" hidden="1" x14ac:dyDescent="0.45">
      <c r="A4686" s="187">
        <v>2021</v>
      </c>
      <c r="B4686" t="s">
        <v>34</v>
      </c>
      <c r="C4686" t="s">
        <v>324</v>
      </c>
      <c r="D4686" t="s">
        <v>35</v>
      </c>
      <c r="E4686" t="s">
        <v>348</v>
      </c>
      <c r="F4686" t="s">
        <v>382</v>
      </c>
      <c r="G4686" t="s">
        <v>37</v>
      </c>
      <c r="H4686" t="s">
        <v>43</v>
      </c>
      <c r="I4686" s="187">
        <v>12571.4673654</v>
      </c>
      <c r="J4686" s="187">
        <v>960</v>
      </c>
      <c r="K4686" s="187">
        <v>19680</v>
      </c>
      <c r="L4686" s="187">
        <v>27777</v>
      </c>
      <c r="M4686" s="187">
        <v>60988.46875</v>
      </c>
      <c r="N4686" s="187">
        <v>40348.46875</v>
      </c>
      <c r="O4686" t="s">
        <v>5145</v>
      </c>
    </row>
    <row r="4687" spans="1:15" hidden="1" x14ac:dyDescent="0.45">
      <c r="A4687" s="187">
        <v>2021</v>
      </c>
      <c r="B4687" t="s">
        <v>34</v>
      </c>
      <c r="C4687" t="s">
        <v>324</v>
      </c>
      <c r="D4687" t="s">
        <v>35</v>
      </c>
      <c r="E4687" t="s">
        <v>19</v>
      </c>
      <c r="F4687" t="s">
        <v>19</v>
      </c>
      <c r="G4687" t="s">
        <v>36</v>
      </c>
      <c r="H4687" t="s">
        <v>43</v>
      </c>
      <c r="I4687" s="187">
        <v>412.20272827148438</v>
      </c>
      <c r="J4687" s="187">
        <v>44.300872802734375</v>
      </c>
      <c r="K4687" s="187">
        <v>435.44515991210938</v>
      </c>
      <c r="L4687" s="187">
        <v>3094.578125</v>
      </c>
      <c r="M4687" s="187">
        <v>3986.52685546875</v>
      </c>
      <c r="N4687" s="187">
        <v>3506.78076171875</v>
      </c>
      <c r="O4687" t="s">
        <v>5146</v>
      </c>
    </row>
    <row r="4688" spans="1:15" hidden="1" x14ac:dyDescent="0.45">
      <c r="A4688" s="187">
        <v>2021</v>
      </c>
      <c r="B4688" t="s">
        <v>34</v>
      </c>
      <c r="C4688" t="s">
        <v>324</v>
      </c>
      <c r="D4688" t="s">
        <v>35</v>
      </c>
      <c r="E4688" t="s">
        <v>19</v>
      </c>
      <c r="F4688" t="s">
        <v>19</v>
      </c>
      <c r="G4688" t="s">
        <v>37</v>
      </c>
      <c r="H4688" t="s">
        <v>43</v>
      </c>
      <c r="I4688" s="187">
        <v>381.48935999999998</v>
      </c>
      <c r="J4688" s="187">
        <v>41</v>
      </c>
      <c r="K4688" s="187">
        <v>403</v>
      </c>
      <c r="L4688" s="187">
        <v>2864</v>
      </c>
      <c r="M4688" s="187">
        <v>3689.4892578125</v>
      </c>
      <c r="N4688" s="187">
        <v>3245.4892578125</v>
      </c>
      <c r="O4688" t="s">
        <v>5147</v>
      </c>
    </row>
    <row r="4689" spans="1:15" hidden="1" x14ac:dyDescent="0.45">
      <c r="A4689" s="187">
        <v>2021</v>
      </c>
      <c r="B4689" t="s">
        <v>34</v>
      </c>
      <c r="C4689" t="s">
        <v>324</v>
      </c>
      <c r="D4689" t="s">
        <v>35</v>
      </c>
      <c r="E4689" t="s">
        <v>349</v>
      </c>
      <c r="F4689" t="s">
        <v>349</v>
      </c>
      <c r="G4689" t="s">
        <v>36</v>
      </c>
      <c r="H4689" t="s">
        <v>43</v>
      </c>
      <c r="I4689" s="187">
        <v>3023.658203125</v>
      </c>
      <c r="J4689" s="187">
        <v>292.81796264648438</v>
      </c>
      <c r="K4689" s="187">
        <v>4178.32861328125</v>
      </c>
      <c r="L4689" s="187">
        <v>3245.849365234375</v>
      </c>
      <c r="M4689" s="187">
        <v>10740.654296875</v>
      </c>
      <c r="N4689" s="187">
        <v>6269.5078125</v>
      </c>
      <c r="O4689" t="s">
        <v>5148</v>
      </c>
    </row>
    <row r="4690" spans="1:15" hidden="1" x14ac:dyDescent="0.45">
      <c r="A4690" s="187">
        <v>2021</v>
      </c>
      <c r="B4690" t="s">
        <v>34</v>
      </c>
      <c r="C4690" t="s">
        <v>324</v>
      </c>
      <c r="D4690" t="s">
        <v>35</v>
      </c>
      <c r="E4690" t="s">
        <v>349</v>
      </c>
      <c r="F4690" t="s">
        <v>349</v>
      </c>
      <c r="G4690" t="s">
        <v>37</v>
      </c>
      <c r="H4690" t="s">
        <v>43</v>
      </c>
      <c r="I4690" s="187">
        <v>2798.364430000001</v>
      </c>
      <c r="J4690" s="187">
        <v>271</v>
      </c>
      <c r="K4690" s="187">
        <v>3867</v>
      </c>
      <c r="L4690" s="187">
        <v>3004</v>
      </c>
      <c r="M4690" s="187">
        <v>9940.3642578125</v>
      </c>
      <c r="N4690" s="187">
        <v>5802.3642578125</v>
      </c>
      <c r="O4690" t="s">
        <v>5149</v>
      </c>
    </row>
    <row r="4691" spans="1:15" hidden="1" x14ac:dyDescent="0.45">
      <c r="A4691" s="187">
        <v>2021</v>
      </c>
      <c r="B4691" t="s">
        <v>34</v>
      </c>
      <c r="C4691" t="s">
        <v>324</v>
      </c>
      <c r="D4691" t="s">
        <v>35</v>
      </c>
      <c r="E4691" t="s">
        <v>14</v>
      </c>
      <c r="F4691" t="s">
        <v>14</v>
      </c>
      <c r="G4691" t="s">
        <v>36</v>
      </c>
      <c r="H4691" t="s">
        <v>43</v>
      </c>
      <c r="I4691" s="187">
        <v>13388.8916015625</v>
      </c>
      <c r="J4691" s="187">
        <v>1037.2886962890625</v>
      </c>
      <c r="K4691" s="187">
        <v>21274.14453125</v>
      </c>
      <c r="L4691" s="187">
        <v>19028.845703125</v>
      </c>
      <c r="M4691" s="187">
        <v>54729.171875</v>
      </c>
      <c r="N4691" s="187">
        <v>32417.73828125</v>
      </c>
      <c r="O4691" t="s">
        <v>5150</v>
      </c>
    </row>
    <row r="4692" spans="1:15" hidden="1" x14ac:dyDescent="0.45">
      <c r="A4692" s="187">
        <v>2021</v>
      </c>
      <c r="B4692" t="s">
        <v>34</v>
      </c>
      <c r="C4692" t="s">
        <v>324</v>
      </c>
      <c r="D4692" t="s">
        <v>35</v>
      </c>
      <c r="E4692" t="s">
        <v>14</v>
      </c>
      <c r="F4692" t="s">
        <v>14</v>
      </c>
      <c r="G4692" t="s">
        <v>37</v>
      </c>
      <c r="H4692" t="s">
        <v>43</v>
      </c>
      <c r="I4692" s="187">
        <v>12391.28109402285</v>
      </c>
      <c r="J4692" s="187">
        <v>960</v>
      </c>
      <c r="K4692" s="187">
        <v>19689</v>
      </c>
      <c r="L4692" s="187">
        <v>17611</v>
      </c>
      <c r="M4692" s="187">
        <v>50651.28125</v>
      </c>
      <c r="N4692" s="187">
        <v>30002.28125</v>
      </c>
      <c r="O4692" t="s">
        <v>5151</v>
      </c>
    </row>
    <row r="4693" spans="1:15" hidden="1" x14ac:dyDescent="0.45">
      <c r="A4693" s="187">
        <v>2021</v>
      </c>
      <c r="B4693" t="s">
        <v>34</v>
      </c>
      <c r="C4693" t="s">
        <v>324</v>
      </c>
      <c r="D4693" t="s">
        <v>35</v>
      </c>
      <c r="E4693" t="s">
        <v>16</v>
      </c>
      <c r="F4693" t="s">
        <v>16</v>
      </c>
      <c r="G4693" t="s">
        <v>36</v>
      </c>
      <c r="H4693" t="s">
        <v>43</v>
      </c>
      <c r="I4693" s="187">
        <v>6975.92236328125</v>
      </c>
      <c r="J4693" s="187">
        <v>208.53825378417969</v>
      </c>
      <c r="K4693" s="187">
        <v>8755.365234375</v>
      </c>
      <c r="L4693" s="187">
        <v>18933.76171875</v>
      </c>
      <c r="M4693" s="187">
        <v>34873.5859375</v>
      </c>
      <c r="N4693" s="187">
        <v>25909.68359375</v>
      </c>
      <c r="O4693" t="s">
        <v>5152</v>
      </c>
    </row>
    <row r="4694" spans="1:15" hidden="1" x14ac:dyDescent="0.45">
      <c r="A4694" s="187">
        <v>2021</v>
      </c>
      <c r="B4694" t="s">
        <v>34</v>
      </c>
      <c r="C4694" t="s">
        <v>324</v>
      </c>
      <c r="D4694" t="s">
        <v>35</v>
      </c>
      <c r="E4694" t="s">
        <v>16</v>
      </c>
      <c r="F4694" t="s">
        <v>16</v>
      </c>
      <c r="G4694" t="s">
        <v>37</v>
      </c>
      <c r="H4694" t="s">
        <v>43</v>
      </c>
      <c r="I4694" s="187">
        <v>6456.1439900000023</v>
      </c>
      <c r="J4694" s="187">
        <v>193</v>
      </c>
      <c r="K4694" s="187">
        <v>8103</v>
      </c>
      <c r="L4694" s="187">
        <v>17523</v>
      </c>
      <c r="M4694" s="187">
        <v>32275.14453125</v>
      </c>
      <c r="N4694" s="187">
        <v>23979.14453125</v>
      </c>
      <c r="O4694" t="s">
        <v>5153</v>
      </c>
    </row>
    <row r="4695" spans="1:15" hidden="1" x14ac:dyDescent="0.45">
      <c r="A4695" s="187">
        <v>2021</v>
      </c>
      <c r="B4695" t="s">
        <v>34</v>
      </c>
      <c r="C4695" t="s">
        <v>324</v>
      </c>
      <c r="D4695" t="s">
        <v>35</v>
      </c>
      <c r="E4695" t="s">
        <v>351</v>
      </c>
      <c r="F4695" t="s">
        <v>351</v>
      </c>
      <c r="G4695" t="s">
        <v>36</v>
      </c>
      <c r="H4695" t="s">
        <v>43</v>
      </c>
      <c r="I4695" s="187">
        <v>36.123146057128906</v>
      </c>
      <c r="J4695" s="187"/>
      <c r="K4695" s="187">
        <v>544.57659912109375</v>
      </c>
      <c r="L4695" s="187">
        <v>-128.58058166503906</v>
      </c>
      <c r="M4695" s="187">
        <v>452.11920166015625</v>
      </c>
      <c r="N4695" s="187">
        <v>-92.457435607910156</v>
      </c>
      <c r="O4695" t="s">
        <v>5154</v>
      </c>
    </row>
    <row r="4696" spans="1:15" hidden="1" x14ac:dyDescent="0.45">
      <c r="A4696" s="187">
        <v>2021</v>
      </c>
      <c r="B4696" t="s">
        <v>34</v>
      </c>
      <c r="C4696" t="s">
        <v>324</v>
      </c>
      <c r="D4696" t="s">
        <v>35</v>
      </c>
      <c r="E4696" t="s">
        <v>351</v>
      </c>
      <c r="F4696" t="s">
        <v>351</v>
      </c>
      <c r="G4696" t="s">
        <v>37</v>
      </c>
      <c r="H4696" t="s">
        <v>43</v>
      </c>
      <c r="I4696" s="187">
        <v>33.431598622849862</v>
      </c>
      <c r="J4696" s="187"/>
      <c r="K4696" s="187">
        <v>504</v>
      </c>
      <c r="L4696" s="187">
        <v>-119</v>
      </c>
      <c r="M4696" s="187">
        <v>418.43157958984375</v>
      </c>
      <c r="N4696" s="187">
        <v>-85.568405151367188</v>
      </c>
      <c r="O4696" t="s">
        <v>5155</v>
      </c>
    </row>
    <row r="4697" spans="1:15" hidden="1" x14ac:dyDescent="0.45">
      <c r="A4697" s="187">
        <v>2021</v>
      </c>
      <c r="B4697" t="s">
        <v>34</v>
      </c>
      <c r="C4697" t="s">
        <v>324</v>
      </c>
      <c r="D4697" t="s">
        <v>35</v>
      </c>
      <c r="E4697" t="s">
        <v>353</v>
      </c>
      <c r="F4697" t="s">
        <v>383</v>
      </c>
      <c r="G4697" t="s">
        <v>36</v>
      </c>
      <c r="H4697" t="s">
        <v>43</v>
      </c>
      <c r="I4697" s="187">
        <v>13334.6494140625</v>
      </c>
      <c r="J4697" s="187">
        <v>938.96240234375</v>
      </c>
      <c r="K4697" s="187">
        <v>18107.171875</v>
      </c>
      <c r="L4697" s="187">
        <v>28847.431640625</v>
      </c>
      <c r="M4697" s="187">
        <v>61228.21484375</v>
      </c>
      <c r="N4697" s="187">
        <v>42182.08203125</v>
      </c>
      <c r="O4697" t="s">
        <v>5156</v>
      </c>
    </row>
    <row r="4698" spans="1:15" hidden="1" x14ac:dyDescent="0.45">
      <c r="A4698" s="187">
        <v>2021</v>
      </c>
      <c r="B4698" t="s">
        <v>34</v>
      </c>
      <c r="C4698" t="s">
        <v>324</v>
      </c>
      <c r="D4698" t="s">
        <v>35</v>
      </c>
      <c r="E4698" t="s">
        <v>353</v>
      </c>
      <c r="F4698" t="s">
        <v>383</v>
      </c>
      <c r="G4698" t="s">
        <v>37</v>
      </c>
      <c r="H4698" t="s">
        <v>43</v>
      </c>
      <c r="I4698" s="187">
        <v>12341.08041</v>
      </c>
      <c r="J4698" s="187">
        <v>869</v>
      </c>
      <c r="K4698" s="187">
        <v>16758</v>
      </c>
      <c r="L4698" s="187">
        <v>26698</v>
      </c>
      <c r="M4698" s="187">
        <v>56666.078125</v>
      </c>
      <c r="N4698" s="187">
        <v>39039.078125</v>
      </c>
      <c r="O4698" t="s">
        <v>5157</v>
      </c>
    </row>
    <row r="4699" spans="1:15" hidden="1" x14ac:dyDescent="0.45">
      <c r="A4699" s="187">
        <v>2021</v>
      </c>
      <c r="B4699" t="s">
        <v>34</v>
      </c>
      <c r="C4699" t="s">
        <v>324</v>
      </c>
      <c r="D4699" t="s">
        <v>35</v>
      </c>
      <c r="E4699" t="s">
        <v>38</v>
      </c>
      <c r="F4699" t="s">
        <v>38</v>
      </c>
      <c r="G4699" t="s">
        <v>36</v>
      </c>
      <c r="H4699" t="s">
        <v>43</v>
      </c>
      <c r="I4699" s="187">
        <v>248.93519592285156</v>
      </c>
      <c r="J4699" s="187">
        <v>98.326324462890625</v>
      </c>
      <c r="K4699" s="187">
        <v>3157.24755859375</v>
      </c>
      <c r="L4699" s="187">
        <v>1165.8692626953125</v>
      </c>
      <c r="M4699" s="187">
        <v>4670.37841796875</v>
      </c>
      <c r="N4699" s="187">
        <v>1414.804443359375</v>
      </c>
      <c r="O4699" t="s">
        <v>5158</v>
      </c>
    </row>
    <row r="4700" spans="1:15" hidden="1" x14ac:dyDescent="0.45">
      <c r="A4700" s="187">
        <v>2021</v>
      </c>
      <c r="B4700" t="s">
        <v>34</v>
      </c>
      <c r="C4700" t="s">
        <v>324</v>
      </c>
      <c r="D4700" t="s">
        <v>35</v>
      </c>
      <c r="E4700" t="s">
        <v>38</v>
      </c>
      <c r="F4700" t="s">
        <v>38</v>
      </c>
      <c r="G4700" t="s">
        <v>37</v>
      </c>
      <c r="H4700" t="s">
        <v>43</v>
      </c>
      <c r="I4700" s="187">
        <v>230.38695540000001</v>
      </c>
      <c r="J4700" s="187">
        <v>91</v>
      </c>
      <c r="K4700" s="187">
        <v>2922</v>
      </c>
      <c r="L4700" s="187">
        <v>1079</v>
      </c>
      <c r="M4700" s="187">
        <v>4322.38671875</v>
      </c>
      <c r="N4700" s="187">
        <v>1309.386962890625</v>
      </c>
      <c r="O4700" t="s">
        <v>5159</v>
      </c>
    </row>
    <row r="4701" spans="1:15" hidden="1" x14ac:dyDescent="0.45">
      <c r="A4701" s="187">
        <v>2021</v>
      </c>
      <c r="B4701" t="s">
        <v>34</v>
      </c>
      <c r="C4701" t="s">
        <v>324</v>
      </c>
      <c r="D4701" t="s">
        <v>35</v>
      </c>
      <c r="E4701" t="s">
        <v>354</v>
      </c>
      <c r="F4701" t="s">
        <v>384</v>
      </c>
      <c r="G4701" t="s">
        <v>36</v>
      </c>
      <c r="H4701" t="s">
        <v>43</v>
      </c>
      <c r="I4701" s="187">
        <v>0</v>
      </c>
      <c r="J4701" s="187">
        <v>0</v>
      </c>
      <c r="K4701" s="187">
        <v>0</v>
      </c>
      <c r="L4701" s="187">
        <v>37.817817687988281</v>
      </c>
      <c r="M4701" s="187">
        <v>37.817817687988281</v>
      </c>
      <c r="N4701" s="187">
        <v>37.817817687988281</v>
      </c>
      <c r="O4701" t="s">
        <v>5160</v>
      </c>
    </row>
    <row r="4702" spans="1:15" hidden="1" x14ac:dyDescent="0.45">
      <c r="A4702" s="187">
        <v>2021</v>
      </c>
      <c r="B4702" t="s">
        <v>34</v>
      </c>
      <c r="C4702" t="s">
        <v>324</v>
      </c>
      <c r="D4702" t="s">
        <v>35</v>
      </c>
      <c r="E4702" t="s">
        <v>354</v>
      </c>
      <c r="F4702" t="s">
        <v>384</v>
      </c>
      <c r="G4702" t="s">
        <v>37</v>
      </c>
      <c r="H4702" t="s">
        <v>43</v>
      </c>
      <c r="I4702" s="187">
        <v>0</v>
      </c>
      <c r="J4702" s="187">
        <v>0</v>
      </c>
      <c r="K4702" s="187">
        <v>0</v>
      </c>
      <c r="L4702" s="187">
        <v>35</v>
      </c>
      <c r="M4702" s="187">
        <v>35</v>
      </c>
      <c r="N4702" s="187">
        <v>35</v>
      </c>
      <c r="O4702" t="s">
        <v>5161</v>
      </c>
    </row>
    <row r="4703" spans="1:15" hidden="1" x14ac:dyDescent="0.45">
      <c r="A4703" s="187">
        <v>2021</v>
      </c>
      <c r="B4703" t="s">
        <v>34</v>
      </c>
      <c r="C4703" t="s">
        <v>324</v>
      </c>
      <c r="D4703" t="s">
        <v>35</v>
      </c>
      <c r="E4703" t="s">
        <v>354</v>
      </c>
      <c r="F4703" t="s">
        <v>385</v>
      </c>
      <c r="G4703" t="s">
        <v>36</v>
      </c>
      <c r="H4703" t="s">
        <v>43</v>
      </c>
      <c r="I4703" s="187">
        <v>0</v>
      </c>
      <c r="J4703" s="187">
        <v>149.11026000976563</v>
      </c>
      <c r="K4703" s="187">
        <v>1577.5433349609375</v>
      </c>
      <c r="L4703" s="187">
        <v>345.76290893554688</v>
      </c>
      <c r="M4703" s="187">
        <v>2072.41650390625</v>
      </c>
      <c r="N4703" s="187">
        <v>345.76290893554688</v>
      </c>
      <c r="O4703" t="s">
        <v>5162</v>
      </c>
    </row>
    <row r="4704" spans="1:15" hidden="1" x14ac:dyDescent="0.45">
      <c r="A4704" s="187">
        <v>2021</v>
      </c>
      <c r="B4704" t="s">
        <v>34</v>
      </c>
      <c r="C4704" t="s">
        <v>324</v>
      </c>
      <c r="D4704" t="s">
        <v>35</v>
      </c>
      <c r="E4704" t="s">
        <v>354</v>
      </c>
      <c r="F4704" t="s">
        <v>385</v>
      </c>
      <c r="G4704" t="s">
        <v>37</v>
      </c>
      <c r="H4704" t="s">
        <v>43</v>
      </c>
      <c r="I4704" s="187">
        <v>0</v>
      </c>
      <c r="J4704" s="187">
        <v>138</v>
      </c>
      <c r="K4704" s="187">
        <v>1460</v>
      </c>
      <c r="L4704" s="187">
        <v>320</v>
      </c>
      <c r="M4704" s="187">
        <v>1918</v>
      </c>
      <c r="N4704" s="187">
        <v>320</v>
      </c>
      <c r="O4704" t="s">
        <v>5163</v>
      </c>
    </row>
    <row r="4705" spans="1:15" hidden="1" x14ac:dyDescent="0.45">
      <c r="A4705" s="187">
        <v>2021</v>
      </c>
      <c r="B4705" t="s">
        <v>34</v>
      </c>
      <c r="C4705" t="s">
        <v>324</v>
      </c>
      <c r="D4705" t="s">
        <v>35</v>
      </c>
      <c r="E4705" t="s">
        <v>354</v>
      </c>
      <c r="F4705" t="s">
        <v>386</v>
      </c>
      <c r="G4705" t="s">
        <v>36</v>
      </c>
      <c r="H4705" t="s">
        <v>43</v>
      </c>
      <c r="I4705" s="187">
        <v>0</v>
      </c>
      <c r="J4705" s="187">
        <v>92.923782348632813</v>
      </c>
      <c r="K4705" s="187">
        <v>1732.0560302734375</v>
      </c>
      <c r="L4705" s="187">
        <v>152.35177612304688</v>
      </c>
      <c r="M4705" s="187">
        <v>1977.3316650390625</v>
      </c>
      <c r="N4705" s="187">
        <v>152.35177612304688</v>
      </c>
      <c r="O4705" t="s">
        <v>5164</v>
      </c>
    </row>
    <row r="4706" spans="1:15" hidden="1" x14ac:dyDescent="0.45">
      <c r="A4706" s="187">
        <v>2021</v>
      </c>
      <c r="B4706" t="s">
        <v>34</v>
      </c>
      <c r="C4706" t="s">
        <v>324</v>
      </c>
      <c r="D4706" t="s">
        <v>35</v>
      </c>
      <c r="E4706" t="s">
        <v>354</v>
      </c>
      <c r="F4706" t="s">
        <v>386</v>
      </c>
      <c r="G4706" t="s">
        <v>37</v>
      </c>
      <c r="H4706" t="s">
        <v>43</v>
      </c>
      <c r="I4706" s="187">
        <v>0</v>
      </c>
      <c r="J4706" s="187">
        <v>86</v>
      </c>
      <c r="K4706" s="187">
        <v>1603</v>
      </c>
      <c r="L4706" s="187">
        <v>141</v>
      </c>
      <c r="M4706" s="187">
        <v>1830</v>
      </c>
      <c r="N4706" s="187">
        <v>141</v>
      </c>
      <c r="O4706" t="s">
        <v>5165</v>
      </c>
    </row>
    <row r="4707" spans="1:15" hidden="1" x14ac:dyDescent="0.45">
      <c r="A4707" s="187">
        <v>2021</v>
      </c>
      <c r="B4707" t="s">
        <v>34</v>
      </c>
      <c r="C4707" t="s">
        <v>324</v>
      </c>
      <c r="D4707" t="s">
        <v>35</v>
      </c>
      <c r="E4707" t="s">
        <v>354</v>
      </c>
      <c r="F4707" t="s">
        <v>387</v>
      </c>
      <c r="G4707" t="s">
        <v>36</v>
      </c>
      <c r="H4707" t="s">
        <v>43</v>
      </c>
      <c r="I4707" s="187">
        <v>0</v>
      </c>
      <c r="J4707" s="187">
        <v>242.03404235839844</v>
      </c>
      <c r="K4707" s="187">
        <v>3309.599365234375</v>
      </c>
      <c r="L4707" s="187">
        <v>535.9324951171875</v>
      </c>
      <c r="M4707" s="187">
        <v>4087.56591796875</v>
      </c>
      <c r="N4707" s="187">
        <v>535.9324951171875</v>
      </c>
      <c r="O4707" t="s">
        <v>5166</v>
      </c>
    </row>
    <row r="4708" spans="1:15" hidden="1" x14ac:dyDescent="0.45">
      <c r="A4708" s="187">
        <v>2021</v>
      </c>
      <c r="B4708" t="s">
        <v>34</v>
      </c>
      <c r="C4708" t="s">
        <v>324</v>
      </c>
      <c r="D4708" t="s">
        <v>35</v>
      </c>
      <c r="E4708" t="s">
        <v>354</v>
      </c>
      <c r="F4708" t="s">
        <v>387</v>
      </c>
      <c r="G4708" t="s">
        <v>37</v>
      </c>
      <c r="H4708" t="s">
        <v>43</v>
      </c>
      <c r="I4708" s="187">
        <v>0</v>
      </c>
      <c r="J4708" s="187">
        <v>224</v>
      </c>
      <c r="K4708" s="187">
        <v>3063</v>
      </c>
      <c r="L4708" s="187">
        <v>496</v>
      </c>
      <c r="M4708" s="187">
        <v>3783</v>
      </c>
      <c r="N4708" s="187">
        <v>496</v>
      </c>
      <c r="O4708" t="s">
        <v>5167</v>
      </c>
    </row>
    <row r="4709" spans="1:15" hidden="1" x14ac:dyDescent="0.45">
      <c r="A4709" s="187">
        <v>2021</v>
      </c>
      <c r="B4709" t="s">
        <v>34</v>
      </c>
      <c r="C4709" t="s">
        <v>324</v>
      </c>
      <c r="D4709" t="s">
        <v>35</v>
      </c>
      <c r="E4709" t="s">
        <v>17</v>
      </c>
      <c r="F4709" t="s">
        <v>17</v>
      </c>
      <c r="G4709" t="s">
        <v>36</v>
      </c>
      <c r="H4709" t="s">
        <v>43</v>
      </c>
      <c r="I4709" s="187">
        <v>2922.866455078125</v>
      </c>
      <c r="J4709" s="187">
        <v>151.27127075195313</v>
      </c>
      <c r="K4709" s="187">
        <v>1428.4329833984375</v>
      </c>
      <c r="L4709" s="187">
        <v>3037.31103515625</v>
      </c>
      <c r="M4709" s="187">
        <v>7539.8818359375</v>
      </c>
      <c r="N4709" s="187">
        <v>5960.177734375</v>
      </c>
      <c r="O4709" t="s">
        <v>5168</v>
      </c>
    </row>
    <row r="4710" spans="1:15" hidden="1" x14ac:dyDescent="0.45">
      <c r="A4710" s="187">
        <v>2021</v>
      </c>
      <c r="B4710" t="s">
        <v>34</v>
      </c>
      <c r="C4710" t="s">
        <v>324</v>
      </c>
      <c r="D4710" t="s">
        <v>35</v>
      </c>
      <c r="E4710" t="s">
        <v>17</v>
      </c>
      <c r="F4710" t="s">
        <v>17</v>
      </c>
      <c r="G4710" t="s">
        <v>37</v>
      </c>
      <c r="H4710" t="s">
        <v>43</v>
      </c>
      <c r="I4710" s="187">
        <v>2705.0826300000008</v>
      </c>
      <c r="J4710" s="187">
        <v>140</v>
      </c>
      <c r="K4710" s="187">
        <v>1322</v>
      </c>
      <c r="L4710" s="187">
        <v>2811</v>
      </c>
      <c r="M4710" s="187">
        <v>6978.08251953125</v>
      </c>
      <c r="N4710" s="187">
        <v>5516.08251953125</v>
      </c>
      <c r="O4710" t="s">
        <v>5169</v>
      </c>
    </row>
    <row r="4711" spans="1:15" hidden="1" x14ac:dyDescent="0.45">
      <c r="A4711" s="187">
        <v>2021</v>
      </c>
      <c r="B4711" t="s">
        <v>34</v>
      </c>
      <c r="C4711" t="s">
        <v>324</v>
      </c>
      <c r="D4711" t="s">
        <v>35</v>
      </c>
      <c r="E4711" t="s">
        <v>45</v>
      </c>
      <c r="F4711" t="s">
        <v>45</v>
      </c>
      <c r="G4711" t="s">
        <v>36</v>
      </c>
      <c r="H4711" t="s">
        <v>43</v>
      </c>
      <c r="I4711" s="187">
        <v>230.81605529785156</v>
      </c>
      <c r="J4711" s="187">
        <v>0</v>
      </c>
      <c r="K4711" s="187">
        <v>534.85198974609375</v>
      </c>
      <c r="L4711" s="187">
        <v>10855.875</v>
      </c>
      <c r="M4711" s="187">
        <v>11621.54296875</v>
      </c>
      <c r="N4711" s="187">
        <v>11086.69140625</v>
      </c>
      <c r="O4711" t="s">
        <v>5170</v>
      </c>
    </row>
    <row r="4712" spans="1:15" hidden="1" x14ac:dyDescent="0.45">
      <c r="A4712" s="187">
        <v>2021</v>
      </c>
      <c r="B4712" t="s">
        <v>34</v>
      </c>
      <c r="C4712" t="s">
        <v>324</v>
      </c>
      <c r="D4712" t="s">
        <v>35</v>
      </c>
      <c r="E4712" t="s">
        <v>45</v>
      </c>
      <c r="F4712" t="s">
        <v>45</v>
      </c>
      <c r="G4712" t="s">
        <v>37</v>
      </c>
      <c r="H4712" t="s">
        <v>43</v>
      </c>
      <c r="I4712" s="187">
        <v>213.61787000000001</v>
      </c>
      <c r="J4712" s="187">
        <v>0</v>
      </c>
      <c r="K4712" s="187">
        <v>495</v>
      </c>
      <c r="L4712" s="187">
        <v>10047</v>
      </c>
      <c r="M4712" s="187">
        <v>10755.6181640625</v>
      </c>
      <c r="N4712" s="187">
        <v>10260.6181640625</v>
      </c>
      <c r="O4712" t="s">
        <v>5171</v>
      </c>
    </row>
    <row r="4713" spans="1:15" hidden="1" x14ac:dyDescent="0.45">
      <c r="A4713" s="187">
        <v>2021</v>
      </c>
      <c r="B4713" t="s">
        <v>34</v>
      </c>
      <c r="C4713" t="s">
        <v>324</v>
      </c>
      <c r="D4713" t="s">
        <v>35</v>
      </c>
      <c r="E4713" t="s">
        <v>356</v>
      </c>
      <c r="F4713" t="s">
        <v>356</v>
      </c>
      <c r="G4713" t="s">
        <v>36</v>
      </c>
      <c r="H4713" t="s">
        <v>43</v>
      </c>
      <c r="I4713" s="187">
        <v>0</v>
      </c>
      <c r="J4713" s="187"/>
      <c r="K4713" s="187">
        <v>0</v>
      </c>
      <c r="L4713" s="187">
        <v>0</v>
      </c>
      <c r="M4713" s="187">
        <v>0</v>
      </c>
      <c r="N4713" s="187">
        <v>0</v>
      </c>
      <c r="O4713" t="s">
        <v>5172</v>
      </c>
    </row>
    <row r="4714" spans="1:15" hidden="1" x14ac:dyDescent="0.45">
      <c r="A4714" s="187">
        <v>2021</v>
      </c>
      <c r="B4714" t="s">
        <v>34</v>
      </c>
      <c r="C4714" t="s">
        <v>324</v>
      </c>
      <c r="D4714" t="s">
        <v>35</v>
      </c>
      <c r="E4714" t="s">
        <v>356</v>
      </c>
      <c r="F4714" t="s">
        <v>356</v>
      </c>
      <c r="G4714" t="s">
        <v>37</v>
      </c>
      <c r="H4714" t="s">
        <v>43</v>
      </c>
      <c r="I4714" s="187">
        <v>0</v>
      </c>
      <c r="J4714" s="187"/>
      <c r="K4714" s="187">
        <v>0</v>
      </c>
      <c r="L4714" s="187">
        <v>0</v>
      </c>
      <c r="M4714" s="187">
        <v>0</v>
      </c>
      <c r="N4714" s="187">
        <v>0</v>
      </c>
      <c r="O4714" t="s">
        <v>5173</v>
      </c>
    </row>
    <row r="4715" spans="1:15" hidden="1" x14ac:dyDescent="0.45">
      <c r="A4715" s="187">
        <v>2021</v>
      </c>
      <c r="B4715" t="s">
        <v>34</v>
      </c>
      <c r="C4715" t="s">
        <v>325</v>
      </c>
      <c r="D4715" t="s">
        <v>35</v>
      </c>
      <c r="E4715" t="s">
        <v>357</v>
      </c>
      <c r="F4715" t="s">
        <v>412</v>
      </c>
      <c r="G4715" t="s">
        <v>36</v>
      </c>
      <c r="H4715" t="s">
        <v>43</v>
      </c>
      <c r="I4715" s="187">
        <v>3023.658203125</v>
      </c>
      <c r="J4715" s="187">
        <v>292.81796264648438</v>
      </c>
      <c r="K4715" s="187">
        <v>4178.32861328125</v>
      </c>
      <c r="L4715" s="187">
        <v>3245.849365234375</v>
      </c>
      <c r="M4715" s="187">
        <v>10740.654296875</v>
      </c>
      <c r="N4715" s="187">
        <v>6269.5078125</v>
      </c>
      <c r="O4715" t="s">
        <v>5174</v>
      </c>
    </row>
    <row r="4716" spans="1:15" hidden="1" x14ac:dyDescent="0.45">
      <c r="A4716" s="187">
        <v>2021</v>
      </c>
      <c r="B4716" t="s">
        <v>34</v>
      </c>
      <c r="C4716" t="s">
        <v>325</v>
      </c>
      <c r="D4716" t="s">
        <v>35</v>
      </c>
      <c r="E4716" t="s">
        <v>357</v>
      </c>
      <c r="F4716" t="s">
        <v>412</v>
      </c>
      <c r="G4716" t="s">
        <v>37</v>
      </c>
      <c r="H4716" t="s">
        <v>43</v>
      </c>
      <c r="I4716" s="187">
        <v>2798.364430000001</v>
      </c>
      <c r="J4716" s="187">
        <v>271</v>
      </c>
      <c r="K4716" s="187">
        <v>3867</v>
      </c>
      <c r="L4716" s="187">
        <v>3004</v>
      </c>
      <c r="M4716" s="187">
        <v>9940.3642578125</v>
      </c>
      <c r="N4716" s="187">
        <v>5802.3642578125</v>
      </c>
      <c r="O4716" t="s">
        <v>5175</v>
      </c>
    </row>
    <row r="4717" spans="1:15" hidden="1" x14ac:dyDescent="0.45">
      <c r="A4717" s="187">
        <v>2021</v>
      </c>
      <c r="B4717" t="s">
        <v>34</v>
      </c>
      <c r="C4717" t="s">
        <v>325</v>
      </c>
      <c r="D4717" t="s">
        <v>35</v>
      </c>
      <c r="E4717" t="s">
        <v>357</v>
      </c>
      <c r="F4717" t="s">
        <v>413</v>
      </c>
      <c r="G4717" t="s">
        <v>36</v>
      </c>
      <c r="H4717" t="s">
        <v>43</v>
      </c>
      <c r="I4717" s="187">
        <v>3023.658203125</v>
      </c>
      <c r="J4717" s="187">
        <v>292.81796264648438</v>
      </c>
      <c r="K4717" s="187">
        <v>4169.6845703125</v>
      </c>
      <c r="L4717" s="187">
        <v>3245.849365234375</v>
      </c>
      <c r="M4717" s="187">
        <v>10732.009765625</v>
      </c>
      <c r="N4717" s="187">
        <v>6269.5078125</v>
      </c>
      <c r="O4717" t="s">
        <v>5176</v>
      </c>
    </row>
    <row r="4718" spans="1:15" hidden="1" x14ac:dyDescent="0.45">
      <c r="A4718" s="187">
        <v>2021</v>
      </c>
      <c r="B4718" t="s">
        <v>34</v>
      </c>
      <c r="C4718" t="s">
        <v>325</v>
      </c>
      <c r="D4718" t="s">
        <v>35</v>
      </c>
      <c r="E4718" t="s">
        <v>357</v>
      </c>
      <c r="F4718" t="s">
        <v>413</v>
      </c>
      <c r="G4718" t="s">
        <v>37</v>
      </c>
      <c r="H4718" t="s">
        <v>43</v>
      </c>
      <c r="I4718" s="187">
        <v>2798.364430000001</v>
      </c>
      <c r="J4718" s="187">
        <v>271</v>
      </c>
      <c r="K4718" s="187">
        <v>3859</v>
      </c>
      <c r="L4718" s="187">
        <v>3004</v>
      </c>
      <c r="M4718" s="187">
        <v>9932.3642578125</v>
      </c>
      <c r="N4718" s="187">
        <v>5802.3642578125</v>
      </c>
      <c r="O4718" t="s">
        <v>5177</v>
      </c>
    </row>
    <row r="4719" spans="1:15" hidden="1" x14ac:dyDescent="0.45">
      <c r="A4719" s="187">
        <v>2021</v>
      </c>
      <c r="B4719" t="s">
        <v>34</v>
      </c>
      <c r="C4719" t="s">
        <v>325</v>
      </c>
      <c r="D4719" t="s">
        <v>35</v>
      </c>
      <c r="E4719" t="s">
        <v>357</v>
      </c>
      <c r="F4719" t="s">
        <v>414</v>
      </c>
      <c r="G4719" t="s">
        <v>36</v>
      </c>
      <c r="H4719" t="s">
        <v>43</v>
      </c>
      <c r="I4719" s="187"/>
      <c r="J4719" s="187"/>
      <c r="K4719" s="187">
        <v>8.6440725326538086</v>
      </c>
      <c r="L4719" s="187"/>
      <c r="M4719" s="187">
        <v>8.6440725326538086</v>
      </c>
      <c r="N4719" s="187">
        <v>0</v>
      </c>
      <c r="O4719" t="s">
        <v>5178</v>
      </c>
    </row>
    <row r="4720" spans="1:15" hidden="1" x14ac:dyDescent="0.45">
      <c r="A4720" s="187">
        <v>2021</v>
      </c>
      <c r="B4720" t="s">
        <v>34</v>
      </c>
      <c r="C4720" t="s">
        <v>325</v>
      </c>
      <c r="D4720" t="s">
        <v>35</v>
      </c>
      <c r="E4720" t="s">
        <v>357</v>
      </c>
      <c r="F4720" t="s">
        <v>414</v>
      </c>
      <c r="G4720" t="s">
        <v>37</v>
      </c>
      <c r="H4720" t="s">
        <v>43</v>
      </c>
      <c r="I4720" s="187"/>
      <c r="J4720" s="187"/>
      <c r="K4720" s="187">
        <v>8</v>
      </c>
      <c r="L4720" s="187"/>
      <c r="M4720" s="187">
        <v>8</v>
      </c>
      <c r="N4720" s="187">
        <v>0</v>
      </c>
      <c r="O4720" t="s">
        <v>5179</v>
      </c>
    </row>
    <row r="4721" spans="1:15" hidden="1" x14ac:dyDescent="0.45">
      <c r="A4721" s="187">
        <v>2021</v>
      </c>
      <c r="B4721" t="s">
        <v>34</v>
      </c>
      <c r="C4721" t="s">
        <v>325</v>
      </c>
      <c r="D4721" t="s">
        <v>35</v>
      </c>
      <c r="E4721" t="s">
        <v>357</v>
      </c>
      <c r="F4721" t="s">
        <v>392</v>
      </c>
      <c r="G4721" t="s">
        <v>36</v>
      </c>
      <c r="H4721" t="s">
        <v>43</v>
      </c>
      <c r="I4721" s="187">
        <v>5.5929851531982422</v>
      </c>
      <c r="J4721" s="187">
        <v>3.2415273189544678</v>
      </c>
      <c r="K4721" s="187">
        <v>10.80509090423584</v>
      </c>
      <c r="L4721" s="187">
        <v>99.406837463378906</v>
      </c>
      <c r="M4721" s="187">
        <v>119.04644012451172</v>
      </c>
      <c r="N4721" s="187">
        <v>104.99982452392578</v>
      </c>
      <c r="O4721" t="s">
        <v>5180</v>
      </c>
    </row>
    <row r="4722" spans="1:15" hidden="1" x14ac:dyDescent="0.45">
      <c r="A4722" s="187">
        <v>2021</v>
      </c>
      <c r="B4722" t="s">
        <v>34</v>
      </c>
      <c r="C4722" t="s">
        <v>325</v>
      </c>
      <c r="D4722" t="s">
        <v>35</v>
      </c>
      <c r="E4722" t="s">
        <v>357</v>
      </c>
      <c r="F4722" t="s">
        <v>392</v>
      </c>
      <c r="G4722" t="s">
        <v>37</v>
      </c>
      <c r="H4722" t="s">
        <v>43</v>
      </c>
      <c r="I4722" s="187">
        <v>5.1762499999999996</v>
      </c>
      <c r="J4722" s="187">
        <v>3</v>
      </c>
      <c r="K4722" s="187">
        <v>10</v>
      </c>
      <c r="L4722" s="187">
        <v>92</v>
      </c>
      <c r="M4722" s="187">
        <v>110.17625427246094</v>
      </c>
      <c r="N4722" s="187">
        <v>97.176246643066406</v>
      </c>
      <c r="O4722" t="s">
        <v>5181</v>
      </c>
    </row>
    <row r="4723" spans="1:15" hidden="1" x14ac:dyDescent="0.45">
      <c r="A4723" s="187">
        <v>2021</v>
      </c>
      <c r="B4723" t="s">
        <v>34</v>
      </c>
      <c r="C4723" t="s">
        <v>325</v>
      </c>
      <c r="D4723" t="s">
        <v>35</v>
      </c>
      <c r="E4723" t="s">
        <v>357</v>
      </c>
      <c r="F4723" t="s">
        <v>393</v>
      </c>
      <c r="G4723" t="s">
        <v>36</v>
      </c>
      <c r="H4723" t="s">
        <v>43</v>
      </c>
      <c r="I4723" s="187">
        <v>106.39965057373047</v>
      </c>
      <c r="J4723" s="187"/>
      <c r="K4723" s="187">
        <v>0</v>
      </c>
      <c r="L4723" s="187">
        <v>138.30516052246094</v>
      </c>
      <c r="M4723" s="187">
        <v>244.70480346679688</v>
      </c>
      <c r="N4723" s="187">
        <v>244.70480346679688</v>
      </c>
      <c r="O4723" t="s">
        <v>5182</v>
      </c>
    </row>
    <row r="4724" spans="1:15" hidden="1" x14ac:dyDescent="0.45">
      <c r="A4724" s="187">
        <v>2021</v>
      </c>
      <c r="B4724" t="s">
        <v>34</v>
      </c>
      <c r="C4724" t="s">
        <v>325</v>
      </c>
      <c r="D4724" t="s">
        <v>35</v>
      </c>
      <c r="E4724" t="s">
        <v>357</v>
      </c>
      <c r="F4724" t="s">
        <v>393</v>
      </c>
      <c r="G4724" t="s">
        <v>37</v>
      </c>
      <c r="H4724" t="s">
        <v>43</v>
      </c>
      <c r="I4724" s="187">
        <v>98.471779999999995</v>
      </c>
      <c r="J4724" s="187"/>
      <c r="K4724" s="187">
        <v>0</v>
      </c>
      <c r="L4724" s="187">
        <v>128</v>
      </c>
      <c r="M4724" s="187">
        <v>226.47177124023438</v>
      </c>
      <c r="N4724" s="187">
        <v>226.47177124023438</v>
      </c>
      <c r="O4724" t="s">
        <v>5183</v>
      </c>
    </row>
    <row r="4725" spans="1:15" hidden="1" x14ac:dyDescent="0.45">
      <c r="A4725" s="187">
        <v>2021</v>
      </c>
      <c r="B4725" t="s">
        <v>34</v>
      </c>
      <c r="C4725" t="s">
        <v>325</v>
      </c>
      <c r="D4725" t="s">
        <v>35</v>
      </c>
      <c r="E4725" t="s">
        <v>357</v>
      </c>
      <c r="F4725" t="s">
        <v>394</v>
      </c>
      <c r="G4725" t="s">
        <v>36</v>
      </c>
      <c r="H4725" t="s">
        <v>43</v>
      </c>
      <c r="I4725" s="187">
        <v>0</v>
      </c>
      <c r="J4725" s="187"/>
      <c r="K4725" s="187">
        <v>0</v>
      </c>
      <c r="L4725" s="187">
        <v>0</v>
      </c>
      <c r="M4725" s="187">
        <v>0</v>
      </c>
      <c r="N4725" s="187">
        <v>0</v>
      </c>
      <c r="O4725" t="s">
        <v>5184</v>
      </c>
    </row>
    <row r="4726" spans="1:15" hidden="1" x14ac:dyDescent="0.45">
      <c r="A4726" s="187">
        <v>2021</v>
      </c>
      <c r="B4726" t="s">
        <v>34</v>
      </c>
      <c r="C4726" t="s">
        <v>325</v>
      </c>
      <c r="D4726" t="s">
        <v>35</v>
      </c>
      <c r="E4726" t="s">
        <v>357</v>
      </c>
      <c r="F4726" t="s">
        <v>394</v>
      </c>
      <c r="G4726" t="s">
        <v>37</v>
      </c>
      <c r="H4726" t="s">
        <v>43</v>
      </c>
      <c r="I4726" s="187">
        <v>0</v>
      </c>
      <c r="J4726" s="187"/>
      <c r="K4726" s="187">
        <v>0</v>
      </c>
      <c r="L4726" s="187">
        <v>0</v>
      </c>
      <c r="M4726" s="187">
        <v>0</v>
      </c>
      <c r="N4726" s="187">
        <v>0</v>
      </c>
      <c r="O4726" t="s">
        <v>5185</v>
      </c>
    </row>
    <row r="4727" spans="1:15" hidden="1" x14ac:dyDescent="0.45">
      <c r="A4727" s="187">
        <v>2021</v>
      </c>
      <c r="B4727" t="s">
        <v>34</v>
      </c>
      <c r="C4727" t="s">
        <v>325</v>
      </c>
      <c r="D4727" t="s">
        <v>35</v>
      </c>
      <c r="E4727" t="s">
        <v>357</v>
      </c>
      <c r="F4727" t="s">
        <v>395</v>
      </c>
      <c r="G4727" t="s">
        <v>36</v>
      </c>
      <c r="H4727" t="s">
        <v>43</v>
      </c>
      <c r="I4727" s="187">
        <v>5.700765922665596E-2</v>
      </c>
      <c r="J4727" s="187"/>
      <c r="K4727" s="187">
        <v>72.394111633300781</v>
      </c>
      <c r="L4727" s="187">
        <v>484.06808471679688</v>
      </c>
      <c r="M4727" s="187">
        <v>556.51922607421875</v>
      </c>
      <c r="N4727" s="187">
        <v>484.12509155273438</v>
      </c>
      <c r="O4727" t="s">
        <v>5186</v>
      </c>
    </row>
    <row r="4728" spans="1:15" hidden="1" x14ac:dyDescent="0.45">
      <c r="A4728" s="187">
        <v>2021</v>
      </c>
      <c r="B4728" t="s">
        <v>34</v>
      </c>
      <c r="C4728" t="s">
        <v>325</v>
      </c>
      <c r="D4728" t="s">
        <v>35</v>
      </c>
      <c r="E4728" t="s">
        <v>357</v>
      </c>
      <c r="F4728" t="s">
        <v>395</v>
      </c>
      <c r="G4728" t="s">
        <v>37</v>
      </c>
      <c r="H4728" t="s">
        <v>43</v>
      </c>
      <c r="I4728" s="187">
        <v>5.2760000000000001E-2</v>
      </c>
      <c r="J4728" s="187"/>
      <c r="K4728" s="187">
        <v>67</v>
      </c>
      <c r="L4728" s="187">
        <v>448</v>
      </c>
      <c r="M4728" s="187">
        <v>515.052734375</v>
      </c>
      <c r="N4728" s="187">
        <v>448.05276489257813</v>
      </c>
      <c r="O4728" t="s">
        <v>5187</v>
      </c>
    </row>
    <row r="4729" spans="1:15" hidden="1" x14ac:dyDescent="0.45">
      <c r="A4729" s="187">
        <v>2021</v>
      </c>
      <c r="B4729" t="s">
        <v>34</v>
      </c>
      <c r="C4729" t="s">
        <v>325</v>
      </c>
      <c r="D4729" t="s">
        <v>35</v>
      </c>
      <c r="E4729" t="s">
        <v>357</v>
      </c>
      <c r="F4729" t="s">
        <v>396</v>
      </c>
      <c r="G4729" t="s">
        <v>36</v>
      </c>
      <c r="H4729" t="s">
        <v>43</v>
      </c>
      <c r="I4729" s="187">
        <v>0</v>
      </c>
      <c r="J4729" s="187">
        <v>3.2415273189544678</v>
      </c>
      <c r="K4729" s="187">
        <v>1129.1319580078125</v>
      </c>
      <c r="L4729" s="187">
        <v>680.720703125</v>
      </c>
      <c r="M4729" s="187">
        <v>1813.09423828125</v>
      </c>
      <c r="N4729" s="187">
        <v>680.720703125</v>
      </c>
      <c r="O4729" t="s">
        <v>5188</v>
      </c>
    </row>
    <row r="4730" spans="1:15" hidden="1" x14ac:dyDescent="0.45">
      <c r="A4730" s="187">
        <v>2021</v>
      </c>
      <c r="B4730" t="s">
        <v>34</v>
      </c>
      <c r="C4730" t="s">
        <v>325</v>
      </c>
      <c r="D4730" t="s">
        <v>35</v>
      </c>
      <c r="E4730" t="s">
        <v>357</v>
      </c>
      <c r="F4730" t="s">
        <v>396</v>
      </c>
      <c r="G4730" t="s">
        <v>37</v>
      </c>
      <c r="H4730" t="s">
        <v>43</v>
      </c>
      <c r="I4730" s="187">
        <v>0</v>
      </c>
      <c r="J4730" s="187">
        <v>3</v>
      </c>
      <c r="K4730" s="187">
        <v>1045</v>
      </c>
      <c r="L4730" s="187">
        <v>630</v>
      </c>
      <c r="M4730" s="187">
        <v>1678</v>
      </c>
      <c r="N4730" s="187">
        <v>630</v>
      </c>
      <c r="O4730" t="s">
        <v>5189</v>
      </c>
    </row>
    <row r="4731" spans="1:15" hidden="1" x14ac:dyDescent="0.45">
      <c r="A4731" s="187">
        <v>2021</v>
      </c>
      <c r="B4731" t="s">
        <v>34</v>
      </c>
      <c r="C4731" t="s">
        <v>325</v>
      </c>
      <c r="D4731" t="s">
        <v>35</v>
      </c>
      <c r="E4731" t="s">
        <v>357</v>
      </c>
      <c r="F4731" t="s">
        <v>415</v>
      </c>
      <c r="G4731" t="s">
        <v>36</v>
      </c>
      <c r="H4731" t="s">
        <v>43</v>
      </c>
      <c r="I4731" s="187">
        <v>112.04964447021484</v>
      </c>
      <c r="J4731" s="187">
        <v>6.4830546379089355</v>
      </c>
      <c r="K4731" s="187">
        <v>1212.3311767578125</v>
      </c>
      <c r="L4731" s="187">
        <v>1402.5008544921875</v>
      </c>
      <c r="M4731" s="187">
        <v>2733.36474609375</v>
      </c>
      <c r="N4731" s="187">
        <v>1514.550537109375</v>
      </c>
      <c r="O4731" t="s">
        <v>5190</v>
      </c>
    </row>
    <row r="4732" spans="1:15" hidden="1" x14ac:dyDescent="0.45">
      <c r="A4732" s="187">
        <v>2021</v>
      </c>
      <c r="B4732" t="s">
        <v>34</v>
      </c>
      <c r="C4732" t="s">
        <v>325</v>
      </c>
      <c r="D4732" t="s">
        <v>35</v>
      </c>
      <c r="E4732" t="s">
        <v>357</v>
      </c>
      <c r="F4732" t="s">
        <v>415</v>
      </c>
      <c r="G4732" t="s">
        <v>37</v>
      </c>
      <c r="H4732" t="s">
        <v>43</v>
      </c>
      <c r="I4732" s="187">
        <v>103.70079</v>
      </c>
      <c r="J4732" s="187">
        <v>6</v>
      </c>
      <c r="K4732" s="187">
        <v>1122</v>
      </c>
      <c r="L4732" s="187">
        <v>1298</v>
      </c>
      <c r="M4732" s="187">
        <v>2529.70068359375</v>
      </c>
      <c r="N4732" s="187">
        <v>1401.7008056640625</v>
      </c>
      <c r="O4732" t="s">
        <v>5191</v>
      </c>
    </row>
    <row r="4733" spans="1:15" hidden="1" x14ac:dyDescent="0.45">
      <c r="A4733" s="187">
        <v>2021</v>
      </c>
      <c r="B4733" t="s">
        <v>34</v>
      </c>
      <c r="C4733" t="s">
        <v>325</v>
      </c>
      <c r="D4733" t="s">
        <v>35</v>
      </c>
      <c r="E4733" t="s">
        <v>357</v>
      </c>
      <c r="F4733" t="s">
        <v>416</v>
      </c>
      <c r="G4733" t="s">
        <v>36</v>
      </c>
      <c r="H4733" t="s">
        <v>43</v>
      </c>
      <c r="I4733" s="187">
        <v>0</v>
      </c>
      <c r="J4733" s="187"/>
      <c r="K4733" s="187">
        <v>0</v>
      </c>
      <c r="L4733" s="187">
        <v>0</v>
      </c>
      <c r="M4733" s="187">
        <v>0</v>
      </c>
      <c r="N4733" s="187">
        <v>0</v>
      </c>
      <c r="O4733" t="s">
        <v>5192</v>
      </c>
    </row>
    <row r="4734" spans="1:15" hidden="1" x14ac:dyDescent="0.45">
      <c r="A4734" s="187">
        <v>2021</v>
      </c>
      <c r="B4734" t="s">
        <v>34</v>
      </c>
      <c r="C4734" t="s">
        <v>325</v>
      </c>
      <c r="D4734" t="s">
        <v>35</v>
      </c>
      <c r="E4734" t="s">
        <v>357</v>
      </c>
      <c r="F4734" t="s">
        <v>416</v>
      </c>
      <c r="G4734" t="s">
        <v>37</v>
      </c>
      <c r="H4734" t="s">
        <v>43</v>
      </c>
      <c r="I4734" s="187">
        <v>0</v>
      </c>
      <c r="J4734" s="187"/>
      <c r="K4734" s="187">
        <v>0</v>
      </c>
      <c r="L4734" s="187">
        <v>0</v>
      </c>
      <c r="M4734" s="187">
        <v>0</v>
      </c>
      <c r="N4734" s="187">
        <v>0</v>
      </c>
      <c r="O4734" t="s">
        <v>5193</v>
      </c>
    </row>
    <row r="4735" spans="1:15" hidden="1" x14ac:dyDescent="0.45">
      <c r="A4735" s="187">
        <v>2021</v>
      </c>
      <c r="B4735" t="s">
        <v>34</v>
      </c>
      <c r="C4735" t="s">
        <v>325</v>
      </c>
      <c r="D4735" t="s">
        <v>35</v>
      </c>
      <c r="E4735" t="s">
        <v>357</v>
      </c>
      <c r="F4735" t="s">
        <v>417</v>
      </c>
      <c r="G4735" t="s">
        <v>36</v>
      </c>
      <c r="H4735" t="s">
        <v>43</v>
      </c>
      <c r="I4735" s="187">
        <v>0</v>
      </c>
      <c r="J4735" s="187">
        <v>197.73316955566406</v>
      </c>
      <c r="K4735" s="187">
        <v>0</v>
      </c>
      <c r="L4735" s="187">
        <v>0</v>
      </c>
      <c r="M4735" s="187">
        <v>197.73316955566406</v>
      </c>
      <c r="N4735" s="187">
        <v>0</v>
      </c>
      <c r="O4735" t="s">
        <v>5194</v>
      </c>
    </row>
    <row r="4736" spans="1:15" hidden="1" x14ac:dyDescent="0.45">
      <c r="A4736" s="187">
        <v>2021</v>
      </c>
      <c r="B4736" t="s">
        <v>34</v>
      </c>
      <c r="C4736" t="s">
        <v>325</v>
      </c>
      <c r="D4736" t="s">
        <v>35</v>
      </c>
      <c r="E4736" t="s">
        <v>357</v>
      </c>
      <c r="F4736" t="s">
        <v>417</v>
      </c>
      <c r="G4736" t="s">
        <v>37</v>
      </c>
      <c r="H4736" t="s">
        <v>43</v>
      </c>
      <c r="I4736" s="187">
        <v>0</v>
      </c>
      <c r="J4736" s="187">
        <v>183</v>
      </c>
      <c r="K4736" s="187">
        <v>0</v>
      </c>
      <c r="L4736" s="187">
        <v>0</v>
      </c>
      <c r="M4736" s="187">
        <v>183</v>
      </c>
      <c r="N4736" s="187">
        <v>0</v>
      </c>
      <c r="O4736" t="s">
        <v>5195</v>
      </c>
    </row>
    <row r="4737" spans="1:15" hidden="1" x14ac:dyDescent="0.45">
      <c r="A4737" s="187">
        <v>2021</v>
      </c>
      <c r="B4737" t="s">
        <v>34</v>
      </c>
      <c r="C4737" t="s">
        <v>325</v>
      </c>
      <c r="D4737" t="s">
        <v>35</v>
      </c>
      <c r="E4737" t="s">
        <v>357</v>
      </c>
      <c r="F4737" t="s">
        <v>418</v>
      </c>
      <c r="G4737" t="s">
        <v>36</v>
      </c>
      <c r="H4737" t="s">
        <v>43</v>
      </c>
      <c r="I4737" s="187">
        <v>0</v>
      </c>
      <c r="J4737" s="187">
        <v>17.288145065307617</v>
      </c>
      <c r="K4737" s="187">
        <v>61.589019775390625</v>
      </c>
      <c r="L4737" s="187">
        <v>0</v>
      </c>
      <c r="M4737" s="187">
        <v>78.877166748046875</v>
      </c>
      <c r="N4737" s="187">
        <v>0</v>
      </c>
      <c r="O4737" t="s">
        <v>5196</v>
      </c>
    </row>
    <row r="4738" spans="1:15" hidden="1" x14ac:dyDescent="0.45">
      <c r="A4738" s="187">
        <v>2021</v>
      </c>
      <c r="B4738" t="s">
        <v>34</v>
      </c>
      <c r="C4738" t="s">
        <v>325</v>
      </c>
      <c r="D4738" t="s">
        <v>35</v>
      </c>
      <c r="E4738" t="s">
        <v>357</v>
      </c>
      <c r="F4738" t="s">
        <v>418</v>
      </c>
      <c r="G4738" t="s">
        <v>37</v>
      </c>
      <c r="H4738" t="s">
        <v>43</v>
      </c>
      <c r="I4738" s="187">
        <v>0</v>
      </c>
      <c r="J4738" s="187">
        <v>16</v>
      </c>
      <c r="K4738" s="187">
        <v>57</v>
      </c>
      <c r="L4738" s="187">
        <v>0</v>
      </c>
      <c r="M4738" s="187">
        <v>73</v>
      </c>
      <c r="N4738" s="187">
        <v>0</v>
      </c>
      <c r="O4738" t="s">
        <v>5197</v>
      </c>
    </row>
    <row r="4739" spans="1:15" hidden="1" x14ac:dyDescent="0.45">
      <c r="A4739" s="187">
        <v>2021</v>
      </c>
      <c r="B4739" t="s">
        <v>34</v>
      </c>
      <c r="C4739" t="s">
        <v>325</v>
      </c>
      <c r="D4739" t="s">
        <v>35</v>
      </c>
      <c r="E4739" t="s">
        <v>357</v>
      </c>
      <c r="F4739" t="s">
        <v>419</v>
      </c>
      <c r="G4739" t="s">
        <v>36</v>
      </c>
      <c r="H4739" t="s">
        <v>43</v>
      </c>
      <c r="I4739" s="187">
        <v>0</v>
      </c>
      <c r="J4739" s="187"/>
      <c r="K4739" s="187">
        <v>0</v>
      </c>
      <c r="L4739" s="187">
        <v>0</v>
      </c>
      <c r="M4739" s="187">
        <v>0</v>
      </c>
      <c r="N4739" s="187">
        <v>0</v>
      </c>
      <c r="O4739" t="s">
        <v>5198</v>
      </c>
    </row>
    <row r="4740" spans="1:15" hidden="1" x14ac:dyDescent="0.45">
      <c r="A4740" s="187">
        <v>2021</v>
      </c>
      <c r="B4740" t="s">
        <v>34</v>
      </c>
      <c r="C4740" t="s">
        <v>325</v>
      </c>
      <c r="D4740" t="s">
        <v>35</v>
      </c>
      <c r="E4740" t="s">
        <v>357</v>
      </c>
      <c r="F4740" t="s">
        <v>419</v>
      </c>
      <c r="G4740" t="s">
        <v>37</v>
      </c>
      <c r="H4740" t="s">
        <v>43</v>
      </c>
      <c r="I4740" s="187">
        <v>0</v>
      </c>
      <c r="J4740" s="187"/>
      <c r="K4740" s="187">
        <v>0</v>
      </c>
      <c r="L4740" s="187">
        <v>0</v>
      </c>
      <c r="M4740" s="187">
        <v>0</v>
      </c>
      <c r="N4740" s="187">
        <v>0</v>
      </c>
      <c r="O4740" t="s">
        <v>5199</v>
      </c>
    </row>
    <row r="4741" spans="1:15" hidden="1" x14ac:dyDescent="0.45">
      <c r="A4741" s="187">
        <v>2021</v>
      </c>
      <c r="B4741" t="s">
        <v>34</v>
      </c>
      <c r="C4741" t="s">
        <v>325</v>
      </c>
      <c r="D4741" t="s">
        <v>35</v>
      </c>
      <c r="E4741" t="s">
        <v>357</v>
      </c>
      <c r="F4741" t="s">
        <v>420</v>
      </c>
      <c r="G4741" t="s">
        <v>36</v>
      </c>
      <c r="H4741" t="s">
        <v>43</v>
      </c>
      <c r="I4741" s="187">
        <v>0</v>
      </c>
      <c r="J4741" s="187">
        <v>215.02131652832031</v>
      </c>
      <c r="K4741" s="187">
        <v>61.589019775390625</v>
      </c>
      <c r="L4741" s="187">
        <v>0</v>
      </c>
      <c r="M4741" s="187">
        <v>276.6103515625</v>
      </c>
      <c r="N4741" s="187">
        <v>0</v>
      </c>
      <c r="O4741" t="s">
        <v>5200</v>
      </c>
    </row>
    <row r="4742" spans="1:15" hidden="1" x14ac:dyDescent="0.45">
      <c r="A4742" s="187">
        <v>2021</v>
      </c>
      <c r="B4742" t="s">
        <v>34</v>
      </c>
      <c r="C4742" t="s">
        <v>325</v>
      </c>
      <c r="D4742" t="s">
        <v>35</v>
      </c>
      <c r="E4742" t="s">
        <v>357</v>
      </c>
      <c r="F4742" t="s">
        <v>420</v>
      </c>
      <c r="G4742" t="s">
        <v>37</v>
      </c>
      <c r="H4742" t="s">
        <v>43</v>
      </c>
      <c r="I4742" s="187">
        <v>0</v>
      </c>
      <c r="J4742" s="187">
        <v>199</v>
      </c>
      <c r="K4742" s="187">
        <v>57</v>
      </c>
      <c r="L4742" s="187">
        <v>0</v>
      </c>
      <c r="M4742" s="187">
        <v>256</v>
      </c>
      <c r="N4742" s="187">
        <v>0</v>
      </c>
      <c r="O4742" t="s">
        <v>5201</v>
      </c>
    </row>
    <row r="4743" spans="1:15" hidden="1" x14ac:dyDescent="0.45">
      <c r="A4743" s="187">
        <v>2021</v>
      </c>
      <c r="B4743" t="s">
        <v>34</v>
      </c>
      <c r="C4743" t="s">
        <v>325</v>
      </c>
      <c r="D4743" t="s">
        <v>35</v>
      </c>
      <c r="E4743" t="s">
        <v>357</v>
      </c>
      <c r="F4743" t="s">
        <v>402</v>
      </c>
      <c r="G4743" t="s">
        <v>36</v>
      </c>
      <c r="H4743" t="s">
        <v>43</v>
      </c>
      <c r="I4743" s="187">
        <v>5.9533133506774902</v>
      </c>
      <c r="J4743" s="187"/>
      <c r="K4743" s="187">
        <v>0</v>
      </c>
      <c r="L4743" s="187">
        <v>0</v>
      </c>
      <c r="M4743" s="187">
        <v>5.9533133506774902</v>
      </c>
      <c r="N4743" s="187">
        <v>5.9533133506774902</v>
      </c>
      <c r="O4743" t="s">
        <v>5202</v>
      </c>
    </row>
    <row r="4744" spans="1:15" hidden="1" x14ac:dyDescent="0.45">
      <c r="A4744" s="187">
        <v>2021</v>
      </c>
      <c r="B4744" t="s">
        <v>34</v>
      </c>
      <c r="C4744" t="s">
        <v>325</v>
      </c>
      <c r="D4744" t="s">
        <v>35</v>
      </c>
      <c r="E4744" t="s">
        <v>357</v>
      </c>
      <c r="F4744" t="s">
        <v>402</v>
      </c>
      <c r="G4744" t="s">
        <v>37</v>
      </c>
      <c r="H4744" t="s">
        <v>43</v>
      </c>
      <c r="I4744" s="187">
        <v>5.5097300000000002</v>
      </c>
      <c r="J4744" s="187"/>
      <c r="K4744" s="187">
        <v>0</v>
      </c>
      <c r="L4744" s="187">
        <v>0</v>
      </c>
      <c r="M4744" s="187">
        <v>5.5097298622131348</v>
      </c>
      <c r="N4744" s="187">
        <v>5.5097298622131348</v>
      </c>
      <c r="O4744" t="s">
        <v>5203</v>
      </c>
    </row>
    <row r="4745" spans="1:15" hidden="1" x14ac:dyDescent="0.45">
      <c r="A4745" s="187">
        <v>2021</v>
      </c>
      <c r="B4745" t="s">
        <v>34</v>
      </c>
      <c r="C4745" t="s">
        <v>325</v>
      </c>
      <c r="D4745" t="s">
        <v>35</v>
      </c>
      <c r="E4745" t="s">
        <v>357</v>
      </c>
      <c r="F4745" t="s">
        <v>403</v>
      </c>
      <c r="G4745" t="s">
        <v>36</v>
      </c>
      <c r="H4745" t="s">
        <v>43</v>
      </c>
      <c r="I4745" s="187">
        <v>2750.18212890625</v>
      </c>
      <c r="J4745" s="187">
        <v>37.817817687988281</v>
      </c>
      <c r="K4745" s="187">
        <v>1642.373779296875</v>
      </c>
      <c r="L4745" s="187">
        <v>1130.2125244140625</v>
      </c>
      <c r="M4745" s="187">
        <v>5560.58642578125</v>
      </c>
      <c r="N4745" s="187">
        <v>3880.39453125</v>
      </c>
      <c r="O4745" t="s">
        <v>5204</v>
      </c>
    </row>
    <row r="4746" spans="1:15" hidden="1" x14ac:dyDescent="0.45">
      <c r="A4746" s="187">
        <v>2021</v>
      </c>
      <c r="B4746" t="s">
        <v>34</v>
      </c>
      <c r="C4746" t="s">
        <v>325</v>
      </c>
      <c r="D4746" t="s">
        <v>35</v>
      </c>
      <c r="E4746" t="s">
        <v>357</v>
      </c>
      <c r="F4746" t="s">
        <v>403</v>
      </c>
      <c r="G4746" t="s">
        <v>37</v>
      </c>
      <c r="H4746" t="s">
        <v>43</v>
      </c>
      <c r="I4746" s="187">
        <v>2545.2651400000009</v>
      </c>
      <c r="J4746" s="187">
        <v>35</v>
      </c>
      <c r="K4746" s="187">
        <v>1520</v>
      </c>
      <c r="L4746" s="187">
        <v>1046</v>
      </c>
      <c r="M4746" s="187">
        <v>5146.26513671875</v>
      </c>
      <c r="N4746" s="187">
        <v>3591.26513671875</v>
      </c>
      <c r="O4746" t="s">
        <v>5205</v>
      </c>
    </row>
    <row r="4747" spans="1:15" hidden="1" x14ac:dyDescent="0.45">
      <c r="A4747" s="187">
        <v>2021</v>
      </c>
      <c r="B4747" t="s">
        <v>34</v>
      </c>
      <c r="C4747" t="s">
        <v>325</v>
      </c>
      <c r="D4747" t="s">
        <v>35</v>
      </c>
      <c r="E4747" t="s">
        <v>357</v>
      </c>
      <c r="F4747" t="s">
        <v>405</v>
      </c>
      <c r="G4747" t="s">
        <v>36</v>
      </c>
      <c r="H4747" t="s">
        <v>43</v>
      </c>
      <c r="I4747" s="187">
        <v>0.15873758494853973</v>
      </c>
      <c r="J4747" s="187">
        <v>33.495780944824219</v>
      </c>
      <c r="K4747" s="187">
        <v>775.8055419921875</v>
      </c>
      <c r="L4747" s="187">
        <v>66.991561889648438</v>
      </c>
      <c r="M4747" s="187">
        <v>876.45166015625</v>
      </c>
      <c r="N4747" s="187">
        <v>67.150299072265625</v>
      </c>
      <c r="O4747" t="s">
        <v>5206</v>
      </c>
    </row>
    <row r="4748" spans="1:15" hidden="1" x14ac:dyDescent="0.45">
      <c r="A4748" s="187">
        <v>2021</v>
      </c>
      <c r="B4748" t="s">
        <v>34</v>
      </c>
      <c r="C4748" t="s">
        <v>325</v>
      </c>
      <c r="D4748" t="s">
        <v>35</v>
      </c>
      <c r="E4748" t="s">
        <v>357</v>
      </c>
      <c r="F4748" t="s">
        <v>405</v>
      </c>
      <c r="G4748" t="s">
        <v>37</v>
      </c>
      <c r="H4748" t="s">
        <v>43</v>
      </c>
      <c r="I4748" s="187">
        <v>0.14691000000000001</v>
      </c>
      <c r="J4748" s="187">
        <v>31</v>
      </c>
      <c r="K4748" s="187">
        <v>718</v>
      </c>
      <c r="L4748" s="187">
        <v>62</v>
      </c>
      <c r="M4748" s="187">
        <v>811.14691162109375</v>
      </c>
      <c r="N4748" s="187">
        <v>62.14691162109375</v>
      </c>
      <c r="O4748" t="s">
        <v>5207</v>
      </c>
    </row>
    <row r="4749" spans="1:15" hidden="1" x14ac:dyDescent="0.45">
      <c r="A4749" s="187">
        <v>2021</v>
      </c>
      <c r="B4749" t="s">
        <v>34</v>
      </c>
      <c r="C4749" t="s">
        <v>325</v>
      </c>
      <c r="D4749" t="s">
        <v>35</v>
      </c>
      <c r="E4749" t="s">
        <v>357</v>
      </c>
      <c r="F4749" t="s">
        <v>406</v>
      </c>
      <c r="G4749" t="s">
        <v>36</v>
      </c>
      <c r="H4749" t="s">
        <v>43</v>
      </c>
      <c r="I4749" s="187">
        <v>0</v>
      </c>
      <c r="J4749" s="187"/>
      <c r="K4749" s="187">
        <v>0</v>
      </c>
      <c r="L4749" s="187">
        <v>112.37294769287109</v>
      </c>
      <c r="M4749" s="187">
        <v>112.37294769287109</v>
      </c>
      <c r="N4749" s="187">
        <v>112.37294769287109</v>
      </c>
      <c r="O4749" t="s">
        <v>5208</v>
      </c>
    </row>
    <row r="4750" spans="1:15" hidden="1" x14ac:dyDescent="0.45">
      <c r="A4750" s="187">
        <v>2021</v>
      </c>
      <c r="B4750" t="s">
        <v>34</v>
      </c>
      <c r="C4750" t="s">
        <v>325</v>
      </c>
      <c r="D4750" t="s">
        <v>35</v>
      </c>
      <c r="E4750" t="s">
        <v>357</v>
      </c>
      <c r="F4750" t="s">
        <v>406</v>
      </c>
      <c r="G4750" t="s">
        <v>37</v>
      </c>
      <c r="H4750" t="s">
        <v>43</v>
      </c>
      <c r="I4750" s="187">
        <v>0</v>
      </c>
      <c r="J4750" s="187"/>
      <c r="K4750" s="187">
        <v>0</v>
      </c>
      <c r="L4750" s="187">
        <v>104</v>
      </c>
      <c r="M4750" s="187">
        <v>104</v>
      </c>
      <c r="N4750" s="187">
        <v>104</v>
      </c>
      <c r="O4750" t="s">
        <v>5209</v>
      </c>
    </row>
    <row r="4751" spans="1:15" hidden="1" x14ac:dyDescent="0.45">
      <c r="A4751" s="187">
        <v>2021</v>
      </c>
      <c r="B4751" t="s">
        <v>34</v>
      </c>
      <c r="C4751" t="s">
        <v>325</v>
      </c>
      <c r="D4751" t="s">
        <v>35</v>
      </c>
      <c r="E4751" t="s">
        <v>357</v>
      </c>
      <c r="F4751" t="s">
        <v>421</v>
      </c>
      <c r="G4751" t="s">
        <v>36</v>
      </c>
      <c r="H4751" t="s">
        <v>43</v>
      </c>
      <c r="I4751" s="187">
        <v>0</v>
      </c>
      <c r="J4751" s="187"/>
      <c r="K4751" s="187">
        <v>0</v>
      </c>
      <c r="L4751" s="187">
        <v>204.21621704101563</v>
      </c>
      <c r="M4751" s="187">
        <v>204.21621704101563</v>
      </c>
      <c r="N4751" s="187">
        <v>204.21621704101563</v>
      </c>
      <c r="O4751" t="s">
        <v>5210</v>
      </c>
    </row>
    <row r="4752" spans="1:15" hidden="1" x14ac:dyDescent="0.45">
      <c r="A4752" s="187">
        <v>2021</v>
      </c>
      <c r="B4752" t="s">
        <v>34</v>
      </c>
      <c r="C4752" t="s">
        <v>325</v>
      </c>
      <c r="D4752" t="s">
        <v>35</v>
      </c>
      <c r="E4752" t="s">
        <v>357</v>
      </c>
      <c r="F4752" t="s">
        <v>421</v>
      </c>
      <c r="G4752" t="s">
        <v>37</v>
      </c>
      <c r="H4752" t="s">
        <v>43</v>
      </c>
      <c r="I4752" s="187">
        <v>0</v>
      </c>
      <c r="J4752" s="187"/>
      <c r="K4752" s="187">
        <v>0</v>
      </c>
      <c r="L4752" s="187">
        <v>189</v>
      </c>
      <c r="M4752" s="187">
        <v>189</v>
      </c>
      <c r="N4752" s="187">
        <v>189</v>
      </c>
      <c r="O4752" t="s">
        <v>5211</v>
      </c>
    </row>
    <row r="4753" spans="1:15" hidden="1" x14ac:dyDescent="0.45">
      <c r="A4753" s="187">
        <v>2021</v>
      </c>
      <c r="B4753" t="s">
        <v>34</v>
      </c>
      <c r="C4753" t="s">
        <v>325</v>
      </c>
      <c r="D4753" t="s">
        <v>35</v>
      </c>
      <c r="E4753" t="s">
        <v>357</v>
      </c>
      <c r="F4753" t="s">
        <v>422</v>
      </c>
      <c r="G4753" t="s">
        <v>36</v>
      </c>
      <c r="H4753" t="s">
        <v>43</v>
      </c>
      <c r="I4753" s="187">
        <v>2756.294189453125</v>
      </c>
      <c r="J4753" s="187">
        <v>71.3135986328125</v>
      </c>
      <c r="K4753" s="187">
        <v>2418.179443359375</v>
      </c>
      <c r="L4753" s="187">
        <v>1513.793212890625</v>
      </c>
      <c r="M4753" s="187">
        <v>6759.580078125</v>
      </c>
      <c r="N4753" s="187">
        <v>4270.08740234375</v>
      </c>
      <c r="O4753" t="s">
        <v>5212</v>
      </c>
    </row>
    <row r="4754" spans="1:15" hidden="1" x14ac:dyDescent="0.45">
      <c r="A4754" s="187">
        <v>2021</v>
      </c>
      <c r="B4754" t="s">
        <v>34</v>
      </c>
      <c r="C4754" t="s">
        <v>325</v>
      </c>
      <c r="D4754" t="s">
        <v>35</v>
      </c>
      <c r="E4754" t="s">
        <v>357</v>
      </c>
      <c r="F4754" t="s">
        <v>422</v>
      </c>
      <c r="G4754" t="s">
        <v>37</v>
      </c>
      <c r="H4754" t="s">
        <v>43</v>
      </c>
      <c r="I4754" s="187">
        <v>2550.921780000001</v>
      </c>
      <c r="J4754" s="187">
        <v>66</v>
      </c>
      <c r="K4754" s="187">
        <v>2238</v>
      </c>
      <c r="L4754" s="187">
        <v>1401</v>
      </c>
      <c r="M4754" s="187">
        <v>6255.921875</v>
      </c>
      <c r="N4754" s="187">
        <v>3951.921875</v>
      </c>
      <c r="O4754" t="s">
        <v>5213</v>
      </c>
    </row>
    <row r="4755" spans="1:15" hidden="1" x14ac:dyDescent="0.45">
      <c r="A4755" s="187">
        <v>2021</v>
      </c>
      <c r="B4755" t="s">
        <v>34</v>
      </c>
      <c r="C4755" t="s">
        <v>325</v>
      </c>
      <c r="D4755" t="s">
        <v>35</v>
      </c>
      <c r="E4755" t="s">
        <v>357</v>
      </c>
      <c r="F4755" t="s">
        <v>423</v>
      </c>
      <c r="G4755" t="s">
        <v>36</v>
      </c>
      <c r="H4755" t="s">
        <v>43</v>
      </c>
      <c r="I4755" s="187">
        <v>14.990561485290527</v>
      </c>
      <c r="J4755" s="187"/>
      <c r="K4755" s="187">
        <v>490.55111694335938</v>
      </c>
      <c r="L4755" s="187">
        <v>29.173746109008789</v>
      </c>
      <c r="M4755" s="187">
        <v>534.7154541015625</v>
      </c>
      <c r="N4755" s="187">
        <v>44.164306640625</v>
      </c>
      <c r="O4755" t="s">
        <v>5214</v>
      </c>
    </row>
    <row r="4756" spans="1:15" hidden="1" x14ac:dyDescent="0.45">
      <c r="A4756" s="187">
        <v>2021</v>
      </c>
      <c r="B4756" t="s">
        <v>34</v>
      </c>
      <c r="C4756" t="s">
        <v>325</v>
      </c>
      <c r="D4756" t="s">
        <v>35</v>
      </c>
      <c r="E4756" t="s">
        <v>357</v>
      </c>
      <c r="F4756" t="s">
        <v>423</v>
      </c>
      <c r="G4756" t="s">
        <v>37</v>
      </c>
      <c r="H4756" t="s">
        <v>43</v>
      </c>
      <c r="I4756" s="187">
        <v>13.873609999999999</v>
      </c>
      <c r="J4756" s="187"/>
      <c r="K4756" s="187">
        <v>454</v>
      </c>
      <c r="L4756" s="187">
        <v>27</v>
      </c>
      <c r="M4756" s="187">
        <v>494.87359619140625</v>
      </c>
      <c r="N4756" s="187">
        <v>40.873611450195313</v>
      </c>
      <c r="O4756" t="s">
        <v>5215</v>
      </c>
    </row>
    <row r="4757" spans="1:15" hidden="1" x14ac:dyDescent="0.45">
      <c r="A4757" s="187">
        <v>2021</v>
      </c>
      <c r="B4757" t="s">
        <v>34</v>
      </c>
      <c r="C4757" t="s">
        <v>325</v>
      </c>
      <c r="D4757" t="s">
        <v>35</v>
      </c>
      <c r="E4757" t="s">
        <v>357</v>
      </c>
      <c r="F4757" t="s">
        <v>424</v>
      </c>
      <c r="G4757" t="s">
        <v>36</v>
      </c>
      <c r="H4757" t="s">
        <v>43</v>
      </c>
      <c r="I4757" s="187">
        <v>0</v>
      </c>
      <c r="J4757" s="187"/>
      <c r="K4757" s="187">
        <v>0</v>
      </c>
      <c r="L4757" s="187">
        <v>70.23309326171875</v>
      </c>
      <c r="M4757" s="187">
        <v>70.23309326171875</v>
      </c>
      <c r="N4757" s="187">
        <v>70.23309326171875</v>
      </c>
      <c r="O4757" t="s">
        <v>5216</v>
      </c>
    </row>
    <row r="4758" spans="1:15" hidden="1" x14ac:dyDescent="0.45">
      <c r="A4758" s="187">
        <v>2021</v>
      </c>
      <c r="B4758" t="s">
        <v>34</v>
      </c>
      <c r="C4758" t="s">
        <v>325</v>
      </c>
      <c r="D4758" t="s">
        <v>35</v>
      </c>
      <c r="E4758" t="s">
        <v>357</v>
      </c>
      <c r="F4758" t="s">
        <v>424</v>
      </c>
      <c r="G4758" t="s">
        <v>37</v>
      </c>
      <c r="H4758" t="s">
        <v>43</v>
      </c>
      <c r="I4758" s="187">
        <v>0</v>
      </c>
      <c r="J4758" s="187"/>
      <c r="K4758" s="187">
        <v>0</v>
      </c>
      <c r="L4758" s="187">
        <v>65</v>
      </c>
      <c r="M4758" s="187">
        <v>65</v>
      </c>
      <c r="N4758" s="187">
        <v>65</v>
      </c>
      <c r="O4758" t="s">
        <v>5217</v>
      </c>
    </row>
    <row r="4759" spans="1:15" hidden="1" x14ac:dyDescent="0.45">
      <c r="A4759" s="187">
        <v>2021</v>
      </c>
      <c r="B4759" t="s">
        <v>34</v>
      </c>
      <c r="C4759" t="s">
        <v>325</v>
      </c>
      <c r="D4759" t="s">
        <v>35</v>
      </c>
      <c r="E4759" t="s">
        <v>357</v>
      </c>
      <c r="F4759" t="s">
        <v>446</v>
      </c>
      <c r="G4759" t="s">
        <v>36</v>
      </c>
      <c r="H4759" t="s">
        <v>43</v>
      </c>
      <c r="I4759" s="187">
        <v>140.32382202148438</v>
      </c>
      <c r="J4759" s="187"/>
      <c r="K4759" s="187">
        <v>-4.3220362663269043</v>
      </c>
      <c r="L4759" s="187">
        <v>230.1484375</v>
      </c>
      <c r="M4759" s="187">
        <v>366.15020751953125</v>
      </c>
      <c r="N4759" s="187">
        <v>370.47225952148438</v>
      </c>
      <c r="O4759" t="s">
        <v>5218</v>
      </c>
    </row>
    <row r="4760" spans="1:15" hidden="1" x14ac:dyDescent="0.45">
      <c r="A4760" s="187">
        <v>2021</v>
      </c>
      <c r="B4760" t="s">
        <v>34</v>
      </c>
      <c r="C4760" t="s">
        <v>325</v>
      </c>
      <c r="D4760" t="s">
        <v>35</v>
      </c>
      <c r="E4760" t="s">
        <v>357</v>
      </c>
      <c r="F4760" t="s">
        <v>446</v>
      </c>
      <c r="G4760" t="s">
        <v>37</v>
      </c>
      <c r="H4760" t="s">
        <v>43</v>
      </c>
      <c r="I4760" s="187">
        <v>129.86824999999999</v>
      </c>
      <c r="J4760" s="187"/>
      <c r="K4760" s="187">
        <v>-4</v>
      </c>
      <c r="L4760" s="187">
        <v>213</v>
      </c>
      <c r="M4760" s="187">
        <v>338.86825561523438</v>
      </c>
      <c r="N4760" s="187">
        <v>342.86825561523438</v>
      </c>
      <c r="O4760" t="s">
        <v>5219</v>
      </c>
    </row>
    <row r="4761" spans="1:15" hidden="1" x14ac:dyDescent="0.45">
      <c r="A4761" s="187">
        <v>2021</v>
      </c>
      <c r="B4761" t="s">
        <v>34</v>
      </c>
      <c r="C4761" t="s">
        <v>325</v>
      </c>
      <c r="D4761" t="s">
        <v>35</v>
      </c>
      <c r="E4761" t="s">
        <v>357</v>
      </c>
      <c r="F4761" t="s">
        <v>426</v>
      </c>
      <c r="G4761" t="s">
        <v>36</v>
      </c>
      <c r="H4761" t="s">
        <v>43</v>
      </c>
      <c r="I4761" s="187">
        <v>155.31439208984375</v>
      </c>
      <c r="J4761" s="187">
        <v>0</v>
      </c>
      <c r="K4761" s="187">
        <v>486.22909545898438</v>
      </c>
      <c r="L4761" s="187">
        <v>329.55526733398438</v>
      </c>
      <c r="M4761" s="187">
        <v>971.0987548828125</v>
      </c>
      <c r="N4761" s="187">
        <v>484.86965942382813</v>
      </c>
      <c r="O4761" t="s">
        <v>5220</v>
      </c>
    </row>
    <row r="4762" spans="1:15" hidden="1" x14ac:dyDescent="0.45">
      <c r="A4762" s="187">
        <v>2021</v>
      </c>
      <c r="B4762" t="s">
        <v>34</v>
      </c>
      <c r="C4762" t="s">
        <v>325</v>
      </c>
      <c r="D4762" t="s">
        <v>35</v>
      </c>
      <c r="E4762" t="s">
        <v>357</v>
      </c>
      <c r="F4762" t="s">
        <v>426</v>
      </c>
      <c r="G4762" t="s">
        <v>37</v>
      </c>
      <c r="H4762" t="s">
        <v>43</v>
      </c>
      <c r="I4762" s="187">
        <v>143.74186</v>
      </c>
      <c r="J4762" s="187">
        <v>0</v>
      </c>
      <c r="K4762" s="187">
        <v>450</v>
      </c>
      <c r="L4762" s="187">
        <v>305</v>
      </c>
      <c r="M4762" s="187">
        <v>898.74188232421875</v>
      </c>
      <c r="N4762" s="187">
        <v>448.74188232421875</v>
      </c>
      <c r="O4762" t="s">
        <v>5221</v>
      </c>
    </row>
    <row r="4763" spans="1:15" hidden="1" x14ac:dyDescent="0.45">
      <c r="A4763" s="187">
        <v>2021</v>
      </c>
      <c r="B4763" t="s">
        <v>34</v>
      </c>
      <c r="C4763" t="s">
        <v>325</v>
      </c>
      <c r="D4763" t="s">
        <v>35</v>
      </c>
      <c r="E4763" t="s">
        <v>358</v>
      </c>
      <c r="F4763" t="s">
        <v>427</v>
      </c>
      <c r="G4763" t="s">
        <v>36</v>
      </c>
      <c r="H4763" t="s">
        <v>43</v>
      </c>
      <c r="I4763" s="187">
        <v>50.656429290771484</v>
      </c>
      <c r="J4763" s="187"/>
      <c r="K4763" s="187">
        <v>178.28399658203125</v>
      </c>
      <c r="L4763" s="187"/>
      <c r="M4763" s="187">
        <v>228.9404296875</v>
      </c>
      <c r="N4763" s="187">
        <v>50.656429290771484</v>
      </c>
      <c r="O4763" t="s">
        <v>5222</v>
      </c>
    </row>
    <row r="4764" spans="1:15" hidden="1" x14ac:dyDescent="0.45">
      <c r="A4764" s="187">
        <v>2021</v>
      </c>
      <c r="B4764" t="s">
        <v>34</v>
      </c>
      <c r="C4764" t="s">
        <v>325</v>
      </c>
      <c r="D4764" t="s">
        <v>35</v>
      </c>
      <c r="E4764" t="s">
        <v>358</v>
      </c>
      <c r="F4764" t="s">
        <v>427</v>
      </c>
      <c r="G4764" t="s">
        <v>37</v>
      </c>
      <c r="H4764" t="s">
        <v>43</v>
      </c>
      <c r="I4764" s="187">
        <v>46.881999999999998</v>
      </c>
      <c r="J4764" s="187"/>
      <c r="K4764" s="187">
        <v>165</v>
      </c>
      <c r="L4764" s="187"/>
      <c r="M4764" s="187">
        <v>211.88200378417969</v>
      </c>
      <c r="N4764" s="187">
        <v>46.881999969482422</v>
      </c>
      <c r="O4764" t="s">
        <v>5223</v>
      </c>
    </row>
    <row r="4765" spans="1:15" hidden="1" x14ac:dyDescent="0.45">
      <c r="A4765" s="187">
        <v>2021</v>
      </c>
      <c r="B4765" t="s">
        <v>34</v>
      </c>
      <c r="C4765" t="s">
        <v>325</v>
      </c>
      <c r="D4765" t="s">
        <v>35</v>
      </c>
      <c r="E4765" t="s">
        <v>358</v>
      </c>
      <c r="F4765" t="s">
        <v>392</v>
      </c>
      <c r="G4765" t="s">
        <v>36</v>
      </c>
      <c r="H4765" t="s">
        <v>43</v>
      </c>
      <c r="I4765" s="187">
        <v>0</v>
      </c>
      <c r="J4765" s="187"/>
      <c r="K4765" s="187">
        <v>0</v>
      </c>
      <c r="L4765" s="187">
        <v>0</v>
      </c>
      <c r="M4765" s="187">
        <v>0</v>
      </c>
      <c r="N4765" s="187">
        <v>0</v>
      </c>
      <c r="O4765" t="s">
        <v>5224</v>
      </c>
    </row>
    <row r="4766" spans="1:15" hidden="1" x14ac:dyDescent="0.45">
      <c r="A4766" s="187">
        <v>2021</v>
      </c>
      <c r="B4766" t="s">
        <v>34</v>
      </c>
      <c r="C4766" t="s">
        <v>325</v>
      </c>
      <c r="D4766" t="s">
        <v>35</v>
      </c>
      <c r="E4766" t="s">
        <v>358</v>
      </c>
      <c r="F4766" t="s">
        <v>392</v>
      </c>
      <c r="G4766" t="s">
        <v>37</v>
      </c>
      <c r="H4766" t="s">
        <v>43</v>
      </c>
      <c r="I4766" s="187">
        <v>0</v>
      </c>
      <c r="J4766" s="187"/>
      <c r="K4766" s="187">
        <v>0</v>
      </c>
      <c r="L4766" s="187">
        <v>0</v>
      </c>
      <c r="M4766" s="187">
        <v>0</v>
      </c>
      <c r="N4766" s="187">
        <v>0</v>
      </c>
      <c r="O4766" t="s">
        <v>5225</v>
      </c>
    </row>
    <row r="4767" spans="1:15" hidden="1" x14ac:dyDescent="0.45">
      <c r="A4767" s="187">
        <v>2021</v>
      </c>
      <c r="B4767" t="s">
        <v>34</v>
      </c>
      <c r="C4767" t="s">
        <v>325</v>
      </c>
      <c r="D4767" t="s">
        <v>35</v>
      </c>
      <c r="E4767" t="s">
        <v>358</v>
      </c>
      <c r="F4767" t="s">
        <v>393</v>
      </c>
      <c r="G4767" t="s">
        <v>36</v>
      </c>
      <c r="H4767" t="s">
        <v>43</v>
      </c>
      <c r="I4767" s="187">
        <v>54.110523223876953</v>
      </c>
      <c r="J4767" s="187"/>
      <c r="K4767" s="187">
        <v>0</v>
      </c>
      <c r="L4767" s="187">
        <v>0</v>
      </c>
      <c r="M4767" s="187">
        <v>54.110523223876953</v>
      </c>
      <c r="N4767" s="187">
        <v>54.110523223876953</v>
      </c>
      <c r="O4767" t="s">
        <v>5226</v>
      </c>
    </row>
    <row r="4768" spans="1:15" hidden="1" x14ac:dyDescent="0.45">
      <c r="A4768" s="187">
        <v>2021</v>
      </c>
      <c r="B4768" t="s">
        <v>34</v>
      </c>
      <c r="C4768" t="s">
        <v>325</v>
      </c>
      <c r="D4768" t="s">
        <v>35</v>
      </c>
      <c r="E4768" t="s">
        <v>358</v>
      </c>
      <c r="F4768" t="s">
        <v>393</v>
      </c>
      <c r="G4768" t="s">
        <v>37</v>
      </c>
      <c r="H4768" t="s">
        <v>43</v>
      </c>
      <c r="I4768" s="187">
        <v>50.078729999999993</v>
      </c>
      <c r="J4768" s="187"/>
      <c r="K4768" s="187">
        <v>0</v>
      </c>
      <c r="L4768" s="187">
        <v>0</v>
      </c>
      <c r="M4768" s="187">
        <v>50.078731536865234</v>
      </c>
      <c r="N4768" s="187">
        <v>50.078731536865234</v>
      </c>
      <c r="O4768" t="s">
        <v>5227</v>
      </c>
    </row>
    <row r="4769" spans="1:15" hidden="1" x14ac:dyDescent="0.45">
      <c r="A4769" s="187">
        <v>2021</v>
      </c>
      <c r="B4769" t="s">
        <v>34</v>
      </c>
      <c r="C4769" t="s">
        <v>325</v>
      </c>
      <c r="D4769" t="s">
        <v>35</v>
      </c>
      <c r="E4769" t="s">
        <v>358</v>
      </c>
      <c r="F4769" t="s">
        <v>394</v>
      </c>
      <c r="G4769" t="s">
        <v>36</v>
      </c>
      <c r="H4769" t="s">
        <v>43</v>
      </c>
      <c r="I4769" s="187">
        <v>0</v>
      </c>
      <c r="J4769" s="187"/>
      <c r="K4769" s="187">
        <v>0</v>
      </c>
      <c r="L4769" s="187">
        <v>0</v>
      </c>
      <c r="M4769" s="187">
        <v>0</v>
      </c>
      <c r="N4769" s="187">
        <v>0</v>
      </c>
      <c r="O4769" t="s">
        <v>5228</v>
      </c>
    </row>
    <row r="4770" spans="1:15" hidden="1" x14ac:dyDescent="0.45">
      <c r="A4770" s="187">
        <v>2021</v>
      </c>
      <c r="B4770" t="s">
        <v>34</v>
      </c>
      <c r="C4770" t="s">
        <v>325</v>
      </c>
      <c r="D4770" t="s">
        <v>35</v>
      </c>
      <c r="E4770" t="s">
        <v>358</v>
      </c>
      <c r="F4770" t="s">
        <v>394</v>
      </c>
      <c r="G4770" t="s">
        <v>37</v>
      </c>
      <c r="H4770" t="s">
        <v>43</v>
      </c>
      <c r="I4770" s="187">
        <v>0</v>
      </c>
      <c r="J4770" s="187"/>
      <c r="K4770" s="187">
        <v>0</v>
      </c>
      <c r="L4770" s="187">
        <v>0</v>
      </c>
      <c r="M4770" s="187">
        <v>0</v>
      </c>
      <c r="N4770" s="187">
        <v>0</v>
      </c>
      <c r="O4770" t="s">
        <v>5229</v>
      </c>
    </row>
    <row r="4771" spans="1:15" hidden="1" x14ac:dyDescent="0.45">
      <c r="A4771" s="187">
        <v>2021</v>
      </c>
      <c r="B4771" t="s">
        <v>34</v>
      </c>
      <c r="C4771" t="s">
        <v>325</v>
      </c>
      <c r="D4771" t="s">
        <v>35</v>
      </c>
      <c r="E4771" t="s">
        <v>358</v>
      </c>
      <c r="F4771" t="s">
        <v>395</v>
      </c>
      <c r="G4771" t="s">
        <v>36</v>
      </c>
      <c r="H4771" t="s">
        <v>43</v>
      </c>
      <c r="I4771" s="187">
        <v>0</v>
      </c>
      <c r="J4771" s="187"/>
      <c r="K4771" s="187">
        <v>0</v>
      </c>
      <c r="L4771" s="187">
        <v>0</v>
      </c>
      <c r="M4771" s="187">
        <v>0</v>
      </c>
      <c r="N4771" s="187">
        <v>0</v>
      </c>
      <c r="O4771" t="s">
        <v>5230</v>
      </c>
    </row>
    <row r="4772" spans="1:15" hidden="1" x14ac:dyDescent="0.45">
      <c r="A4772" s="187">
        <v>2021</v>
      </c>
      <c r="B4772" t="s">
        <v>34</v>
      </c>
      <c r="C4772" t="s">
        <v>325</v>
      </c>
      <c r="D4772" t="s">
        <v>35</v>
      </c>
      <c r="E4772" t="s">
        <v>358</v>
      </c>
      <c r="F4772" t="s">
        <v>395</v>
      </c>
      <c r="G4772" t="s">
        <v>37</v>
      </c>
      <c r="H4772" t="s">
        <v>43</v>
      </c>
      <c r="I4772" s="187">
        <v>0</v>
      </c>
      <c r="J4772" s="187"/>
      <c r="K4772" s="187">
        <v>0</v>
      </c>
      <c r="L4772" s="187">
        <v>0</v>
      </c>
      <c r="M4772" s="187">
        <v>0</v>
      </c>
      <c r="N4772" s="187">
        <v>0</v>
      </c>
      <c r="O4772" t="s">
        <v>5231</v>
      </c>
    </row>
    <row r="4773" spans="1:15" hidden="1" x14ac:dyDescent="0.45">
      <c r="A4773" s="187">
        <v>2021</v>
      </c>
      <c r="B4773" t="s">
        <v>34</v>
      </c>
      <c r="C4773" t="s">
        <v>325</v>
      </c>
      <c r="D4773" t="s">
        <v>35</v>
      </c>
      <c r="E4773" t="s">
        <v>358</v>
      </c>
      <c r="F4773" t="s">
        <v>396</v>
      </c>
      <c r="G4773" t="s">
        <v>36</v>
      </c>
      <c r="H4773" t="s">
        <v>43</v>
      </c>
      <c r="I4773" s="187">
        <v>0</v>
      </c>
      <c r="J4773" s="187"/>
      <c r="K4773" s="187">
        <v>127.50007629394531</v>
      </c>
      <c r="L4773" s="187">
        <v>0</v>
      </c>
      <c r="M4773" s="187">
        <v>127.50007629394531</v>
      </c>
      <c r="N4773" s="187">
        <v>0</v>
      </c>
      <c r="O4773" t="s">
        <v>5232</v>
      </c>
    </row>
    <row r="4774" spans="1:15" hidden="1" x14ac:dyDescent="0.45">
      <c r="A4774" s="187">
        <v>2021</v>
      </c>
      <c r="B4774" t="s">
        <v>34</v>
      </c>
      <c r="C4774" t="s">
        <v>325</v>
      </c>
      <c r="D4774" t="s">
        <v>35</v>
      </c>
      <c r="E4774" t="s">
        <v>358</v>
      </c>
      <c r="F4774" t="s">
        <v>396</v>
      </c>
      <c r="G4774" t="s">
        <v>37</v>
      </c>
      <c r="H4774" t="s">
        <v>43</v>
      </c>
      <c r="I4774" s="187">
        <v>0</v>
      </c>
      <c r="J4774" s="187"/>
      <c r="K4774" s="187">
        <v>118</v>
      </c>
      <c r="L4774" s="187">
        <v>0</v>
      </c>
      <c r="M4774" s="187">
        <v>118</v>
      </c>
      <c r="N4774" s="187">
        <v>0</v>
      </c>
      <c r="O4774" t="s">
        <v>5233</v>
      </c>
    </row>
    <row r="4775" spans="1:15" hidden="1" x14ac:dyDescent="0.45">
      <c r="A4775" s="187">
        <v>2021</v>
      </c>
      <c r="B4775" t="s">
        <v>34</v>
      </c>
      <c r="C4775" t="s">
        <v>325</v>
      </c>
      <c r="D4775" t="s">
        <v>35</v>
      </c>
      <c r="E4775" t="s">
        <v>358</v>
      </c>
      <c r="F4775" t="s">
        <v>415</v>
      </c>
      <c r="G4775" t="s">
        <v>36</v>
      </c>
      <c r="H4775" t="s">
        <v>43</v>
      </c>
      <c r="I4775" s="187">
        <v>54.110523223876953</v>
      </c>
      <c r="J4775" s="187">
        <v>0</v>
      </c>
      <c r="K4775" s="187">
        <v>127.50007629394531</v>
      </c>
      <c r="L4775" s="187">
        <v>0</v>
      </c>
      <c r="M4775" s="187">
        <v>181.610595703125</v>
      </c>
      <c r="N4775" s="187">
        <v>54.110523223876953</v>
      </c>
      <c r="O4775" t="s">
        <v>5234</v>
      </c>
    </row>
    <row r="4776" spans="1:15" hidden="1" x14ac:dyDescent="0.45">
      <c r="A4776" s="187">
        <v>2021</v>
      </c>
      <c r="B4776" t="s">
        <v>34</v>
      </c>
      <c r="C4776" t="s">
        <v>325</v>
      </c>
      <c r="D4776" t="s">
        <v>35</v>
      </c>
      <c r="E4776" t="s">
        <v>358</v>
      </c>
      <c r="F4776" t="s">
        <v>415</v>
      </c>
      <c r="G4776" t="s">
        <v>37</v>
      </c>
      <c r="H4776" t="s">
        <v>43</v>
      </c>
      <c r="I4776" s="187">
        <v>50.078729999999993</v>
      </c>
      <c r="J4776" s="187">
        <v>0</v>
      </c>
      <c r="K4776" s="187">
        <v>118</v>
      </c>
      <c r="L4776" s="187">
        <v>0</v>
      </c>
      <c r="M4776" s="187">
        <v>168.0787353515625</v>
      </c>
      <c r="N4776" s="187">
        <v>50.078731536865234</v>
      </c>
      <c r="O4776" t="s">
        <v>5235</v>
      </c>
    </row>
    <row r="4777" spans="1:15" hidden="1" x14ac:dyDescent="0.45">
      <c r="A4777" s="187">
        <v>2021</v>
      </c>
      <c r="B4777" t="s">
        <v>34</v>
      </c>
      <c r="C4777" t="s">
        <v>325</v>
      </c>
      <c r="D4777" t="s">
        <v>35</v>
      </c>
      <c r="E4777" t="s">
        <v>358</v>
      </c>
      <c r="F4777" t="s">
        <v>416</v>
      </c>
      <c r="G4777" t="s">
        <v>36</v>
      </c>
      <c r="H4777" t="s">
        <v>43</v>
      </c>
      <c r="I4777" s="187">
        <v>0</v>
      </c>
      <c r="J4777" s="187"/>
      <c r="K4777" s="187">
        <v>0</v>
      </c>
      <c r="L4777" s="187">
        <v>0</v>
      </c>
      <c r="M4777" s="187">
        <v>0</v>
      </c>
      <c r="N4777" s="187">
        <v>0</v>
      </c>
      <c r="O4777" t="s">
        <v>5236</v>
      </c>
    </row>
    <row r="4778" spans="1:15" hidden="1" x14ac:dyDescent="0.45">
      <c r="A4778" s="187">
        <v>2021</v>
      </c>
      <c r="B4778" t="s">
        <v>34</v>
      </c>
      <c r="C4778" t="s">
        <v>325</v>
      </c>
      <c r="D4778" t="s">
        <v>35</v>
      </c>
      <c r="E4778" t="s">
        <v>358</v>
      </c>
      <c r="F4778" t="s">
        <v>416</v>
      </c>
      <c r="G4778" t="s">
        <v>37</v>
      </c>
      <c r="H4778" t="s">
        <v>43</v>
      </c>
      <c r="I4778" s="187">
        <v>0</v>
      </c>
      <c r="J4778" s="187"/>
      <c r="K4778" s="187">
        <v>0</v>
      </c>
      <c r="L4778" s="187">
        <v>0</v>
      </c>
      <c r="M4778" s="187">
        <v>0</v>
      </c>
      <c r="N4778" s="187">
        <v>0</v>
      </c>
      <c r="O4778" t="s">
        <v>5237</v>
      </c>
    </row>
    <row r="4779" spans="1:15" hidden="1" x14ac:dyDescent="0.45">
      <c r="A4779" s="187">
        <v>2021</v>
      </c>
      <c r="B4779" t="s">
        <v>34</v>
      </c>
      <c r="C4779" t="s">
        <v>325</v>
      </c>
      <c r="D4779" t="s">
        <v>35</v>
      </c>
      <c r="E4779" t="s">
        <v>358</v>
      </c>
      <c r="F4779" t="s">
        <v>417</v>
      </c>
      <c r="G4779" t="s">
        <v>36</v>
      </c>
      <c r="H4779" t="s">
        <v>43</v>
      </c>
      <c r="I4779" s="187">
        <v>0</v>
      </c>
      <c r="J4779" s="187">
        <v>56.186473846435547</v>
      </c>
      <c r="K4779" s="187">
        <v>0</v>
      </c>
      <c r="L4779" s="187">
        <v>0</v>
      </c>
      <c r="M4779" s="187">
        <v>56.186473846435547</v>
      </c>
      <c r="N4779" s="187">
        <v>0</v>
      </c>
      <c r="O4779" t="s">
        <v>5238</v>
      </c>
    </row>
    <row r="4780" spans="1:15" hidden="1" x14ac:dyDescent="0.45">
      <c r="A4780" s="187">
        <v>2021</v>
      </c>
      <c r="B4780" t="s">
        <v>34</v>
      </c>
      <c r="C4780" t="s">
        <v>325</v>
      </c>
      <c r="D4780" t="s">
        <v>35</v>
      </c>
      <c r="E4780" t="s">
        <v>358</v>
      </c>
      <c r="F4780" t="s">
        <v>417</v>
      </c>
      <c r="G4780" t="s">
        <v>37</v>
      </c>
      <c r="H4780" t="s">
        <v>43</v>
      </c>
      <c r="I4780" s="187">
        <v>0</v>
      </c>
      <c r="J4780" s="187">
        <v>52</v>
      </c>
      <c r="K4780" s="187">
        <v>0</v>
      </c>
      <c r="L4780" s="187">
        <v>0</v>
      </c>
      <c r="M4780" s="187">
        <v>52</v>
      </c>
      <c r="N4780" s="187">
        <v>0</v>
      </c>
      <c r="O4780" t="s">
        <v>5239</v>
      </c>
    </row>
    <row r="4781" spans="1:15" hidden="1" x14ac:dyDescent="0.45">
      <c r="A4781" s="187">
        <v>2021</v>
      </c>
      <c r="B4781" t="s">
        <v>34</v>
      </c>
      <c r="C4781" t="s">
        <v>325</v>
      </c>
      <c r="D4781" t="s">
        <v>35</v>
      </c>
      <c r="E4781" t="s">
        <v>358</v>
      </c>
      <c r="F4781" t="s">
        <v>418</v>
      </c>
      <c r="G4781" t="s">
        <v>36</v>
      </c>
      <c r="H4781" t="s">
        <v>43</v>
      </c>
      <c r="I4781" s="187">
        <v>0</v>
      </c>
      <c r="J4781" s="187"/>
      <c r="K4781" s="187">
        <v>0</v>
      </c>
      <c r="L4781" s="187">
        <v>0</v>
      </c>
      <c r="M4781" s="187">
        <v>0</v>
      </c>
      <c r="N4781" s="187">
        <v>0</v>
      </c>
      <c r="O4781" t="s">
        <v>5240</v>
      </c>
    </row>
    <row r="4782" spans="1:15" hidden="1" x14ac:dyDescent="0.45">
      <c r="A4782" s="187">
        <v>2021</v>
      </c>
      <c r="B4782" t="s">
        <v>34</v>
      </c>
      <c r="C4782" t="s">
        <v>325</v>
      </c>
      <c r="D4782" t="s">
        <v>35</v>
      </c>
      <c r="E4782" t="s">
        <v>358</v>
      </c>
      <c r="F4782" t="s">
        <v>418</v>
      </c>
      <c r="G4782" t="s">
        <v>37</v>
      </c>
      <c r="H4782" t="s">
        <v>43</v>
      </c>
      <c r="I4782" s="187">
        <v>0</v>
      </c>
      <c r="J4782" s="187"/>
      <c r="K4782" s="187">
        <v>0</v>
      </c>
      <c r="L4782" s="187">
        <v>0</v>
      </c>
      <c r="M4782" s="187">
        <v>0</v>
      </c>
      <c r="N4782" s="187">
        <v>0</v>
      </c>
      <c r="O4782" t="s">
        <v>5241</v>
      </c>
    </row>
    <row r="4783" spans="1:15" hidden="1" x14ac:dyDescent="0.45">
      <c r="A4783" s="187">
        <v>2021</v>
      </c>
      <c r="B4783" t="s">
        <v>34</v>
      </c>
      <c r="C4783" t="s">
        <v>325</v>
      </c>
      <c r="D4783" t="s">
        <v>35</v>
      </c>
      <c r="E4783" t="s">
        <v>358</v>
      </c>
      <c r="F4783" t="s">
        <v>419</v>
      </c>
      <c r="G4783" t="s">
        <v>36</v>
      </c>
      <c r="H4783" t="s">
        <v>43</v>
      </c>
      <c r="I4783" s="187">
        <v>0</v>
      </c>
      <c r="J4783" s="187"/>
      <c r="K4783" s="187">
        <v>0</v>
      </c>
      <c r="L4783" s="187">
        <v>0</v>
      </c>
      <c r="M4783" s="187">
        <v>0</v>
      </c>
      <c r="N4783" s="187">
        <v>0</v>
      </c>
      <c r="O4783" t="s">
        <v>5242</v>
      </c>
    </row>
    <row r="4784" spans="1:15" hidden="1" x14ac:dyDescent="0.45">
      <c r="A4784" s="187">
        <v>2021</v>
      </c>
      <c r="B4784" t="s">
        <v>34</v>
      </c>
      <c r="C4784" t="s">
        <v>325</v>
      </c>
      <c r="D4784" t="s">
        <v>35</v>
      </c>
      <c r="E4784" t="s">
        <v>358</v>
      </c>
      <c r="F4784" t="s">
        <v>419</v>
      </c>
      <c r="G4784" t="s">
        <v>37</v>
      </c>
      <c r="H4784" t="s">
        <v>43</v>
      </c>
      <c r="I4784" s="187">
        <v>0</v>
      </c>
      <c r="J4784" s="187"/>
      <c r="K4784" s="187">
        <v>0</v>
      </c>
      <c r="L4784" s="187">
        <v>0</v>
      </c>
      <c r="M4784" s="187">
        <v>0</v>
      </c>
      <c r="N4784" s="187">
        <v>0</v>
      </c>
      <c r="O4784" t="s">
        <v>5243</v>
      </c>
    </row>
    <row r="4785" spans="1:15" hidden="1" x14ac:dyDescent="0.45">
      <c r="A4785" s="187">
        <v>2021</v>
      </c>
      <c r="B4785" t="s">
        <v>34</v>
      </c>
      <c r="C4785" t="s">
        <v>325</v>
      </c>
      <c r="D4785" t="s">
        <v>35</v>
      </c>
      <c r="E4785" t="s">
        <v>358</v>
      </c>
      <c r="F4785" t="s">
        <v>420</v>
      </c>
      <c r="G4785" t="s">
        <v>36</v>
      </c>
      <c r="H4785" t="s">
        <v>43</v>
      </c>
      <c r="I4785" s="187">
        <v>0</v>
      </c>
      <c r="J4785" s="187">
        <v>56.186473846435547</v>
      </c>
      <c r="K4785" s="187">
        <v>0</v>
      </c>
      <c r="L4785" s="187">
        <v>0</v>
      </c>
      <c r="M4785" s="187">
        <v>56.186473846435547</v>
      </c>
      <c r="N4785" s="187">
        <v>0</v>
      </c>
      <c r="O4785" t="s">
        <v>5244</v>
      </c>
    </row>
    <row r="4786" spans="1:15" hidden="1" x14ac:dyDescent="0.45">
      <c r="A4786" s="187">
        <v>2021</v>
      </c>
      <c r="B4786" t="s">
        <v>34</v>
      </c>
      <c r="C4786" t="s">
        <v>325</v>
      </c>
      <c r="D4786" t="s">
        <v>35</v>
      </c>
      <c r="E4786" t="s">
        <v>358</v>
      </c>
      <c r="F4786" t="s">
        <v>420</v>
      </c>
      <c r="G4786" t="s">
        <v>37</v>
      </c>
      <c r="H4786" t="s">
        <v>43</v>
      </c>
      <c r="I4786" s="187">
        <v>0</v>
      </c>
      <c r="J4786" s="187">
        <v>52</v>
      </c>
      <c r="K4786" s="187">
        <v>0</v>
      </c>
      <c r="L4786" s="187">
        <v>0</v>
      </c>
      <c r="M4786" s="187">
        <v>52</v>
      </c>
      <c r="N4786" s="187">
        <v>0</v>
      </c>
      <c r="O4786" t="s">
        <v>5245</v>
      </c>
    </row>
    <row r="4787" spans="1:15" hidden="1" x14ac:dyDescent="0.45">
      <c r="A4787" s="187">
        <v>2021</v>
      </c>
      <c r="B4787" t="s">
        <v>34</v>
      </c>
      <c r="C4787" t="s">
        <v>325</v>
      </c>
      <c r="D4787" t="s">
        <v>35</v>
      </c>
      <c r="E4787" t="s">
        <v>358</v>
      </c>
      <c r="F4787" t="s">
        <v>402</v>
      </c>
      <c r="G4787" t="s">
        <v>36</v>
      </c>
      <c r="H4787" t="s">
        <v>43</v>
      </c>
      <c r="I4787" s="187">
        <v>0</v>
      </c>
      <c r="J4787" s="187"/>
      <c r="K4787" s="187">
        <v>0</v>
      </c>
      <c r="L4787" s="187">
        <v>0</v>
      </c>
      <c r="M4787" s="187">
        <v>0</v>
      </c>
      <c r="N4787" s="187">
        <v>0</v>
      </c>
      <c r="O4787" t="s">
        <v>5246</v>
      </c>
    </row>
    <row r="4788" spans="1:15" hidden="1" x14ac:dyDescent="0.45">
      <c r="A4788" s="187">
        <v>2021</v>
      </c>
      <c r="B4788" t="s">
        <v>34</v>
      </c>
      <c r="C4788" t="s">
        <v>325</v>
      </c>
      <c r="D4788" t="s">
        <v>35</v>
      </c>
      <c r="E4788" t="s">
        <v>358</v>
      </c>
      <c r="F4788" t="s">
        <v>402</v>
      </c>
      <c r="G4788" t="s">
        <v>37</v>
      </c>
      <c r="H4788" t="s">
        <v>43</v>
      </c>
      <c r="I4788" s="187">
        <v>0</v>
      </c>
      <c r="J4788" s="187"/>
      <c r="K4788" s="187">
        <v>0</v>
      </c>
      <c r="L4788" s="187">
        <v>0</v>
      </c>
      <c r="M4788" s="187">
        <v>0</v>
      </c>
      <c r="N4788" s="187">
        <v>0</v>
      </c>
      <c r="O4788" t="s">
        <v>5247</v>
      </c>
    </row>
    <row r="4789" spans="1:15" hidden="1" x14ac:dyDescent="0.45">
      <c r="A4789" s="187">
        <v>2021</v>
      </c>
      <c r="B4789" t="s">
        <v>34</v>
      </c>
      <c r="C4789" t="s">
        <v>325</v>
      </c>
      <c r="D4789" t="s">
        <v>35</v>
      </c>
      <c r="E4789" t="s">
        <v>358</v>
      </c>
      <c r="F4789" t="s">
        <v>403</v>
      </c>
      <c r="G4789" t="s">
        <v>36</v>
      </c>
      <c r="H4789" t="s">
        <v>43</v>
      </c>
      <c r="I4789" s="187">
        <v>2672.3828125</v>
      </c>
      <c r="J4789" s="187">
        <v>95.084800720214844</v>
      </c>
      <c r="K4789" s="187">
        <v>1294.449951171875</v>
      </c>
      <c r="L4789" s="187">
        <v>2850.383056640625</v>
      </c>
      <c r="M4789" s="187">
        <v>6912.30078125</v>
      </c>
      <c r="N4789" s="187">
        <v>5522.765625</v>
      </c>
      <c r="O4789" t="s">
        <v>5248</v>
      </c>
    </row>
    <row r="4790" spans="1:15" hidden="1" x14ac:dyDescent="0.45">
      <c r="A4790" s="187">
        <v>2021</v>
      </c>
      <c r="B4790" t="s">
        <v>34</v>
      </c>
      <c r="C4790" t="s">
        <v>325</v>
      </c>
      <c r="D4790" t="s">
        <v>35</v>
      </c>
      <c r="E4790" t="s">
        <v>358</v>
      </c>
      <c r="F4790" t="s">
        <v>403</v>
      </c>
      <c r="G4790" t="s">
        <v>37</v>
      </c>
      <c r="H4790" t="s">
        <v>43</v>
      </c>
      <c r="I4790" s="187">
        <v>2473.262650000001</v>
      </c>
      <c r="J4790" s="187">
        <v>88</v>
      </c>
      <c r="K4790" s="187">
        <v>1198</v>
      </c>
      <c r="L4790" s="187">
        <v>2638</v>
      </c>
      <c r="M4790" s="187">
        <v>6397.2626953125</v>
      </c>
      <c r="N4790" s="187">
        <v>5111.2626953125</v>
      </c>
      <c r="O4790" t="s">
        <v>5249</v>
      </c>
    </row>
    <row r="4791" spans="1:15" hidden="1" x14ac:dyDescent="0.45">
      <c r="A4791" s="187">
        <v>2021</v>
      </c>
      <c r="B4791" t="s">
        <v>34</v>
      </c>
      <c r="C4791" t="s">
        <v>325</v>
      </c>
      <c r="D4791" t="s">
        <v>35</v>
      </c>
      <c r="E4791" t="s">
        <v>358</v>
      </c>
      <c r="F4791" t="s">
        <v>405</v>
      </c>
      <c r="G4791" t="s">
        <v>36</v>
      </c>
      <c r="H4791" t="s">
        <v>43</v>
      </c>
      <c r="I4791" s="187">
        <v>0</v>
      </c>
      <c r="J4791" s="187"/>
      <c r="K4791" s="187">
        <v>0</v>
      </c>
      <c r="L4791" s="187">
        <v>0</v>
      </c>
      <c r="M4791" s="187">
        <v>0</v>
      </c>
      <c r="N4791" s="187">
        <v>0</v>
      </c>
      <c r="O4791" t="s">
        <v>5250</v>
      </c>
    </row>
    <row r="4792" spans="1:15" hidden="1" x14ac:dyDescent="0.45">
      <c r="A4792" s="187">
        <v>2021</v>
      </c>
      <c r="B4792" t="s">
        <v>34</v>
      </c>
      <c r="C4792" t="s">
        <v>325</v>
      </c>
      <c r="D4792" t="s">
        <v>35</v>
      </c>
      <c r="E4792" t="s">
        <v>358</v>
      </c>
      <c r="F4792" t="s">
        <v>405</v>
      </c>
      <c r="G4792" t="s">
        <v>37</v>
      </c>
      <c r="H4792" t="s">
        <v>43</v>
      </c>
      <c r="I4792" s="187">
        <v>0</v>
      </c>
      <c r="J4792" s="187"/>
      <c r="K4792" s="187">
        <v>0</v>
      </c>
      <c r="L4792" s="187">
        <v>0</v>
      </c>
      <c r="M4792" s="187">
        <v>0</v>
      </c>
      <c r="N4792" s="187">
        <v>0</v>
      </c>
      <c r="O4792" t="s">
        <v>5251</v>
      </c>
    </row>
    <row r="4793" spans="1:15" hidden="1" x14ac:dyDescent="0.45">
      <c r="A4793" s="187">
        <v>2021</v>
      </c>
      <c r="B4793" t="s">
        <v>34</v>
      </c>
      <c r="C4793" t="s">
        <v>325</v>
      </c>
      <c r="D4793" t="s">
        <v>35</v>
      </c>
      <c r="E4793" t="s">
        <v>358</v>
      </c>
      <c r="F4793" t="s">
        <v>406</v>
      </c>
      <c r="G4793" t="s">
        <v>36</v>
      </c>
      <c r="H4793" t="s">
        <v>43</v>
      </c>
      <c r="I4793" s="187">
        <v>0</v>
      </c>
      <c r="J4793" s="187"/>
      <c r="K4793" s="187">
        <v>0</v>
      </c>
      <c r="L4793" s="187">
        <v>0</v>
      </c>
      <c r="M4793" s="187">
        <v>0</v>
      </c>
      <c r="N4793" s="187">
        <v>0</v>
      </c>
      <c r="O4793" t="s">
        <v>5252</v>
      </c>
    </row>
    <row r="4794" spans="1:15" hidden="1" x14ac:dyDescent="0.45">
      <c r="A4794" s="187">
        <v>2021</v>
      </c>
      <c r="B4794" t="s">
        <v>34</v>
      </c>
      <c r="C4794" t="s">
        <v>325</v>
      </c>
      <c r="D4794" t="s">
        <v>35</v>
      </c>
      <c r="E4794" t="s">
        <v>358</v>
      </c>
      <c r="F4794" t="s">
        <v>406</v>
      </c>
      <c r="G4794" t="s">
        <v>37</v>
      </c>
      <c r="H4794" t="s">
        <v>43</v>
      </c>
      <c r="I4794" s="187">
        <v>0</v>
      </c>
      <c r="J4794" s="187"/>
      <c r="K4794" s="187">
        <v>0</v>
      </c>
      <c r="L4794" s="187">
        <v>0</v>
      </c>
      <c r="M4794" s="187">
        <v>0</v>
      </c>
      <c r="N4794" s="187">
        <v>0</v>
      </c>
      <c r="O4794" t="s">
        <v>5253</v>
      </c>
    </row>
    <row r="4795" spans="1:15" hidden="1" x14ac:dyDescent="0.45">
      <c r="A4795" s="187">
        <v>2021</v>
      </c>
      <c r="B4795" t="s">
        <v>34</v>
      </c>
      <c r="C4795" t="s">
        <v>325</v>
      </c>
      <c r="D4795" t="s">
        <v>35</v>
      </c>
      <c r="E4795" t="s">
        <v>358</v>
      </c>
      <c r="F4795" t="s">
        <v>421</v>
      </c>
      <c r="G4795" t="s">
        <v>36</v>
      </c>
      <c r="H4795" t="s">
        <v>43</v>
      </c>
      <c r="I4795" s="187">
        <v>0</v>
      </c>
      <c r="J4795" s="187"/>
      <c r="K4795" s="187">
        <v>0</v>
      </c>
      <c r="L4795" s="187">
        <v>0</v>
      </c>
      <c r="M4795" s="187">
        <v>0</v>
      </c>
      <c r="N4795" s="187">
        <v>0</v>
      </c>
      <c r="O4795" t="s">
        <v>5254</v>
      </c>
    </row>
    <row r="4796" spans="1:15" hidden="1" x14ac:dyDescent="0.45">
      <c r="A4796" s="187">
        <v>2021</v>
      </c>
      <c r="B4796" t="s">
        <v>34</v>
      </c>
      <c r="C4796" t="s">
        <v>325</v>
      </c>
      <c r="D4796" t="s">
        <v>35</v>
      </c>
      <c r="E4796" t="s">
        <v>358</v>
      </c>
      <c r="F4796" t="s">
        <v>421</v>
      </c>
      <c r="G4796" t="s">
        <v>37</v>
      </c>
      <c r="H4796" t="s">
        <v>43</v>
      </c>
      <c r="I4796" s="187">
        <v>0</v>
      </c>
      <c r="J4796" s="187"/>
      <c r="K4796" s="187">
        <v>0</v>
      </c>
      <c r="L4796" s="187">
        <v>0</v>
      </c>
      <c r="M4796" s="187">
        <v>0</v>
      </c>
      <c r="N4796" s="187">
        <v>0</v>
      </c>
      <c r="O4796" t="s">
        <v>5255</v>
      </c>
    </row>
    <row r="4797" spans="1:15" hidden="1" x14ac:dyDescent="0.45">
      <c r="A4797" s="187">
        <v>2021</v>
      </c>
      <c r="B4797" t="s">
        <v>34</v>
      </c>
      <c r="C4797" t="s">
        <v>325</v>
      </c>
      <c r="D4797" t="s">
        <v>35</v>
      </c>
      <c r="E4797" t="s">
        <v>358</v>
      </c>
      <c r="F4797" t="s">
        <v>422</v>
      </c>
      <c r="G4797" t="s">
        <v>36</v>
      </c>
      <c r="H4797" t="s">
        <v>43</v>
      </c>
      <c r="I4797" s="187">
        <v>2672.3828125</v>
      </c>
      <c r="J4797" s="187">
        <v>95.084800720214844</v>
      </c>
      <c r="K4797" s="187">
        <v>1294.449951171875</v>
      </c>
      <c r="L4797" s="187">
        <v>2850.383056640625</v>
      </c>
      <c r="M4797" s="187">
        <v>6912.30078125</v>
      </c>
      <c r="N4797" s="187">
        <v>5522.765625</v>
      </c>
      <c r="O4797" t="s">
        <v>5256</v>
      </c>
    </row>
    <row r="4798" spans="1:15" hidden="1" x14ac:dyDescent="0.45">
      <c r="A4798" s="187">
        <v>2021</v>
      </c>
      <c r="B4798" t="s">
        <v>34</v>
      </c>
      <c r="C4798" t="s">
        <v>325</v>
      </c>
      <c r="D4798" t="s">
        <v>35</v>
      </c>
      <c r="E4798" t="s">
        <v>358</v>
      </c>
      <c r="F4798" t="s">
        <v>422</v>
      </c>
      <c r="G4798" t="s">
        <v>37</v>
      </c>
      <c r="H4798" t="s">
        <v>43</v>
      </c>
      <c r="I4798" s="187">
        <v>2473.262650000001</v>
      </c>
      <c r="J4798" s="187">
        <v>88</v>
      </c>
      <c r="K4798" s="187">
        <v>1198</v>
      </c>
      <c r="L4798" s="187">
        <v>2638</v>
      </c>
      <c r="M4798" s="187">
        <v>6397.2626953125</v>
      </c>
      <c r="N4798" s="187">
        <v>5111.2626953125</v>
      </c>
      <c r="O4798" t="s">
        <v>5257</v>
      </c>
    </row>
    <row r="4799" spans="1:15" hidden="1" x14ac:dyDescent="0.45">
      <c r="A4799" s="187">
        <v>2021</v>
      </c>
      <c r="B4799" t="s">
        <v>34</v>
      </c>
      <c r="C4799" t="s">
        <v>325</v>
      </c>
      <c r="D4799" t="s">
        <v>35</v>
      </c>
      <c r="E4799" t="s">
        <v>358</v>
      </c>
      <c r="F4799" t="s">
        <v>423</v>
      </c>
      <c r="G4799" t="s">
        <v>36</v>
      </c>
      <c r="H4799" t="s">
        <v>43</v>
      </c>
      <c r="I4799" s="187">
        <v>0</v>
      </c>
      <c r="J4799" s="187"/>
      <c r="K4799" s="187">
        <v>0</v>
      </c>
      <c r="L4799" s="187">
        <v>151.27127075195313</v>
      </c>
      <c r="M4799" s="187">
        <v>151.27127075195313</v>
      </c>
      <c r="N4799" s="187">
        <v>151.27127075195313</v>
      </c>
      <c r="O4799" t="s">
        <v>5258</v>
      </c>
    </row>
    <row r="4800" spans="1:15" hidden="1" x14ac:dyDescent="0.45">
      <c r="A4800" s="187">
        <v>2021</v>
      </c>
      <c r="B4800" t="s">
        <v>34</v>
      </c>
      <c r="C4800" t="s">
        <v>325</v>
      </c>
      <c r="D4800" t="s">
        <v>35</v>
      </c>
      <c r="E4800" t="s">
        <v>358</v>
      </c>
      <c r="F4800" t="s">
        <v>423</v>
      </c>
      <c r="G4800" t="s">
        <v>37</v>
      </c>
      <c r="H4800" t="s">
        <v>43</v>
      </c>
      <c r="I4800" s="187">
        <v>0</v>
      </c>
      <c r="J4800" s="187"/>
      <c r="K4800" s="187">
        <v>0</v>
      </c>
      <c r="L4800" s="187">
        <v>140</v>
      </c>
      <c r="M4800" s="187">
        <v>140</v>
      </c>
      <c r="N4800" s="187">
        <v>140</v>
      </c>
      <c r="O4800" t="s">
        <v>5259</v>
      </c>
    </row>
    <row r="4801" spans="1:15" hidden="1" x14ac:dyDescent="0.45">
      <c r="A4801" s="187">
        <v>2021</v>
      </c>
      <c r="B4801" t="s">
        <v>34</v>
      </c>
      <c r="C4801" t="s">
        <v>325</v>
      </c>
      <c r="D4801" t="s">
        <v>35</v>
      </c>
      <c r="E4801" t="s">
        <v>358</v>
      </c>
      <c r="F4801" t="s">
        <v>424</v>
      </c>
      <c r="G4801" t="s">
        <v>36</v>
      </c>
      <c r="H4801" t="s">
        <v>43</v>
      </c>
      <c r="I4801" s="187">
        <v>0</v>
      </c>
      <c r="J4801" s="187"/>
      <c r="K4801" s="187">
        <v>0</v>
      </c>
      <c r="L4801" s="187">
        <v>0</v>
      </c>
      <c r="M4801" s="187">
        <v>0</v>
      </c>
      <c r="N4801" s="187">
        <v>0</v>
      </c>
      <c r="O4801" t="s">
        <v>5260</v>
      </c>
    </row>
    <row r="4802" spans="1:15" hidden="1" x14ac:dyDescent="0.45">
      <c r="A4802" s="187">
        <v>2021</v>
      </c>
      <c r="B4802" t="s">
        <v>34</v>
      </c>
      <c r="C4802" t="s">
        <v>325</v>
      </c>
      <c r="D4802" t="s">
        <v>35</v>
      </c>
      <c r="E4802" t="s">
        <v>358</v>
      </c>
      <c r="F4802" t="s">
        <v>424</v>
      </c>
      <c r="G4802" t="s">
        <v>37</v>
      </c>
      <c r="H4802" t="s">
        <v>43</v>
      </c>
      <c r="I4802" s="187">
        <v>0</v>
      </c>
      <c r="J4802" s="187"/>
      <c r="K4802" s="187">
        <v>0</v>
      </c>
      <c r="L4802" s="187">
        <v>0</v>
      </c>
      <c r="M4802" s="187">
        <v>0</v>
      </c>
      <c r="N4802" s="187">
        <v>0</v>
      </c>
      <c r="O4802" t="s">
        <v>5261</v>
      </c>
    </row>
    <row r="4803" spans="1:15" hidden="1" x14ac:dyDescent="0.45">
      <c r="A4803" s="187">
        <v>2021</v>
      </c>
      <c r="B4803" t="s">
        <v>34</v>
      </c>
      <c r="C4803" t="s">
        <v>325</v>
      </c>
      <c r="D4803" t="s">
        <v>35</v>
      </c>
      <c r="E4803" t="s">
        <v>358</v>
      </c>
      <c r="F4803" t="s">
        <v>446</v>
      </c>
      <c r="G4803" t="s">
        <v>36</v>
      </c>
      <c r="H4803" t="s">
        <v>43</v>
      </c>
      <c r="I4803" s="187">
        <v>196.37307739257813</v>
      </c>
      <c r="J4803" s="187"/>
      <c r="K4803" s="187">
        <v>6.4830546379089355</v>
      </c>
      <c r="L4803" s="187">
        <v>35.65679931640625</v>
      </c>
      <c r="M4803" s="187">
        <v>238.51292419433594</v>
      </c>
      <c r="N4803" s="187">
        <v>232.02987670898438</v>
      </c>
      <c r="O4803" t="s">
        <v>5262</v>
      </c>
    </row>
    <row r="4804" spans="1:15" hidden="1" x14ac:dyDescent="0.45">
      <c r="A4804" s="187">
        <v>2021</v>
      </c>
      <c r="B4804" t="s">
        <v>34</v>
      </c>
      <c r="C4804" t="s">
        <v>325</v>
      </c>
      <c r="D4804" t="s">
        <v>35</v>
      </c>
      <c r="E4804" t="s">
        <v>358</v>
      </c>
      <c r="F4804" t="s">
        <v>446</v>
      </c>
      <c r="G4804" t="s">
        <v>37</v>
      </c>
      <c r="H4804" t="s">
        <v>43</v>
      </c>
      <c r="I4804" s="187">
        <v>181.74125000000021</v>
      </c>
      <c r="J4804" s="187"/>
      <c r="K4804" s="187">
        <v>6</v>
      </c>
      <c r="L4804" s="187">
        <v>33</v>
      </c>
      <c r="M4804" s="187">
        <v>220.74125671386719</v>
      </c>
      <c r="N4804" s="187">
        <v>214.74125671386719</v>
      </c>
      <c r="O4804" t="s">
        <v>5263</v>
      </c>
    </row>
    <row r="4805" spans="1:15" hidden="1" x14ac:dyDescent="0.45">
      <c r="A4805" s="187">
        <v>2021</v>
      </c>
      <c r="B4805" t="s">
        <v>34</v>
      </c>
      <c r="C4805" t="s">
        <v>325</v>
      </c>
      <c r="D4805" t="s">
        <v>35</v>
      </c>
      <c r="E4805" t="s">
        <v>358</v>
      </c>
      <c r="F4805" t="s">
        <v>426</v>
      </c>
      <c r="G4805" t="s">
        <v>36</v>
      </c>
      <c r="H4805" t="s">
        <v>43</v>
      </c>
      <c r="I4805" s="187">
        <v>196.37307739257813</v>
      </c>
      <c r="J4805" s="187">
        <v>0</v>
      </c>
      <c r="K4805" s="187">
        <v>6.4830546379089355</v>
      </c>
      <c r="L4805" s="187">
        <v>186.92807006835938</v>
      </c>
      <c r="M4805" s="187">
        <v>389.7841796875</v>
      </c>
      <c r="N4805" s="187">
        <v>383.3011474609375</v>
      </c>
      <c r="O4805" t="s">
        <v>5264</v>
      </c>
    </row>
    <row r="4806" spans="1:15" hidden="1" x14ac:dyDescent="0.45">
      <c r="A4806" s="187">
        <v>2021</v>
      </c>
      <c r="B4806" t="s">
        <v>34</v>
      </c>
      <c r="C4806" t="s">
        <v>325</v>
      </c>
      <c r="D4806" t="s">
        <v>35</v>
      </c>
      <c r="E4806" t="s">
        <v>358</v>
      </c>
      <c r="F4806" t="s">
        <v>426</v>
      </c>
      <c r="G4806" t="s">
        <v>37</v>
      </c>
      <c r="H4806" t="s">
        <v>43</v>
      </c>
      <c r="I4806" s="187">
        <v>181.74125000000021</v>
      </c>
      <c r="J4806" s="187">
        <v>0</v>
      </c>
      <c r="K4806" s="187">
        <v>6</v>
      </c>
      <c r="L4806" s="187">
        <v>173</v>
      </c>
      <c r="M4806" s="187">
        <v>360.74127197265625</v>
      </c>
      <c r="N4806" s="187">
        <v>354.74127197265625</v>
      </c>
      <c r="O4806" t="s">
        <v>5265</v>
      </c>
    </row>
    <row r="4807" spans="1:15" hidden="1" x14ac:dyDescent="0.45">
      <c r="A4807" s="187">
        <v>2021</v>
      </c>
      <c r="B4807" t="s">
        <v>34</v>
      </c>
      <c r="C4807" t="s">
        <v>325</v>
      </c>
      <c r="D4807" t="s">
        <v>35</v>
      </c>
      <c r="E4807" t="s">
        <v>358</v>
      </c>
      <c r="F4807" t="s">
        <v>428</v>
      </c>
      <c r="G4807" t="s">
        <v>36</v>
      </c>
      <c r="H4807" t="s">
        <v>43</v>
      </c>
      <c r="I4807" s="187">
        <v>2922.866455078125</v>
      </c>
      <c r="J4807" s="187">
        <v>151.27127075195313</v>
      </c>
      <c r="K4807" s="187">
        <v>1428.4329833984375</v>
      </c>
      <c r="L4807" s="187">
        <v>3037.31103515625</v>
      </c>
      <c r="M4807" s="187">
        <v>7539.8818359375</v>
      </c>
      <c r="N4807" s="187">
        <v>5960.177734375</v>
      </c>
      <c r="O4807" t="s">
        <v>5266</v>
      </c>
    </row>
    <row r="4808" spans="1:15" hidden="1" x14ac:dyDescent="0.45">
      <c r="A4808" s="187">
        <v>2021</v>
      </c>
      <c r="B4808" t="s">
        <v>34</v>
      </c>
      <c r="C4808" t="s">
        <v>325</v>
      </c>
      <c r="D4808" t="s">
        <v>35</v>
      </c>
      <c r="E4808" t="s">
        <v>358</v>
      </c>
      <c r="F4808" t="s">
        <v>428</v>
      </c>
      <c r="G4808" t="s">
        <v>37</v>
      </c>
      <c r="H4808" t="s">
        <v>43</v>
      </c>
      <c r="I4808" s="187">
        <v>2705.0826300000008</v>
      </c>
      <c r="J4808" s="187">
        <v>140</v>
      </c>
      <c r="K4808" s="187">
        <v>1322</v>
      </c>
      <c r="L4808" s="187">
        <v>2811</v>
      </c>
      <c r="M4808" s="187">
        <v>6978.08251953125</v>
      </c>
      <c r="N4808" s="187">
        <v>5516.08251953125</v>
      </c>
      <c r="O4808" t="s">
        <v>5267</v>
      </c>
    </row>
    <row r="4809" spans="1:15" hidden="1" x14ac:dyDescent="0.45">
      <c r="A4809" s="187">
        <v>2021</v>
      </c>
      <c r="B4809" t="s">
        <v>34</v>
      </c>
      <c r="C4809" t="s">
        <v>325</v>
      </c>
      <c r="D4809" t="s">
        <v>35</v>
      </c>
      <c r="E4809" t="s">
        <v>358</v>
      </c>
      <c r="F4809" t="s">
        <v>429</v>
      </c>
      <c r="G4809" t="s">
        <v>36</v>
      </c>
      <c r="H4809" t="s">
        <v>43</v>
      </c>
      <c r="I4809" s="187">
        <v>2872.2099609375</v>
      </c>
      <c r="J4809" s="187">
        <v>151.27127075195313</v>
      </c>
      <c r="K4809" s="187">
        <v>1250.1490478515625</v>
      </c>
      <c r="L4809" s="187">
        <v>3037.31103515625</v>
      </c>
      <c r="M4809" s="187">
        <v>7310.94140625</v>
      </c>
      <c r="N4809" s="187">
        <v>5909.52099609375</v>
      </c>
      <c r="O4809" t="s">
        <v>5268</v>
      </c>
    </row>
    <row r="4810" spans="1:15" hidden="1" x14ac:dyDescent="0.45">
      <c r="A4810" s="187">
        <v>2021</v>
      </c>
      <c r="B4810" t="s">
        <v>34</v>
      </c>
      <c r="C4810" t="s">
        <v>325</v>
      </c>
      <c r="D4810" t="s">
        <v>35</v>
      </c>
      <c r="E4810" t="s">
        <v>358</v>
      </c>
      <c r="F4810" t="s">
        <v>429</v>
      </c>
      <c r="G4810" t="s">
        <v>37</v>
      </c>
      <c r="H4810" t="s">
        <v>43</v>
      </c>
      <c r="I4810" s="187">
        <v>2658.2006300000012</v>
      </c>
      <c r="J4810" s="187">
        <v>140</v>
      </c>
      <c r="K4810" s="187">
        <v>1157</v>
      </c>
      <c r="L4810" s="187">
        <v>2811</v>
      </c>
      <c r="M4810" s="187">
        <v>6766.20068359375</v>
      </c>
      <c r="N4810" s="187">
        <v>5469.20068359375</v>
      </c>
      <c r="O4810" t="s">
        <v>5269</v>
      </c>
    </row>
    <row r="4811" spans="1:15" hidden="1" x14ac:dyDescent="0.45">
      <c r="A4811" s="187">
        <v>2021</v>
      </c>
      <c r="B4811" t="s">
        <v>34</v>
      </c>
      <c r="C4811" t="s">
        <v>326</v>
      </c>
      <c r="D4811" t="s">
        <v>337</v>
      </c>
      <c r="E4811" t="s">
        <v>155</v>
      </c>
      <c r="F4811" t="s">
        <v>155</v>
      </c>
      <c r="G4811" t="s">
        <v>453</v>
      </c>
      <c r="H4811" t="s">
        <v>455</v>
      </c>
      <c r="I4811" s="187">
        <v>4917</v>
      </c>
      <c r="J4811" s="187">
        <v>687.5920000000001</v>
      </c>
      <c r="K4811" s="187">
        <v>6149.5719960119177</v>
      </c>
      <c r="L4811" s="187">
        <v>6825.2619999999997</v>
      </c>
      <c r="M4811" s="187">
        <v>18579.42578125</v>
      </c>
      <c r="N4811" s="187">
        <v>11742.26171875</v>
      </c>
      <c r="O4811" t="s">
        <v>5270</v>
      </c>
    </row>
    <row r="4812" spans="1:15" hidden="1" x14ac:dyDescent="0.45">
      <c r="A4812" s="187">
        <v>2021</v>
      </c>
      <c r="B4812" t="s">
        <v>34</v>
      </c>
      <c r="C4812" t="s">
        <v>327</v>
      </c>
      <c r="D4812" t="s">
        <v>337</v>
      </c>
      <c r="E4812" t="s">
        <v>359</v>
      </c>
      <c r="F4812" t="s">
        <v>430</v>
      </c>
      <c r="G4812" t="s">
        <v>453</v>
      </c>
      <c r="H4812" t="s">
        <v>456</v>
      </c>
      <c r="I4812" s="187">
        <v>66501</v>
      </c>
      <c r="J4812" s="187">
        <v>10094</v>
      </c>
      <c r="K4812" s="187">
        <v>112877</v>
      </c>
      <c r="L4812" s="187">
        <v>116472</v>
      </c>
      <c r="M4812" s="187">
        <v>305944</v>
      </c>
      <c r="N4812" s="187">
        <v>182973</v>
      </c>
      <c r="O4812" t="s">
        <v>5271</v>
      </c>
    </row>
    <row r="4813" spans="1:15" hidden="1" x14ac:dyDescent="0.45">
      <c r="A4813" s="187">
        <v>2021</v>
      </c>
      <c r="B4813" t="s">
        <v>34</v>
      </c>
      <c r="C4813" t="s">
        <v>327</v>
      </c>
      <c r="D4813" t="s">
        <v>337</v>
      </c>
      <c r="E4813" t="s">
        <v>360</v>
      </c>
      <c r="F4813" t="s">
        <v>151</v>
      </c>
      <c r="G4813" t="s">
        <v>453</v>
      </c>
      <c r="H4813" t="s">
        <v>457</v>
      </c>
      <c r="I4813" s="187">
        <v>26413.118402739721</v>
      </c>
      <c r="J4813" s="187">
        <v>3453.2669999999998</v>
      </c>
      <c r="K4813" s="187">
        <v>24736.69255068494</v>
      </c>
      <c r="L4813" s="187">
        <v>38485.403271232877</v>
      </c>
      <c r="M4813" s="187">
        <v>93088.484375</v>
      </c>
      <c r="N4813" s="187">
        <v>64898.5234375</v>
      </c>
      <c r="O4813" t="s">
        <v>5272</v>
      </c>
    </row>
    <row r="4814" spans="1:15" hidden="1" x14ac:dyDescent="0.45">
      <c r="A4814" s="187">
        <v>2021</v>
      </c>
      <c r="B4814" t="s">
        <v>34</v>
      </c>
      <c r="C4814" t="s">
        <v>327</v>
      </c>
      <c r="D4814" t="s">
        <v>337</v>
      </c>
      <c r="E4814" t="s">
        <v>360</v>
      </c>
      <c r="F4814" t="s">
        <v>6</v>
      </c>
      <c r="G4814" t="s">
        <v>453</v>
      </c>
      <c r="H4814" t="s">
        <v>454</v>
      </c>
      <c r="I4814" s="187">
        <v>0.83613755108237897</v>
      </c>
      <c r="J4814" s="187">
        <v>0.81585419103321111</v>
      </c>
      <c r="K4814" s="187">
        <v>0.74558110023535107</v>
      </c>
      <c r="L4814" s="187">
        <v>0.77523060058888682</v>
      </c>
      <c r="M4814" s="187">
        <v>0.79320085048675537</v>
      </c>
      <c r="N4814" s="187">
        <v>1.6113681793212891</v>
      </c>
      <c r="O4814" t="s">
        <v>5273</v>
      </c>
    </row>
    <row r="4815" spans="1:15" hidden="1" x14ac:dyDescent="0.45">
      <c r="A4815" s="187">
        <v>2021</v>
      </c>
      <c r="B4815" t="s">
        <v>34</v>
      </c>
      <c r="C4815" t="s">
        <v>327</v>
      </c>
      <c r="D4815" t="s">
        <v>337</v>
      </c>
      <c r="E4815" t="s">
        <v>360</v>
      </c>
      <c r="F4815" t="s">
        <v>152</v>
      </c>
      <c r="G4815" t="s">
        <v>453</v>
      </c>
      <c r="H4815" t="s">
        <v>457</v>
      </c>
      <c r="I4815" s="187">
        <v>35694.870908725898</v>
      </c>
      <c r="J4815" s="187">
        <v>4291.5219999999999</v>
      </c>
      <c r="K4815" s="187">
        <v>45830.909999999989</v>
      </c>
      <c r="L4815" s="187">
        <v>58904.649999999987</v>
      </c>
      <c r="M4815" s="187">
        <v>144721.953125</v>
      </c>
      <c r="N4815" s="187">
        <v>94599.5234375</v>
      </c>
      <c r="O4815" t="s">
        <v>5274</v>
      </c>
    </row>
    <row r="4816" spans="1:15" hidden="1" x14ac:dyDescent="0.45">
      <c r="A4816" s="187">
        <v>2021</v>
      </c>
      <c r="B4816" t="s">
        <v>34</v>
      </c>
      <c r="C4816" t="s">
        <v>327</v>
      </c>
      <c r="D4816" t="s">
        <v>337</v>
      </c>
      <c r="E4816" t="s">
        <v>360</v>
      </c>
      <c r="F4816" t="s">
        <v>153</v>
      </c>
      <c r="G4816" t="s">
        <v>453</v>
      </c>
      <c r="H4816" t="s">
        <v>458</v>
      </c>
      <c r="I4816" s="187">
        <v>960845.51763443032</v>
      </c>
      <c r="J4816" s="187">
        <v>128744.66099999999</v>
      </c>
      <c r="K4816" s="187">
        <v>1009156.122</v>
      </c>
      <c r="L4816" s="187">
        <v>1509999.324</v>
      </c>
      <c r="M4816" s="187">
        <v>3608745.5</v>
      </c>
      <c r="N4816" s="187">
        <v>2470844.75</v>
      </c>
      <c r="O4816" t="s">
        <v>5275</v>
      </c>
    </row>
    <row r="4817" spans="1:15" hidden="1" x14ac:dyDescent="0.45">
      <c r="A4817" s="187">
        <v>2021</v>
      </c>
      <c r="B4817" t="s">
        <v>34</v>
      </c>
      <c r="C4817" t="s">
        <v>327</v>
      </c>
      <c r="D4817" t="s">
        <v>337</v>
      </c>
      <c r="E4817" t="s">
        <v>360</v>
      </c>
      <c r="F4817" t="s">
        <v>432</v>
      </c>
      <c r="G4817" t="s">
        <v>453</v>
      </c>
      <c r="H4817" t="s">
        <v>456</v>
      </c>
      <c r="I4817" s="187">
        <v>0</v>
      </c>
      <c r="J4817" s="187">
        <v>0</v>
      </c>
      <c r="K4817" s="187">
        <v>0</v>
      </c>
      <c r="L4817" s="187">
        <v>0</v>
      </c>
      <c r="M4817" s="187">
        <v>0</v>
      </c>
      <c r="N4817" s="187">
        <v>0</v>
      </c>
      <c r="O4817" t="s">
        <v>5276</v>
      </c>
    </row>
    <row r="4818" spans="1:15" hidden="1" x14ac:dyDescent="0.45">
      <c r="A4818" s="187">
        <v>2021</v>
      </c>
      <c r="B4818" t="s">
        <v>34</v>
      </c>
      <c r="C4818" t="s">
        <v>327</v>
      </c>
      <c r="D4818" t="s">
        <v>337</v>
      </c>
      <c r="E4818" t="s">
        <v>360</v>
      </c>
      <c r="F4818" t="s">
        <v>154</v>
      </c>
      <c r="G4818" t="s">
        <v>453</v>
      </c>
      <c r="H4818" t="s">
        <v>459</v>
      </c>
      <c r="I4818" s="187">
        <v>9640788.2170000002</v>
      </c>
      <c r="J4818" s="187">
        <v>1260442.4550000001</v>
      </c>
      <c r="K4818" s="187">
        <v>9028892.7810000014</v>
      </c>
      <c r="L4818" s="187">
        <v>14047172.194</v>
      </c>
      <c r="M4818" s="187">
        <v>33977296</v>
      </c>
      <c r="N4818" s="187">
        <v>23687960</v>
      </c>
      <c r="O4818" t="s">
        <v>5277</v>
      </c>
    </row>
    <row r="4819" spans="1:15" hidden="1" x14ac:dyDescent="0.45">
      <c r="A4819" s="187">
        <v>2021</v>
      </c>
      <c r="B4819" t="s">
        <v>312</v>
      </c>
      <c r="C4819" t="s">
        <v>328</v>
      </c>
      <c r="D4819" t="s">
        <v>39</v>
      </c>
      <c r="E4819" t="s">
        <v>349</v>
      </c>
      <c r="F4819" t="s">
        <v>349</v>
      </c>
      <c r="G4819" t="s">
        <v>36</v>
      </c>
      <c r="H4819" t="s">
        <v>43</v>
      </c>
      <c r="I4819" s="187">
        <v>0</v>
      </c>
      <c r="J4819" s="187">
        <v>0</v>
      </c>
      <c r="K4819" s="187">
        <v>3506.9604798113514</v>
      </c>
      <c r="L4819" s="187">
        <v>0</v>
      </c>
      <c r="M4819" s="187">
        <v>3506.96044921875</v>
      </c>
      <c r="N4819" s="187">
        <v>0</v>
      </c>
      <c r="O4819" t="s">
        <v>5286</v>
      </c>
    </row>
    <row r="4820" spans="1:15" hidden="1" x14ac:dyDescent="0.45">
      <c r="A4820" s="187">
        <v>2021</v>
      </c>
      <c r="B4820" t="s">
        <v>314</v>
      </c>
      <c r="C4820" t="s">
        <v>328</v>
      </c>
      <c r="D4820" t="s">
        <v>39</v>
      </c>
      <c r="E4820" t="s">
        <v>349</v>
      </c>
      <c r="F4820" t="s">
        <v>349</v>
      </c>
      <c r="G4820" t="s">
        <v>36</v>
      </c>
      <c r="H4820" t="s">
        <v>43</v>
      </c>
      <c r="I4820" s="187">
        <v>0</v>
      </c>
      <c r="J4820" s="187">
        <v>22.192551404189587</v>
      </c>
      <c r="K4820" s="187">
        <v>2958.4807414436023</v>
      </c>
      <c r="L4820" s="187">
        <v>0</v>
      </c>
      <c r="M4820" s="187">
        <v>2980.67333984375</v>
      </c>
      <c r="N4820" s="187">
        <v>0</v>
      </c>
      <c r="O4820" t="s">
        <v>5284</v>
      </c>
    </row>
    <row r="4821" spans="1:15" hidden="1" x14ac:dyDescent="0.45">
      <c r="A4821" s="187">
        <v>2021</v>
      </c>
      <c r="B4821" t="s">
        <v>317</v>
      </c>
      <c r="C4821" t="s">
        <v>328</v>
      </c>
      <c r="D4821" t="s">
        <v>39</v>
      </c>
      <c r="E4821" t="s">
        <v>349</v>
      </c>
      <c r="F4821" t="s">
        <v>349</v>
      </c>
      <c r="G4821" t="s">
        <v>36</v>
      </c>
      <c r="H4821" t="s">
        <v>43</v>
      </c>
      <c r="I4821" s="187">
        <v>0</v>
      </c>
      <c r="J4821" s="187">
        <v>14.63372174704992</v>
      </c>
      <c r="K4821" s="187">
        <v>2536.8864903235226</v>
      </c>
      <c r="L4821" s="187">
        <v>0</v>
      </c>
      <c r="M4821" s="187">
        <v>2551.520263671875</v>
      </c>
      <c r="N4821" s="187">
        <v>0</v>
      </c>
      <c r="O4821" t="s">
        <v>5279</v>
      </c>
    </row>
    <row r="4822" spans="1:15" hidden="1" x14ac:dyDescent="0.45">
      <c r="A4822" s="187">
        <v>2021</v>
      </c>
      <c r="B4822" t="s">
        <v>310</v>
      </c>
      <c r="C4822" t="s">
        <v>328</v>
      </c>
      <c r="D4822" t="s">
        <v>39</v>
      </c>
      <c r="E4822" t="s">
        <v>349</v>
      </c>
      <c r="F4822" t="s">
        <v>349</v>
      </c>
      <c r="G4822" t="s">
        <v>36</v>
      </c>
      <c r="H4822" t="s">
        <v>43</v>
      </c>
      <c r="I4822" s="187"/>
      <c r="J4822" s="187">
        <v>0</v>
      </c>
      <c r="K4822" s="187">
        <v>3579.1396995078699</v>
      </c>
      <c r="L4822" s="187">
        <v>0</v>
      </c>
      <c r="M4822" s="187">
        <v>3579.1396484375</v>
      </c>
      <c r="N4822" s="187">
        <v>0</v>
      </c>
      <c r="O4822" t="s">
        <v>5280</v>
      </c>
    </row>
    <row r="4823" spans="1:15" hidden="1" x14ac:dyDescent="0.45">
      <c r="A4823" s="187">
        <v>2021</v>
      </c>
      <c r="B4823" t="s">
        <v>311</v>
      </c>
      <c r="C4823" t="s">
        <v>328</v>
      </c>
      <c r="D4823" t="s">
        <v>39</v>
      </c>
      <c r="E4823" t="s">
        <v>349</v>
      </c>
      <c r="F4823" t="s">
        <v>349</v>
      </c>
      <c r="G4823" t="s">
        <v>36</v>
      </c>
      <c r="H4823" t="s">
        <v>43</v>
      </c>
      <c r="I4823" s="187"/>
      <c r="J4823" s="187">
        <v>0</v>
      </c>
      <c r="K4823" s="187">
        <v>2810.839540884419</v>
      </c>
      <c r="L4823" s="187">
        <v>0</v>
      </c>
      <c r="M4823" s="187">
        <v>2810.839599609375</v>
      </c>
      <c r="N4823" s="187">
        <v>0</v>
      </c>
      <c r="O4823" t="s">
        <v>5282</v>
      </c>
    </row>
    <row r="4824" spans="1:15" hidden="1" x14ac:dyDescent="0.45">
      <c r="A4824" s="187">
        <v>2021</v>
      </c>
      <c r="B4824" t="s">
        <v>313</v>
      </c>
      <c r="C4824" t="s">
        <v>328</v>
      </c>
      <c r="D4824" t="s">
        <v>39</v>
      </c>
      <c r="E4824" t="s">
        <v>349</v>
      </c>
      <c r="F4824" t="s">
        <v>349</v>
      </c>
      <c r="G4824" t="s">
        <v>36</v>
      </c>
      <c r="H4824" t="s">
        <v>43</v>
      </c>
      <c r="I4824" s="187">
        <v>0</v>
      </c>
      <c r="J4824" s="187">
        <v>0</v>
      </c>
      <c r="K4824" s="187">
        <v>3020.9251930847308</v>
      </c>
      <c r="L4824" s="187">
        <v>0</v>
      </c>
      <c r="M4824" s="187">
        <v>3020.92529296875</v>
      </c>
      <c r="N4824" s="187">
        <v>0</v>
      </c>
      <c r="O4824" t="s">
        <v>5278</v>
      </c>
    </row>
    <row r="4825" spans="1:15" hidden="1" x14ac:dyDescent="0.45">
      <c r="A4825" s="187">
        <v>2021</v>
      </c>
      <c r="B4825" t="s">
        <v>309</v>
      </c>
      <c r="C4825" t="s">
        <v>328</v>
      </c>
      <c r="D4825" t="s">
        <v>39</v>
      </c>
      <c r="E4825" t="s">
        <v>349</v>
      </c>
      <c r="F4825" t="s">
        <v>349</v>
      </c>
      <c r="G4825" t="s">
        <v>36</v>
      </c>
      <c r="H4825" t="s">
        <v>43</v>
      </c>
      <c r="I4825" s="187"/>
      <c r="J4825" s="187">
        <v>0</v>
      </c>
      <c r="K4825" s="187">
        <v>3408.8695993156489</v>
      </c>
      <c r="L4825" s="187">
        <v>0</v>
      </c>
      <c r="M4825" s="187">
        <v>3408.86962890625</v>
      </c>
      <c r="N4825" s="187">
        <v>0</v>
      </c>
      <c r="O4825" t="s">
        <v>5285</v>
      </c>
    </row>
    <row r="4826" spans="1:15" hidden="1" x14ac:dyDescent="0.45">
      <c r="A4826" s="187">
        <v>2021</v>
      </c>
      <c r="B4826" t="s">
        <v>315</v>
      </c>
      <c r="C4826" t="s">
        <v>328</v>
      </c>
      <c r="D4826" t="s">
        <v>39</v>
      </c>
      <c r="E4826" t="s">
        <v>349</v>
      </c>
      <c r="F4826" t="s">
        <v>349</v>
      </c>
      <c r="G4826" t="s">
        <v>36</v>
      </c>
      <c r="H4826" t="s">
        <v>43</v>
      </c>
      <c r="I4826" s="187">
        <v>0</v>
      </c>
      <c r="J4826" s="187">
        <v>21.603009729083823</v>
      </c>
      <c r="K4826" s="187">
        <v>2389.5279251337747</v>
      </c>
      <c r="L4826" s="187">
        <v>0</v>
      </c>
      <c r="M4826" s="187">
        <v>2411.130859375</v>
      </c>
      <c r="N4826" s="187">
        <v>0</v>
      </c>
      <c r="O4826" t="s">
        <v>5281</v>
      </c>
    </row>
    <row r="4827" spans="1:15" hidden="1" x14ac:dyDescent="0.45">
      <c r="A4827" s="187">
        <v>2021</v>
      </c>
      <c r="B4827" t="s">
        <v>316</v>
      </c>
      <c r="C4827" t="s">
        <v>328</v>
      </c>
      <c r="D4827" t="s">
        <v>39</v>
      </c>
      <c r="E4827" t="s">
        <v>349</v>
      </c>
      <c r="F4827" t="s">
        <v>349</v>
      </c>
      <c r="G4827" t="s">
        <v>36</v>
      </c>
      <c r="H4827" t="s">
        <v>43</v>
      </c>
      <c r="I4827" s="187">
        <v>0</v>
      </c>
      <c r="J4827" s="187">
        <v>26.440360977435727</v>
      </c>
      <c r="K4827" s="187">
        <v>2409.609126264495</v>
      </c>
      <c r="L4827" s="187">
        <v>0</v>
      </c>
      <c r="M4827" s="187">
        <v>2436.049560546875</v>
      </c>
      <c r="N4827" s="187">
        <v>0</v>
      </c>
      <c r="O4827" t="s">
        <v>5283</v>
      </c>
    </row>
    <row r="4828" spans="1:15" hidden="1" x14ac:dyDescent="0.45">
      <c r="A4828" s="187">
        <v>2021</v>
      </c>
      <c r="B4828" t="s">
        <v>313</v>
      </c>
      <c r="C4828" t="s">
        <v>328</v>
      </c>
      <c r="D4828" t="s">
        <v>39</v>
      </c>
      <c r="E4828" t="s">
        <v>349</v>
      </c>
      <c r="F4828" t="s">
        <v>349</v>
      </c>
      <c r="G4828" t="s">
        <v>37</v>
      </c>
      <c r="H4828" t="s">
        <v>43</v>
      </c>
      <c r="I4828" s="187">
        <v>0</v>
      </c>
      <c r="J4828" s="187">
        <v>0</v>
      </c>
      <c r="K4828" s="187">
        <v>2852.862716382182</v>
      </c>
      <c r="L4828" s="187">
        <v>0</v>
      </c>
      <c r="M4828" s="187">
        <v>2852.86279296875</v>
      </c>
      <c r="N4828" s="187">
        <v>0</v>
      </c>
      <c r="O4828" t="s">
        <v>5293</v>
      </c>
    </row>
    <row r="4829" spans="1:15" hidden="1" x14ac:dyDescent="0.45">
      <c r="A4829" s="187">
        <v>2021</v>
      </c>
      <c r="B4829" t="s">
        <v>314</v>
      </c>
      <c r="C4829" t="s">
        <v>328</v>
      </c>
      <c r="D4829" t="s">
        <v>39</v>
      </c>
      <c r="E4829" t="s">
        <v>349</v>
      </c>
      <c r="F4829" t="s">
        <v>349</v>
      </c>
      <c r="G4829" t="s">
        <v>37</v>
      </c>
      <c r="H4829" t="s">
        <v>43</v>
      </c>
      <c r="I4829" s="187">
        <v>0</v>
      </c>
      <c r="J4829" s="187">
        <v>21</v>
      </c>
      <c r="K4829" s="187">
        <v>2834.6023886980852</v>
      </c>
      <c r="L4829" s="187">
        <v>0</v>
      </c>
      <c r="M4829" s="187">
        <v>2855.602294921875</v>
      </c>
      <c r="N4829" s="187">
        <v>0</v>
      </c>
      <c r="O4829" t="s">
        <v>5295</v>
      </c>
    </row>
    <row r="4830" spans="1:15" hidden="1" x14ac:dyDescent="0.45">
      <c r="A4830" s="187">
        <v>2021</v>
      </c>
      <c r="B4830" t="s">
        <v>312</v>
      </c>
      <c r="C4830" t="s">
        <v>328</v>
      </c>
      <c r="D4830" t="s">
        <v>39</v>
      </c>
      <c r="E4830" t="s">
        <v>349</v>
      </c>
      <c r="F4830" t="s">
        <v>349</v>
      </c>
      <c r="G4830" t="s">
        <v>37</v>
      </c>
      <c r="H4830" t="s">
        <v>43</v>
      </c>
      <c r="I4830" s="187">
        <v>0</v>
      </c>
      <c r="J4830" s="187">
        <v>0</v>
      </c>
      <c r="K4830" s="187">
        <v>3328.296714379886</v>
      </c>
      <c r="L4830" s="187">
        <v>0</v>
      </c>
      <c r="M4830" s="187">
        <v>3328.296630859375</v>
      </c>
      <c r="N4830" s="187">
        <v>0</v>
      </c>
      <c r="O4830" t="s">
        <v>5292</v>
      </c>
    </row>
    <row r="4831" spans="1:15" hidden="1" x14ac:dyDescent="0.45">
      <c r="A4831" s="187">
        <v>2021</v>
      </c>
      <c r="B4831" t="s">
        <v>315</v>
      </c>
      <c r="C4831" t="s">
        <v>328</v>
      </c>
      <c r="D4831" t="s">
        <v>39</v>
      </c>
      <c r="E4831" t="s">
        <v>349</v>
      </c>
      <c r="F4831" t="s">
        <v>349</v>
      </c>
      <c r="G4831" t="s">
        <v>37</v>
      </c>
      <c r="H4831" t="s">
        <v>43</v>
      </c>
      <c r="I4831" s="187">
        <v>0</v>
      </c>
      <c r="J4831" s="187">
        <v>20</v>
      </c>
      <c r="K4831" s="187">
        <v>2295.5639307371948</v>
      </c>
      <c r="L4831" s="187">
        <v>0</v>
      </c>
      <c r="M4831" s="187">
        <v>2315.56396484375</v>
      </c>
      <c r="N4831" s="187">
        <v>0</v>
      </c>
      <c r="O4831" t="s">
        <v>5288</v>
      </c>
    </row>
    <row r="4832" spans="1:15" hidden="1" x14ac:dyDescent="0.45">
      <c r="A4832" s="187">
        <v>2021</v>
      </c>
      <c r="B4832" t="s">
        <v>316</v>
      </c>
      <c r="C4832" t="s">
        <v>328</v>
      </c>
      <c r="D4832" t="s">
        <v>39</v>
      </c>
      <c r="E4832" t="s">
        <v>349</v>
      </c>
      <c r="F4832" t="s">
        <v>349</v>
      </c>
      <c r="G4832" t="s">
        <v>37</v>
      </c>
      <c r="H4832" t="s">
        <v>43</v>
      </c>
      <c r="I4832" s="187">
        <v>0</v>
      </c>
      <c r="J4832" s="187">
        <v>25</v>
      </c>
      <c r="K4832" s="187">
        <v>2303.5292841963592</v>
      </c>
      <c r="L4832" s="187">
        <v>0</v>
      </c>
      <c r="M4832" s="187">
        <v>2328.529296875</v>
      </c>
      <c r="N4832" s="187">
        <v>0</v>
      </c>
      <c r="O4832" t="s">
        <v>5291</v>
      </c>
    </row>
    <row r="4833" spans="1:15" hidden="1" x14ac:dyDescent="0.45">
      <c r="A4833" s="187">
        <v>2021</v>
      </c>
      <c r="B4833" t="s">
        <v>310</v>
      </c>
      <c r="C4833" t="s">
        <v>328</v>
      </c>
      <c r="D4833" t="s">
        <v>39</v>
      </c>
      <c r="E4833" t="s">
        <v>349</v>
      </c>
      <c r="F4833" t="s">
        <v>349</v>
      </c>
      <c r="G4833" t="s">
        <v>37</v>
      </c>
      <c r="H4833" t="s">
        <v>43</v>
      </c>
      <c r="I4833" s="187"/>
      <c r="J4833" s="187">
        <v>0</v>
      </c>
      <c r="K4833" s="187">
        <v>3531.1834611324462</v>
      </c>
      <c r="L4833" s="187">
        <v>0</v>
      </c>
      <c r="M4833" s="187">
        <v>3531.183349609375</v>
      </c>
      <c r="N4833" s="187">
        <v>0</v>
      </c>
      <c r="O4833" t="s">
        <v>5290</v>
      </c>
    </row>
    <row r="4834" spans="1:15" hidden="1" x14ac:dyDescent="0.45">
      <c r="A4834" s="187">
        <v>2021</v>
      </c>
      <c r="B4834" t="s">
        <v>311</v>
      </c>
      <c r="C4834" t="s">
        <v>328</v>
      </c>
      <c r="D4834" t="s">
        <v>39</v>
      </c>
      <c r="E4834" t="s">
        <v>349</v>
      </c>
      <c r="F4834" t="s">
        <v>349</v>
      </c>
      <c r="G4834" t="s">
        <v>37</v>
      </c>
      <c r="H4834" t="s">
        <v>43</v>
      </c>
      <c r="I4834" s="187"/>
      <c r="J4834" s="187">
        <v>0</v>
      </c>
      <c r="K4834" s="187">
        <v>2697.1538236206752</v>
      </c>
      <c r="L4834" s="187">
        <v>0</v>
      </c>
      <c r="M4834" s="187">
        <v>2697.15380859375</v>
      </c>
      <c r="N4834" s="187">
        <v>0</v>
      </c>
      <c r="O4834" t="s">
        <v>5287</v>
      </c>
    </row>
    <row r="4835" spans="1:15" hidden="1" x14ac:dyDescent="0.45">
      <c r="A4835" s="187">
        <v>2021</v>
      </c>
      <c r="B4835" t="s">
        <v>309</v>
      </c>
      <c r="C4835" t="s">
        <v>328</v>
      </c>
      <c r="D4835" t="s">
        <v>39</v>
      </c>
      <c r="E4835" t="s">
        <v>349</v>
      </c>
      <c r="F4835" t="s">
        <v>349</v>
      </c>
      <c r="G4835" t="s">
        <v>37</v>
      </c>
      <c r="H4835" t="s">
        <v>43</v>
      </c>
      <c r="I4835" s="187"/>
      <c r="J4835" s="187">
        <v>0</v>
      </c>
      <c r="K4835" s="187">
        <v>3418.7314482576699</v>
      </c>
      <c r="L4835" s="187">
        <v>0</v>
      </c>
      <c r="M4835" s="187">
        <v>3418.7314453125</v>
      </c>
      <c r="N4835" s="187">
        <v>0</v>
      </c>
      <c r="O4835" t="s">
        <v>5289</v>
      </c>
    </row>
    <row r="4836" spans="1:15" hidden="1" x14ac:dyDescent="0.45">
      <c r="A4836" s="187">
        <v>2021</v>
      </c>
      <c r="B4836" t="s">
        <v>317</v>
      </c>
      <c r="C4836" t="s">
        <v>328</v>
      </c>
      <c r="D4836" t="s">
        <v>39</v>
      </c>
      <c r="E4836" t="s">
        <v>349</v>
      </c>
      <c r="F4836" t="s">
        <v>349</v>
      </c>
      <c r="G4836" t="s">
        <v>37</v>
      </c>
      <c r="H4836" t="s">
        <v>43</v>
      </c>
      <c r="I4836" s="187">
        <v>0</v>
      </c>
      <c r="J4836" s="187">
        <v>14</v>
      </c>
      <c r="K4836" s="187">
        <v>2427.0251600000001</v>
      </c>
      <c r="L4836" s="187">
        <v>0</v>
      </c>
      <c r="M4836" s="187">
        <v>2441.025146484375</v>
      </c>
      <c r="N4836" s="187">
        <v>0</v>
      </c>
      <c r="O4836" t="s">
        <v>5294</v>
      </c>
    </row>
    <row r="4837" spans="1:15" hidden="1" x14ac:dyDescent="0.45">
      <c r="A4837" s="187">
        <v>2021</v>
      </c>
      <c r="B4837" t="s">
        <v>315</v>
      </c>
      <c r="C4837" t="s">
        <v>328</v>
      </c>
      <c r="D4837" t="s">
        <v>39</v>
      </c>
      <c r="E4837" t="s">
        <v>21</v>
      </c>
      <c r="F4837" t="s">
        <v>21</v>
      </c>
      <c r="G4837" t="s">
        <v>36</v>
      </c>
      <c r="H4837" t="s">
        <v>43</v>
      </c>
      <c r="I4837" s="187">
        <v>1906.4656085916472</v>
      </c>
      <c r="J4837" s="187">
        <v>1069.3489815896492</v>
      </c>
      <c r="K4837" s="187">
        <v>6807.002514373522</v>
      </c>
      <c r="L4837" s="187">
        <v>5191.2032378988424</v>
      </c>
      <c r="M4837" s="187">
        <v>14974.0205078125</v>
      </c>
      <c r="N4837" s="187">
        <v>7097.6689453125</v>
      </c>
      <c r="O4837" t="s">
        <v>5303</v>
      </c>
    </row>
    <row r="4838" spans="1:15" hidden="1" x14ac:dyDescent="0.45">
      <c r="A4838" s="187">
        <v>2021</v>
      </c>
      <c r="B4838" t="s">
        <v>311</v>
      </c>
      <c r="C4838" t="s">
        <v>328</v>
      </c>
      <c r="D4838" t="s">
        <v>39</v>
      </c>
      <c r="E4838" t="s">
        <v>21</v>
      </c>
      <c r="F4838" t="s">
        <v>21</v>
      </c>
      <c r="G4838" t="s">
        <v>36</v>
      </c>
      <c r="H4838" t="s">
        <v>43</v>
      </c>
      <c r="I4838" s="187"/>
      <c r="J4838" s="187">
        <v>891.27375513324205</v>
      </c>
      <c r="K4838" s="187">
        <v>7610.0855222155797</v>
      </c>
      <c r="L4838" s="187">
        <v>647.77543510337591</v>
      </c>
      <c r="M4838" s="187">
        <v>9149.134765625</v>
      </c>
      <c r="N4838" s="187">
        <v>647.77545166015625</v>
      </c>
      <c r="O4838" t="s">
        <v>5302</v>
      </c>
    </row>
    <row r="4839" spans="1:15" hidden="1" x14ac:dyDescent="0.45">
      <c r="A4839" s="187">
        <v>2021</v>
      </c>
      <c r="B4839" t="s">
        <v>309</v>
      </c>
      <c r="C4839" t="s">
        <v>328</v>
      </c>
      <c r="D4839" t="s">
        <v>39</v>
      </c>
      <c r="E4839" t="s">
        <v>21</v>
      </c>
      <c r="F4839" t="s">
        <v>21</v>
      </c>
      <c r="G4839" t="s">
        <v>36</v>
      </c>
      <c r="H4839" t="s">
        <v>43</v>
      </c>
      <c r="I4839" s="187"/>
      <c r="J4839" s="187">
        <v>1033.8771229798922</v>
      </c>
      <c r="K4839" s="187">
        <v>7710.6285691099256</v>
      </c>
      <c r="L4839" s="187">
        <v>10187.50118991592</v>
      </c>
      <c r="M4839" s="187">
        <v>18932.0078125</v>
      </c>
      <c r="N4839" s="187">
        <v>10187.5009765625</v>
      </c>
      <c r="O4839" t="s">
        <v>5296</v>
      </c>
    </row>
    <row r="4840" spans="1:15" hidden="1" x14ac:dyDescent="0.45">
      <c r="A4840" s="187">
        <v>2021</v>
      </c>
      <c r="B4840" t="s">
        <v>313</v>
      </c>
      <c r="C4840" t="s">
        <v>328</v>
      </c>
      <c r="D4840" t="s">
        <v>39</v>
      </c>
      <c r="E4840" t="s">
        <v>21</v>
      </c>
      <c r="F4840" t="s">
        <v>21</v>
      </c>
      <c r="G4840" t="s">
        <v>36</v>
      </c>
      <c r="H4840" t="s">
        <v>43</v>
      </c>
      <c r="I4840" s="187">
        <v>1940.0044612941792</v>
      </c>
      <c r="J4840" s="187">
        <v>912.85735991632748</v>
      </c>
      <c r="K4840" s="187">
        <v>7403.3140210055917</v>
      </c>
      <c r="L4840" s="187">
        <v>5323.0994800120843</v>
      </c>
      <c r="M4840" s="187">
        <v>15579.275390625</v>
      </c>
      <c r="N4840" s="187">
        <v>7263.10400390625</v>
      </c>
      <c r="O4840" t="s">
        <v>5298</v>
      </c>
    </row>
    <row r="4841" spans="1:15" hidden="1" x14ac:dyDescent="0.45">
      <c r="A4841" s="187">
        <v>2021</v>
      </c>
      <c r="B4841" t="s">
        <v>317</v>
      </c>
      <c r="C4841" t="s">
        <v>328</v>
      </c>
      <c r="D4841" t="s">
        <v>39</v>
      </c>
      <c r="E4841" t="s">
        <v>21</v>
      </c>
      <c r="F4841" t="s">
        <v>21</v>
      </c>
      <c r="G4841" t="s">
        <v>36</v>
      </c>
      <c r="H4841" t="s">
        <v>43</v>
      </c>
      <c r="I4841" s="187">
        <v>3081.4436935930835</v>
      </c>
      <c r="J4841" s="187">
        <v>1229.2326267521933</v>
      </c>
      <c r="K4841" s="187">
        <v>7894.4929330483219</v>
      </c>
      <c r="L4841" s="187">
        <v>5124.9384089846972</v>
      </c>
      <c r="M4841" s="187">
        <v>17330.107421875</v>
      </c>
      <c r="N4841" s="187">
        <v>8206.3818359375</v>
      </c>
      <c r="O4841" t="s">
        <v>5300</v>
      </c>
    </row>
    <row r="4842" spans="1:15" hidden="1" x14ac:dyDescent="0.45">
      <c r="A4842" s="187">
        <v>2021</v>
      </c>
      <c r="B4842" t="s">
        <v>312</v>
      </c>
      <c r="C4842" t="s">
        <v>328</v>
      </c>
      <c r="D4842" t="s">
        <v>39</v>
      </c>
      <c r="E4842" t="s">
        <v>21</v>
      </c>
      <c r="F4842" t="s">
        <v>21</v>
      </c>
      <c r="G4842" t="s">
        <v>36</v>
      </c>
      <c r="H4842" t="s">
        <v>43</v>
      </c>
      <c r="I4842" s="187">
        <v>1901.6232069035862</v>
      </c>
      <c r="J4842" s="187">
        <v>887.21672074134676</v>
      </c>
      <c r="K4842" s="187">
        <v>7740.5966397189914</v>
      </c>
      <c r="L4842" s="187">
        <v>5028.7211779535683</v>
      </c>
      <c r="M4842" s="187">
        <v>15558.1572265625</v>
      </c>
      <c r="N4842" s="187">
        <v>6930.34423828125</v>
      </c>
      <c r="O4842" t="s">
        <v>5297</v>
      </c>
    </row>
    <row r="4843" spans="1:15" hidden="1" x14ac:dyDescent="0.45">
      <c r="A4843" s="187">
        <v>2021</v>
      </c>
      <c r="B4843" t="s">
        <v>310</v>
      </c>
      <c r="C4843" t="s">
        <v>328</v>
      </c>
      <c r="D4843" t="s">
        <v>39</v>
      </c>
      <c r="E4843" t="s">
        <v>21</v>
      </c>
      <c r="F4843" t="s">
        <v>21</v>
      </c>
      <c r="G4843" t="s">
        <v>36</v>
      </c>
      <c r="H4843" t="s">
        <v>43</v>
      </c>
      <c r="I4843" s="187"/>
      <c r="J4843" s="187">
        <v>1039.1238095670417</v>
      </c>
      <c r="K4843" s="187">
        <v>7598.9595581503854</v>
      </c>
      <c r="L4843" s="187">
        <v>9421.6878950891751</v>
      </c>
      <c r="M4843" s="187">
        <v>18059.771484375</v>
      </c>
      <c r="N4843" s="187">
        <v>9421.6875</v>
      </c>
      <c r="O4843" t="s">
        <v>5301</v>
      </c>
    </row>
    <row r="4844" spans="1:15" hidden="1" x14ac:dyDescent="0.45">
      <c r="A4844" s="187">
        <v>2021</v>
      </c>
      <c r="B4844" t="s">
        <v>316</v>
      </c>
      <c r="C4844" t="s">
        <v>328</v>
      </c>
      <c r="D4844" t="s">
        <v>39</v>
      </c>
      <c r="E4844" t="s">
        <v>21</v>
      </c>
      <c r="F4844" t="s">
        <v>21</v>
      </c>
      <c r="G4844" t="s">
        <v>36</v>
      </c>
      <c r="H4844" t="s">
        <v>43</v>
      </c>
      <c r="I4844" s="187">
        <v>3117.8522850700328</v>
      </c>
      <c r="J4844" s="187">
        <v>1327.3061210672736</v>
      </c>
      <c r="K4844" s="187">
        <v>6989.750846645109</v>
      </c>
      <c r="L4844" s="187">
        <v>5255.2861478751247</v>
      </c>
      <c r="M4844" s="187">
        <v>16690.1953125</v>
      </c>
      <c r="N4844" s="187">
        <v>8373.138671875</v>
      </c>
      <c r="O4844" t="s">
        <v>5304</v>
      </c>
    </row>
    <row r="4845" spans="1:15" hidden="1" x14ac:dyDescent="0.45">
      <c r="A4845" s="187">
        <v>2021</v>
      </c>
      <c r="B4845" t="s">
        <v>314</v>
      </c>
      <c r="C4845" t="s">
        <v>328</v>
      </c>
      <c r="D4845" t="s">
        <v>39</v>
      </c>
      <c r="E4845" t="s">
        <v>21</v>
      </c>
      <c r="F4845" t="s">
        <v>21</v>
      </c>
      <c r="G4845" t="s">
        <v>36</v>
      </c>
      <c r="H4845" t="s">
        <v>43</v>
      </c>
      <c r="I4845" s="187">
        <v>1958.4926614197309</v>
      </c>
      <c r="J4845" s="187">
        <v>909.89460757177301</v>
      </c>
      <c r="K4845" s="187">
        <v>6158.9036402516358</v>
      </c>
      <c r="L4845" s="187">
        <v>5066.5594855764821</v>
      </c>
      <c r="M4845" s="187">
        <v>14093.8505859375</v>
      </c>
      <c r="N4845" s="187">
        <v>7025.05224609375</v>
      </c>
      <c r="O4845" t="s">
        <v>5299</v>
      </c>
    </row>
    <row r="4846" spans="1:15" hidden="1" x14ac:dyDescent="0.45">
      <c r="A4846" s="187">
        <v>2021</v>
      </c>
      <c r="B4846" t="s">
        <v>311</v>
      </c>
      <c r="C4846" t="s">
        <v>328</v>
      </c>
      <c r="D4846" t="s">
        <v>39</v>
      </c>
      <c r="E4846" t="s">
        <v>21</v>
      </c>
      <c r="F4846" t="s">
        <v>21</v>
      </c>
      <c r="G4846" t="s">
        <v>37</v>
      </c>
      <c r="H4846" t="s">
        <v>43</v>
      </c>
      <c r="I4846" s="187"/>
      <c r="J4846" s="187">
        <v>862</v>
      </c>
      <c r="K4846" s="187">
        <v>7302.2920610636529</v>
      </c>
      <c r="L4846" s="187">
        <v>652</v>
      </c>
      <c r="M4846" s="187">
        <v>8816.2919921875</v>
      </c>
      <c r="N4846" s="187">
        <v>652</v>
      </c>
      <c r="O4846" t="s">
        <v>5309</v>
      </c>
    </row>
    <row r="4847" spans="1:15" hidden="1" x14ac:dyDescent="0.45">
      <c r="A4847" s="187">
        <v>2021</v>
      </c>
      <c r="B4847" t="s">
        <v>316</v>
      </c>
      <c r="C4847" t="s">
        <v>328</v>
      </c>
      <c r="D4847" t="s">
        <v>39</v>
      </c>
      <c r="E4847" t="s">
        <v>21</v>
      </c>
      <c r="F4847" t="s">
        <v>21</v>
      </c>
      <c r="G4847" t="s">
        <v>37</v>
      </c>
      <c r="H4847" t="s">
        <v>43</v>
      </c>
      <c r="I4847" s="187">
        <v>3007.2595441437102</v>
      </c>
      <c r="J4847" s="187">
        <v>1255</v>
      </c>
      <c r="K4847" s="187">
        <v>6682.0363472992349</v>
      </c>
      <c r="L4847" s="187">
        <v>5085</v>
      </c>
      <c r="M4847" s="187">
        <v>16029.2958984375</v>
      </c>
      <c r="N4847" s="187">
        <v>8092.259765625</v>
      </c>
      <c r="O4847" t="s">
        <v>5311</v>
      </c>
    </row>
    <row r="4848" spans="1:15" hidden="1" x14ac:dyDescent="0.45">
      <c r="A4848" s="187">
        <v>2021</v>
      </c>
      <c r="B4848" t="s">
        <v>313</v>
      </c>
      <c r="C4848" t="s">
        <v>328</v>
      </c>
      <c r="D4848" t="s">
        <v>39</v>
      </c>
      <c r="E4848" t="s">
        <v>21</v>
      </c>
      <c r="F4848" t="s">
        <v>21</v>
      </c>
      <c r="G4848" t="s">
        <v>37</v>
      </c>
      <c r="H4848" t="s">
        <v>43</v>
      </c>
      <c r="I4848" s="187">
        <v>1836.516816028133</v>
      </c>
      <c r="J4848" s="187">
        <v>866</v>
      </c>
      <c r="K4848" s="187">
        <v>6991.4470562012111</v>
      </c>
      <c r="L4848" s="187">
        <v>5057</v>
      </c>
      <c r="M4848" s="187">
        <v>14750.9638671875</v>
      </c>
      <c r="N4848" s="187">
        <v>6893.5166015625</v>
      </c>
      <c r="O4848" t="s">
        <v>5308</v>
      </c>
    </row>
    <row r="4849" spans="1:15" hidden="1" x14ac:dyDescent="0.45">
      <c r="A4849" s="187">
        <v>2021</v>
      </c>
      <c r="B4849" t="s">
        <v>315</v>
      </c>
      <c r="C4849" t="s">
        <v>328</v>
      </c>
      <c r="D4849" t="s">
        <v>39</v>
      </c>
      <c r="E4849" t="s">
        <v>21</v>
      </c>
      <c r="F4849" t="s">
        <v>21</v>
      </c>
      <c r="G4849" t="s">
        <v>37</v>
      </c>
      <c r="H4849" t="s">
        <v>43</v>
      </c>
      <c r="I4849" s="187">
        <v>1836.66607765</v>
      </c>
      <c r="J4849" s="187">
        <v>1010</v>
      </c>
      <c r="K4849" s="187">
        <v>6539.3290800560344</v>
      </c>
      <c r="L4849" s="187">
        <v>5046</v>
      </c>
      <c r="M4849" s="187">
        <v>14431.9951171875</v>
      </c>
      <c r="N4849" s="187">
        <v>6882.666015625</v>
      </c>
      <c r="O4849" t="s">
        <v>5312</v>
      </c>
    </row>
    <row r="4850" spans="1:15" hidden="1" x14ac:dyDescent="0.45">
      <c r="A4850" s="187">
        <v>2021</v>
      </c>
      <c r="B4850" t="s">
        <v>309</v>
      </c>
      <c r="C4850" t="s">
        <v>328</v>
      </c>
      <c r="D4850" t="s">
        <v>39</v>
      </c>
      <c r="E4850" t="s">
        <v>21</v>
      </c>
      <c r="F4850" t="s">
        <v>21</v>
      </c>
      <c r="G4850" t="s">
        <v>37</v>
      </c>
      <c r="H4850" t="s">
        <v>43</v>
      </c>
      <c r="I4850" s="187"/>
      <c r="J4850" s="187">
        <v>1009.7444</v>
      </c>
      <c r="K4850" s="187">
        <v>7732.9353931116011</v>
      </c>
      <c r="L4850" s="187">
        <v>10685</v>
      </c>
      <c r="M4850" s="187">
        <v>19427.6796875</v>
      </c>
      <c r="N4850" s="187">
        <v>10685</v>
      </c>
      <c r="O4850" t="s">
        <v>5306</v>
      </c>
    </row>
    <row r="4851" spans="1:15" hidden="1" x14ac:dyDescent="0.45">
      <c r="A4851" s="187">
        <v>2021</v>
      </c>
      <c r="B4851" t="s">
        <v>312</v>
      </c>
      <c r="C4851" t="s">
        <v>328</v>
      </c>
      <c r="D4851" t="s">
        <v>39</v>
      </c>
      <c r="E4851" t="s">
        <v>21</v>
      </c>
      <c r="F4851" t="s">
        <v>21</v>
      </c>
      <c r="G4851" t="s">
        <v>37</v>
      </c>
      <c r="H4851" t="s">
        <v>43</v>
      </c>
      <c r="I4851" s="187">
        <v>1780.0301675584251</v>
      </c>
      <c r="J4851" s="187">
        <v>845</v>
      </c>
      <c r="K4851" s="187">
        <v>7346.2482715809138</v>
      </c>
      <c r="L4851" s="187">
        <v>4771</v>
      </c>
      <c r="M4851" s="187">
        <v>14742.2783203125</v>
      </c>
      <c r="N4851" s="187">
        <v>6551.0302734375</v>
      </c>
      <c r="O4851" t="s">
        <v>5307</v>
      </c>
    </row>
    <row r="4852" spans="1:15" hidden="1" x14ac:dyDescent="0.45">
      <c r="A4852" s="187">
        <v>2021</v>
      </c>
      <c r="B4852" t="s">
        <v>314</v>
      </c>
      <c r="C4852" t="s">
        <v>328</v>
      </c>
      <c r="D4852" t="s">
        <v>39</v>
      </c>
      <c r="E4852" t="s">
        <v>21</v>
      </c>
      <c r="F4852" t="s">
        <v>21</v>
      </c>
      <c r="G4852" t="s">
        <v>37</v>
      </c>
      <c r="H4852" t="s">
        <v>43</v>
      </c>
      <c r="I4852" s="187">
        <v>1873.9503990262949</v>
      </c>
      <c r="J4852" s="187">
        <v>870</v>
      </c>
      <c r="K4852" s="187">
        <v>5901.0162634690314</v>
      </c>
      <c r="L4852" s="187">
        <v>5035</v>
      </c>
      <c r="M4852" s="187">
        <v>13679.966796875</v>
      </c>
      <c r="N4852" s="187">
        <v>6908.9501953125</v>
      </c>
      <c r="O4852" t="s">
        <v>5310</v>
      </c>
    </row>
    <row r="4853" spans="1:15" hidden="1" x14ac:dyDescent="0.45">
      <c r="A4853" s="187">
        <v>2021</v>
      </c>
      <c r="B4853" t="s">
        <v>317</v>
      </c>
      <c r="C4853" t="s">
        <v>328</v>
      </c>
      <c r="D4853" t="s">
        <v>39</v>
      </c>
      <c r="E4853" t="s">
        <v>21</v>
      </c>
      <c r="F4853" t="s">
        <v>21</v>
      </c>
      <c r="G4853" t="s">
        <v>37</v>
      </c>
      <c r="H4853" t="s">
        <v>43</v>
      </c>
      <c r="I4853" s="187">
        <v>2948</v>
      </c>
      <c r="J4853" s="187">
        <v>1176</v>
      </c>
      <c r="K4853" s="187">
        <v>7552.6173705576521</v>
      </c>
      <c r="L4853" s="187">
        <v>4903</v>
      </c>
      <c r="M4853" s="187">
        <v>16579.6171875</v>
      </c>
      <c r="N4853" s="187">
        <v>7851</v>
      </c>
      <c r="O4853" t="s">
        <v>5305</v>
      </c>
    </row>
    <row r="4854" spans="1:15" hidden="1" x14ac:dyDescent="0.45">
      <c r="A4854" s="187">
        <v>2021</v>
      </c>
      <c r="B4854" t="s">
        <v>310</v>
      </c>
      <c r="C4854" t="s">
        <v>328</v>
      </c>
      <c r="D4854" t="s">
        <v>39</v>
      </c>
      <c r="E4854" t="s">
        <v>21</v>
      </c>
      <c r="F4854" t="s">
        <v>21</v>
      </c>
      <c r="G4854" t="s">
        <v>37</v>
      </c>
      <c r="H4854" t="s">
        <v>43</v>
      </c>
      <c r="I4854" s="187"/>
      <c r="J4854" s="187">
        <v>1024</v>
      </c>
      <c r="K4854" s="187">
        <v>7497.142488527209</v>
      </c>
      <c r="L4854" s="187">
        <v>9680</v>
      </c>
      <c r="M4854" s="187">
        <v>18201.142578125</v>
      </c>
      <c r="N4854" s="187">
        <v>9680</v>
      </c>
      <c r="O4854" t="s">
        <v>5313</v>
      </c>
    </row>
    <row r="4855" spans="1:15" hidden="1" x14ac:dyDescent="0.45">
      <c r="A4855" s="187">
        <v>2021</v>
      </c>
      <c r="B4855" t="s">
        <v>313</v>
      </c>
      <c r="C4855" t="s">
        <v>328</v>
      </c>
      <c r="D4855" t="s">
        <v>39</v>
      </c>
      <c r="E4855" t="s">
        <v>352</v>
      </c>
      <c r="F4855" t="s">
        <v>433</v>
      </c>
      <c r="G4855" t="s">
        <v>36</v>
      </c>
      <c r="H4855" t="s">
        <v>43</v>
      </c>
      <c r="I4855" s="187"/>
      <c r="J4855" s="187">
        <v>182.5714719832655</v>
      </c>
      <c r="K4855" s="187">
        <v>146.65738130075738</v>
      </c>
      <c r="L4855" s="187">
        <v>271.57506457510743</v>
      </c>
      <c r="M4855" s="187">
        <v>600.80389404296875</v>
      </c>
      <c r="N4855" s="187">
        <v>271.5750732421875</v>
      </c>
      <c r="O4855" t="s">
        <v>5320</v>
      </c>
    </row>
    <row r="4856" spans="1:15" hidden="1" x14ac:dyDescent="0.45">
      <c r="A4856" s="187">
        <v>2021</v>
      </c>
      <c r="B4856" t="s">
        <v>310</v>
      </c>
      <c r="C4856" t="s">
        <v>328</v>
      </c>
      <c r="D4856" t="s">
        <v>39</v>
      </c>
      <c r="E4856" t="s">
        <v>352</v>
      </c>
      <c r="F4856" t="s">
        <v>433</v>
      </c>
      <c r="G4856" t="s">
        <v>36</v>
      </c>
      <c r="H4856" t="s">
        <v>43</v>
      </c>
      <c r="I4856" s="187"/>
      <c r="J4856" s="187">
        <v>251.32294012954995</v>
      </c>
      <c r="K4856" s="187">
        <v>452.12412457352247</v>
      </c>
      <c r="L4856" s="187">
        <v>310.93907941609439</v>
      </c>
      <c r="M4856" s="187">
        <v>1014.3861694335938</v>
      </c>
      <c r="N4856" s="187">
        <v>310.9390869140625</v>
      </c>
      <c r="O4856" t="s">
        <v>5314</v>
      </c>
    </row>
    <row r="4857" spans="1:15" hidden="1" x14ac:dyDescent="0.45">
      <c r="A4857" s="187">
        <v>2021</v>
      </c>
      <c r="B4857" t="s">
        <v>312</v>
      </c>
      <c r="C4857" t="s">
        <v>328</v>
      </c>
      <c r="D4857" t="s">
        <v>39</v>
      </c>
      <c r="E4857" t="s">
        <v>352</v>
      </c>
      <c r="F4857" t="s">
        <v>433</v>
      </c>
      <c r="G4857" t="s">
        <v>36</v>
      </c>
      <c r="H4857" t="s">
        <v>43</v>
      </c>
      <c r="I4857" s="187"/>
      <c r="J4857" s="187">
        <v>197.15927127585482</v>
      </c>
      <c r="K4857" s="187">
        <v>150.58213307756304</v>
      </c>
      <c r="L4857" s="187">
        <v>227.31304217686792</v>
      </c>
      <c r="M4857" s="187">
        <v>575.054443359375</v>
      </c>
      <c r="N4857" s="187">
        <v>227.31304931640625</v>
      </c>
      <c r="O4857" t="s">
        <v>5319</v>
      </c>
    </row>
    <row r="4858" spans="1:15" hidden="1" x14ac:dyDescent="0.45">
      <c r="A4858" s="187">
        <v>2021</v>
      </c>
      <c r="B4858" t="s">
        <v>316</v>
      </c>
      <c r="C4858" t="s">
        <v>328</v>
      </c>
      <c r="D4858" t="s">
        <v>39</v>
      </c>
      <c r="E4858" t="s">
        <v>352</v>
      </c>
      <c r="F4858" t="s">
        <v>433</v>
      </c>
      <c r="G4858" t="s">
        <v>36</v>
      </c>
      <c r="H4858" t="s">
        <v>43</v>
      </c>
      <c r="I4858" s="187"/>
      <c r="J4858" s="187">
        <v>301.42011514276726</v>
      </c>
      <c r="K4858" s="187">
        <v>108.93704416192978</v>
      </c>
      <c r="L4858" s="187">
        <v>266.51883865255212</v>
      </c>
      <c r="M4858" s="187">
        <v>676.8759765625</v>
      </c>
      <c r="N4858" s="187">
        <v>266.51882934570313</v>
      </c>
      <c r="O4858" t="s">
        <v>5322</v>
      </c>
    </row>
    <row r="4859" spans="1:15" hidden="1" x14ac:dyDescent="0.45">
      <c r="A4859" s="187">
        <v>2021</v>
      </c>
      <c r="B4859" t="s">
        <v>309</v>
      </c>
      <c r="C4859" t="s">
        <v>328</v>
      </c>
      <c r="D4859" t="s">
        <v>39</v>
      </c>
      <c r="E4859" t="s">
        <v>352</v>
      </c>
      <c r="F4859" t="s">
        <v>433</v>
      </c>
      <c r="G4859" t="s">
        <v>36</v>
      </c>
      <c r="H4859" t="s">
        <v>43</v>
      </c>
      <c r="I4859" s="187"/>
      <c r="J4859" s="187">
        <v>185.812017494082</v>
      </c>
      <c r="K4859" s="187">
        <v>438.80012292942837</v>
      </c>
      <c r="L4859" s="187">
        <v>315.64220920469057</v>
      </c>
      <c r="M4859" s="187">
        <v>940.25433349609375</v>
      </c>
      <c r="N4859" s="187">
        <v>315.6422119140625</v>
      </c>
      <c r="O4859" t="s">
        <v>5318</v>
      </c>
    </row>
    <row r="4860" spans="1:15" hidden="1" x14ac:dyDescent="0.45">
      <c r="A4860" s="187">
        <v>2021</v>
      </c>
      <c r="B4860" t="s">
        <v>311</v>
      </c>
      <c r="C4860" t="s">
        <v>328</v>
      </c>
      <c r="D4860" t="s">
        <v>39</v>
      </c>
      <c r="E4860" t="s">
        <v>352</v>
      </c>
      <c r="F4860" t="s">
        <v>433</v>
      </c>
      <c r="G4860" t="s">
        <v>36</v>
      </c>
      <c r="H4860" t="s">
        <v>43</v>
      </c>
      <c r="I4860" s="187"/>
      <c r="J4860" s="187">
        <v>233.0127464400633</v>
      </c>
      <c r="K4860" s="187">
        <v>162.88639533519404</v>
      </c>
      <c r="L4860" s="187">
        <v>259.80921228067058</v>
      </c>
      <c r="M4860" s="187">
        <v>655.7083740234375</v>
      </c>
      <c r="N4860" s="187">
        <v>259.8092041015625</v>
      </c>
      <c r="O4860" t="s">
        <v>5317</v>
      </c>
    </row>
    <row r="4861" spans="1:15" hidden="1" x14ac:dyDescent="0.45">
      <c r="A4861" s="187">
        <v>2021</v>
      </c>
      <c r="B4861" t="s">
        <v>315</v>
      </c>
      <c r="C4861" t="s">
        <v>328</v>
      </c>
      <c r="D4861" t="s">
        <v>39</v>
      </c>
      <c r="E4861" t="s">
        <v>352</v>
      </c>
      <c r="F4861" t="s">
        <v>433</v>
      </c>
      <c r="G4861" t="s">
        <v>36</v>
      </c>
      <c r="H4861" t="s">
        <v>43</v>
      </c>
      <c r="I4861" s="187">
        <v>0</v>
      </c>
      <c r="J4861" s="187">
        <v>194.4270875617544</v>
      </c>
      <c r="K4861" s="187">
        <v>105.46487306896471</v>
      </c>
      <c r="L4861" s="187">
        <v>240.87355847928461</v>
      </c>
      <c r="M4861" s="187">
        <v>540.7655029296875</v>
      </c>
      <c r="N4861" s="187">
        <v>240.87356567382813</v>
      </c>
      <c r="O4861" t="s">
        <v>5315</v>
      </c>
    </row>
    <row r="4862" spans="1:15" hidden="1" x14ac:dyDescent="0.45">
      <c r="A4862" s="187">
        <v>2021</v>
      </c>
      <c r="B4862" t="s">
        <v>317</v>
      </c>
      <c r="C4862" t="s">
        <v>328</v>
      </c>
      <c r="D4862" t="s">
        <v>39</v>
      </c>
      <c r="E4862" t="s">
        <v>352</v>
      </c>
      <c r="F4862" t="s">
        <v>433</v>
      </c>
      <c r="G4862" t="s">
        <v>36</v>
      </c>
      <c r="H4862" t="s">
        <v>43</v>
      </c>
      <c r="I4862" s="187"/>
      <c r="J4862" s="187">
        <v>343.89246105567315</v>
      </c>
      <c r="K4862" s="187">
        <v>75.568363796050861</v>
      </c>
      <c r="L4862" s="187">
        <v>312.53448588342332</v>
      </c>
      <c r="M4862" s="187">
        <v>731.99530029296875</v>
      </c>
      <c r="N4862" s="187">
        <v>312.53448486328125</v>
      </c>
      <c r="O4862" t="s">
        <v>5316</v>
      </c>
    </row>
    <row r="4863" spans="1:15" hidden="1" x14ac:dyDescent="0.45">
      <c r="A4863" s="187">
        <v>2021</v>
      </c>
      <c r="B4863" t="s">
        <v>314</v>
      </c>
      <c r="C4863" t="s">
        <v>328</v>
      </c>
      <c r="D4863" t="s">
        <v>39</v>
      </c>
      <c r="E4863" t="s">
        <v>352</v>
      </c>
      <c r="F4863" t="s">
        <v>433</v>
      </c>
      <c r="G4863" t="s">
        <v>36</v>
      </c>
      <c r="H4863" t="s">
        <v>43</v>
      </c>
      <c r="I4863" s="187">
        <v>0</v>
      </c>
      <c r="J4863" s="187">
        <v>210.82923833980107</v>
      </c>
      <c r="K4863" s="187">
        <v>107.13898041400607</v>
      </c>
      <c r="L4863" s="187">
        <v>88.770205616758346</v>
      </c>
      <c r="M4863" s="187">
        <v>406.73843383789063</v>
      </c>
      <c r="N4863" s="187">
        <v>88.77020263671875</v>
      </c>
      <c r="O4863" t="s">
        <v>5321</v>
      </c>
    </row>
    <row r="4864" spans="1:15" hidden="1" x14ac:dyDescent="0.45">
      <c r="A4864" s="187">
        <v>2021</v>
      </c>
      <c r="B4864" t="s">
        <v>315</v>
      </c>
      <c r="C4864" t="s">
        <v>328</v>
      </c>
      <c r="D4864" t="s">
        <v>39</v>
      </c>
      <c r="E4864" t="s">
        <v>352</v>
      </c>
      <c r="F4864" t="s">
        <v>361</v>
      </c>
      <c r="G4864" t="s">
        <v>36</v>
      </c>
      <c r="H4864" t="s">
        <v>43</v>
      </c>
      <c r="I4864" s="187"/>
      <c r="J4864" s="187">
        <v>0</v>
      </c>
      <c r="K4864" s="187">
        <v>0</v>
      </c>
      <c r="L4864" s="187">
        <v>0</v>
      </c>
      <c r="M4864" s="187">
        <v>0</v>
      </c>
      <c r="N4864" s="187">
        <v>0</v>
      </c>
      <c r="O4864" t="s">
        <v>5328</v>
      </c>
    </row>
    <row r="4865" spans="1:15" hidden="1" x14ac:dyDescent="0.45">
      <c r="A4865" s="187">
        <v>2021</v>
      </c>
      <c r="B4865" t="s">
        <v>317</v>
      </c>
      <c r="C4865" t="s">
        <v>328</v>
      </c>
      <c r="D4865" t="s">
        <v>39</v>
      </c>
      <c r="E4865" t="s">
        <v>352</v>
      </c>
      <c r="F4865" t="s">
        <v>361</v>
      </c>
      <c r="G4865" t="s">
        <v>36</v>
      </c>
      <c r="H4865" t="s">
        <v>43</v>
      </c>
      <c r="I4865" s="187"/>
      <c r="J4865" s="187"/>
      <c r="K4865" s="187"/>
      <c r="L4865" s="187">
        <v>0</v>
      </c>
      <c r="M4865" s="187">
        <v>0</v>
      </c>
      <c r="N4865" s="187">
        <v>0</v>
      </c>
      <c r="O4865" t="s">
        <v>5327</v>
      </c>
    </row>
    <row r="4866" spans="1:15" hidden="1" x14ac:dyDescent="0.45">
      <c r="A4866" s="187">
        <v>2021</v>
      </c>
      <c r="B4866" t="s">
        <v>309</v>
      </c>
      <c r="C4866" t="s">
        <v>328</v>
      </c>
      <c r="D4866" t="s">
        <v>39</v>
      </c>
      <c r="E4866" t="s">
        <v>352</v>
      </c>
      <c r="F4866" t="s">
        <v>361</v>
      </c>
      <c r="G4866" t="s">
        <v>36</v>
      </c>
      <c r="H4866" t="s">
        <v>43</v>
      </c>
      <c r="I4866" s="187"/>
      <c r="J4866" s="187"/>
      <c r="K4866" s="187">
        <v>0</v>
      </c>
      <c r="L4866" s="187"/>
      <c r="M4866" s="187">
        <v>0</v>
      </c>
      <c r="N4866" s="187">
        <v>0</v>
      </c>
      <c r="O4866" t="s">
        <v>5326</v>
      </c>
    </row>
    <row r="4867" spans="1:15" hidden="1" x14ac:dyDescent="0.45">
      <c r="A4867" s="187">
        <v>2021</v>
      </c>
      <c r="B4867" t="s">
        <v>314</v>
      </c>
      <c r="C4867" t="s">
        <v>328</v>
      </c>
      <c r="D4867" t="s">
        <v>39</v>
      </c>
      <c r="E4867" t="s">
        <v>352</v>
      </c>
      <c r="F4867" t="s">
        <v>361</v>
      </c>
      <c r="G4867" t="s">
        <v>36</v>
      </c>
      <c r="H4867" t="s">
        <v>43</v>
      </c>
      <c r="I4867" s="187"/>
      <c r="J4867" s="187">
        <v>0</v>
      </c>
      <c r="K4867" s="187"/>
      <c r="L4867" s="187">
        <v>0</v>
      </c>
      <c r="M4867" s="187">
        <v>0</v>
      </c>
      <c r="N4867" s="187">
        <v>0</v>
      </c>
      <c r="O4867" t="s">
        <v>5323</v>
      </c>
    </row>
    <row r="4868" spans="1:15" hidden="1" x14ac:dyDescent="0.45">
      <c r="A4868" s="187">
        <v>2021</v>
      </c>
      <c r="B4868" t="s">
        <v>316</v>
      </c>
      <c r="C4868" t="s">
        <v>328</v>
      </c>
      <c r="D4868" t="s">
        <v>39</v>
      </c>
      <c r="E4868" t="s">
        <v>352</v>
      </c>
      <c r="F4868" t="s">
        <v>361</v>
      </c>
      <c r="G4868" t="s">
        <v>36</v>
      </c>
      <c r="H4868" t="s">
        <v>43</v>
      </c>
      <c r="I4868" s="187"/>
      <c r="J4868" s="187"/>
      <c r="K4868" s="187">
        <v>0</v>
      </c>
      <c r="L4868" s="187"/>
      <c r="M4868" s="187">
        <v>0</v>
      </c>
      <c r="N4868" s="187">
        <v>0</v>
      </c>
      <c r="O4868" t="s">
        <v>5330</v>
      </c>
    </row>
    <row r="4869" spans="1:15" hidden="1" x14ac:dyDescent="0.45">
      <c r="A4869" s="187">
        <v>2021</v>
      </c>
      <c r="B4869" t="s">
        <v>310</v>
      </c>
      <c r="C4869" t="s">
        <v>328</v>
      </c>
      <c r="D4869" t="s">
        <v>39</v>
      </c>
      <c r="E4869" t="s">
        <v>352</v>
      </c>
      <c r="F4869" t="s">
        <v>361</v>
      </c>
      <c r="G4869" t="s">
        <v>36</v>
      </c>
      <c r="H4869" t="s">
        <v>43</v>
      </c>
      <c r="I4869" s="187"/>
      <c r="J4869" s="187">
        <v>0</v>
      </c>
      <c r="K4869" s="187">
        <v>0</v>
      </c>
      <c r="L4869" s="187"/>
      <c r="M4869" s="187">
        <v>0</v>
      </c>
      <c r="N4869" s="187">
        <v>0</v>
      </c>
      <c r="O4869" t="s">
        <v>5329</v>
      </c>
    </row>
    <row r="4870" spans="1:15" hidden="1" x14ac:dyDescent="0.45">
      <c r="A4870" s="187">
        <v>2021</v>
      </c>
      <c r="B4870" t="s">
        <v>313</v>
      </c>
      <c r="C4870" t="s">
        <v>328</v>
      </c>
      <c r="D4870" t="s">
        <v>39</v>
      </c>
      <c r="E4870" t="s">
        <v>352</v>
      </c>
      <c r="F4870" t="s">
        <v>361</v>
      </c>
      <c r="G4870" t="s">
        <v>36</v>
      </c>
      <c r="H4870" t="s">
        <v>43</v>
      </c>
      <c r="I4870" s="187"/>
      <c r="J4870" s="187">
        <v>0</v>
      </c>
      <c r="K4870" s="187">
        <v>0</v>
      </c>
      <c r="L4870" s="187">
        <v>0</v>
      </c>
      <c r="M4870" s="187">
        <v>0</v>
      </c>
      <c r="N4870" s="187">
        <v>0</v>
      </c>
      <c r="O4870" t="s">
        <v>5324</v>
      </c>
    </row>
    <row r="4871" spans="1:15" hidden="1" x14ac:dyDescent="0.45">
      <c r="A4871" s="187">
        <v>2021</v>
      </c>
      <c r="B4871" t="s">
        <v>311</v>
      </c>
      <c r="C4871" t="s">
        <v>328</v>
      </c>
      <c r="D4871" t="s">
        <v>39</v>
      </c>
      <c r="E4871" t="s">
        <v>352</v>
      </c>
      <c r="F4871" t="s">
        <v>361</v>
      </c>
      <c r="G4871" t="s">
        <v>36</v>
      </c>
      <c r="H4871" t="s">
        <v>43</v>
      </c>
      <c r="I4871" s="187"/>
      <c r="J4871" s="187"/>
      <c r="K4871" s="187">
        <v>0</v>
      </c>
      <c r="L4871" s="187">
        <v>0</v>
      </c>
      <c r="M4871" s="187">
        <v>0</v>
      </c>
      <c r="N4871" s="187">
        <v>0</v>
      </c>
      <c r="O4871" t="s">
        <v>5325</v>
      </c>
    </row>
    <row r="4872" spans="1:15" hidden="1" x14ac:dyDescent="0.45">
      <c r="A4872" s="187">
        <v>2021</v>
      </c>
      <c r="B4872" t="s">
        <v>312</v>
      </c>
      <c r="C4872" t="s">
        <v>328</v>
      </c>
      <c r="D4872" t="s">
        <v>39</v>
      </c>
      <c r="E4872" t="s">
        <v>352</v>
      </c>
      <c r="F4872" t="s">
        <v>361</v>
      </c>
      <c r="G4872" t="s">
        <v>36</v>
      </c>
      <c r="H4872" t="s">
        <v>43</v>
      </c>
      <c r="I4872" s="187"/>
      <c r="J4872" s="187"/>
      <c r="K4872" s="187">
        <v>0</v>
      </c>
      <c r="L4872" s="187"/>
      <c r="M4872" s="187">
        <v>0</v>
      </c>
      <c r="N4872" s="187">
        <v>0</v>
      </c>
      <c r="O4872" t="s">
        <v>5331</v>
      </c>
    </row>
    <row r="4873" spans="1:15" hidden="1" x14ac:dyDescent="0.45">
      <c r="A4873" s="187">
        <v>2021</v>
      </c>
      <c r="B4873" t="s">
        <v>317</v>
      </c>
      <c r="C4873" t="s">
        <v>328</v>
      </c>
      <c r="D4873" t="s">
        <v>39</v>
      </c>
      <c r="E4873" t="s">
        <v>40</v>
      </c>
      <c r="F4873" t="s">
        <v>40</v>
      </c>
      <c r="G4873" t="s">
        <v>36</v>
      </c>
      <c r="H4873" t="s">
        <v>43</v>
      </c>
      <c r="I4873" s="187">
        <v>4311.7215861843515</v>
      </c>
      <c r="J4873" s="187">
        <v>145.29195163142421</v>
      </c>
      <c r="K4873" s="187">
        <v>6578.7216911777177</v>
      </c>
      <c r="L4873" s="187">
        <v>5422.8391731210704</v>
      </c>
      <c r="M4873" s="187">
        <v>16458.57421875</v>
      </c>
      <c r="N4873" s="187">
        <v>9734.560546875</v>
      </c>
      <c r="O4873" t="s">
        <v>5335</v>
      </c>
    </row>
    <row r="4874" spans="1:15" hidden="1" x14ac:dyDescent="0.45">
      <c r="A4874" s="187">
        <v>2021</v>
      </c>
      <c r="B4874" t="s">
        <v>310</v>
      </c>
      <c r="C4874" t="s">
        <v>328</v>
      </c>
      <c r="D4874" t="s">
        <v>39</v>
      </c>
      <c r="E4874" t="s">
        <v>40</v>
      </c>
      <c r="F4874" t="s">
        <v>40</v>
      </c>
      <c r="G4874" t="s">
        <v>36</v>
      </c>
      <c r="H4874" t="s">
        <v>43</v>
      </c>
      <c r="I4874" s="187"/>
      <c r="J4874" s="187">
        <v>140.27326890951625</v>
      </c>
      <c r="K4874" s="187">
        <v>6191.0113887874813</v>
      </c>
      <c r="L4874" s="187">
        <v>9862.3797482465725</v>
      </c>
      <c r="M4874" s="187">
        <v>16193.6640625</v>
      </c>
      <c r="N4874" s="187">
        <v>9862.3798828125</v>
      </c>
      <c r="O4874" t="s">
        <v>5339</v>
      </c>
    </row>
    <row r="4875" spans="1:15" hidden="1" x14ac:dyDescent="0.45">
      <c r="A4875" s="187">
        <v>2021</v>
      </c>
      <c r="B4875" t="s">
        <v>309</v>
      </c>
      <c r="C4875" t="s">
        <v>328</v>
      </c>
      <c r="D4875" t="s">
        <v>39</v>
      </c>
      <c r="E4875" t="s">
        <v>40</v>
      </c>
      <c r="F4875" t="s">
        <v>40</v>
      </c>
      <c r="G4875" t="s">
        <v>36</v>
      </c>
      <c r="H4875" t="s">
        <v>43</v>
      </c>
      <c r="I4875" s="187"/>
      <c r="J4875" s="187">
        <v>624.13780235191655</v>
      </c>
      <c r="K4875" s="187">
        <v>6076.0918094897725</v>
      </c>
      <c r="L4875" s="187">
        <v>10353.064461913851</v>
      </c>
      <c r="M4875" s="187">
        <v>17053.294921875</v>
      </c>
      <c r="N4875" s="187">
        <v>10353.064453125</v>
      </c>
      <c r="O4875" t="s">
        <v>5340</v>
      </c>
    </row>
    <row r="4876" spans="1:15" hidden="1" x14ac:dyDescent="0.45">
      <c r="A4876" s="187">
        <v>2021</v>
      </c>
      <c r="B4876" t="s">
        <v>316</v>
      </c>
      <c r="C4876" t="s">
        <v>328</v>
      </c>
      <c r="D4876" t="s">
        <v>39</v>
      </c>
      <c r="E4876" t="s">
        <v>40</v>
      </c>
      <c r="F4876" t="s">
        <v>40</v>
      </c>
      <c r="G4876" t="s">
        <v>36</v>
      </c>
      <c r="H4876" t="s">
        <v>43</v>
      </c>
      <c r="I4876" s="187">
        <v>4373.6888723027332</v>
      </c>
      <c r="J4876" s="187">
        <v>216.81096001497295</v>
      </c>
      <c r="K4876" s="187">
        <v>6301.5877394726804</v>
      </c>
      <c r="L4876" s="187">
        <v>5575.7433229216458</v>
      </c>
      <c r="M4876" s="187">
        <v>16467.83203125</v>
      </c>
      <c r="N4876" s="187">
        <v>9949.4326171875</v>
      </c>
      <c r="O4876" t="s">
        <v>5333</v>
      </c>
    </row>
    <row r="4877" spans="1:15" hidden="1" x14ac:dyDescent="0.45">
      <c r="A4877" s="187">
        <v>2021</v>
      </c>
      <c r="B4877" t="s">
        <v>312</v>
      </c>
      <c r="C4877" t="s">
        <v>328</v>
      </c>
      <c r="D4877" t="s">
        <v>39</v>
      </c>
      <c r="E4877" t="s">
        <v>40</v>
      </c>
      <c r="F4877" t="s">
        <v>40</v>
      </c>
      <c r="G4877" t="s">
        <v>36</v>
      </c>
      <c r="H4877" t="s">
        <v>43</v>
      </c>
      <c r="I4877" s="187">
        <v>4775.1943964274806</v>
      </c>
      <c r="J4877" s="187">
        <v>168.16526079411148</v>
      </c>
      <c r="K4877" s="187">
        <v>6399.3712704502959</v>
      </c>
      <c r="L4877" s="187">
        <v>5127.3008135914952</v>
      </c>
      <c r="M4877" s="187">
        <v>16470.03125</v>
      </c>
      <c r="N4877" s="187">
        <v>9902.4951171875</v>
      </c>
      <c r="O4877" t="s">
        <v>5336</v>
      </c>
    </row>
    <row r="4878" spans="1:15" hidden="1" x14ac:dyDescent="0.45">
      <c r="A4878" s="187">
        <v>2021</v>
      </c>
      <c r="B4878" t="s">
        <v>314</v>
      </c>
      <c r="C4878" t="s">
        <v>328</v>
      </c>
      <c r="D4878" t="s">
        <v>39</v>
      </c>
      <c r="E4878" t="s">
        <v>40</v>
      </c>
      <c r="F4878" t="s">
        <v>40</v>
      </c>
      <c r="G4878" t="s">
        <v>36</v>
      </c>
      <c r="H4878" t="s">
        <v>43</v>
      </c>
      <c r="I4878" s="187">
        <v>5489.3275898262937</v>
      </c>
      <c r="J4878" s="187">
        <v>160.89599768037451</v>
      </c>
      <c r="K4878" s="187">
        <v>6386.9885220663291</v>
      </c>
      <c r="L4878" s="187">
        <v>5187.5088907293157</v>
      </c>
      <c r="M4878" s="187">
        <v>17224.720703125</v>
      </c>
      <c r="N4878" s="187">
        <v>10676.8369140625</v>
      </c>
      <c r="O4878" t="s">
        <v>5332</v>
      </c>
    </row>
    <row r="4879" spans="1:15" hidden="1" x14ac:dyDescent="0.45">
      <c r="A4879" s="187">
        <v>2021</v>
      </c>
      <c r="B4879" t="s">
        <v>311</v>
      </c>
      <c r="C4879" t="s">
        <v>328</v>
      </c>
      <c r="D4879" t="s">
        <v>39</v>
      </c>
      <c r="E4879" t="s">
        <v>40</v>
      </c>
      <c r="F4879" t="s">
        <v>40</v>
      </c>
      <c r="G4879" t="s">
        <v>36</v>
      </c>
      <c r="H4879" t="s">
        <v>43</v>
      </c>
      <c r="I4879" s="187"/>
      <c r="J4879" s="187">
        <v>168.93424116904589</v>
      </c>
      <c r="K4879" s="187">
        <v>6190.357313737697</v>
      </c>
      <c r="L4879" s="187">
        <v>9605.9504719916094</v>
      </c>
      <c r="M4879" s="187">
        <v>15965.2421875</v>
      </c>
      <c r="N4879" s="187">
        <v>9605.9501953125</v>
      </c>
      <c r="O4879" t="s">
        <v>5338</v>
      </c>
    </row>
    <row r="4880" spans="1:15" hidden="1" x14ac:dyDescent="0.45">
      <c r="A4880" s="187">
        <v>2021</v>
      </c>
      <c r="B4880" t="s">
        <v>313</v>
      </c>
      <c r="C4880" t="s">
        <v>328</v>
      </c>
      <c r="D4880" t="s">
        <v>39</v>
      </c>
      <c r="E4880" t="s">
        <v>40</v>
      </c>
      <c r="F4880" t="s">
        <v>40</v>
      </c>
      <c r="G4880" t="s">
        <v>36</v>
      </c>
      <c r="H4880" t="s">
        <v>43</v>
      </c>
      <c r="I4880" s="187">
        <v>5438.3522859883205</v>
      </c>
      <c r="J4880" s="187">
        <v>136.92860398744912</v>
      </c>
      <c r="K4880" s="187">
        <v>6240.2304853966889</v>
      </c>
      <c r="L4880" s="187">
        <v>5154.2208684275638</v>
      </c>
      <c r="M4880" s="187">
        <v>16969.732421875</v>
      </c>
      <c r="N4880" s="187">
        <v>10592.5732421875</v>
      </c>
      <c r="O4880" t="s">
        <v>5334</v>
      </c>
    </row>
    <row r="4881" spans="1:15" hidden="1" x14ac:dyDescent="0.45">
      <c r="A4881" s="187">
        <v>2021</v>
      </c>
      <c r="B4881" t="s">
        <v>315</v>
      </c>
      <c r="C4881" t="s">
        <v>328</v>
      </c>
      <c r="D4881" t="s">
        <v>39</v>
      </c>
      <c r="E4881" t="s">
        <v>40</v>
      </c>
      <c r="F4881" t="s">
        <v>40</v>
      </c>
      <c r="G4881" t="s">
        <v>36</v>
      </c>
      <c r="H4881" t="s">
        <v>43</v>
      </c>
      <c r="I4881" s="187">
        <v>5343.5044564888831</v>
      </c>
      <c r="J4881" s="187">
        <v>172.82407783267058</v>
      </c>
      <c r="K4881" s="187">
        <v>6331.0669593923349</v>
      </c>
      <c r="L4881" s="187">
        <v>5460.1607090259358</v>
      </c>
      <c r="M4881" s="187">
        <v>17307.556640625</v>
      </c>
      <c r="N4881" s="187">
        <v>10803.6650390625</v>
      </c>
      <c r="O4881" t="s">
        <v>5337</v>
      </c>
    </row>
    <row r="4882" spans="1:15" hidden="1" x14ac:dyDescent="0.45">
      <c r="A4882" s="187">
        <v>2021</v>
      </c>
      <c r="B4882" t="s">
        <v>309</v>
      </c>
      <c r="C4882" t="s">
        <v>328</v>
      </c>
      <c r="D4882" t="s">
        <v>39</v>
      </c>
      <c r="E4882" t="s">
        <v>40</v>
      </c>
      <c r="F4882" t="s">
        <v>40</v>
      </c>
      <c r="G4882" t="s">
        <v>37</v>
      </c>
      <c r="H4882" t="s">
        <v>43</v>
      </c>
      <c r="I4882" s="187"/>
      <c r="J4882" s="187">
        <v>609.56920000000002</v>
      </c>
      <c r="K4882" s="187">
        <v>6093.6699238286346</v>
      </c>
      <c r="L4882" s="187">
        <v>10860</v>
      </c>
      <c r="M4882" s="187">
        <v>17563.23828125</v>
      </c>
      <c r="N4882" s="187">
        <v>10860</v>
      </c>
      <c r="O4882" t="s">
        <v>5343</v>
      </c>
    </row>
    <row r="4883" spans="1:15" hidden="1" x14ac:dyDescent="0.45">
      <c r="A4883" s="187">
        <v>2021</v>
      </c>
      <c r="B4883" t="s">
        <v>311</v>
      </c>
      <c r="C4883" t="s">
        <v>328</v>
      </c>
      <c r="D4883" t="s">
        <v>39</v>
      </c>
      <c r="E4883" t="s">
        <v>40</v>
      </c>
      <c r="F4883" t="s">
        <v>40</v>
      </c>
      <c r="G4883" t="s">
        <v>37</v>
      </c>
      <c r="H4883" t="s">
        <v>43</v>
      </c>
      <c r="I4883" s="187"/>
      <c r="J4883" s="187">
        <v>164</v>
      </c>
      <c r="K4883" s="187">
        <v>5939.9854226728312</v>
      </c>
      <c r="L4883" s="187">
        <v>9669</v>
      </c>
      <c r="M4883" s="187">
        <v>15772.9853515625</v>
      </c>
      <c r="N4883" s="187">
        <v>9669</v>
      </c>
      <c r="O4883" t="s">
        <v>5344</v>
      </c>
    </row>
    <row r="4884" spans="1:15" hidden="1" x14ac:dyDescent="0.45">
      <c r="A4884" s="187">
        <v>2021</v>
      </c>
      <c r="B4884" t="s">
        <v>317</v>
      </c>
      <c r="C4884" t="s">
        <v>328</v>
      </c>
      <c r="D4884" t="s">
        <v>39</v>
      </c>
      <c r="E4884" t="s">
        <v>40</v>
      </c>
      <c r="F4884" t="s">
        <v>40</v>
      </c>
      <c r="G4884" t="s">
        <v>37</v>
      </c>
      <c r="H4884" t="s">
        <v>43</v>
      </c>
      <c r="I4884" s="187">
        <v>4125</v>
      </c>
      <c r="J4884" s="187">
        <v>139</v>
      </c>
      <c r="K4884" s="187">
        <v>6293.82636</v>
      </c>
      <c r="L4884" s="187">
        <v>5188</v>
      </c>
      <c r="M4884" s="187">
        <v>15745.826171875</v>
      </c>
      <c r="N4884" s="187">
        <v>9313</v>
      </c>
      <c r="O4884" t="s">
        <v>5342</v>
      </c>
    </row>
    <row r="4885" spans="1:15" hidden="1" x14ac:dyDescent="0.45">
      <c r="A4885" s="187">
        <v>2021</v>
      </c>
      <c r="B4885" t="s">
        <v>315</v>
      </c>
      <c r="C4885" t="s">
        <v>328</v>
      </c>
      <c r="D4885" t="s">
        <v>39</v>
      </c>
      <c r="E4885" t="s">
        <v>40</v>
      </c>
      <c r="F4885" t="s">
        <v>40</v>
      </c>
      <c r="G4885" t="s">
        <v>37</v>
      </c>
      <c r="H4885" t="s">
        <v>43</v>
      </c>
      <c r="I4885" s="187">
        <v>5147.8680374699998</v>
      </c>
      <c r="J4885" s="187">
        <v>163</v>
      </c>
      <c r="K4885" s="187">
        <v>6082.1088559780756</v>
      </c>
      <c r="L4885" s="187">
        <v>5307</v>
      </c>
      <c r="M4885" s="187">
        <v>16699.9765625</v>
      </c>
      <c r="N4885" s="187">
        <v>10454.8681640625</v>
      </c>
      <c r="O4885" t="s">
        <v>5346</v>
      </c>
    </row>
    <row r="4886" spans="1:15" hidden="1" x14ac:dyDescent="0.45">
      <c r="A4886" s="187">
        <v>2021</v>
      </c>
      <c r="B4886" t="s">
        <v>313</v>
      </c>
      <c r="C4886" t="s">
        <v>328</v>
      </c>
      <c r="D4886" t="s">
        <v>39</v>
      </c>
      <c r="E4886" t="s">
        <v>40</v>
      </c>
      <c r="F4886" t="s">
        <v>40</v>
      </c>
      <c r="G4886" t="s">
        <v>37</v>
      </c>
      <c r="H4886" t="s">
        <v>43</v>
      </c>
      <c r="I4886" s="187">
        <v>5148.2486890982873</v>
      </c>
      <c r="J4886" s="187">
        <v>130</v>
      </c>
      <c r="K4886" s="187">
        <v>5893.0690949156451</v>
      </c>
      <c r="L4886" s="187">
        <v>4897</v>
      </c>
      <c r="M4886" s="187">
        <v>16068.3173828125</v>
      </c>
      <c r="N4886" s="187">
        <v>10045.248046875</v>
      </c>
      <c r="O4886" t="s">
        <v>5345</v>
      </c>
    </row>
    <row r="4887" spans="1:15" hidden="1" x14ac:dyDescent="0.45">
      <c r="A4887" s="187">
        <v>2021</v>
      </c>
      <c r="B4887" t="s">
        <v>314</v>
      </c>
      <c r="C4887" t="s">
        <v>328</v>
      </c>
      <c r="D4887" t="s">
        <v>39</v>
      </c>
      <c r="E4887" t="s">
        <v>40</v>
      </c>
      <c r="F4887" t="s">
        <v>40</v>
      </c>
      <c r="G4887" t="s">
        <v>37</v>
      </c>
      <c r="H4887" t="s">
        <v>43</v>
      </c>
      <c r="I4887" s="187">
        <v>5252.3697586306416</v>
      </c>
      <c r="J4887" s="187">
        <v>154</v>
      </c>
      <c r="K4887" s="187">
        <v>6119.5507098019061</v>
      </c>
      <c r="L4887" s="187">
        <v>5155</v>
      </c>
      <c r="M4887" s="187">
        <v>16680.919921875</v>
      </c>
      <c r="N4887" s="187">
        <v>10407.369140625</v>
      </c>
      <c r="O4887" t="s">
        <v>5349</v>
      </c>
    </row>
    <row r="4888" spans="1:15" hidden="1" x14ac:dyDescent="0.45">
      <c r="A4888" s="187">
        <v>2021</v>
      </c>
      <c r="B4888" t="s">
        <v>316</v>
      </c>
      <c r="C4888" t="s">
        <v>328</v>
      </c>
      <c r="D4888" t="s">
        <v>39</v>
      </c>
      <c r="E4888" t="s">
        <v>40</v>
      </c>
      <c r="F4888" t="s">
        <v>40</v>
      </c>
      <c r="G4888" t="s">
        <v>37</v>
      </c>
      <c r="H4888" t="s">
        <v>43</v>
      </c>
      <c r="I4888" s="187">
        <v>4218.5505924480003</v>
      </c>
      <c r="J4888" s="187">
        <v>205</v>
      </c>
      <c r="K4888" s="187">
        <v>6024.1687071095112</v>
      </c>
      <c r="L4888" s="187">
        <v>5395</v>
      </c>
      <c r="M4888" s="187">
        <v>15842.7197265625</v>
      </c>
      <c r="N4888" s="187">
        <v>9613.55078125</v>
      </c>
      <c r="O4888" t="s">
        <v>5348</v>
      </c>
    </row>
    <row r="4889" spans="1:15" hidden="1" x14ac:dyDescent="0.45">
      <c r="A4889" s="187">
        <v>2021</v>
      </c>
      <c r="B4889" t="s">
        <v>312</v>
      </c>
      <c r="C4889" t="s">
        <v>328</v>
      </c>
      <c r="D4889" t="s">
        <v>39</v>
      </c>
      <c r="E4889" t="s">
        <v>40</v>
      </c>
      <c r="F4889" t="s">
        <v>40</v>
      </c>
      <c r="G4889" t="s">
        <v>37</v>
      </c>
      <c r="H4889" t="s">
        <v>43</v>
      </c>
      <c r="I4889" s="187">
        <v>4469.8603018404483</v>
      </c>
      <c r="J4889" s="187">
        <v>160</v>
      </c>
      <c r="K4889" s="187">
        <v>6073.3522650595987</v>
      </c>
      <c r="L4889" s="187">
        <v>4864</v>
      </c>
      <c r="M4889" s="187">
        <v>15567.212890625</v>
      </c>
      <c r="N4889" s="187">
        <v>9333.8603515625</v>
      </c>
      <c r="O4889" t="s">
        <v>5341</v>
      </c>
    </row>
    <row r="4890" spans="1:15" hidden="1" x14ac:dyDescent="0.45">
      <c r="A4890" s="187">
        <v>2021</v>
      </c>
      <c r="B4890" t="s">
        <v>310</v>
      </c>
      <c r="C4890" t="s">
        <v>328</v>
      </c>
      <c r="D4890" t="s">
        <v>39</v>
      </c>
      <c r="E4890" t="s">
        <v>40</v>
      </c>
      <c r="F4890" t="s">
        <v>40</v>
      </c>
      <c r="G4890" t="s">
        <v>37</v>
      </c>
      <c r="H4890" t="s">
        <v>43</v>
      </c>
      <c r="I4890" s="187"/>
      <c r="J4890" s="187">
        <v>138</v>
      </c>
      <c r="K4890" s="187">
        <v>6108.0591592373239</v>
      </c>
      <c r="L4890" s="187">
        <v>10133</v>
      </c>
      <c r="M4890" s="187">
        <v>16379.05859375</v>
      </c>
      <c r="N4890" s="187">
        <v>10133</v>
      </c>
      <c r="O4890" t="s">
        <v>5347</v>
      </c>
    </row>
    <row r="4891" spans="1:15" hidden="1" x14ac:dyDescent="0.45">
      <c r="A4891" s="187">
        <v>2021</v>
      </c>
      <c r="B4891" t="s">
        <v>311</v>
      </c>
      <c r="C4891" t="s">
        <v>328</v>
      </c>
      <c r="D4891" t="s">
        <v>39</v>
      </c>
      <c r="E4891" t="s">
        <v>41</v>
      </c>
      <c r="F4891" t="s">
        <v>41</v>
      </c>
      <c r="G4891" t="s">
        <v>36</v>
      </c>
      <c r="H4891" t="s">
        <v>43</v>
      </c>
      <c r="I4891" s="187"/>
      <c r="J4891" s="187">
        <v>1683.5170930294573</v>
      </c>
      <c r="K4891" s="187">
        <v>12096.631968794425</v>
      </c>
      <c r="L4891" s="187">
        <v>12276.276546194735</v>
      </c>
      <c r="M4891" s="187">
        <v>26056.42578125</v>
      </c>
      <c r="N4891" s="187">
        <v>12276.2763671875</v>
      </c>
      <c r="O4891" t="s">
        <v>5351</v>
      </c>
    </row>
    <row r="4892" spans="1:15" hidden="1" x14ac:dyDescent="0.45">
      <c r="A4892" s="187">
        <v>2021</v>
      </c>
      <c r="B4892" t="s">
        <v>316</v>
      </c>
      <c r="C4892" t="s">
        <v>328</v>
      </c>
      <c r="D4892" t="s">
        <v>39</v>
      </c>
      <c r="E4892" t="s">
        <v>41</v>
      </c>
      <c r="F4892" t="s">
        <v>41</v>
      </c>
      <c r="G4892" t="s">
        <v>36</v>
      </c>
      <c r="H4892" t="s">
        <v>43</v>
      </c>
      <c r="I4892" s="187">
        <v>6151.6769224556501</v>
      </c>
      <c r="J4892" s="187">
        <v>2247.4306830820369</v>
      </c>
      <c r="K4892" s="187">
        <v>12121.22984860987</v>
      </c>
      <c r="L4892" s="187">
        <v>8318.1375635012791</v>
      </c>
      <c r="M4892" s="187">
        <v>28838.474609375</v>
      </c>
      <c r="N4892" s="187">
        <v>14469.814453125</v>
      </c>
      <c r="O4892" t="s">
        <v>5354</v>
      </c>
    </row>
    <row r="4893" spans="1:15" hidden="1" x14ac:dyDescent="0.45">
      <c r="A4893" s="187">
        <v>2021</v>
      </c>
      <c r="B4893" t="s">
        <v>309</v>
      </c>
      <c r="C4893" t="s">
        <v>328</v>
      </c>
      <c r="D4893" t="s">
        <v>39</v>
      </c>
      <c r="E4893" t="s">
        <v>41</v>
      </c>
      <c r="F4893" t="s">
        <v>41</v>
      </c>
      <c r="G4893" t="s">
        <v>36</v>
      </c>
      <c r="H4893" t="s">
        <v>43</v>
      </c>
      <c r="I4893" s="187"/>
      <c r="J4893" s="187">
        <v>1057.6991765047746</v>
      </c>
      <c r="K4893" s="187">
        <v>12813.845202989705</v>
      </c>
      <c r="L4893" s="187">
        <v>15305.669389736884</v>
      </c>
      <c r="M4893" s="187">
        <v>29177.212890625</v>
      </c>
      <c r="N4893" s="187">
        <v>15305.6689453125</v>
      </c>
      <c r="O4893" t="s">
        <v>5350</v>
      </c>
    </row>
    <row r="4894" spans="1:15" hidden="1" x14ac:dyDescent="0.45">
      <c r="A4894" s="187">
        <v>2021</v>
      </c>
      <c r="B4894" t="s">
        <v>315</v>
      </c>
      <c r="C4894" t="s">
        <v>328</v>
      </c>
      <c r="D4894" t="s">
        <v>39</v>
      </c>
      <c r="E4894" t="s">
        <v>41</v>
      </c>
      <c r="F4894" t="s">
        <v>41</v>
      </c>
      <c r="G4894" t="s">
        <v>36</v>
      </c>
      <c r="H4894" t="s">
        <v>43</v>
      </c>
      <c r="I4894" s="187">
        <v>3653.0689451880744</v>
      </c>
      <c r="J4894" s="187">
        <v>1809.25206481077</v>
      </c>
      <c r="K4894" s="187">
        <v>11983.768863313551</v>
      </c>
      <c r="L4894" s="187">
        <v>7736.037783984917</v>
      </c>
      <c r="M4894" s="187">
        <v>25182.126953125</v>
      </c>
      <c r="N4894" s="187">
        <v>11389.1064453125</v>
      </c>
      <c r="O4894" t="s">
        <v>5355</v>
      </c>
    </row>
    <row r="4895" spans="1:15" hidden="1" x14ac:dyDescent="0.45">
      <c r="A4895" s="187">
        <v>2021</v>
      </c>
      <c r="B4895" t="s">
        <v>317</v>
      </c>
      <c r="C4895" t="s">
        <v>328</v>
      </c>
      <c r="D4895" t="s">
        <v>39</v>
      </c>
      <c r="E4895" t="s">
        <v>41</v>
      </c>
      <c r="F4895" t="s">
        <v>41</v>
      </c>
      <c r="G4895" t="s">
        <v>36</v>
      </c>
      <c r="H4895" t="s">
        <v>43</v>
      </c>
      <c r="I4895" s="187">
        <v>5882.7561423140678</v>
      </c>
      <c r="J4895" s="187">
        <v>1958.8281824265393</v>
      </c>
      <c r="K4895" s="187">
        <v>12477.661012708459</v>
      </c>
      <c r="L4895" s="187">
        <v>8294.1844330600798</v>
      </c>
      <c r="M4895" s="187">
        <v>28613.4296875</v>
      </c>
      <c r="N4895" s="187">
        <v>14176.9404296875</v>
      </c>
      <c r="O4895" t="s">
        <v>5353</v>
      </c>
    </row>
    <row r="4896" spans="1:15" hidden="1" x14ac:dyDescent="0.45">
      <c r="A4896" s="187">
        <v>2021</v>
      </c>
      <c r="B4896" t="s">
        <v>312</v>
      </c>
      <c r="C4896" t="s">
        <v>328</v>
      </c>
      <c r="D4896" t="s">
        <v>39</v>
      </c>
      <c r="E4896" t="s">
        <v>41</v>
      </c>
      <c r="F4896" t="s">
        <v>41</v>
      </c>
      <c r="G4896" t="s">
        <v>36</v>
      </c>
      <c r="H4896" t="s">
        <v>43</v>
      </c>
      <c r="I4896" s="187">
        <v>3335.0819750877085</v>
      </c>
      <c r="J4896" s="187">
        <v>1675.8538058447662</v>
      </c>
      <c r="K4896" s="187">
        <v>12537.60815231424</v>
      </c>
      <c r="L4896" s="187">
        <v>8532.3574045674359</v>
      </c>
      <c r="M4896" s="187">
        <v>26080.90234375</v>
      </c>
      <c r="N4896" s="187">
        <v>11867.439453125</v>
      </c>
      <c r="O4896" t="s">
        <v>5356</v>
      </c>
    </row>
    <row r="4897" spans="1:15" hidden="1" x14ac:dyDescent="0.45">
      <c r="A4897" s="187">
        <v>2021</v>
      </c>
      <c r="B4897" t="s">
        <v>313</v>
      </c>
      <c r="C4897" t="s">
        <v>328</v>
      </c>
      <c r="D4897" t="s">
        <v>39</v>
      </c>
      <c r="E4897" t="s">
        <v>41</v>
      </c>
      <c r="F4897" t="s">
        <v>41</v>
      </c>
      <c r="G4897" t="s">
        <v>36</v>
      </c>
      <c r="H4897" t="s">
        <v>43</v>
      </c>
      <c r="I4897" s="187">
        <v>3717.2418910284773</v>
      </c>
      <c r="J4897" s="187">
        <v>1688.7861158452058</v>
      </c>
      <c r="K4897" s="187">
        <v>12471.392293194373</v>
      </c>
      <c r="L4897" s="187">
        <v>8283.0394695407758</v>
      </c>
      <c r="M4897" s="187">
        <v>26160.458984375</v>
      </c>
      <c r="N4897" s="187">
        <v>12000.28125</v>
      </c>
      <c r="O4897" t="s">
        <v>5357</v>
      </c>
    </row>
    <row r="4898" spans="1:15" hidden="1" x14ac:dyDescent="0.45">
      <c r="A4898" s="187">
        <v>2021</v>
      </c>
      <c r="B4898" t="s">
        <v>314</v>
      </c>
      <c r="C4898" t="s">
        <v>328</v>
      </c>
      <c r="D4898" t="s">
        <v>39</v>
      </c>
      <c r="E4898" t="s">
        <v>41</v>
      </c>
      <c r="F4898" t="s">
        <v>41</v>
      </c>
      <c r="G4898" t="s">
        <v>36</v>
      </c>
      <c r="H4898" t="s">
        <v>43</v>
      </c>
      <c r="I4898" s="187">
        <v>3752.7604424484589</v>
      </c>
      <c r="J4898" s="187">
        <v>1675.5376310163138</v>
      </c>
      <c r="K4898" s="187">
        <v>11325.653966146221</v>
      </c>
      <c r="L4898" s="187">
        <v>7767.3929914663549</v>
      </c>
      <c r="M4898" s="187">
        <v>24521.345703125</v>
      </c>
      <c r="N4898" s="187">
        <v>11520.1533203125</v>
      </c>
      <c r="O4898" t="s">
        <v>5358</v>
      </c>
    </row>
    <row r="4899" spans="1:15" hidden="1" x14ac:dyDescent="0.45">
      <c r="A4899" s="187">
        <v>2021</v>
      </c>
      <c r="B4899" t="s">
        <v>310</v>
      </c>
      <c r="C4899" t="s">
        <v>328</v>
      </c>
      <c r="D4899" t="s">
        <v>39</v>
      </c>
      <c r="E4899" t="s">
        <v>41</v>
      </c>
      <c r="F4899" t="s">
        <v>41</v>
      </c>
      <c r="G4899" t="s">
        <v>36</v>
      </c>
      <c r="H4899" t="s">
        <v>43</v>
      </c>
      <c r="I4899" s="187"/>
      <c r="J4899" s="187">
        <v>1810.6267885693817</v>
      </c>
      <c r="K4899" s="187">
        <v>11774.939415554512</v>
      </c>
      <c r="L4899" s="187">
        <v>14030.833722674362</v>
      </c>
      <c r="M4899" s="187">
        <v>27616.400390625</v>
      </c>
      <c r="N4899" s="187">
        <v>14030.833984375</v>
      </c>
      <c r="O4899" t="s">
        <v>5352</v>
      </c>
    </row>
    <row r="4900" spans="1:15" hidden="1" x14ac:dyDescent="0.45">
      <c r="A4900" s="187">
        <v>2021</v>
      </c>
      <c r="B4900" t="s">
        <v>311</v>
      </c>
      <c r="C4900" t="s">
        <v>328</v>
      </c>
      <c r="D4900" t="s">
        <v>39</v>
      </c>
      <c r="E4900" t="s">
        <v>41</v>
      </c>
      <c r="F4900" t="s">
        <v>41</v>
      </c>
      <c r="G4900" t="s">
        <v>37</v>
      </c>
      <c r="H4900" t="s">
        <v>43</v>
      </c>
      <c r="I4900" s="187"/>
      <c r="J4900" s="187">
        <v>1629</v>
      </c>
      <c r="K4900" s="187">
        <v>11607.37804239803</v>
      </c>
      <c r="L4900" s="187">
        <v>12357</v>
      </c>
      <c r="M4900" s="187">
        <v>25593.37890625</v>
      </c>
      <c r="N4900" s="187">
        <v>12357</v>
      </c>
      <c r="O4900" t="s">
        <v>5364</v>
      </c>
    </row>
    <row r="4901" spans="1:15" hidden="1" x14ac:dyDescent="0.45">
      <c r="A4901" s="187">
        <v>2021</v>
      </c>
      <c r="B4901" t="s">
        <v>310</v>
      </c>
      <c r="C4901" t="s">
        <v>328</v>
      </c>
      <c r="D4901" t="s">
        <v>39</v>
      </c>
      <c r="E4901" t="s">
        <v>41</v>
      </c>
      <c r="F4901" t="s">
        <v>41</v>
      </c>
      <c r="G4901" t="s">
        <v>37</v>
      </c>
      <c r="H4901" t="s">
        <v>43</v>
      </c>
      <c r="I4901" s="187"/>
      <c r="J4901" s="187">
        <v>1785</v>
      </c>
      <c r="K4901" s="187">
        <v>11617.16915541458</v>
      </c>
      <c r="L4901" s="187">
        <v>14415</v>
      </c>
      <c r="M4901" s="187">
        <v>27817.16796875</v>
      </c>
      <c r="N4901" s="187">
        <v>14415</v>
      </c>
      <c r="O4901" t="s">
        <v>5367</v>
      </c>
    </row>
    <row r="4902" spans="1:15" hidden="1" x14ac:dyDescent="0.45">
      <c r="A4902" s="187">
        <v>2021</v>
      </c>
      <c r="B4902" t="s">
        <v>317</v>
      </c>
      <c r="C4902" t="s">
        <v>328</v>
      </c>
      <c r="D4902" t="s">
        <v>39</v>
      </c>
      <c r="E4902" t="s">
        <v>41</v>
      </c>
      <c r="F4902" t="s">
        <v>41</v>
      </c>
      <c r="G4902" t="s">
        <v>37</v>
      </c>
      <c r="H4902" t="s">
        <v>43</v>
      </c>
      <c r="I4902" s="187">
        <v>5628</v>
      </c>
      <c r="J4902" s="187">
        <v>1874</v>
      </c>
      <c r="K4902" s="187">
        <v>11937.30871732165</v>
      </c>
      <c r="L4902" s="187">
        <v>7935</v>
      </c>
      <c r="M4902" s="187">
        <v>27374.30859375</v>
      </c>
      <c r="N4902" s="187">
        <v>13563</v>
      </c>
      <c r="O4902" t="s">
        <v>5360</v>
      </c>
    </row>
    <row r="4903" spans="1:15" hidden="1" x14ac:dyDescent="0.45">
      <c r="A4903" s="187">
        <v>2021</v>
      </c>
      <c r="B4903" t="s">
        <v>315</v>
      </c>
      <c r="C4903" t="s">
        <v>328</v>
      </c>
      <c r="D4903" t="s">
        <v>39</v>
      </c>
      <c r="E4903" t="s">
        <v>41</v>
      </c>
      <c r="F4903" t="s">
        <v>41</v>
      </c>
      <c r="G4903" t="s">
        <v>37</v>
      </c>
      <c r="H4903" t="s">
        <v>43</v>
      </c>
      <c r="I4903" s="187">
        <v>3519.3227618199999</v>
      </c>
      <c r="J4903" s="187">
        <v>1709</v>
      </c>
      <c r="K4903" s="187">
        <v>11512.52817243137</v>
      </c>
      <c r="L4903" s="187">
        <v>7520</v>
      </c>
      <c r="M4903" s="187">
        <v>24260.8515625</v>
      </c>
      <c r="N4903" s="187">
        <v>11039.322265625</v>
      </c>
      <c r="O4903" t="s">
        <v>5359</v>
      </c>
    </row>
    <row r="4904" spans="1:15" hidden="1" x14ac:dyDescent="0.45">
      <c r="A4904" s="187">
        <v>2021</v>
      </c>
      <c r="B4904" t="s">
        <v>314</v>
      </c>
      <c r="C4904" t="s">
        <v>328</v>
      </c>
      <c r="D4904" t="s">
        <v>39</v>
      </c>
      <c r="E4904" t="s">
        <v>41</v>
      </c>
      <c r="F4904" t="s">
        <v>41</v>
      </c>
      <c r="G4904" t="s">
        <v>37</v>
      </c>
      <c r="H4904" t="s">
        <v>43</v>
      </c>
      <c r="I4904" s="187">
        <v>3590.7650138849458</v>
      </c>
      <c r="J4904" s="187">
        <v>1602</v>
      </c>
      <c r="K4904" s="187">
        <v>10851.42294025577</v>
      </c>
      <c r="L4904" s="187">
        <v>7719</v>
      </c>
      <c r="M4904" s="187">
        <v>23763.1875</v>
      </c>
      <c r="N4904" s="187">
        <v>11309.7646484375</v>
      </c>
      <c r="O4904" t="s">
        <v>5365</v>
      </c>
    </row>
    <row r="4905" spans="1:15" hidden="1" x14ac:dyDescent="0.45">
      <c r="A4905" s="187">
        <v>2021</v>
      </c>
      <c r="B4905" t="s">
        <v>313</v>
      </c>
      <c r="C4905" t="s">
        <v>328</v>
      </c>
      <c r="D4905" t="s">
        <v>39</v>
      </c>
      <c r="E4905" t="s">
        <v>41</v>
      </c>
      <c r="F4905" t="s">
        <v>41</v>
      </c>
      <c r="G4905" t="s">
        <v>37</v>
      </c>
      <c r="H4905" t="s">
        <v>43</v>
      </c>
      <c r="I4905" s="187">
        <v>3518.9492489949557</v>
      </c>
      <c r="J4905" s="187">
        <v>1602</v>
      </c>
      <c r="K4905" s="187">
        <v>11777.574028008181</v>
      </c>
      <c r="L4905" s="187">
        <v>7869</v>
      </c>
      <c r="M4905" s="187">
        <v>24767.5234375</v>
      </c>
      <c r="N4905" s="187">
        <v>11387.94921875</v>
      </c>
      <c r="O4905" t="s">
        <v>5363</v>
      </c>
    </row>
    <row r="4906" spans="1:15" hidden="1" x14ac:dyDescent="0.45">
      <c r="A4906" s="187">
        <v>2021</v>
      </c>
      <c r="B4906" t="s">
        <v>309</v>
      </c>
      <c r="C4906" t="s">
        <v>328</v>
      </c>
      <c r="D4906" t="s">
        <v>39</v>
      </c>
      <c r="E4906" t="s">
        <v>41</v>
      </c>
      <c r="F4906" t="s">
        <v>41</v>
      </c>
      <c r="G4906" t="s">
        <v>37</v>
      </c>
      <c r="H4906" t="s">
        <v>43</v>
      </c>
      <c r="I4906" s="187"/>
      <c r="J4906" s="187">
        <v>1033.0103999999999</v>
      </c>
      <c r="K4906" s="187">
        <v>12850.91561653198</v>
      </c>
      <c r="L4906" s="187">
        <v>16054</v>
      </c>
      <c r="M4906" s="187">
        <v>29937.92578125</v>
      </c>
      <c r="N4906" s="187">
        <v>16054</v>
      </c>
      <c r="O4906" t="s">
        <v>5362</v>
      </c>
    </row>
    <row r="4907" spans="1:15" hidden="1" x14ac:dyDescent="0.45">
      <c r="A4907" s="187">
        <v>2021</v>
      </c>
      <c r="B4907" t="s">
        <v>312</v>
      </c>
      <c r="C4907" t="s">
        <v>328</v>
      </c>
      <c r="D4907" t="s">
        <v>39</v>
      </c>
      <c r="E4907" t="s">
        <v>41</v>
      </c>
      <c r="F4907" t="s">
        <v>41</v>
      </c>
      <c r="G4907" t="s">
        <v>37</v>
      </c>
      <c r="H4907" t="s">
        <v>43</v>
      </c>
      <c r="I4907" s="187">
        <v>3121.8311311013799</v>
      </c>
      <c r="J4907" s="187">
        <v>1596</v>
      </c>
      <c r="K4907" s="187">
        <v>11898.87375684789</v>
      </c>
      <c r="L4907" s="187">
        <v>8095</v>
      </c>
      <c r="M4907" s="187">
        <v>24711.705078125</v>
      </c>
      <c r="N4907" s="187">
        <v>11216.8310546875</v>
      </c>
      <c r="O4907" t="s">
        <v>5361</v>
      </c>
    </row>
    <row r="4908" spans="1:15" hidden="1" x14ac:dyDescent="0.45">
      <c r="A4908" s="187">
        <v>2021</v>
      </c>
      <c r="B4908" t="s">
        <v>316</v>
      </c>
      <c r="C4908" t="s">
        <v>328</v>
      </c>
      <c r="D4908" t="s">
        <v>39</v>
      </c>
      <c r="E4908" t="s">
        <v>41</v>
      </c>
      <c r="F4908" t="s">
        <v>41</v>
      </c>
      <c r="G4908" t="s">
        <v>37</v>
      </c>
      <c r="H4908" t="s">
        <v>43</v>
      </c>
      <c r="I4908" s="187">
        <v>5933.4719691917098</v>
      </c>
      <c r="J4908" s="187">
        <v>2125</v>
      </c>
      <c r="K4908" s="187">
        <v>11587.60880028431</v>
      </c>
      <c r="L4908" s="187">
        <v>8048</v>
      </c>
      <c r="M4908" s="187">
        <v>27694.080078125</v>
      </c>
      <c r="N4908" s="187">
        <v>13981.47265625</v>
      </c>
      <c r="O4908" t="s">
        <v>5366</v>
      </c>
    </row>
    <row r="4909" spans="1:15" hidden="1" x14ac:dyDescent="0.45">
      <c r="A4909" s="187">
        <v>2021</v>
      </c>
      <c r="B4909" t="s">
        <v>316</v>
      </c>
      <c r="C4909" t="s">
        <v>328</v>
      </c>
      <c r="D4909" t="s">
        <v>39</v>
      </c>
      <c r="E4909" t="s">
        <v>361</v>
      </c>
      <c r="F4909" t="s">
        <v>361</v>
      </c>
      <c r="G4909" t="s">
        <v>36</v>
      </c>
      <c r="H4909" t="s">
        <v>43</v>
      </c>
      <c r="I4909" s="187"/>
      <c r="J4909" s="187"/>
      <c r="K4909" s="187"/>
      <c r="L4909" s="187">
        <v>0</v>
      </c>
      <c r="M4909" s="187">
        <v>0</v>
      </c>
      <c r="N4909" s="187">
        <v>0</v>
      </c>
      <c r="O4909" t="s">
        <v>5368</v>
      </c>
    </row>
    <row r="4910" spans="1:15" hidden="1" x14ac:dyDescent="0.45">
      <c r="A4910" s="187">
        <v>2021</v>
      </c>
      <c r="B4910" t="s">
        <v>309</v>
      </c>
      <c r="C4910" t="s">
        <v>328</v>
      </c>
      <c r="D4910" t="s">
        <v>39</v>
      </c>
      <c r="E4910" t="s">
        <v>361</v>
      </c>
      <c r="F4910" t="s">
        <v>361</v>
      </c>
      <c r="G4910" t="s">
        <v>36</v>
      </c>
      <c r="H4910" t="s">
        <v>43</v>
      </c>
      <c r="I4910" s="187"/>
      <c r="J4910" s="187">
        <v>0</v>
      </c>
      <c r="K4910" s="187"/>
      <c r="L4910" s="187">
        <v>0</v>
      </c>
      <c r="M4910" s="187">
        <v>0</v>
      </c>
      <c r="N4910" s="187">
        <v>0</v>
      </c>
      <c r="O4910" t="s">
        <v>5374</v>
      </c>
    </row>
    <row r="4911" spans="1:15" hidden="1" x14ac:dyDescent="0.45">
      <c r="A4911" s="187">
        <v>2021</v>
      </c>
      <c r="B4911" t="s">
        <v>312</v>
      </c>
      <c r="C4911" t="s">
        <v>328</v>
      </c>
      <c r="D4911" t="s">
        <v>39</v>
      </c>
      <c r="E4911" t="s">
        <v>361</v>
      </c>
      <c r="F4911" t="s">
        <v>361</v>
      </c>
      <c r="G4911" t="s">
        <v>36</v>
      </c>
      <c r="H4911" t="s">
        <v>43</v>
      </c>
      <c r="I4911" s="187"/>
      <c r="J4911" s="187">
        <v>0</v>
      </c>
      <c r="K4911" s="187"/>
      <c r="L4911" s="187"/>
      <c r="M4911" s="187">
        <v>0</v>
      </c>
      <c r="N4911" s="187">
        <v>0</v>
      </c>
      <c r="O4911" t="s">
        <v>5369</v>
      </c>
    </row>
    <row r="4912" spans="1:15" hidden="1" x14ac:dyDescent="0.45">
      <c r="A4912" s="187">
        <v>2021</v>
      </c>
      <c r="B4912" t="s">
        <v>314</v>
      </c>
      <c r="C4912" t="s">
        <v>328</v>
      </c>
      <c r="D4912" t="s">
        <v>39</v>
      </c>
      <c r="E4912" t="s">
        <v>361</v>
      </c>
      <c r="F4912" t="s">
        <v>361</v>
      </c>
      <c r="G4912" t="s">
        <v>36</v>
      </c>
      <c r="H4912" t="s">
        <v>43</v>
      </c>
      <c r="I4912" s="187">
        <v>0</v>
      </c>
      <c r="J4912" s="187"/>
      <c r="K4912" s="187">
        <v>0</v>
      </c>
      <c r="L4912" s="187"/>
      <c r="M4912" s="187">
        <v>0</v>
      </c>
      <c r="N4912" s="187">
        <v>0</v>
      </c>
      <c r="O4912" t="s">
        <v>5371</v>
      </c>
    </row>
    <row r="4913" spans="1:15" hidden="1" x14ac:dyDescent="0.45">
      <c r="A4913" s="187">
        <v>2021</v>
      </c>
      <c r="B4913" t="s">
        <v>317</v>
      </c>
      <c r="C4913" t="s">
        <v>328</v>
      </c>
      <c r="D4913" t="s">
        <v>39</v>
      </c>
      <c r="E4913" t="s">
        <v>361</v>
      </c>
      <c r="F4913" t="s">
        <v>361</v>
      </c>
      <c r="G4913" t="s">
        <v>36</v>
      </c>
      <c r="H4913" t="s">
        <v>43</v>
      </c>
      <c r="I4913" s="187"/>
      <c r="J4913" s="187"/>
      <c r="K4913" s="187">
        <v>0</v>
      </c>
      <c r="L4913" s="187"/>
      <c r="M4913" s="187">
        <v>0</v>
      </c>
      <c r="N4913" s="187">
        <v>0</v>
      </c>
      <c r="O4913" t="s">
        <v>5375</v>
      </c>
    </row>
    <row r="4914" spans="1:15" hidden="1" x14ac:dyDescent="0.45">
      <c r="A4914" s="187">
        <v>2021</v>
      </c>
      <c r="B4914" t="s">
        <v>311</v>
      </c>
      <c r="C4914" t="s">
        <v>328</v>
      </c>
      <c r="D4914" t="s">
        <v>39</v>
      </c>
      <c r="E4914" t="s">
        <v>361</v>
      </c>
      <c r="F4914" t="s">
        <v>361</v>
      </c>
      <c r="G4914" t="s">
        <v>36</v>
      </c>
      <c r="H4914" t="s">
        <v>43</v>
      </c>
      <c r="I4914" s="187"/>
      <c r="J4914" s="187">
        <v>0</v>
      </c>
      <c r="K4914" s="187"/>
      <c r="L4914" s="187"/>
      <c r="M4914" s="187">
        <v>0</v>
      </c>
      <c r="N4914" s="187">
        <v>0</v>
      </c>
      <c r="O4914" t="s">
        <v>5376</v>
      </c>
    </row>
    <row r="4915" spans="1:15" hidden="1" x14ac:dyDescent="0.45">
      <c r="A4915" s="187">
        <v>2021</v>
      </c>
      <c r="B4915" t="s">
        <v>313</v>
      </c>
      <c r="C4915" t="s">
        <v>328</v>
      </c>
      <c r="D4915" t="s">
        <v>39</v>
      </c>
      <c r="E4915" t="s">
        <v>361</v>
      </c>
      <c r="F4915" t="s">
        <v>361</v>
      </c>
      <c r="G4915" t="s">
        <v>36</v>
      </c>
      <c r="H4915" t="s">
        <v>43</v>
      </c>
      <c r="I4915" s="187"/>
      <c r="J4915" s="187"/>
      <c r="K4915" s="187"/>
      <c r="L4915" s="187"/>
      <c r="M4915" s="187">
        <v>0</v>
      </c>
      <c r="N4915" s="187">
        <v>0</v>
      </c>
      <c r="O4915" t="s">
        <v>5372</v>
      </c>
    </row>
    <row r="4916" spans="1:15" hidden="1" x14ac:dyDescent="0.45">
      <c r="A4916" s="187">
        <v>2021</v>
      </c>
      <c r="B4916" t="s">
        <v>310</v>
      </c>
      <c r="C4916" t="s">
        <v>328</v>
      </c>
      <c r="D4916" t="s">
        <v>39</v>
      </c>
      <c r="E4916" t="s">
        <v>361</v>
      </c>
      <c r="F4916" t="s">
        <v>361</v>
      </c>
      <c r="G4916" t="s">
        <v>36</v>
      </c>
      <c r="H4916" t="s">
        <v>43</v>
      </c>
      <c r="I4916" s="187"/>
      <c r="J4916" s="187"/>
      <c r="K4916" s="187"/>
      <c r="L4916" s="187"/>
      <c r="M4916" s="187">
        <v>0</v>
      </c>
      <c r="N4916" s="187">
        <v>0</v>
      </c>
      <c r="O4916" t="s">
        <v>5370</v>
      </c>
    </row>
    <row r="4917" spans="1:15" hidden="1" x14ac:dyDescent="0.45">
      <c r="A4917" s="187">
        <v>2021</v>
      </c>
      <c r="B4917" t="s">
        <v>315</v>
      </c>
      <c r="C4917" t="s">
        <v>328</v>
      </c>
      <c r="D4917" t="s">
        <v>39</v>
      </c>
      <c r="E4917" t="s">
        <v>361</v>
      </c>
      <c r="F4917" t="s">
        <v>361</v>
      </c>
      <c r="G4917" t="s">
        <v>36</v>
      </c>
      <c r="H4917" t="s">
        <v>43</v>
      </c>
      <c r="I4917" s="187">
        <v>0</v>
      </c>
      <c r="J4917" s="187"/>
      <c r="K4917" s="187"/>
      <c r="L4917" s="187"/>
      <c r="M4917" s="187">
        <v>0</v>
      </c>
      <c r="N4917" s="187">
        <v>0</v>
      </c>
      <c r="O4917" t="s">
        <v>5373</v>
      </c>
    </row>
    <row r="4918" spans="1:15" hidden="1" x14ac:dyDescent="0.45">
      <c r="A4918" s="187">
        <v>2021</v>
      </c>
      <c r="B4918" t="s">
        <v>311</v>
      </c>
      <c r="C4918" t="s">
        <v>328</v>
      </c>
      <c r="D4918" t="s">
        <v>39</v>
      </c>
      <c r="E4918" t="s">
        <v>362</v>
      </c>
      <c r="F4918" t="s">
        <v>362</v>
      </c>
      <c r="G4918" t="s">
        <v>36</v>
      </c>
      <c r="H4918" t="s">
        <v>43</v>
      </c>
      <c r="I4918" s="187"/>
      <c r="J4918" s="187">
        <v>99.030417237026896</v>
      </c>
      <c r="K4918" s="187">
        <v>2934.9070525599054</v>
      </c>
      <c r="L4918" s="187">
        <v>5048.2211516239713</v>
      </c>
      <c r="M4918" s="187">
        <v>8082.15869140625</v>
      </c>
      <c r="N4918" s="187">
        <v>5048.22119140625</v>
      </c>
      <c r="O4918" t="s">
        <v>5378</v>
      </c>
    </row>
    <row r="4919" spans="1:15" hidden="1" x14ac:dyDescent="0.45">
      <c r="A4919" s="187">
        <v>2021</v>
      </c>
      <c r="B4919" t="s">
        <v>313</v>
      </c>
      <c r="C4919" t="s">
        <v>328</v>
      </c>
      <c r="D4919" t="s">
        <v>39</v>
      </c>
      <c r="E4919" t="s">
        <v>362</v>
      </c>
      <c r="F4919" t="s">
        <v>362</v>
      </c>
      <c r="G4919" t="s">
        <v>36</v>
      </c>
      <c r="H4919" t="s">
        <v>43</v>
      </c>
      <c r="I4919" s="187">
        <v>2105.2772863070304</v>
      </c>
      <c r="J4919" s="187">
        <v>79.875018992678648</v>
      </c>
      <c r="K4919" s="187">
        <v>2789.5324137472844</v>
      </c>
      <c r="L4919" s="187">
        <v>2803.6131666430206</v>
      </c>
      <c r="M4919" s="187">
        <v>7778.2978515625</v>
      </c>
      <c r="N4919" s="187">
        <v>4908.890625</v>
      </c>
      <c r="O4919" t="s">
        <v>5383</v>
      </c>
    </row>
    <row r="4920" spans="1:15" hidden="1" x14ac:dyDescent="0.45">
      <c r="A4920" s="187">
        <v>2021</v>
      </c>
      <c r="B4920" t="s">
        <v>315</v>
      </c>
      <c r="C4920" t="s">
        <v>328</v>
      </c>
      <c r="D4920" t="s">
        <v>39</v>
      </c>
      <c r="E4920" t="s">
        <v>362</v>
      </c>
      <c r="F4920" t="s">
        <v>362</v>
      </c>
      <c r="G4920" t="s">
        <v>36</v>
      </c>
      <c r="H4920" t="s">
        <v>43</v>
      </c>
      <c r="I4920" s="187">
        <v>2068.488181559776</v>
      </c>
      <c r="J4920" s="187">
        <v>113.41580107769006</v>
      </c>
      <c r="K4920" s="187">
        <v>3315.3513284799114</v>
      </c>
      <c r="L4920" s="187">
        <v>3101.1120466099828</v>
      </c>
      <c r="M4920" s="187">
        <v>8598.3671875</v>
      </c>
      <c r="N4920" s="187">
        <v>5169.60009765625</v>
      </c>
      <c r="O4920" t="s">
        <v>5380</v>
      </c>
    </row>
    <row r="4921" spans="1:15" hidden="1" x14ac:dyDescent="0.45">
      <c r="A4921" s="187">
        <v>2021</v>
      </c>
      <c r="B4921" t="s">
        <v>310</v>
      </c>
      <c r="C4921" t="s">
        <v>328</v>
      </c>
      <c r="D4921" t="s">
        <v>39</v>
      </c>
      <c r="E4921" t="s">
        <v>362</v>
      </c>
      <c r="F4921" t="s">
        <v>362</v>
      </c>
      <c r="G4921" t="s">
        <v>36</v>
      </c>
      <c r="H4921" t="s">
        <v>43</v>
      </c>
      <c r="I4921" s="187"/>
      <c r="J4921" s="187">
        <v>93.515512606344174</v>
      </c>
      <c r="K4921" s="187">
        <v>2189.6941363363153</v>
      </c>
      <c r="L4921" s="187">
        <v>5412.2102920921689</v>
      </c>
      <c r="M4921" s="187">
        <v>7695.419921875</v>
      </c>
      <c r="N4921" s="187">
        <v>5412.21044921875</v>
      </c>
      <c r="O4921" t="s">
        <v>5382</v>
      </c>
    </row>
    <row r="4922" spans="1:15" hidden="1" x14ac:dyDescent="0.45">
      <c r="A4922" s="187">
        <v>2021</v>
      </c>
      <c r="B4922" t="s">
        <v>314</v>
      </c>
      <c r="C4922" t="s">
        <v>328</v>
      </c>
      <c r="D4922" t="s">
        <v>39</v>
      </c>
      <c r="E4922" t="s">
        <v>362</v>
      </c>
      <c r="F4922" t="s">
        <v>362</v>
      </c>
      <c r="G4922" t="s">
        <v>36</v>
      </c>
      <c r="H4922" t="s">
        <v>43</v>
      </c>
      <c r="I4922" s="187">
        <v>2124.9367969511527</v>
      </c>
      <c r="J4922" s="187">
        <v>83.222067765710946</v>
      </c>
      <c r="K4922" s="187">
        <v>2977.8853265427547</v>
      </c>
      <c r="L4922" s="187">
        <v>2851.7428554383619</v>
      </c>
      <c r="M4922" s="187">
        <v>8037.787109375</v>
      </c>
      <c r="N4922" s="187">
        <v>4976.6796875</v>
      </c>
      <c r="O4922" t="s">
        <v>5385</v>
      </c>
    </row>
    <row r="4923" spans="1:15" hidden="1" x14ac:dyDescent="0.45">
      <c r="A4923" s="187">
        <v>2021</v>
      </c>
      <c r="B4923" t="s">
        <v>316</v>
      </c>
      <c r="C4923" t="s">
        <v>328</v>
      </c>
      <c r="D4923" t="s">
        <v>39</v>
      </c>
      <c r="E4923" t="s">
        <v>362</v>
      </c>
      <c r="F4923" t="s">
        <v>362</v>
      </c>
      <c r="G4923" t="s">
        <v>36</v>
      </c>
      <c r="H4923" t="s">
        <v>43</v>
      </c>
      <c r="I4923" s="187">
        <v>1105.8978379992766</v>
      </c>
      <c r="J4923" s="187">
        <v>142.77794927815293</v>
      </c>
      <c r="K4923" s="187">
        <v>3249.0317348379822</v>
      </c>
      <c r="L4923" s="187">
        <v>3211.9750515388919</v>
      </c>
      <c r="M4923" s="187">
        <v>7709.6826171875</v>
      </c>
      <c r="N4923" s="187">
        <v>4317.873046875</v>
      </c>
      <c r="O4923" t="s">
        <v>5379</v>
      </c>
    </row>
    <row r="4924" spans="1:15" hidden="1" x14ac:dyDescent="0.45">
      <c r="A4924" s="187">
        <v>2021</v>
      </c>
      <c r="B4924" t="s">
        <v>317</v>
      </c>
      <c r="C4924" t="s">
        <v>328</v>
      </c>
      <c r="D4924" t="s">
        <v>39</v>
      </c>
      <c r="E4924" t="s">
        <v>362</v>
      </c>
      <c r="F4924" t="s">
        <v>362</v>
      </c>
      <c r="G4924" t="s">
        <v>36</v>
      </c>
      <c r="H4924" t="s">
        <v>43</v>
      </c>
      <c r="I4924" s="187">
        <v>1003.4552055119946</v>
      </c>
      <c r="J4924" s="187">
        <v>100.34552055119946</v>
      </c>
      <c r="K4924" s="187">
        <v>3407.4773069658745</v>
      </c>
      <c r="L4924" s="187">
        <v>3082.488959432158</v>
      </c>
      <c r="M4924" s="187">
        <v>7593.76708984375</v>
      </c>
      <c r="N4924" s="187">
        <v>4085.944091796875</v>
      </c>
      <c r="O4924" t="s">
        <v>5384</v>
      </c>
    </row>
    <row r="4925" spans="1:15" hidden="1" x14ac:dyDescent="0.45">
      <c r="A4925" s="187">
        <v>2021</v>
      </c>
      <c r="B4925" t="s">
        <v>309</v>
      </c>
      <c r="C4925" t="s">
        <v>328</v>
      </c>
      <c r="D4925" t="s">
        <v>39</v>
      </c>
      <c r="E4925" t="s">
        <v>362</v>
      </c>
      <c r="F4925" t="s">
        <v>362</v>
      </c>
      <c r="G4925" t="s">
        <v>36</v>
      </c>
      <c r="H4925" t="s">
        <v>43</v>
      </c>
      <c r="I4925" s="187"/>
      <c r="J4925" s="187">
        <v>612.22677558947532</v>
      </c>
      <c r="K4925" s="187">
        <v>2245.7619688041896</v>
      </c>
      <c r="L4925" s="187">
        <v>5571.9783194699721</v>
      </c>
      <c r="M4925" s="187">
        <v>8429.966796875</v>
      </c>
      <c r="N4925" s="187">
        <v>5571.978515625</v>
      </c>
      <c r="O4925" t="s">
        <v>5377</v>
      </c>
    </row>
    <row r="4926" spans="1:15" hidden="1" x14ac:dyDescent="0.45">
      <c r="A4926" s="187">
        <v>2021</v>
      </c>
      <c r="B4926" t="s">
        <v>312</v>
      </c>
      <c r="C4926" t="s">
        <v>328</v>
      </c>
      <c r="D4926" t="s">
        <v>39</v>
      </c>
      <c r="E4926" t="s">
        <v>362</v>
      </c>
      <c r="F4926" t="s">
        <v>362</v>
      </c>
      <c r="G4926" t="s">
        <v>36</v>
      </c>
      <c r="H4926" t="s">
        <v>43</v>
      </c>
      <c r="I4926" s="187">
        <v>2141.9431611443201</v>
      </c>
      <c r="J4926" s="187">
        <v>98.57963563792741</v>
      </c>
      <c r="K4926" s="187">
        <v>2409.2863522754019</v>
      </c>
      <c r="L4926" s="187">
        <v>2857.6496730806252</v>
      </c>
      <c r="M4926" s="187">
        <v>7507.458984375</v>
      </c>
      <c r="N4926" s="187">
        <v>4999.5927734375</v>
      </c>
      <c r="O4926" t="s">
        <v>5381</v>
      </c>
    </row>
    <row r="4927" spans="1:15" hidden="1" x14ac:dyDescent="0.45">
      <c r="A4927" s="187">
        <v>2021</v>
      </c>
      <c r="B4927" t="s">
        <v>311</v>
      </c>
      <c r="C4927" t="s">
        <v>328</v>
      </c>
      <c r="D4927" t="s">
        <v>39</v>
      </c>
      <c r="E4927" t="s">
        <v>362</v>
      </c>
      <c r="F4927" t="s">
        <v>362</v>
      </c>
      <c r="G4927" t="s">
        <v>37</v>
      </c>
      <c r="H4927" t="s">
        <v>43</v>
      </c>
      <c r="I4927" s="187"/>
      <c r="J4927" s="187">
        <v>96</v>
      </c>
      <c r="K4927" s="187">
        <v>2816.2033668746999</v>
      </c>
      <c r="L4927" s="187">
        <v>5082</v>
      </c>
      <c r="M4927" s="187">
        <v>7994.203125</v>
      </c>
      <c r="N4927" s="187">
        <v>5082</v>
      </c>
      <c r="O4927" t="s">
        <v>5391</v>
      </c>
    </row>
    <row r="4928" spans="1:15" hidden="1" x14ac:dyDescent="0.45">
      <c r="A4928" s="187">
        <v>2021</v>
      </c>
      <c r="B4928" t="s">
        <v>317</v>
      </c>
      <c r="C4928" t="s">
        <v>328</v>
      </c>
      <c r="D4928" t="s">
        <v>39</v>
      </c>
      <c r="E4928" t="s">
        <v>362</v>
      </c>
      <c r="F4928" t="s">
        <v>362</v>
      </c>
      <c r="G4928" t="s">
        <v>37</v>
      </c>
      <c r="H4928" t="s">
        <v>43</v>
      </c>
      <c r="I4928" s="187">
        <v>960</v>
      </c>
      <c r="J4928" s="187">
        <v>96</v>
      </c>
      <c r="K4928" s="187">
        <v>3259.9145400000002</v>
      </c>
      <c r="L4928" s="187">
        <v>2949</v>
      </c>
      <c r="M4928" s="187">
        <v>7264.91455078125</v>
      </c>
      <c r="N4928" s="187">
        <v>3909</v>
      </c>
      <c r="O4928" t="s">
        <v>5389</v>
      </c>
    </row>
    <row r="4929" spans="1:15" hidden="1" x14ac:dyDescent="0.45">
      <c r="A4929" s="187">
        <v>2021</v>
      </c>
      <c r="B4929" t="s">
        <v>316</v>
      </c>
      <c r="C4929" t="s">
        <v>328</v>
      </c>
      <c r="D4929" t="s">
        <v>39</v>
      </c>
      <c r="E4929" t="s">
        <v>362</v>
      </c>
      <c r="F4929" t="s">
        <v>362</v>
      </c>
      <c r="G4929" t="s">
        <v>37</v>
      </c>
      <c r="H4929" t="s">
        <v>43</v>
      </c>
      <c r="I4929" s="187">
        <v>1066.6707477120001</v>
      </c>
      <c r="J4929" s="187">
        <v>135</v>
      </c>
      <c r="K4929" s="187">
        <v>3105.997427095183</v>
      </c>
      <c r="L4929" s="187">
        <v>3108</v>
      </c>
      <c r="M4929" s="187">
        <v>7415.66796875</v>
      </c>
      <c r="N4929" s="187">
        <v>4174.6708984375</v>
      </c>
      <c r="O4929" t="s">
        <v>5394</v>
      </c>
    </row>
    <row r="4930" spans="1:15" hidden="1" x14ac:dyDescent="0.45">
      <c r="A4930" s="187">
        <v>2021</v>
      </c>
      <c r="B4930" t="s">
        <v>309</v>
      </c>
      <c r="C4930" t="s">
        <v>328</v>
      </c>
      <c r="D4930" t="s">
        <v>39</v>
      </c>
      <c r="E4930" t="s">
        <v>362</v>
      </c>
      <c r="F4930" t="s">
        <v>362</v>
      </c>
      <c r="G4930" t="s">
        <v>37</v>
      </c>
      <c r="H4930" t="s">
        <v>43</v>
      </c>
      <c r="I4930" s="187"/>
      <c r="J4930" s="187">
        <v>597.93619999999999</v>
      </c>
      <c r="K4930" s="187">
        <v>2252.2589510591069</v>
      </c>
      <c r="L4930" s="187">
        <v>5845</v>
      </c>
      <c r="M4930" s="187">
        <v>8695.1953125</v>
      </c>
      <c r="N4930" s="187">
        <v>5845</v>
      </c>
      <c r="O4930" t="s">
        <v>5392</v>
      </c>
    </row>
    <row r="4931" spans="1:15" hidden="1" x14ac:dyDescent="0.45">
      <c r="A4931" s="187">
        <v>2021</v>
      </c>
      <c r="B4931" t="s">
        <v>312</v>
      </c>
      <c r="C4931" t="s">
        <v>328</v>
      </c>
      <c r="D4931" t="s">
        <v>39</v>
      </c>
      <c r="E4931" t="s">
        <v>362</v>
      </c>
      <c r="F4931" t="s">
        <v>362</v>
      </c>
      <c r="G4931" t="s">
        <v>37</v>
      </c>
      <c r="H4931" t="s">
        <v>43</v>
      </c>
      <c r="I4931" s="187">
        <v>2004.983653013262</v>
      </c>
      <c r="J4931" s="187">
        <v>94</v>
      </c>
      <c r="K4931" s="187">
        <v>2286.5441160345999</v>
      </c>
      <c r="L4931" s="187">
        <v>2711</v>
      </c>
      <c r="M4931" s="187">
        <v>7096.52783203125</v>
      </c>
      <c r="N4931" s="187">
        <v>4715.9833984375</v>
      </c>
      <c r="O4931" t="s">
        <v>5387</v>
      </c>
    </row>
    <row r="4932" spans="1:15" hidden="1" x14ac:dyDescent="0.45">
      <c r="A4932" s="187">
        <v>2021</v>
      </c>
      <c r="B4932" t="s">
        <v>314</v>
      </c>
      <c r="C4932" t="s">
        <v>328</v>
      </c>
      <c r="D4932" t="s">
        <v>39</v>
      </c>
      <c r="E4932" t="s">
        <v>362</v>
      </c>
      <c r="F4932" t="s">
        <v>362</v>
      </c>
      <c r="G4932" t="s">
        <v>37</v>
      </c>
      <c r="H4932" t="s">
        <v>43</v>
      </c>
      <c r="I4932" s="187">
        <v>2033.209639736745</v>
      </c>
      <c r="J4932" s="187">
        <v>80</v>
      </c>
      <c r="K4932" s="187">
        <v>2853.1944594535998</v>
      </c>
      <c r="L4932" s="187">
        <v>2834</v>
      </c>
      <c r="M4932" s="187">
        <v>7800.40380859375</v>
      </c>
      <c r="N4932" s="187">
        <v>4867.20947265625</v>
      </c>
      <c r="O4932" t="s">
        <v>5390</v>
      </c>
    </row>
    <row r="4933" spans="1:15" hidden="1" x14ac:dyDescent="0.45">
      <c r="A4933" s="187">
        <v>2021</v>
      </c>
      <c r="B4933" t="s">
        <v>310</v>
      </c>
      <c r="C4933" t="s">
        <v>328</v>
      </c>
      <c r="D4933" t="s">
        <v>39</v>
      </c>
      <c r="E4933" t="s">
        <v>362</v>
      </c>
      <c r="F4933" t="s">
        <v>362</v>
      </c>
      <c r="G4933" t="s">
        <v>37</v>
      </c>
      <c r="H4933" t="s">
        <v>43</v>
      </c>
      <c r="I4933" s="187"/>
      <c r="J4933" s="187">
        <v>92</v>
      </c>
      <c r="K4933" s="187">
        <v>2160.3548249968189</v>
      </c>
      <c r="L4933" s="187">
        <v>5561</v>
      </c>
      <c r="M4933" s="187">
        <v>7813.3544921875</v>
      </c>
      <c r="N4933" s="187">
        <v>5561</v>
      </c>
      <c r="O4933" t="s">
        <v>5388</v>
      </c>
    </row>
    <row r="4934" spans="1:15" hidden="1" x14ac:dyDescent="0.45">
      <c r="A4934" s="187">
        <v>2021</v>
      </c>
      <c r="B4934" t="s">
        <v>313</v>
      </c>
      <c r="C4934" t="s">
        <v>328</v>
      </c>
      <c r="D4934" t="s">
        <v>39</v>
      </c>
      <c r="E4934" t="s">
        <v>362</v>
      </c>
      <c r="F4934" t="s">
        <v>362</v>
      </c>
      <c r="G4934" t="s">
        <v>37</v>
      </c>
      <c r="H4934" t="s">
        <v>43</v>
      </c>
      <c r="I4934" s="187">
        <v>1992.9733234353851</v>
      </c>
      <c r="J4934" s="187">
        <v>76</v>
      </c>
      <c r="K4934" s="187">
        <v>2634.3429614001752</v>
      </c>
      <c r="L4934" s="187">
        <v>2664</v>
      </c>
      <c r="M4934" s="187">
        <v>7367.31591796875</v>
      </c>
      <c r="N4934" s="187">
        <v>4656.97314453125</v>
      </c>
      <c r="O4934" t="s">
        <v>5386</v>
      </c>
    </row>
    <row r="4935" spans="1:15" hidden="1" x14ac:dyDescent="0.45">
      <c r="A4935" s="187">
        <v>2021</v>
      </c>
      <c r="B4935" t="s">
        <v>315</v>
      </c>
      <c r="C4935" t="s">
        <v>328</v>
      </c>
      <c r="D4935" t="s">
        <v>39</v>
      </c>
      <c r="E4935" t="s">
        <v>362</v>
      </c>
      <c r="F4935" t="s">
        <v>362</v>
      </c>
      <c r="G4935" t="s">
        <v>37</v>
      </c>
      <c r="H4935" t="s">
        <v>43</v>
      </c>
      <c r="I4935" s="187">
        <v>1992.7566791500001</v>
      </c>
      <c r="J4935" s="187">
        <v>107</v>
      </c>
      <c r="K4935" s="187">
        <v>3184.9809526515819</v>
      </c>
      <c r="L4935" s="187">
        <v>3014</v>
      </c>
      <c r="M4935" s="187">
        <v>8298.73828125</v>
      </c>
      <c r="N4935" s="187">
        <v>5006.7568359375</v>
      </c>
      <c r="O4935" t="s">
        <v>5393</v>
      </c>
    </row>
    <row r="4936" spans="1:15" hidden="1" x14ac:dyDescent="0.45">
      <c r="A4936" s="187">
        <v>2021</v>
      </c>
      <c r="B4936" t="s">
        <v>309</v>
      </c>
      <c r="C4936" t="s">
        <v>328</v>
      </c>
      <c r="D4936" t="s">
        <v>39</v>
      </c>
      <c r="E4936" t="s">
        <v>363</v>
      </c>
      <c r="F4936" t="s">
        <v>363</v>
      </c>
      <c r="G4936" t="s">
        <v>36</v>
      </c>
      <c r="H4936" t="s">
        <v>43</v>
      </c>
      <c r="I4936" s="187"/>
      <c r="J4936" s="187">
        <v>11.911026762441155</v>
      </c>
      <c r="K4936" s="187">
        <v>421.46024136993486</v>
      </c>
      <c r="L4936" s="187">
        <v>4781.0861424438799</v>
      </c>
      <c r="M4936" s="187">
        <v>5214.45751953125</v>
      </c>
      <c r="N4936" s="187">
        <v>4781.0859375</v>
      </c>
      <c r="O4936" t="s">
        <v>5396</v>
      </c>
    </row>
    <row r="4937" spans="1:15" hidden="1" x14ac:dyDescent="0.45">
      <c r="A4937" s="187">
        <v>2021</v>
      </c>
      <c r="B4937" t="s">
        <v>310</v>
      </c>
      <c r="C4937" t="s">
        <v>328</v>
      </c>
      <c r="D4937" t="s">
        <v>39</v>
      </c>
      <c r="E4937" t="s">
        <v>363</v>
      </c>
      <c r="F4937" t="s">
        <v>363</v>
      </c>
      <c r="G4937" t="s">
        <v>36</v>
      </c>
      <c r="H4937" t="s">
        <v>43</v>
      </c>
      <c r="I4937" s="187"/>
      <c r="J4937" s="187">
        <v>46.757756303172087</v>
      </c>
      <c r="K4937" s="187">
        <v>422.17755294329618</v>
      </c>
      <c r="L4937" s="187">
        <v>4450.1694561544027</v>
      </c>
      <c r="M4937" s="187">
        <v>4919.10498046875</v>
      </c>
      <c r="N4937" s="187">
        <v>4450.16943359375</v>
      </c>
      <c r="O4937" t="s">
        <v>5395</v>
      </c>
    </row>
    <row r="4938" spans="1:15" hidden="1" x14ac:dyDescent="0.45">
      <c r="A4938" s="187">
        <v>2021</v>
      </c>
      <c r="B4938" t="s">
        <v>312</v>
      </c>
      <c r="C4938" t="s">
        <v>328</v>
      </c>
      <c r="D4938" t="s">
        <v>39</v>
      </c>
      <c r="E4938" t="s">
        <v>363</v>
      </c>
      <c r="F4938" t="s">
        <v>363</v>
      </c>
      <c r="G4938" t="s">
        <v>36</v>
      </c>
      <c r="H4938" t="s">
        <v>43</v>
      </c>
      <c r="I4938" s="187">
        <v>2633.2512352831613</v>
      </c>
      <c r="J4938" s="187">
        <v>69.585625156184065</v>
      </c>
      <c r="K4938" s="187">
        <v>483.12443836354356</v>
      </c>
      <c r="L4938" s="187">
        <v>2269.6511405108699</v>
      </c>
      <c r="M4938" s="187">
        <v>5455.61279296875</v>
      </c>
      <c r="N4938" s="187">
        <v>4902.90234375</v>
      </c>
      <c r="O4938" t="s">
        <v>5403</v>
      </c>
    </row>
    <row r="4939" spans="1:15" hidden="1" x14ac:dyDescent="0.45">
      <c r="A4939" s="187">
        <v>2021</v>
      </c>
      <c r="B4939" t="s">
        <v>317</v>
      </c>
      <c r="C4939" t="s">
        <v>328</v>
      </c>
      <c r="D4939" t="s">
        <v>39</v>
      </c>
      <c r="E4939" t="s">
        <v>363</v>
      </c>
      <c r="F4939" t="s">
        <v>363</v>
      </c>
      <c r="G4939" t="s">
        <v>36</v>
      </c>
      <c r="H4939" t="s">
        <v>43</v>
      </c>
      <c r="I4939" s="187">
        <v>3308.2663806723572</v>
      </c>
      <c r="J4939" s="187">
        <v>30.312709333174837</v>
      </c>
      <c r="K4939" s="187">
        <v>634.35789388832075</v>
      </c>
      <c r="L4939" s="187">
        <v>2340.3502136889124</v>
      </c>
      <c r="M4939" s="187">
        <v>6313.287109375</v>
      </c>
      <c r="N4939" s="187">
        <v>5648.61669921875</v>
      </c>
      <c r="O4939" t="s">
        <v>5399</v>
      </c>
    </row>
    <row r="4940" spans="1:15" hidden="1" x14ac:dyDescent="0.45">
      <c r="A4940" s="187">
        <v>2021</v>
      </c>
      <c r="B4940" t="s">
        <v>314</v>
      </c>
      <c r="C4940" t="s">
        <v>328</v>
      </c>
      <c r="D4940" t="s">
        <v>39</v>
      </c>
      <c r="E4940" t="s">
        <v>363</v>
      </c>
      <c r="F4940" t="s">
        <v>363</v>
      </c>
      <c r="G4940" t="s">
        <v>36</v>
      </c>
      <c r="H4940" t="s">
        <v>43</v>
      </c>
      <c r="I4940" s="187">
        <v>3364.390792875141</v>
      </c>
      <c r="J4940" s="187">
        <v>55.481378510473967</v>
      </c>
      <c r="K4940" s="187">
        <v>450.6224540799725</v>
      </c>
      <c r="L4940" s="187">
        <v>2335.7660352909538</v>
      </c>
      <c r="M4940" s="187">
        <v>6206.2607421875</v>
      </c>
      <c r="N4940" s="187">
        <v>5700.15673828125</v>
      </c>
      <c r="O4940" t="s">
        <v>5402</v>
      </c>
    </row>
    <row r="4941" spans="1:15" hidden="1" x14ac:dyDescent="0.45">
      <c r="A4941" s="187">
        <v>2021</v>
      </c>
      <c r="B4941" t="s">
        <v>316</v>
      </c>
      <c r="C4941" t="s">
        <v>328</v>
      </c>
      <c r="D4941" t="s">
        <v>39</v>
      </c>
      <c r="E4941" t="s">
        <v>363</v>
      </c>
      <c r="F4941" t="s">
        <v>363</v>
      </c>
      <c r="G4941" t="s">
        <v>36</v>
      </c>
      <c r="H4941" t="s">
        <v>43</v>
      </c>
      <c r="I4941" s="187">
        <v>3267.7910343034573</v>
      </c>
      <c r="J4941" s="187">
        <v>47.592649759384308</v>
      </c>
      <c r="K4941" s="187">
        <v>642.9468783702041</v>
      </c>
      <c r="L4941" s="187">
        <v>2363.7682713827539</v>
      </c>
      <c r="M4941" s="187">
        <v>6322.0986328125</v>
      </c>
      <c r="N4941" s="187">
        <v>5631.55908203125</v>
      </c>
      <c r="O4941" t="s">
        <v>5400</v>
      </c>
    </row>
    <row r="4942" spans="1:15" hidden="1" x14ac:dyDescent="0.45">
      <c r="A4942" s="187">
        <v>2021</v>
      </c>
      <c r="B4942" t="s">
        <v>311</v>
      </c>
      <c r="C4942" t="s">
        <v>328</v>
      </c>
      <c r="D4942" t="s">
        <v>39</v>
      </c>
      <c r="E4942" t="s">
        <v>363</v>
      </c>
      <c r="F4942" t="s">
        <v>363</v>
      </c>
      <c r="G4942" t="s">
        <v>36</v>
      </c>
      <c r="H4942" t="s">
        <v>43</v>
      </c>
      <c r="I4942" s="187"/>
      <c r="J4942" s="187">
        <v>69.90382393201898</v>
      </c>
      <c r="K4942" s="187">
        <v>444.61072029337254</v>
      </c>
      <c r="L4942" s="187">
        <v>4557.7293203676381</v>
      </c>
      <c r="M4942" s="187">
        <v>5072.24365234375</v>
      </c>
      <c r="N4942" s="187">
        <v>4557.7294921875</v>
      </c>
      <c r="O4942" t="s">
        <v>5401</v>
      </c>
    </row>
    <row r="4943" spans="1:15" hidden="1" x14ac:dyDescent="0.45">
      <c r="A4943" s="187">
        <v>2021</v>
      </c>
      <c r="B4943" t="s">
        <v>315</v>
      </c>
      <c r="C4943" t="s">
        <v>328</v>
      </c>
      <c r="D4943" t="s">
        <v>39</v>
      </c>
      <c r="E4943" t="s">
        <v>363</v>
      </c>
      <c r="F4943" t="s">
        <v>363</v>
      </c>
      <c r="G4943" t="s">
        <v>36</v>
      </c>
      <c r="H4943" t="s">
        <v>43</v>
      </c>
      <c r="I4943" s="187">
        <v>3275.0162749291076</v>
      </c>
      <c r="J4943" s="187">
        <v>37.80526702589669</v>
      </c>
      <c r="K4943" s="187">
        <v>626.18770577864768</v>
      </c>
      <c r="L4943" s="187">
        <v>2359.0486624159535</v>
      </c>
      <c r="M4943" s="187">
        <v>6298.05810546875</v>
      </c>
      <c r="N4943" s="187">
        <v>5634.06494140625</v>
      </c>
      <c r="O4943" t="s">
        <v>5397</v>
      </c>
    </row>
    <row r="4944" spans="1:15" hidden="1" x14ac:dyDescent="0.45">
      <c r="A4944" s="187">
        <v>2021</v>
      </c>
      <c r="B4944" t="s">
        <v>313</v>
      </c>
      <c r="C4944" t="s">
        <v>328</v>
      </c>
      <c r="D4944" t="s">
        <v>39</v>
      </c>
      <c r="E4944" t="s">
        <v>363</v>
      </c>
      <c r="F4944" t="s">
        <v>363</v>
      </c>
      <c r="G4944" t="s">
        <v>36</v>
      </c>
      <c r="H4944" t="s">
        <v>43</v>
      </c>
      <c r="I4944" s="187">
        <v>3333.0749996812901</v>
      </c>
      <c r="J4944" s="187">
        <v>57.053584994770468</v>
      </c>
      <c r="K4944" s="187">
        <v>429.77287856467416</v>
      </c>
      <c r="L4944" s="187">
        <v>2350.6077017845432</v>
      </c>
      <c r="M4944" s="187">
        <v>6170.50927734375</v>
      </c>
      <c r="N4944" s="187">
        <v>5683.6826171875</v>
      </c>
      <c r="O4944" t="s">
        <v>5398</v>
      </c>
    </row>
    <row r="4945" spans="1:15" hidden="1" x14ac:dyDescent="0.45">
      <c r="A4945" s="187">
        <v>2021</v>
      </c>
      <c r="B4945" t="s">
        <v>315</v>
      </c>
      <c r="C4945" t="s">
        <v>328</v>
      </c>
      <c r="D4945" t="s">
        <v>39</v>
      </c>
      <c r="E4945" t="s">
        <v>363</v>
      </c>
      <c r="F4945" t="s">
        <v>363</v>
      </c>
      <c r="G4945" t="s">
        <v>37</v>
      </c>
      <c r="H4945" t="s">
        <v>43</v>
      </c>
      <c r="I4945" s="187">
        <v>3155.1113583199999</v>
      </c>
      <c r="J4945" s="187">
        <v>36</v>
      </c>
      <c r="K4945" s="187">
        <v>601.56397258929894</v>
      </c>
      <c r="L4945" s="187">
        <v>2293</v>
      </c>
      <c r="M4945" s="187">
        <v>6085.67529296875</v>
      </c>
      <c r="N4945" s="187">
        <v>5448.111328125</v>
      </c>
      <c r="O4945" t="s">
        <v>5410</v>
      </c>
    </row>
    <row r="4946" spans="1:15" hidden="1" x14ac:dyDescent="0.45">
      <c r="A4946" s="187">
        <v>2021</v>
      </c>
      <c r="B4946" t="s">
        <v>313</v>
      </c>
      <c r="C4946" t="s">
        <v>328</v>
      </c>
      <c r="D4946" t="s">
        <v>39</v>
      </c>
      <c r="E4946" t="s">
        <v>363</v>
      </c>
      <c r="F4946" t="s">
        <v>363</v>
      </c>
      <c r="G4946" t="s">
        <v>37</v>
      </c>
      <c r="H4946" t="s">
        <v>43</v>
      </c>
      <c r="I4946" s="187">
        <v>3155.275365662902</v>
      </c>
      <c r="J4946" s="187">
        <v>54</v>
      </c>
      <c r="K4946" s="187">
        <v>405.86341713328801</v>
      </c>
      <c r="L4946" s="187">
        <v>2233</v>
      </c>
      <c r="M4946" s="187">
        <v>5848.138671875</v>
      </c>
      <c r="N4946" s="187">
        <v>5388.275390625</v>
      </c>
      <c r="O4946" t="s">
        <v>5404</v>
      </c>
    </row>
    <row r="4947" spans="1:15" hidden="1" x14ac:dyDescent="0.45">
      <c r="A4947" s="187">
        <v>2021</v>
      </c>
      <c r="B4947" t="s">
        <v>312</v>
      </c>
      <c r="C4947" t="s">
        <v>328</v>
      </c>
      <c r="D4947" t="s">
        <v>39</v>
      </c>
      <c r="E4947" t="s">
        <v>363</v>
      </c>
      <c r="F4947" t="s">
        <v>363</v>
      </c>
      <c r="G4947" t="s">
        <v>37</v>
      </c>
      <c r="H4947" t="s">
        <v>43</v>
      </c>
      <c r="I4947" s="187">
        <v>2464.8766488271858</v>
      </c>
      <c r="J4947" s="187">
        <v>66</v>
      </c>
      <c r="K4947" s="187">
        <v>458.51143464511131</v>
      </c>
      <c r="L4947" s="187">
        <v>2153</v>
      </c>
      <c r="M4947" s="187">
        <v>5142.38818359375</v>
      </c>
      <c r="N4947" s="187">
        <v>4617.876953125</v>
      </c>
      <c r="O4947" t="s">
        <v>5409</v>
      </c>
    </row>
    <row r="4948" spans="1:15" hidden="1" x14ac:dyDescent="0.45">
      <c r="A4948" s="187">
        <v>2021</v>
      </c>
      <c r="B4948" t="s">
        <v>316</v>
      </c>
      <c r="C4948" t="s">
        <v>328</v>
      </c>
      <c r="D4948" t="s">
        <v>39</v>
      </c>
      <c r="E4948" t="s">
        <v>363</v>
      </c>
      <c r="F4948" t="s">
        <v>363</v>
      </c>
      <c r="G4948" t="s">
        <v>37</v>
      </c>
      <c r="H4948" t="s">
        <v>43</v>
      </c>
      <c r="I4948" s="187">
        <v>3151.879844736</v>
      </c>
      <c r="J4948" s="187">
        <v>45</v>
      </c>
      <c r="K4948" s="187">
        <v>614.64199581796834</v>
      </c>
      <c r="L4948" s="187">
        <v>2287</v>
      </c>
      <c r="M4948" s="187">
        <v>6098.52197265625</v>
      </c>
      <c r="N4948" s="187">
        <v>5438.8798828125</v>
      </c>
      <c r="O4948" t="s">
        <v>5411</v>
      </c>
    </row>
    <row r="4949" spans="1:15" hidden="1" x14ac:dyDescent="0.45">
      <c r="A4949" s="187">
        <v>2021</v>
      </c>
      <c r="B4949" t="s">
        <v>310</v>
      </c>
      <c r="C4949" t="s">
        <v>328</v>
      </c>
      <c r="D4949" t="s">
        <v>39</v>
      </c>
      <c r="E4949" t="s">
        <v>363</v>
      </c>
      <c r="F4949" t="s">
        <v>363</v>
      </c>
      <c r="G4949" t="s">
        <v>37</v>
      </c>
      <c r="H4949" t="s">
        <v>43</v>
      </c>
      <c r="I4949" s="187"/>
      <c r="J4949" s="187">
        <v>46</v>
      </c>
      <c r="K4949" s="187">
        <v>416.52087310805928</v>
      </c>
      <c r="L4949" s="187">
        <v>4572</v>
      </c>
      <c r="M4949" s="187">
        <v>5034.52099609375</v>
      </c>
      <c r="N4949" s="187">
        <v>4572</v>
      </c>
      <c r="O4949" t="s">
        <v>5407</v>
      </c>
    </row>
    <row r="4950" spans="1:15" hidden="1" x14ac:dyDescent="0.45">
      <c r="A4950" s="187">
        <v>2021</v>
      </c>
      <c r="B4950" t="s">
        <v>309</v>
      </c>
      <c r="C4950" t="s">
        <v>328</v>
      </c>
      <c r="D4950" t="s">
        <v>39</v>
      </c>
      <c r="E4950" t="s">
        <v>363</v>
      </c>
      <c r="F4950" t="s">
        <v>363</v>
      </c>
      <c r="G4950" t="s">
        <v>37</v>
      </c>
      <c r="H4950" t="s">
        <v>43</v>
      </c>
      <c r="I4950" s="187"/>
      <c r="J4950" s="187">
        <v>11.632999999999999</v>
      </c>
      <c r="K4950" s="187">
        <v>422.67952451185738</v>
      </c>
      <c r="L4950" s="187">
        <v>5015</v>
      </c>
      <c r="M4950" s="187">
        <v>5449.3125</v>
      </c>
      <c r="N4950" s="187">
        <v>5015</v>
      </c>
      <c r="O4950" t="s">
        <v>5405</v>
      </c>
    </row>
    <row r="4951" spans="1:15" hidden="1" x14ac:dyDescent="0.45">
      <c r="A4951" s="187">
        <v>2021</v>
      </c>
      <c r="B4951" t="s">
        <v>311</v>
      </c>
      <c r="C4951" t="s">
        <v>328</v>
      </c>
      <c r="D4951" t="s">
        <v>39</v>
      </c>
      <c r="E4951" t="s">
        <v>363</v>
      </c>
      <c r="F4951" t="s">
        <v>363</v>
      </c>
      <c r="G4951" t="s">
        <v>37</v>
      </c>
      <c r="H4951" t="s">
        <v>43</v>
      </c>
      <c r="I4951" s="187"/>
      <c r="J4951" s="187">
        <v>68</v>
      </c>
      <c r="K4951" s="187">
        <v>426.62823217745631</v>
      </c>
      <c r="L4951" s="187">
        <v>4587</v>
      </c>
      <c r="M4951" s="187">
        <v>5081.62841796875</v>
      </c>
      <c r="N4951" s="187">
        <v>4587</v>
      </c>
      <c r="O4951" t="s">
        <v>5412</v>
      </c>
    </row>
    <row r="4952" spans="1:15" hidden="1" x14ac:dyDescent="0.45">
      <c r="A4952" s="187">
        <v>2021</v>
      </c>
      <c r="B4952" t="s">
        <v>317</v>
      </c>
      <c r="C4952" t="s">
        <v>328</v>
      </c>
      <c r="D4952" t="s">
        <v>39</v>
      </c>
      <c r="E4952" t="s">
        <v>363</v>
      </c>
      <c r="F4952" t="s">
        <v>363</v>
      </c>
      <c r="G4952" t="s">
        <v>37</v>
      </c>
      <c r="H4952" t="s">
        <v>43</v>
      </c>
      <c r="I4952" s="187">
        <v>3165</v>
      </c>
      <c r="J4952" s="187">
        <v>29</v>
      </c>
      <c r="K4952" s="187">
        <v>606.88666000000001</v>
      </c>
      <c r="L4952" s="187">
        <v>2239</v>
      </c>
      <c r="M4952" s="187">
        <v>6039.88671875</v>
      </c>
      <c r="N4952" s="187">
        <v>5404</v>
      </c>
      <c r="O4952" t="s">
        <v>5406</v>
      </c>
    </row>
    <row r="4953" spans="1:15" hidden="1" x14ac:dyDescent="0.45">
      <c r="A4953" s="187">
        <v>2021</v>
      </c>
      <c r="B4953" t="s">
        <v>314</v>
      </c>
      <c r="C4953" t="s">
        <v>328</v>
      </c>
      <c r="D4953" t="s">
        <v>39</v>
      </c>
      <c r="E4953" t="s">
        <v>363</v>
      </c>
      <c r="F4953" t="s">
        <v>363</v>
      </c>
      <c r="G4953" t="s">
        <v>37</v>
      </c>
      <c r="H4953" t="s">
        <v>43</v>
      </c>
      <c r="I4953" s="187">
        <v>3219.1601188938962</v>
      </c>
      <c r="J4953" s="187">
        <v>53</v>
      </c>
      <c r="K4953" s="187">
        <v>431.75386165022059</v>
      </c>
      <c r="L4953" s="187">
        <v>2321</v>
      </c>
      <c r="M4953" s="187">
        <v>6024.9140625</v>
      </c>
      <c r="N4953" s="187">
        <v>5540.16015625</v>
      </c>
      <c r="O4953" t="s">
        <v>5408</v>
      </c>
    </row>
    <row r="4954" spans="1:15" hidden="1" x14ac:dyDescent="0.45">
      <c r="A4954" s="187">
        <v>2021</v>
      </c>
      <c r="B4954" t="s">
        <v>316</v>
      </c>
      <c r="C4954" t="s">
        <v>328</v>
      </c>
      <c r="D4954" t="s">
        <v>39</v>
      </c>
      <c r="E4954" t="s">
        <v>364</v>
      </c>
      <c r="F4954" t="s">
        <v>364</v>
      </c>
      <c r="G4954" t="s">
        <v>36</v>
      </c>
      <c r="H4954" t="s">
        <v>43</v>
      </c>
      <c r="I4954" s="187">
        <v>3033.8246373856173</v>
      </c>
      <c r="J4954" s="187">
        <v>920.12456201476334</v>
      </c>
      <c r="K4954" s="187">
        <v>5131.4790019647653</v>
      </c>
      <c r="L4954" s="187">
        <v>3062.8514156261544</v>
      </c>
      <c r="M4954" s="187">
        <v>12148.279296875</v>
      </c>
      <c r="N4954" s="187">
        <v>6096.67626953125</v>
      </c>
      <c r="O4954" t="s">
        <v>5415</v>
      </c>
    </row>
    <row r="4955" spans="1:15" hidden="1" x14ac:dyDescent="0.45">
      <c r="A4955" s="187">
        <v>2021</v>
      </c>
      <c r="B4955" t="s">
        <v>311</v>
      </c>
      <c r="C4955" t="s">
        <v>328</v>
      </c>
      <c r="D4955" t="s">
        <v>39</v>
      </c>
      <c r="E4955" t="s">
        <v>364</v>
      </c>
      <c r="F4955" t="s">
        <v>364</v>
      </c>
      <c r="G4955" t="s">
        <v>36</v>
      </c>
      <c r="H4955" t="s">
        <v>43</v>
      </c>
      <c r="I4955" s="187"/>
      <c r="J4955" s="187">
        <v>792.24333789621517</v>
      </c>
      <c r="K4955" s="187">
        <v>4486.5464465788409</v>
      </c>
      <c r="L4955" s="187">
        <v>11628.501111091358</v>
      </c>
      <c r="M4955" s="187">
        <v>16907.291015625</v>
      </c>
      <c r="N4955" s="187">
        <v>11628.5009765625</v>
      </c>
      <c r="O4955" t="s">
        <v>5414</v>
      </c>
    </row>
    <row r="4956" spans="1:15" hidden="1" x14ac:dyDescent="0.45">
      <c r="A4956" s="187">
        <v>2021</v>
      </c>
      <c r="B4956" t="s">
        <v>309</v>
      </c>
      <c r="C4956" t="s">
        <v>328</v>
      </c>
      <c r="D4956" t="s">
        <v>39</v>
      </c>
      <c r="E4956" t="s">
        <v>364</v>
      </c>
      <c r="F4956" t="s">
        <v>364</v>
      </c>
      <c r="G4956" t="s">
        <v>36</v>
      </c>
      <c r="H4956" t="s">
        <v>43</v>
      </c>
      <c r="I4956" s="187"/>
      <c r="J4956" s="187">
        <v>23.82205352488231</v>
      </c>
      <c r="K4956" s="187">
        <v>5103.2166338797815</v>
      </c>
      <c r="L4956" s="187">
        <v>5118.1681998209642</v>
      </c>
      <c r="M4956" s="187">
        <v>10245.20703125</v>
      </c>
      <c r="N4956" s="187">
        <v>5118.16796875</v>
      </c>
      <c r="O4956" t="s">
        <v>5419</v>
      </c>
    </row>
    <row r="4957" spans="1:15" hidden="1" x14ac:dyDescent="0.45">
      <c r="A4957" s="187">
        <v>2021</v>
      </c>
      <c r="B4957" t="s">
        <v>312</v>
      </c>
      <c r="C4957" t="s">
        <v>328</v>
      </c>
      <c r="D4957" t="s">
        <v>39</v>
      </c>
      <c r="E4957" t="s">
        <v>364</v>
      </c>
      <c r="F4957" t="s">
        <v>364</v>
      </c>
      <c r="G4957" t="s">
        <v>36</v>
      </c>
      <c r="H4957" t="s">
        <v>43</v>
      </c>
      <c r="I4957" s="187">
        <v>1433.4587681841222</v>
      </c>
      <c r="J4957" s="187">
        <v>788.63708510341928</v>
      </c>
      <c r="K4957" s="187">
        <v>4797.0115125952516</v>
      </c>
      <c r="L4957" s="187">
        <v>3503.6362266138672</v>
      </c>
      <c r="M4957" s="187">
        <v>10522.7431640625</v>
      </c>
      <c r="N4957" s="187">
        <v>4937.0947265625</v>
      </c>
      <c r="O4957" t="s">
        <v>5421</v>
      </c>
    </row>
    <row r="4958" spans="1:15" hidden="1" x14ac:dyDescent="0.45">
      <c r="A4958" s="187">
        <v>2021</v>
      </c>
      <c r="B4958" t="s">
        <v>313</v>
      </c>
      <c r="C4958" t="s">
        <v>328</v>
      </c>
      <c r="D4958" t="s">
        <v>39</v>
      </c>
      <c r="E4958" t="s">
        <v>364</v>
      </c>
      <c r="F4958" t="s">
        <v>364</v>
      </c>
      <c r="G4958" t="s">
        <v>36</v>
      </c>
      <c r="H4958" t="s">
        <v>43</v>
      </c>
      <c r="I4958" s="187">
        <v>1777.2374297342985</v>
      </c>
      <c r="J4958" s="187">
        <v>775.92875592887833</v>
      </c>
      <c r="K4958" s="187">
        <v>5068.0782721887754</v>
      </c>
      <c r="L4958" s="187">
        <v>2959.939989528692</v>
      </c>
      <c r="M4958" s="187">
        <v>10581.1845703125</v>
      </c>
      <c r="N4958" s="187">
        <v>4737.17724609375</v>
      </c>
      <c r="O4958" t="s">
        <v>5420</v>
      </c>
    </row>
    <row r="4959" spans="1:15" hidden="1" x14ac:dyDescent="0.45">
      <c r="A4959" s="187">
        <v>2021</v>
      </c>
      <c r="B4959" t="s">
        <v>315</v>
      </c>
      <c r="C4959" t="s">
        <v>328</v>
      </c>
      <c r="D4959" t="s">
        <v>39</v>
      </c>
      <c r="E4959" t="s">
        <v>364</v>
      </c>
      <c r="F4959" t="s">
        <v>364</v>
      </c>
      <c r="G4959" t="s">
        <v>36</v>
      </c>
      <c r="H4959" t="s">
        <v>43</v>
      </c>
      <c r="I4959" s="187">
        <v>1746.603336596427</v>
      </c>
      <c r="J4959" s="187">
        <v>739.90308322112094</v>
      </c>
      <c r="K4959" s="187">
        <v>5176.7663489400247</v>
      </c>
      <c r="L4959" s="187">
        <v>2544.8345460860742</v>
      </c>
      <c r="M4959" s="187">
        <v>10208.107421875</v>
      </c>
      <c r="N4959" s="187">
        <v>4291.43798828125</v>
      </c>
      <c r="O4959" t="s">
        <v>5416</v>
      </c>
    </row>
    <row r="4960" spans="1:15" hidden="1" x14ac:dyDescent="0.45">
      <c r="A4960" s="187">
        <v>2021</v>
      </c>
      <c r="B4960" t="s">
        <v>314</v>
      </c>
      <c r="C4960" t="s">
        <v>328</v>
      </c>
      <c r="D4960" t="s">
        <v>39</v>
      </c>
      <c r="E4960" t="s">
        <v>364</v>
      </c>
      <c r="F4960" t="s">
        <v>364</v>
      </c>
      <c r="G4960" t="s">
        <v>36</v>
      </c>
      <c r="H4960" t="s">
        <v>43</v>
      </c>
      <c r="I4960" s="187">
        <v>1794.267781028728</v>
      </c>
      <c r="J4960" s="187">
        <v>765.64302344454075</v>
      </c>
      <c r="K4960" s="187">
        <v>5166.7503258945817</v>
      </c>
      <c r="L4960" s="187">
        <v>2700.8335058898724</v>
      </c>
      <c r="M4960" s="187">
        <v>10427.4951171875</v>
      </c>
      <c r="N4960" s="187">
        <v>4495.1015625</v>
      </c>
      <c r="O4960" t="s">
        <v>5418</v>
      </c>
    </row>
    <row r="4961" spans="1:15" hidden="1" x14ac:dyDescent="0.45">
      <c r="A4961" s="187">
        <v>2021</v>
      </c>
      <c r="B4961" t="s">
        <v>310</v>
      </c>
      <c r="C4961" t="s">
        <v>328</v>
      </c>
      <c r="D4961" t="s">
        <v>39</v>
      </c>
      <c r="E4961" t="s">
        <v>364</v>
      </c>
      <c r="F4961" t="s">
        <v>364</v>
      </c>
      <c r="G4961" t="s">
        <v>36</v>
      </c>
      <c r="H4961" t="s">
        <v>43</v>
      </c>
      <c r="I4961" s="187"/>
      <c r="J4961" s="187">
        <v>771.50297900233943</v>
      </c>
      <c r="K4961" s="187">
        <v>4175.9798574041288</v>
      </c>
      <c r="L4961" s="187">
        <v>4609.1458275851883</v>
      </c>
      <c r="M4961" s="187">
        <v>9556.62890625</v>
      </c>
      <c r="N4961" s="187">
        <v>4609.14599609375</v>
      </c>
      <c r="O4961" t="s">
        <v>5413</v>
      </c>
    </row>
    <row r="4962" spans="1:15" hidden="1" x14ac:dyDescent="0.45">
      <c r="A4962" s="187">
        <v>2021</v>
      </c>
      <c r="B4962" t="s">
        <v>317</v>
      </c>
      <c r="C4962" t="s">
        <v>328</v>
      </c>
      <c r="D4962" t="s">
        <v>39</v>
      </c>
      <c r="E4962" t="s">
        <v>364</v>
      </c>
      <c r="F4962" t="s">
        <v>364</v>
      </c>
      <c r="G4962" t="s">
        <v>36</v>
      </c>
      <c r="H4962" t="s">
        <v>43</v>
      </c>
      <c r="I4962" s="187">
        <v>2801.3124487209848</v>
      </c>
      <c r="J4962" s="187">
        <v>729.59555567434609</v>
      </c>
      <c r="K4962" s="187">
        <v>4583.1680796601395</v>
      </c>
      <c r="L4962" s="187">
        <v>3169.2460240753826</v>
      </c>
      <c r="M4962" s="187">
        <v>11283.322265625</v>
      </c>
      <c r="N4962" s="187">
        <v>5970.55859375</v>
      </c>
      <c r="O4962" t="s">
        <v>5417</v>
      </c>
    </row>
    <row r="4963" spans="1:15" hidden="1" x14ac:dyDescent="0.45">
      <c r="A4963" s="187">
        <v>2021</v>
      </c>
      <c r="B4963" t="s">
        <v>309</v>
      </c>
      <c r="C4963" t="s">
        <v>328</v>
      </c>
      <c r="D4963" t="s">
        <v>39</v>
      </c>
      <c r="E4963" t="s">
        <v>364</v>
      </c>
      <c r="F4963" t="s">
        <v>364</v>
      </c>
      <c r="G4963" t="s">
        <v>37</v>
      </c>
      <c r="H4963" t="s">
        <v>43</v>
      </c>
      <c r="I4963" s="187"/>
      <c r="J4963" s="187">
        <v>23.265999999999998</v>
      </c>
      <c r="K4963" s="187">
        <v>5117.9802234203826</v>
      </c>
      <c r="L4963" s="187">
        <v>5369</v>
      </c>
      <c r="M4963" s="187">
        <v>10510.24609375</v>
      </c>
      <c r="N4963" s="187">
        <v>5369</v>
      </c>
      <c r="O4963" t="s">
        <v>5423</v>
      </c>
    </row>
    <row r="4964" spans="1:15" hidden="1" x14ac:dyDescent="0.45">
      <c r="A4964" s="187">
        <v>2021</v>
      </c>
      <c r="B4964" t="s">
        <v>312</v>
      </c>
      <c r="C4964" t="s">
        <v>328</v>
      </c>
      <c r="D4964" t="s">
        <v>39</v>
      </c>
      <c r="E4964" t="s">
        <v>364</v>
      </c>
      <c r="F4964" t="s">
        <v>364</v>
      </c>
      <c r="G4964" t="s">
        <v>37</v>
      </c>
      <c r="H4964" t="s">
        <v>43</v>
      </c>
      <c r="I4964" s="187">
        <v>1341.8009635429551</v>
      </c>
      <c r="J4964" s="187">
        <v>751</v>
      </c>
      <c r="K4964" s="187">
        <v>4552.625485266979</v>
      </c>
      <c r="L4964" s="187">
        <v>3324</v>
      </c>
      <c r="M4964" s="187">
        <v>9969.42578125</v>
      </c>
      <c r="N4964" s="187">
        <v>4665.80078125</v>
      </c>
      <c r="O4964" t="s">
        <v>5425</v>
      </c>
    </row>
    <row r="4965" spans="1:15" hidden="1" x14ac:dyDescent="0.45">
      <c r="A4965" s="187">
        <v>2021</v>
      </c>
      <c r="B4965" t="s">
        <v>317</v>
      </c>
      <c r="C4965" t="s">
        <v>328</v>
      </c>
      <c r="D4965" t="s">
        <v>39</v>
      </c>
      <c r="E4965" t="s">
        <v>364</v>
      </c>
      <c r="F4965" t="s">
        <v>364</v>
      </c>
      <c r="G4965" t="s">
        <v>37</v>
      </c>
      <c r="H4965" t="s">
        <v>43</v>
      </c>
      <c r="I4965" s="187">
        <v>2680</v>
      </c>
      <c r="J4965" s="187">
        <v>698</v>
      </c>
      <c r="K4965" s="187">
        <v>4384.6913467639997</v>
      </c>
      <c r="L4965" s="187">
        <v>3032</v>
      </c>
      <c r="M4965" s="187">
        <v>10794.69140625</v>
      </c>
      <c r="N4965" s="187">
        <v>5712</v>
      </c>
      <c r="O4965" t="s">
        <v>5428</v>
      </c>
    </row>
    <row r="4966" spans="1:15" hidden="1" x14ac:dyDescent="0.45">
      <c r="A4966" s="187">
        <v>2021</v>
      </c>
      <c r="B4966" t="s">
        <v>313</v>
      </c>
      <c r="C4966" t="s">
        <v>328</v>
      </c>
      <c r="D4966" t="s">
        <v>39</v>
      </c>
      <c r="E4966" t="s">
        <v>364</v>
      </c>
      <c r="F4966" t="s">
        <v>364</v>
      </c>
      <c r="G4966" t="s">
        <v>37</v>
      </c>
      <c r="H4966" t="s">
        <v>43</v>
      </c>
      <c r="I4966" s="187">
        <v>1682.4324329668229</v>
      </c>
      <c r="J4966" s="187">
        <v>736</v>
      </c>
      <c r="K4966" s="187">
        <v>4786.1269718069643</v>
      </c>
      <c r="L4966" s="187">
        <v>2812</v>
      </c>
      <c r="M4966" s="187">
        <v>10016.5595703125</v>
      </c>
      <c r="N4966" s="187">
        <v>4494.4326171875</v>
      </c>
      <c r="O4966" t="s">
        <v>5429</v>
      </c>
    </row>
    <row r="4967" spans="1:15" hidden="1" x14ac:dyDescent="0.45">
      <c r="A4967" s="187">
        <v>2021</v>
      </c>
      <c r="B4967" t="s">
        <v>310</v>
      </c>
      <c r="C4967" t="s">
        <v>328</v>
      </c>
      <c r="D4967" t="s">
        <v>39</v>
      </c>
      <c r="E4967" t="s">
        <v>364</v>
      </c>
      <c r="F4967" t="s">
        <v>364</v>
      </c>
      <c r="G4967" t="s">
        <v>37</v>
      </c>
      <c r="H4967" t="s">
        <v>43</v>
      </c>
      <c r="I4967" s="187"/>
      <c r="J4967" s="187">
        <v>761</v>
      </c>
      <c r="K4967" s="187">
        <v>4120.0266668873765</v>
      </c>
      <c r="L4967" s="187">
        <v>4735</v>
      </c>
      <c r="M4967" s="187">
        <v>9616.02734375</v>
      </c>
      <c r="N4967" s="187">
        <v>4735</v>
      </c>
      <c r="O4967" t="s">
        <v>5426</v>
      </c>
    </row>
    <row r="4968" spans="1:15" hidden="1" x14ac:dyDescent="0.45">
      <c r="A4968" s="187">
        <v>2021</v>
      </c>
      <c r="B4968" t="s">
        <v>316</v>
      </c>
      <c r="C4968" t="s">
        <v>328</v>
      </c>
      <c r="D4968" t="s">
        <v>39</v>
      </c>
      <c r="E4968" t="s">
        <v>364</v>
      </c>
      <c r="F4968" t="s">
        <v>364</v>
      </c>
      <c r="G4968" t="s">
        <v>37</v>
      </c>
      <c r="H4968" t="s">
        <v>43</v>
      </c>
      <c r="I4968" s="187">
        <v>2926.2124250480001</v>
      </c>
      <c r="J4968" s="187">
        <v>870</v>
      </c>
      <c r="K4968" s="187">
        <v>4905.5724529850768</v>
      </c>
      <c r="L4968" s="187">
        <v>2963</v>
      </c>
      <c r="M4968" s="187">
        <v>11664.78515625</v>
      </c>
      <c r="N4968" s="187">
        <v>5889.21240234375</v>
      </c>
      <c r="O4968" t="s">
        <v>5422</v>
      </c>
    </row>
    <row r="4969" spans="1:15" hidden="1" x14ac:dyDescent="0.45">
      <c r="A4969" s="187">
        <v>2021</v>
      </c>
      <c r="B4969" t="s">
        <v>311</v>
      </c>
      <c r="C4969" t="s">
        <v>328</v>
      </c>
      <c r="D4969" t="s">
        <v>39</v>
      </c>
      <c r="E4969" t="s">
        <v>364</v>
      </c>
      <c r="F4969" t="s">
        <v>364</v>
      </c>
      <c r="G4969" t="s">
        <v>37</v>
      </c>
      <c r="H4969" t="s">
        <v>43</v>
      </c>
      <c r="I4969" s="187"/>
      <c r="J4969" s="187">
        <v>767</v>
      </c>
      <c r="K4969" s="187">
        <v>4305.0859813343804</v>
      </c>
      <c r="L4969" s="187">
        <v>11705</v>
      </c>
      <c r="M4969" s="187">
        <v>16777.0859375</v>
      </c>
      <c r="N4969" s="187">
        <v>11705</v>
      </c>
      <c r="O4969" t="s">
        <v>5427</v>
      </c>
    </row>
    <row r="4970" spans="1:15" hidden="1" x14ac:dyDescent="0.45">
      <c r="A4970" s="187">
        <v>2021</v>
      </c>
      <c r="B4970" t="s">
        <v>315</v>
      </c>
      <c r="C4970" t="s">
        <v>328</v>
      </c>
      <c r="D4970" t="s">
        <v>39</v>
      </c>
      <c r="E4970" t="s">
        <v>364</v>
      </c>
      <c r="F4970" t="s">
        <v>364</v>
      </c>
      <c r="G4970" t="s">
        <v>37</v>
      </c>
      <c r="H4970" t="s">
        <v>43</v>
      </c>
      <c r="I4970" s="187">
        <v>1682.6566841700001</v>
      </c>
      <c r="J4970" s="187">
        <v>699</v>
      </c>
      <c r="K4970" s="187">
        <v>4973.1990923753337</v>
      </c>
      <c r="L4970" s="187">
        <v>2474</v>
      </c>
      <c r="M4970" s="187">
        <v>9828.85546875</v>
      </c>
      <c r="N4970" s="187">
        <v>4156.65673828125</v>
      </c>
      <c r="O4970" t="s">
        <v>5430</v>
      </c>
    </row>
    <row r="4971" spans="1:15" hidden="1" x14ac:dyDescent="0.45">
      <c r="A4971" s="187">
        <v>2021</v>
      </c>
      <c r="B4971" t="s">
        <v>314</v>
      </c>
      <c r="C4971" t="s">
        <v>328</v>
      </c>
      <c r="D4971" t="s">
        <v>39</v>
      </c>
      <c r="E4971" t="s">
        <v>364</v>
      </c>
      <c r="F4971" t="s">
        <v>364</v>
      </c>
      <c r="G4971" t="s">
        <v>37</v>
      </c>
      <c r="H4971" t="s">
        <v>43</v>
      </c>
      <c r="I4971" s="187">
        <v>1716.8146148586511</v>
      </c>
      <c r="J4971" s="187">
        <v>732</v>
      </c>
      <c r="K4971" s="187">
        <v>4950.4066767867371</v>
      </c>
      <c r="L4971" s="187">
        <v>2684</v>
      </c>
      <c r="M4971" s="187">
        <v>10083.220703125</v>
      </c>
      <c r="N4971" s="187">
        <v>4400.814453125</v>
      </c>
      <c r="O4971" t="s">
        <v>5424</v>
      </c>
    </row>
    <row r="4972" spans="1:15" hidden="1" x14ac:dyDescent="0.45">
      <c r="A4972" s="187">
        <v>2021</v>
      </c>
      <c r="B4972" t="s">
        <v>316</v>
      </c>
      <c r="C4972" t="s">
        <v>328</v>
      </c>
      <c r="D4972" t="s">
        <v>39</v>
      </c>
      <c r="E4972" t="s">
        <v>365</v>
      </c>
      <c r="F4972" t="s">
        <v>375</v>
      </c>
      <c r="G4972" t="s">
        <v>36</v>
      </c>
      <c r="H4972" t="s">
        <v>43</v>
      </c>
      <c r="I4972" s="187">
        <v>10525.365794758383</v>
      </c>
      <c r="J4972" s="187">
        <v>2464.2416430970097</v>
      </c>
      <c r="K4972" s="187">
        <v>18422.817588082555</v>
      </c>
      <c r="L4972" s="187">
        <v>13893.880886422925</v>
      </c>
      <c r="M4972" s="187">
        <v>45306.30859375</v>
      </c>
      <c r="N4972" s="187">
        <v>24419.248046875</v>
      </c>
      <c r="O4972" t="s">
        <v>5433</v>
      </c>
    </row>
    <row r="4973" spans="1:15" hidden="1" x14ac:dyDescent="0.45">
      <c r="A4973" s="187">
        <v>2021</v>
      </c>
      <c r="B4973" t="s">
        <v>314</v>
      </c>
      <c r="C4973" t="s">
        <v>328</v>
      </c>
      <c r="D4973" t="s">
        <v>39</v>
      </c>
      <c r="E4973" t="s">
        <v>365</v>
      </c>
      <c r="F4973" t="s">
        <v>375</v>
      </c>
      <c r="G4973" t="s">
        <v>36</v>
      </c>
      <c r="H4973" t="s">
        <v>43</v>
      </c>
      <c r="I4973" s="187">
        <v>9242.0880322747525</v>
      </c>
      <c r="J4973" s="187">
        <v>1836.4336286966882</v>
      </c>
      <c r="K4973" s="187">
        <v>17712.642488212547</v>
      </c>
      <c r="L4973" s="187">
        <v>12954.901882195671</v>
      </c>
      <c r="M4973" s="187">
        <v>41746.06640625</v>
      </c>
      <c r="N4973" s="187">
        <v>22196.990234375</v>
      </c>
      <c r="O4973" t="s">
        <v>5437</v>
      </c>
    </row>
    <row r="4974" spans="1:15" hidden="1" x14ac:dyDescent="0.45">
      <c r="A4974" s="187">
        <v>2021</v>
      </c>
      <c r="B4974" t="s">
        <v>317</v>
      </c>
      <c r="C4974" t="s">
        <v>328</v>
      </c>
      <c r="D4974" t="s">
        <v>39</v>
      </c>
      <c r="E4974" t="s">
        <v>365</v>
      </c>
      <c r="F4974" t="s">
        <v>375</v>
      </c>
      <c r="G4974" t="s">
        <v>36</v>
      </c>
      <c r="H4974" t="s">
        <v>43</v>
      </c>
      <c r="I4974" s="187">
        <v>10194.477728498419</v>
      </c>
      <c r="J4974" s="187">
        <v>2104.1201340579637</v>
      </c>
      <c r="K4974" s="187">
        <v>19056.382703886178</v>
      </c>
      <c r="L4974" s="187">
        <v>13717.02360618115</v>
      </c>
      <c r="M4974" s="187">
        <v>45072.00390625</v>
      </c>
      <c r="N4974" s="187">
        <v>23911.501953125</v>
      </c>
      <c r="O4974" t="s">
        <v>5439</v>
      </c>
    </row>
    <row r="4975" spans="1:15" hidden="1" x14ac:dyDescent="0.45">
      <c r="A4975" s="187">
        <v>2021</v>
      </c>
      <c r="B4975" t="s">
        <v>312</v>
      </c>
      <c r="C4975" t="s">
        <v>328</v>
      </c>
      <c r="D4975" t="s">
        <v>39</v>
      </c>
      <c r="E4975" t="s">
        <v>365</v>
      </c>
      <c r="F4975" t="s">
        <v>375</v>
      </c>
      <c r="G4975" t="s">
        <v>36</v>
      </c>
      <c r="H4975" t="s">
        <v>43</v>
      </c>
      <c r="I4975" s="187">
        <v>8110.2763715151896</v>
      </c>
      <c r="J4975" s="187">
        <v>1844.0190666388776</v>
      </c>
      <c r="K4975" s="187">
        <v>18936.979422764543</v>
      </c>
      <c r="L4975" s="187">
        <v>13659.658218158931</v>
      </c>
      <c r="M4975" s="187">
        <v>42550.93359375</v>
      </c>
      <c r="N4975" s="187">
        <v>21769.935546875</v>
      </c>
      <c r="O4975" t="s">
        <v>5435</v>
      </c>
    </row>
    <row r="4976" spans="1:15" hidden="1" x14ac:dyDescent="0.45">
      <c r="A4976" s="187">
        <v>2021</v>
      </c>
      <c r="B4976" t="s">
        <v>313</v>
      </c>
      <c r="C4976" t="s">
        <v>328</v>
      </c>
      <c r="D4976" t="s">
        <v>39</v>
      </c>
      <c r="E4976" t="s">
        <v>365</v>
      </c>
      <c r="F4976" t="s">
        <v>375</v>
      </c>
      <c r="G4976" t="s">
        <v>36</v>
      </c>
      <c r="H4976" t="s">
        <v>43</v>
      </c>
      <c r="I4976" s="187">
        <v>9155.5941770167992</v>
      </c>
      <c r="J4976" s="187">
        <v>1825.714719832655</v>
      </c>
      <c r="K4976" s="187">
        <v>18711.622778591052</v>
      </c>
      <c r="L4976" s="187">
        <v>13437.260337968341</v>
      </c>
      <c r="M4976" s="187">
        <v>43130.19140625</v>
      </c>
      <c r="N4976" s="187">
        <v>22592.853515625</v>
      </c>
      <c r="O4976" t="s">
        <v>5431</v>
      </c>
    </row>
    <row r="4977" spans="1:15" hidden="1" x14ac:dyDescent="0.45">
      <c r="A4977" s="187">
        <v>2021</v>
      </c>
      <c r="B4977" t="s">
        <v>309</v>
      </c>
      <c r="C4977" t="s">
        <v>328</v>
      </c>
      <c r="D4977" t="s">
        <v>39</v>
      </c>
      <c r="E4977" t="s">
        <v>365</v>
      </c>
      <c r="F4977" t="s">
        <v>375</v>
      </c>
      <c r="G4977" t="s">
        <v>36</v>
      </c>
      <c r="H4977" t="s">
        <v>43</v>
      </c>
      <c r="I4977" s="187"/>
      <c r="J4977" s="187">
        <v>1681.8369788566911</v>
      </c>
      <c r="K4977" s="187">
        <v>18889.937012479477</v>
      </c>
      <c r="L4977" s="187">
        <v>25658.733851650737</v>
      </c>
      <c r="M4977" s="187">
        <v>46230.5078125</v>
      </c>
      <c r="N4977" s="187">
        <v>25658.734375</v>
      </c>
      <c r="O4977" t="s">
        <v>5436</v>
      </c>
    </row>
    <row r="4978" spans="1:15" hidden="1" x14ac:dyDescent="0.45">
      <c r="A4978" s="187">
        <v>2021</v>
      </c>
      <c r="B4978" t="s">
        <v>315</v>
      </c>
      <c r="C4978" t="s">
        <v>328</v>
      </c>
      <c r="D4978" t="s">
        <v>39</v>
      </c>
      <c r="E4978" t="s">
        <v>365</v>
      </c>
      <c r="F4978" t="s">
        <v>375</v>
      </c>
      <c r="G4978" t="s">
        <v>36</v>
      </c>
      <c r="H4978" t="s">
        <v>43</v>
      </c>
      <c r="I4978" s="187">
        <v>8996.5734016769584</v>
      </c>
      <c r="J4978" s="187">
        <v>1982.0761426434406</v>
      </c>
      <c r="K4978" s="187">
        <v>18314.835822705885</v>
      </c>
      <c r="L4978" s="187">
        <v>13196.198493010852</v>
      </c>
      <c r="M4978" s="187">
        <v>42489.68359375</v>
      </c>
      <c r="N4978" s="187">
        <v>22192.771484375</v>
      </c>
      <c r="O4978" t="s">
        <v>5438</v>
      </c>
    </row>
    <row r="4979" spans="1:15" hidden="1" x14ac:dyDescent="0.45">
      <c r="A4979" s="187">
        <v>2021</v>
      </c>
      <c r="B4979" t="s">
        <v>310</v>
      </c>
      <c r="C4979" t="s">
        <v>328</v>
      </c>
      <c r="D4979" t="s">
        <v>39</v>
      </c>
      <c r="E4979" t="s">
        <v>365</v>
      </c>
      <c r="F4979" t="s">
        <v>375</v>
      </c>
      <c r="G4979" t="s">
        <v>36</v>
      </c>
      <c r="H4979" t="s">
        <v>43</v>
      </c>
      <c r="I4979" s="187"/>
      <c r="J4979" s="187">
        <v>1950.9000574788979</v>
      </c>
      <c r="K4979" s="187">
        <v>17965.950804341988</v>
      </c>
      <c r="L4979" s="187">
        <v>23893.213470920935</v>
      </c>
      <c r="M4979" s="187">
        <v>43810.06640625</v>
      </c>
      <c r="N4979" s="187">
        <v>23893.212890625</v>
      </c>
      <c r="O4979" t="s">
        <v>5434</v>
      </c>
    </row>
    <row r="4980" spans="1:15" hidden="1" x14ac:dyDescent="0.45">
      <c r="A4980" s="187">
        <v>2021</v>
      </c>
      <c r="B4980" t="s">
        <v>311</v>
      </c>
      <c r="C4980" t="s">
        <v>328</v>
      </c>
      <c r="D4980" t="s">
        <v>39</v>
      </c>
      <c r="E4980" t="s">
        <v>365</v>
      </c>
      <c r="F4980" t="s">
        <v>375</v>
      </c>
      <c r="G4980" t="s">
        <v>36</v>
      </c>
      <c r="H4980" t="s">
        <v>43</v>
      </c>
      <c r="I4980" s="187"/>
      <c r="J4980" s="187">
        <v>1852.4513341985032</v>
      </c>
      <c r="K4980" s="187">
        <v>18286.989282532111</v>
      </c>
      <c r="L4980" s="187">
        <v>21882.227018186342</v>
      </c>
      <c r="M4980" s="187">
        <v>42021.66796875</v>
      </c>
      <c r="N4980" s="187">
        <v>21882.2265625</v>
      </c>
      <c r="O4980" t="s">
        <v>5432</v>
      </c>
    </row>
    <row r="4981" spans="1:15" hidden="1" x14ac:dyDescent="0.45">
      <c r="A4981" s="187">
        <v>2021</v>
      </c>
      <c r="B4981" t="s">
        <v>315</v>
      </c>
      <c r="C4981" t="s">
        <v>328</v>
      </c>
      <c r="D4981" t="s">
        <v>39</v>
      </c>
      <c r="E4981" t="s">
        <v>365</v>
      </c>
      <c r="F4981" t="s">
        <v>375</v>
      </c>
      <c r="G4981" t="s">
        <v>37</v>
      </c>
      <c r="H4981" t="s">
        <v>43</v>
      </c>
      <c r="I4981" s="187">
        <v>8667.1907992899996</v>
      </c>
      <c r="J4981" s="187">
        <v>1872</v>
      </c>
      <c r="K4981" s="187">
        <v>17594.637028409441</v>
      </c>
      <c r="L4981" s="187">
        <v>12827</v>
      </c>
      <c r="M4981" s="187">
        <v>40960.828125</v>
      </c>
      <c r="N4981" s="187">
        <v>21494.19140625</v>
      </c>
      <c r="O4981" t="s">
        <v>5447</v>
      </c>
    </row>
    <row r="4982" spans="1:15" hidden="1" x14ac:dyDescent="0.45">
      <c r="A4982" s="187">
        <v>2021</v>
      </c>
      <c r="B4982" t="s">
        <v>311</v>
      </c>
      <c r="C4982" t="s">
        <v>328</v>
      </c>
      <c r="D4982" t="s">
        <v>39</v>
      </c>
      <c r="E4982" t="s">
        <v>365</v>
      </c>
      <c r="F4982" t="s">
        <v>375</v>
      </c>
      <c r="G4982" t="s">
        <v>37</v>
      </c>
      <c r="H4982" t="s">
        <v>43</v>
      </c>
      <c r="I4982" s="187"/>
      <c r="J4982" s="187">
        <v>1793</v>
      </c>
      <c r="K4982" s="187">
        <v>17547.363465070859</v>
      </c>
      <c r="L4982" s="187">
        <v>22026</v>
      </c>
      <c r="M4982" s="187">
        <v>41366.36328125</v>
      </c>
      <c r="N4982" s="187">
        <v>22026</v>
      </c>
      <c r="O4982" t="s">
        <v>5444</v>
      </c>
    </row>
    <row r="4983" spans="1:15" hidden="1" x14ac:dyDescent="0.45">
      <c r="A4983" s="187">
        <v>2021</v>
      </c>
      <c r="B4983" t="s">
        <v>309</v>
      </c>
      <c r="C4983" t="s">
        <v>328</v>
      </c>
      <c r="D4983" t="s">
        <v>39</v>
      </c>
      <c r="E4983" t="s">
        <v>365</v>
      </c>
      <c r="F4983" t="s">
        <v>375</v>
      </c>
      <c r="G4983" t="s">
        <v>37</v>
      </c>
      <c r="H4983" t="s">
        <v>43</v>
      </c>
      <c r="I4983" s="187"/>
      <c r="J4983" s="187">
        <v>1642.5796</v>
      </c>
      <c r="K4983" s="187">
        <v>18944.585540360618</v>
      </c>
      <c r="L4983" s="187">
        <v>26914</v>
      </c>
      <c r="M4983" s="187">
        <v>47501.1640625</v>
      </c>
      <c r="N4983" s="187">
        <v>26914</v>
      </c>
      <c r="O4983" t="s">
        <v>5440</v>
      </c>
    </row>
    <row r="4984" spans="1:15" hidden="1" x14ac:dyDescent="0.45">
      <c r="A4984" s="187">
        <v>2021</v>
      </c>
      <c r="B4984" t="s">
        <v>317</v>
      </c>
      <c r="C4984" t="s">
        <v>328</v>
      </c>
      <c r="D4984" t="s">
        <v>39</v>
      </c>
      <c r="E4984" t="s">
        <v>365</v>
      </c>
      <c r="F4984" t="s">
        <v>375</v>
      </c>
      <c r="G4984" t="s">
        <v>37</v>
      </c>
      <c r="H4984" t="s">
        <v>43</v>
      </c>
      <c r="I4984" s="187">
        <v>9753</v>
      </c>
      <c r="J4984" s="187">
        <v>2013</v>
      </c>
      <c r="K4984" s="187">
        <v>18231.135077321651</v>
      </c>
      <c r="L4984" s="187">
        <v>13123</v>
      </c>
      <c r="M4984" s="187">
        <v>43120.1328125</v>
      </c>
      <c r="N4984" s="187">
        <v>22876</v>
      </c>
      <c r="O4984" t="s">
        <v>5446</v>
      </c>
    </row>
    <row r="4985" spans="1:15" hidden="1" x14ac:dyDescent="0.45">
      <c r="A4985" s="187">
        <v>2021</v>
      </c>
      <c r="B4985" t="s">
        <v>316</v>
      </c>
      <c r="C4985" t="s">
        <v>328</v>
      </c>
      <c r="D4985" t="s">
        <v>39</v>
      </c>
      <c r="E4985" t="s">
        <v>365</v>
      </c>
      <c r="F4985" t="s">
        <v>375</v>
      </c>
      <c r="G4985" t="s">
        <v>37</v>
      </c>
      <c r="H4985" t="s">
        <v>43</v>
      </c>
      <c r="I4985" s="187">
        <v>10152.022561639709</v>
      </c>
      <c r="J4985" s="187">
        <v>2330</v>
      </c>
      <c r="K4985" s="187">
        <v>17611.777507393821</v>
      </c>
      <c r="L4985" s="187">
        <v>13443</v>
      </c>
      <c r="M4985" s="187">
        <v>43536.80078125</v>
      </c>
      <c r="N4985" s="187">
        <v>23595.0234375</v>
      </c>
      <c r="O4985" t="s">
        <v>5442</v>
      </c>
    </row>
    <row r="4986" spans="1:15" hidden="1" x14ac:dyDescent="0.45">
      <c r="A4986" s="187">
        <v>2021</v>
      </c>
      <c r="B4986" t="s">
        <v>312</v>
      </c>
      <c r="C4986" t="s">
        <v>328</v>
      </c>
      <c r="D4986" t="s">
        <v>39</v>
      </c>
      <c r="E4986" t="s">
        <v>365</v>
      </c>
      <c r="F4986" t="s">
        <v>375</v>
      </c>
      <c r="G4986" t="s">
        <v>37</v>
      </c>
      <c r="H4986" t="s">
        <v>43</v>
      </c>
      <c r="I4986" s="187">
        <v>7591.6914329418287</v>
      </c>
      <c r="J4986" s="187">
        <v>1756</v>
      </c>
      <c r="K4986" s="187">
        <v>17972.226021907489</v>
      </c>
      <c r="L4986" s="187">
        <v>12959</v>
      </c>
      <c r="M4986" s="187">
        <v>40278.91796875</v>
      </c>
      <c r="N4986" s="187">
        <v>20550.69140625</v>
      </c>
      <c r="O4986" t="s">
        <v>5443</v>
      </c>
    </row>
    <row r="4987" spans="1:15" hidden="1" x14ac:dyDescent="0.45">
      <c r="A4987" s="187">
        <v>2021</v>
      </c>
      <c r="B4987" t="s">
        <v>310</v>
      </c>
      <c r="C4987" t="s">
        <v>328</v>
      </c>
      <c r="D4987" t="s">
        <v>39</v>
      </c>
      <c r="E4987" t="s">
        <v>365</v>
      </c>
      <c r="F4987" t="s">
        <v>375</v>
      </c>
      <c r="G4987" t="s">
        <v>37</v>
      </c>
      <c r="H4987" t="s">
        <v>43</v>
      </c>
      <c r="I4987" s="187"/>
      <c r="J4987" s="187">
        <v>1923</v>
      </c>
      <c r="K4987" s="187">
        <v>17725.228314651911</v>
      </c>
      <c r="L4987" s="187">
        <v>24548</v>
      </c>
      <c r="M4987" s="187">
        <v>44196.2265625</v>
      </c>
      <c r="N4987" s="187">
        <v>24548</v>
      </c>
      <c r="O4987" t="s">
        <v>5448</v>
      </c>
    </row>
    <row r="4988" spans="1:15" hidden="1" x14ac:dyDescent="0.45">
      <c r="A4988" s="187">
        <v>2021</v>
      </c>
      <c r="B4988" t="s">
        <v>313</v>
      </c>
      <c r="C4988" t="s">
        <v>328</v>
      </c>
      <c r="D4988" t="s">
        <v>39</v>
      </c>
      <c r="E4988" t="s">
        <v>365</v>
      </c>
      <c r="F4988" t="s">
        <v>375</v>
      </c>
      <c r="G4988" t="s">
        <v>37</v>
      </c>
      <c r="H4988" t="s">
        <v>43</v>
      </c>
      <c r="I4988" s="187">
        <v>8667.1979380932426</v>
      </c>
      <c r="J4988" s="187">
        <v>1732</v>
      </c>
      <c r="K4988" s="187">
        <v>17670.643122923819</v>
      </c>
      <c r="L4988" s="187">
        <v>12766</v>
      </c>
      <c r="M4988" s="187">
        <v>40835.84375</v>
      </c>
      <c r="N4988" s="187">
        <v>21433.19921875</v>
      </c>
      <c r="O4988" t="s">
        <v>5445</v>
      </c>
    </row>
    <row r="4989" spans="1:15" hidden="1" x14ac:dyDescent="0.45">
      <c r="A4989" s="187">
        <v>2021</v>
      </c>
      <c r="B4989" t="s">
        <v>314</v>
      </c>
      <c r="C4989" t="s">
        <v>328</v>
      </c>
      <c r="D4989" t="s">
        <v>39</v>
      </c>
      <c r="E4989" t="s">
        <v>365</v>
      </c>
      <c r="F4989" t="s">
        <v>375</v>
      </c>
      <c r="G4989" t="s">
        <v>37</v>
      </c>
      <c r="H4989" t="s">
        <v>43</v>
      </c>
      <c r="I4989" s="187">
        <v>8843.1347725155883</v>
      </c>
      <c r="J4989" s="187">
        <v>1756</v>
      </c>
      <c r="K4989" s="187">
        <v>16970.97365005768</v>
      </c>
      <c r="L4989" s="187">
        <v>12874</v>
      </c>
      <c r="M4989" s="187">
        <v>40444.109375</v>
      </c>
      <c r="N4989" s="187">
        <v>21717.134765625</v>
      </c>
      <c r="O4989" t="s">
        <v>5441</v>
      </c>
    </row>
    <row r="4990" spans="1:15" hidden="1" x14ac:dyDescent="0.45">
      <c r="A4990" s="187">
        <v>2021</v>
      </c>
      <c r="B4990" t="s">
        <v>34</v>
      </c>
      <c r="C4990" t="s">
        <v>329</v>
      </c>
      <c r="D4990" t="s">
        <v>39</v>
      </c>
      <c r="E4990" t="s">
        <v>349</v>
      </c>
      <c r="F4990" t="s">
        <v>349</v>
      </c>
      <c r="G4990" t="s">
        <v>36</v>
      </c>
      <c r="H4990" t="s">
        <v>43</v>
      </c>
      <c r="I4990" s="187"/>
      <c r="J4990" s="187">
        <v>13.588456153869629</v>
      </c>
      <c r="K4990" s="187">
        <v>3037.54248046875</v>
      </c>
      <c r="L4990" s="187">
        <v>0</v>
      </c>
      <c r="M4990" s="187">
        <v>3051.130859375</v>
      </c>
      <c r="N4990" s="187">
        <v>0</v>
      </c>
      <c r="O4990" t="s">
        <v>5449</v>
      </c>
    </row>
    <row r="4991" spans="1:15" hidden="1" x14ac:dyDescent="0.45">
      <c r="A4991" s="187">
        <v>2021</v>
      </c>
      <c r="B4991" t="s">
        <v>34</v>
      </c>
      <c r="C4991" t="s">
        <v>329</v>
      </c>
      <c r="D4991" t="s">
        <v>39</v>
      </c>
      <c r="E4991" t="s">
        <v>349</v>
      </c>
      <c r="F4991" t="s">
        <v>349</v>
      </c>
      <c r="G4991" t="s">
        <v>37</v>
      </c>
      <c r="H4991" t="s">
        <v>43</v>
      </c>
      <c r="I4991" s="187"/>
      <c r="J4991" s="187">
        <v>13</v>
      </c>
      <c r="K4991" s="187">
        <v>2906</v>
      </c>
      <c r="L4991" s="187">
        <v>0</v>
      </c>
      <c r="M4991" s="187">
        <v>2919</v>
      </c>
      <c r="N4991" s="187">
        <v>0</v>
      </c>
      <c r="O4991" t="s">
        <v>5450</v>
      </c>
    </row>
    <row r="4992" spans="1:15" hidden="1" x14ac:dyDescent="0.45">
      <c r="A4992" s="187">
        <v>2021</v>
      </c>
      <c r="B4992" t="s">
        <v>34</v>
      </c>
      <c r="C4992" t="s">
        <v>329</v>
      </c>
      <c r="D4992" t="s">
        <v>39</v>
      </c>
      <c r="E4992" t="s">
        <v>21</v>
      </c>
      <c r="F4992" t="s">
        <v>21</v>
      </c>
      <c r="G4992" t="s">
        <v>36</v>
      </c>
      <c r="H4992" t="s">
        <v>43</v>
      </c>
      <c r="I4992" s="187">
        <v>3955.49072265625</v>
      </c>
      <c r="J4992" s="187">
        <v>1174.8787841796875</v>
      </c>
      <c r="K4992" s="187">
        <v>7051.36328125</v>
      </c>
      <c r="L4992" s="187">
        <v>5336.14501953125</v>
      </c>
      <c r="M4992" s="187">
        <v>17517.876953125</v>
      </c>
      <c r="N4992" s="187">
        <v>9291.6357421875</v>
      </c>
      <c r="O4992" t="s">
        <v>5451</v>
      </c>
    </row>
    <row r="4993" spans="1:15" hidden="1" x14ac:dyDescent="0.45">
      <c r="A4993" s="187">
        <v>2021</v>
      </c>
      <c r="B4993" t="s">
        <v>34</v>
      </c>
      <c r="C4993" t="s">
        <v>329</v>
      </c>
      <c r="D4993" t="s">
        <v>39</v>
      </c>
      <c r="E4993" t="s">
        <v>21</v>
      </c>
      <c r="F4993" t="s">
        <v>21</v>
      </c>
      <c r="G4993" t="s">
        <v>37</v>
      </c>
      <c r="H4993" t="s">
        <v>43</v>
      </c>
      <c r="I4993" s="187">
        <v>3784.1959658825972</v>
      </c>
      <c r="J4993" s="187">
        <v>1124</v>
      </c>
      <c r="K4993" s="187">
        <v>6746</v>
      </c>
      <c r="L4993" s="187">
        <v>5105.0600000000004</v>
      </c>
      <c r="M4993" s="187">
        <v>16759.255859375</v>
      </c>
      <c r="N4993" s="187">
        <v>8889.255859375</v>
      </c>
      <c r="O4993" t="s">
        <v>5452</v>
      </c>
    </row>
    <row r="4994" spans="1:15" hidden="1" x14ac:dyDescent="0.45">
      <c r="A4994" s="187">
        <v>2021</v>
      </c>
      <c r="B4994" t="s">
        <v>34</v>
      </c>
      <c r="C4994" t="s">
        <v>329</v>
      </c>
      <c r="D4994" t="s">
        <v>39</v>
      </c>
      <c r="E4994" t="s">
        <v>40</v>
      </c>
      <c r="F4994" t="s">
        <v>40</v>
      </c>
      <c r="G4994" t="s">
        <v>36</v>
      </c>
      <c r="H4994" t="s">
        <v>43</v>
      </c>
      <c r="I4994" s="187">
        <v>4407.52734375</v>
      </c>
      <c r="J4994" s="187">
        <v>192.32891845703125</v>
      </c>
      <c r="K4994" s="187">
        <v>7311.634765625</v>
      </c>
      <c r="L4994" s="187">
        <v>5573.5771484375</v>
      </c>
      <c r="M4994" s="187">
        <v>17485.068359375</v>
      </c>
      <c r="N4994" s="187">
        <v>9981.1044921875</v>
      </c>
      <c r="O4994" t="s">
        <v>5453</v>
      </c>
    </row>
    <row r="4995" spans="1:15" hidden="1" x14ac:dyDescent="0.45">
      <c r="A4995" s="187">
        <v>2021</v>
      </c>
      <c r="B4995" t="s">
        <v>34</v>
      </c>
      <c r="C4995" t="s">
        <v>329</v>
      </c>
      <c r="D4995" t="s">
        <v>39</v>
      </c>
      <c r="E4995" t="s">
        <v>40</v>
      </c>
      <c r="F4995" t="s">
        <v>40</v>
      </c>
      <c r="G4995" t="s">
        <v>37</v>
      </c>
      <c r="H4995" t="s">
        <v>43</v>
      </c>
      <c r="I4995" s="187">
        <v>4216.6570000000002</v>
      </c>
      <c r="J4995" s="187">
        <v>184</v>
      </c>
      <c r="K4995" s="187">
        <v>6995</v>
      </c>
      <c r="L4995" s="187">
        <v>5332.21</v>
      </c>
      <c r="M4995" s="187">
        <v>16727.8671875</v>
      </c>
      <c r="N4995" s="187">
        <v>9548.8671875</v>
      </c>
      <c r="O4995" t="s">
        <v>5454</v>
      </c>
    </row>
    <row r="4996" spans="1:15" hidden="1" x14ac:dyDescent="0.45">
      <c r="A4996" s="187">
        <v>2021</v>
      </c>
      <c r="B4996" t="s">
        <v>34</v>
      </c>
      <c r="C4996" t="s">
        <v>329</v>
      </c>
      <c r="D4996" t="s">
        <v>39</v>
      </c>
      <c r="E4996" t="s">
        <v>41</v>
      </c>
      <c r="F4996" t="s">
        <v>41</v>
      </c>
      <c r="G4996" t="s">
        <v>36</v>
      </c>
      <c r="H4996" t="s">
        <v>43</v>
      </c>
      <c r="I4996" s="187">
        <v>6032.3095703125</v>
      </c>
      <c r="J4996" s="187">
        <v>1907.610107421875</v>
      </c>
      <c r="K4996" s="187">
        <v>11579.455078125</v>
      </c>
      <c r="L4996" s="187">
        <v>8353.01171875</v>
      </c>
      <c r="M4996" s="187">
        <v>27872.38671875</v>
      </c>
      <c r="N4996" s="187">
        <v>14385.3212890625</v>
      </c>
      <c r="O4996" t="s">
        <v>5455</v>
      </c>
    </row>
    <row r="4997" spans="1:15" hidden="1" x14ac:dyDescent="0.45">
      <c r="A4997" s="187">
        <v>2021</v>
      </c>
      <c r="B4997" t="s">
        <v>34</v>
      </c>
      <c r="C4997" t="s">
        <v>329</v>
      </c>
      <c r="D4997" t="s">
        <v>39</v>
      </c>
      <c r="E4997" t="s">
        <v>41</v>
      </c>
      <c r="F4997" t="s">
        <v>41</v>
      </c>
      <c r="G4997" t="s">
        <v>37</v>
      </c>
      <c r="H4997" t="s">
        <v>43</v>
      </c>
      <c r="I4997" s="187">
        <v>5771.0769658825984</v>
      </c>
      <c r="J4997" s="187">
        <v>1825</v>
      </c>
      <c r="K4997" s="187">
        <v>11078</v>
      </c>
      <c r="L4997" s="187">
        <v>7991.2800000000007</v>
      </c>
      <c r="M4997" s="187">
        <v>26665.357421875</v>
      </c>
      <c r="N4997" s="187">
        <v>13762.357421875</v>
      </c>
      <c r="O4997" t="s">
        <v>5456</v>
      </c>
    </row>
    <row r="4998" spans="1:15" hidden="1" x14ac:dyDescent="0.45">
      <c r="A4998" s="187">
        <v>2021</v>
      </c>
      <c r="B4998" t="s">
        <v>34</v>
      </c>
      <c r="C4998" t="s">
        <v>329</v>
      </c>
      <c r="D4998" t="s">
        <v>39</v>
      </c>
      <c r="E4998" t="s">
        <v>362</v>
      </c>
      <c r="F4998" t="s">
        <v>362</v>
      </c>
      <c r="G4998" t="s">
        <v>36</v>
      </c>
      <c r="H4998" t="s">
        <v>43</v>
      </c>
      <c r="I4998" s="187">
        <v>1220.8328857421875</v>
      </c>
      <c r="J4998" s="187">
        <v>116.02450561523438</v>
      </c>
      <c r="K4998" s="187">
        <v>3626.027099609375</v>
      </c>
      <c r="L4998" s="187">
        <v>3240.12548828125</v>
      </c>
      <c r="M4998" s="187">
        <v>8203.009765625</v>
      </c>
      <c r="N4998" s="187">
        <v>4460.95849609375</v>
      </c>
      <c r="O4998" t="s">
        <v>5457</v>
      </c>
    </row>
    <row r="4999" spans="1:15" hidden="1" x14ac:dyDescent="0.45">
      <c r="A4999" s="187">
        <v>2021</v>
      </c>
      <c r="B4999" t="s">
        <v>34</v>
      </c>
      <c r="C4999" t="s">
        <v>329</v>
      </c>
      <c r="D4999" t="s">
        <v>39</v>
      </c>
      <c r="E4999" t="s">
        <v>362</v>
      </c>
      <c r="F4999" t="s">
        <v>362</v>
      </c>
      <c r="G4999" t="s">
        <v>37</v>
      </c>
      <c r="H4999" t="s">
        <v>43</v>
      </c>
      <c r="I4999" s="187">
        <v>1167.9639999999999</v>
      </c>
      <c r="J4999" s="187">
        <v>111</v>
      </c>
      <c r="K4999" s="187">
        <v>3469</v>
      </c>
      <c r="L4999" s="187">
        <v>3099.81</v>
      </c>
      <c r="M4999" s="187">
        <v>7847.77392578125</v>
      </c>
      <c r="N4999" s="187">
        <v>4267.77392578125</v>
      </c>
      <c r="O4999" t="s">
        <v>5458</v>
      </c>
    </row>
    <row r="5000" spans="1:15" hidden="1" x14ac:dyDescent="0.45">
      <c r="A5000" s="187">
        <v>2021</v>
      </c>
      <c r="B5000" t="s">
        <v>34</v>
      </c>
      <c r="C5000" t="s">
        <v>329</v>
      </c>
      <c r="D5000" t="s">
        <v>39</v>
      </c>
      <c r="E5000" t="s">
        <v>363</v>
      </c>
      <c r="F5000" t="s">
        <v>363</v>
      </c>
      <c r="G5000" t="s">
        <v>36</v>
      </c>
      <c r="H5000" t="s">
        <v>43</v>
      </c>
      <c r="I5000" s="187">
        <v>3186.694580078125</v>
      </c>
      <c r="J5000" s="187">
        <v>62.715950012207031</v>
      </c>
      <c r="K5000" s="187">
        <v>648.0648193359375</v>
      </c>
      <c r="L5000" s="187">
        <v>2333.451416015625</v>
      </c>
      <c r="M5000" s="187">
        <v>6230.9267578125</v>
      </c>
      <c r="N5000" s="187">
        <v>5520.14599609375</v>
      </c>
      <c r="O5000" t="s">
        <v>5459</v>
      </c>
    </row>
    <row r="5001" spans="1:15" hidden="1" x14ac:dyDescent="0.45">
      <c r="A5001" s="187">
        <v>2021</v>
      </c>
      <c r="B5001" t="s">
        <v>34</v>
      </c>
      <c r="C5001" t="s">
        <v>329</v>
      </c>
      <c r="D5001" t="s">
        <v>39</v>
      </c>
      <c r="E5001" t="s">
        <v>363</v>
      </c>
      <c r="F5001" t="s">
        <v>363</v>
      </c>
      <c r="G5001" t="s">
        <v>37</v>
      </c>
      <c r="H5001" t="s">
        <v>43</v>
      </c>
      <c r="I5001" s="187">
        <v>3048.6930000000002</v>
      </c>
      <c r="J5001" s="187">
        <v>60</v>
      </c>
      <c r="K5001" s="187">
        <v>620</v>
      </c>
      <c r="L5001" s="187">
        <v>2232.4</v>
      </c>
      <c r="M5001" s="187">
        <v>5961.09326171875</v>
      </c>
      <c r="N5001" s="187">
        <v>5281.09326171875</v>
      </c>
      <c r="O5001" t="s">
        <v>5460</v>
      </c>
    </row>
    <row r="5002" spans="1:15" hidden="1" x14ac:dyDescent="0.45">
      <c r="A5002" s="187">
        <v>2021</v>
      </c>
      <c r="B5002" t="s">
        <v>34</v>
      </c>
      <c r="C5002" t="s">
        <v>329</v>
      </c>
      <c r="D5002" t="s">
        <v>39</v>
      </c>
      <c r="E5002" t="s">
        <v>364</v>
      </c>
      <c r="F5002" t="s">
        <v>364</v>
      </c>
      <c r="G5002" t="s">
        <v>36</v>
      </c>
      <c r="H5002" t="s">
        <v>43</v>
      </c>
      <c r="I5002" s="187">
        <v>2076.81884765625</v>
      </c>
      <c r="J5002" s="187">
        <v>732.7313232421875</v>
      </c>
      <c r="K5002" s="187">
        <v>4528.091796875</v>
      </c>
      <c r="L5002" s="187">
        <v>3016.8671875</v>
      </c>
      <c r="M5002" s="187">
        <v>10354.509765625</v>
      </c>
      <c r="N5002" s="187">
        <v>5093.68603515625</v>
      </c>
      <c r="O5002" t="s">
        <v>5461</v>
      </c>
    </row>
    <row r="5003" spans="1:15" hidden="1" x14ac:dyDescent="0.45">
      <c r="A5003" s="187">
        <v>2021</v>
      </c>
      <c r="B5003" t="s">
        <v>34</v>
      </c>
      <c r="C5003" t="s">
        <v>329</v>
      </c>
      <c r="D5003" t="s">
        <v>39</v>
      </c>
      <c r="E5003" t="s">
        <v>364</v>
      </c>
      <c r="F5003" t="s">
        <v>364</v>
      </c>
      <c r="G5003" t="s">
        <v>37</v>
      </c>
      <c r="H5003" t="s">
        <v>43</v>
      </c>
      <c r="I5003" s="187">
        <v>1986.8810000000001</v>
      </c>
      <c r="J5003" s="187">
        <v>701</v>
      </c>
      <c r="K5003" s="187">
        <v>4332</v>
      </c>
      <c r="L5003" s="187">
        <v>2886.22</v>
      </c>
      <c r="M5003" s="187">
        <v>9906.1005859375</v>
      </c>
      <c r="N5003" s="187">
        <v>4873.10107421875</v>
      </c>
      <c r="O5003" t="s">
        <v>5462</v>
      </c>
    </row>
    <row r="5004" spans="1:15" hidden="1" x14ac:dyDescent="0.45">
      <c r="A5004" s="187">
        <v>2021</v>
      </c>
      <c r="B5004" t="s">
        <v>34</v>
      </c>
      <c r="C5004" t="s">
        <v>329</v>
      </c>
      <c r="D5004" t="s">
        <v>39</v>
      </c>
      <c r="E5004" t="s">
        <v>365</v>
      </c>
      <c r="F5004" t="s">
        <v>375</v>
      </c>
      <c r="G5004" t="s">
        <v>36</v>
      </c>
      <c r="H5004" t="s">
        <v>43</v>
      </c>
      <c r="I5004" s="187">
        <v>10439.8369140625</v>
      </c>
      <c r="J5004" s="187">
        <v>2099.93896484375</v>
      </c>
      <c r="K5004" s="187">
        <v>18891.08984375</v>
      </c>
      <c r="L5004" s="187">
        <v>13926.5888671875</v>
      </c>
      <c r="M5004" s="187">
        <v>45357.453125</v>
      </c>
      <c r="N5004" s="187">
        <v>24366.42578125</v>
      </c>
      <c r="O5004" t="s">
        <v>5463</v>
      </c>
    </row>
    <row r="5005" spans="1:15" hidden="1" x14ac:dyDescent="0.45">
      <c r="A5005" s="187">
        <v>2021</v>
      </c>
      <c r="B5005" t="s">
        <v>34</v>
      </c>
      <c r="C5005" t="s">
        <v>329</v>
      </c>
      <c r="D5005" t="s">
        <v>39</v>
      </c>
      <c r="E5005" t="s">
        <v>365</v>
      </c>
      <c r="F5005" t="s">
        <v>375</v>
      </c>
      <c r="G5005" t="s">
        <v>37</v>
      </c>
      <c r="H5005" t="s">
        <v>43</v>
      </c>
      <c r="I5005" s="187">
        <v>9987.7339658825986</v>
      </c>
      <c r="J5005" s="187">
        <v>2009</v>
      </c>
      <c r="K5005" s="187">
        <v>18073</v>
      </c>
      <c r="L5005" s="187">
        <v>13323.49</v>
      </c>
      <c r="M5005" s="187">
        <v>43393.22265625</v>
      </c>
      <c r="N5005" s="187">
        <v>23311.224609375</v>
      </c>
      <c r="O5005" t="s">
        <v>5464</v>
      </c>
    </row>
    <row r="5006" spans="1:15" hidden="1" x14ac:dyDescent="0.45">
      <c r="A5006" s="187">
        <v>2021</v>
      </c>
      <c r="B5006" t="s">
        <v>34</v>
      </c>
      <c r="C5006" t="s">
        <v>320</v>
      </c>
      <c r="D5006" t="s">
        <v>336</v>
      </c>
      <c r="E5006" t="s">
        <v>102</v>
      </c>
      <c r="F5006" t="s">
        <v>19</v>
      </c>
      <c r="G5006" t="s">
        <v>36</v>
      </c>
      <c r="H5006" t="s">
        <v>43</v>
      </c>
      <c r="I5006" s="187">
        <v>400.87057495117188</v>
      </c>
      <c r="J5006" s="187">
        <v>0</v>
      </c>
      <c r="K5006" s="187">
        <v>0</v>
      </c>
      <c r="L5006" s="187">
        <v>0</v>
      </c>
      <c r="M5006" s="187">
        <v>400.87057495117188</v>
      </c>
      <c r="N5006" s="187">
        <v>400.87057495117188</v>
      </c>
      <c r="O5006" t="s">
        <v>5465</v>
      </c>
    </row>
    <row r="5007" spans="1:15" hidden="1" x14ac:dyDescent="0.45">
      <c r="A5007" s="187">
        <v>2021</v>
      </c>
      <c r="B5007" t="s">
        <v>34</v>
      </c>
      <c r="C5007" t="s">
        <v>320</v>
      </c>
      <c r="D5007" t="s">
        <v>336</v>
      </c>
      <c r="E5007" t="s">
        <v>102</v>
      </c>
      <c r="F5007" t="s">
        <v>19</v>
      </c>
      <c r="G5007" t="s">
        <v>37</v>
      </c>
      <c r="H5007" t="s">
        <v>43</v>
      </c>
      <c r="I5007" s="187">
        <v>380.70098876953125</v>
      </c>
      <c r="J5007" s="187">
        <v>0</v>
      </c>
      <c r="K5007" s="187">
        <v>0</v>
      </c>
      <c r="L5007" s="187">
        <v>0</v>
      </c>
      <c r="M5007" s="187">
        <v>380.70098876953125</v>
      </c>
      <c r="N5007" s="187">
        <v>380.70098876953125</v>
      </c>
      <c r="O5007" t="s">
        <v>5466</v>
      </c>
    </row>
    <row r="5008" spans="1:15" hidden="1" x14ac:dyDescent="0.45">
      <c r="A5008" s="187">
        <v>2021</v>
      </c>
      <c r="B5008" t="s">
        <v>34</v>
      </c>
      <c r="C5008" t="s">
        <v>320</v>
      </c>
      <c r="D5008" t="s">
        <v>336</v>
      </c>
      <c r="E5008" t="s">
        <v>102</v>
      </c>
      <c r="F5008" t="s">
        <v>450</v>
      </c>
      <c r="G5008" t="s">
        <v>36</v>
      </c>
      <c r="H5008" t="s">
        <v>43</v>
      </c>
      <c r="I5008" s="187">
        <v>2946.622802734375</v>
      </c>
      <c r="J5008" s="187">
        <v>0</v>
      </c>
      <c r="K5008" s="187">
        <v>0</v>
      </c>
      <c r="L5008" s="187">
        <v>0</v>
      </c>
      <c r="M5008" s="187">
        <v>2946.622802734375</v>
      </c>
      <c r="N5008" s="187">
        <v>2946.622802734375</v>
      </c>
      <c r="O5008" t="s">
        <v>5467</v>
      </c>
    </row>
    <row r="5009" spans="1:15" hidden="1" x14ac:dyDescent="0.45">
      <c r="A5009" s="187">
        <v>2021</v>
      </c>
      <c r="B5009" t="s">
        <v>34</v>
      </c>
      <c r="C5009" t="s">
        <v>320</v>
      </c>
      <c r="D5009" t="s">
        <v>336</v>
      </c>
      <c r="E5009" t="s">
        <v>102</v>
      </c>
      <c r="F5009" t="s">
        <v>450</v>
      </c>
      <c r="G5009" t="s">
        <v>37</v>
      </c>
      <c r="H5009" t="s">
        <v>43</v>
      </c>
      <c r="I5009" s="187">
        <v>2798.364990234375</v>
      </c>
      <c r="J5009" s="187">
        <v>0</v>
      </c>
      <c r="K5009" s="187">
        <v>0</v>
      </c>
      <c r="L5009" s="187">
        <v>0</v>
      </c>
      <c r="M5009" s="187">
        <v>2798.364990234375</v>
      </c>
      <c r="N5009" s="187">
        <v>2798.364990234375</v>
      </c>
      <c r="O5009" t="s">
        <v>5468</v>
      </c>
    </row>
    <row r="5010" spans="1:15" hidden="1" x14ac:dyDescent="0.45">
      <c r="A5010" s="187">
        <v>2021</v>
      </c>
      <c r="B5010" t="s">
        <v>34</v>
      </c>
      <c r="C5010" t="s">
        <v>320</v>
      </c>
      <c r="D5010" t="s">
        <v>336</v>
      </c>
      <c r="E5010" t="s">
        <v>102</v>
      </c>
      <c r="F5010" t="s">
        <v>451</v>
      </c>
      <c r="G5010" t="s">
        <v>36</v>
      </c>
      <c r="H5010" t="s">
        <v>43</v>
      </c>
      <c r="I5010" s="187">
        <v>0</v>
      </c>
      <c r="J5010" s="187">
        <v>0</v>
      </c>
      <c r="K5010" s="187">
        <v>0</v>
      </c>
      <c r="L5010" s="187">
        <v>0</v>
      </c>
      <c r="M5010" s="187">
        <v>0</v>
      </c>
      <c r="N5010" s="187">
        <v>0</v>
      </c>
      <c r="O5010" t="s">
        <v>5469</v>
      </c>
    </row>
    <row r="5011" spans="1:15" hidden="1" x14ac:dyDescent="0.45">
      <c r="A5011" s="187">
        <v>2021</v>
      </c>
      <c r="B5011" t="s">
        <v>34</v>
      </c>
      <c r="C5011" t="s">
        <v>320</v>
      </c>
      <c r="D5011" t="s">
        <v>336</v>
      </c>
      <c r="E5011" t="s">
        <v>102</v>
      </c>
      <c r="F5011" t="s">
        <v>451</v>
      </c>
      <c r="G5011" t="s">
        <v>37</v>
      </c>
      <c r="H5011" t="s">
        <v>43</v>
      </c>
      <c r="I5011" s="187">
        <v>0</v>
      </c>
      <c r="J5011" s="187">
        <v>0</v>
      </c>
      <c r="K5011" s="187">
        <v>0</v>
      </c>
      <c r="L5011" s="187">
        <v>0</v>
      </c>
      <c r="M5011" s="187">
        <v>0</v>
      </c>
      <c r="N5011" s="187">
        <v>0</v>
      </c>
      <c r="O5011" t="s">
        <v>5470</v>
      </c>
    </row>
    <row r="5012" spans="1:15" hidden="1" x14ac:dyDescent="0.45">
      <c r="A5012" s="187">
        <v>2021</v>
      </c>
      <c r="B5012" t="s">
        <v>34</v>
      </c>
      <c r="C5012" t="s">
        <v>320</v>
      </c>
      <c r="D5012" t="s">
        <v>336</v>
      </c>
      <c r="E5012" t="s">
        <v>102</v>
      </c>
      <c r="F5012" t="s">
        <v>21</v>
      </c>
      <c r="G5012" t="s">
        <v>36</v>
      </c>
      <c r="H5012" t="s">
        <v>43</v>
      </c>
      <c r="I5012" s="187">
        <v>0</v>
      </c>
      <c r="J5012" s="187">
        <v>409.60928344726563</v>
      </c>
      <c r="K5012" s="187">
        <v>0</v>
      </c>
      <c r="L5012" s="187">
        <v>0</v>
      </c>
      <c r="M5012" s="187">
        <v>409.60928344726563</v>
      </c>
      <c r="N5012" s="187">
        <v>0</v>
      </c>
      <c r="O5012" t="s">
        <v>5471</v>
      </c>
    </row>
    <row r="5013" spans="1:15" hidden="1" x14ac:dyDescent="0.45">
      <c r="A5013" s="187">
        <v>2021</v>
      </c>
      <c r="B5013" t="s">
        <v>34</v>
      </c>
      <c r="C5013" t="s">
        <v>320</v>
      </c>
      <c r="D5013" t="s">
        <v>336</v>
      </c>
      <c r="E5013" t="s">
        <v>102</v>
      </c>
      <c r="F5013" t="s">
        <v>21</v>
      </c>
      <c r="G5013" t="s">
        <v>37</v>
      </c>
      <c r="H5013" t="s">
        <v>43</v>
      </c>
      <c r="I5013" s="187">
        <v>0</v>
      </c>
      <c r="J5013" s="187">
        <v>389</v>
      </c>
      <c r="K5013" s="187">
        <v>0</v>
      </c>
      <c r="L5013" s="187">
        <v>0</v>
      </c>
      <c r="M5013" s="187">
        <v>389</v>
      </c>
      <c r="N5013" s="187">
        <v>0</v>
      </c>
      <c r="O5013" t="s">
        <v>5472</v>
      </c>
    </row>
    <row r="5014" spans="1:15" hidden="1" x14ac:dyDescent="0.45">
      <c r="A5014" s="187">
        <v>2021</v>
      </c>
      <c r="B5014" t="s">
        <v>34</v>
      </c>
      <c r="C5014" t="s">
        <v>320</v>
      </c>
      <c r="D5014" t="s">
        <v>336</v>
      </c>
      <c r="E5014" t="s">
        <v>102</v>
      </c>
      <c r="F5014" t="s">
        <v>14</v>
      </c>
      <c r="G5014" t="s">
        <v>36</v>
      </c>
      <c r="H5014" t="s">
        <v>43</v>
      </c>
      <c r="I5014" s="187">
        <v>13468.7236328125</v>
      </c>
      <c r="J5014" s="187">
        <v>-6.8525886535644531</v>
      </c>
      <c r="K5014" s="187">
        <v>0</v>
      </c>
      <c r="L5014" s="187">
        <v>0</v>
      </c>
      <c r="M5014" s="187">
        <v>13461.87109375</v>
      </c>
      <c r="N5014" s="187">
        <v>13468.7236328125</v>
      </c>
      <c r="O5014" t="s">
        <v>5473</v>
      </c>
    </row>
    <row r="5015" spans="1:15" hidden="1" x14ac:dyDescent="0.45">
      <c r="A5015" s="187">
        <v>2021</v>
      </c>
      <c r="B5015" t="s">
        <v>34</v>
      </c>
      <c r="C5015" t="s">
        <v>320</v>
      </c>
      <c r="D5015" t="s">
        <v>336</v>
      </c>
      <c r="E5015" t="s">
        <v>102</v>
      </c>
      <c r="F5015" t="s">
        <v>14</v>
      </c>
      <c r="G5015" t="s">
        <v>37</v>
      </c>
      <c r="H5015" t="s">
        <v>43</v>
      </c>
      <c r="I5015" s="187">
        <v>12465.1640625</v>
      </c>
      <c r="J5015" s="187">
        <v>-6.3420000076293945</v>
      </c>
      <c r="K5015" s="187">
        <v>0</v>
      </c>
      <c r="L5015" s="187">
        <v>0</v>
      </c>
      <c r="M5015" s="187">
        <v>12458.822265625</v>
      </c>
      <c r="N5015" s="187">
        <v>12465.1640625</v>
      </c>
      <c r="O5015" t="s">
        <v>5474</v>
      </c>
    </row>
    <row r="5016" spans="1:15" hidden="1" x14ac:dyDescent="0.45">
      <c r="A5016" s="187">
        <v>2021</v>
      </c>
      <c r="B5016" t="s">
        <v>34</v>
      </c>
      <c r="C5016" t="s">
        <v>320</v>
      </c>
      <c r="D5016" t="s">
        <v>336</v>
      </c>
      <c r="E5016" t="s">
        <v>102</v>
      </c>
      <c r="F5016" t="s">
        <v>16</v>
      </c>
      <c r="G5016" t="s">
        <v>36</v>
      </c>
      <c r="H5016" t="s">
        <v>43</v>
      </c>
      <c r="I5016" s="187">
        <v>6797.53955078125</v>
      </c>
      <c r="J5016" s="187">
        <v>0</v>
      </c>
      <c r="K5016" s="187">
        <v>0</v>
      </c>
      <c r="L5016" s="187">
        <v>0</v>
      </c>
      <c r="M5016" s="187">
        <v>6797.53955078125</v>
      </c>
      <c r="N5016" s="187">
        <v>6797.53955078125</v>
      </c>
      <c r="O5016" t="s">
        <v>5475</v>
      </c>
    </row>
    <row r="5017" spans="1:15" hidden="1" x14ac:dyDescent="0.45">
      <c r="A5017" s="187">
        <v>2021</v>
      </c>
      <c r="B5017" t="s">
        <v>34</v>
      </c>
      <c r="C5017" t="s">
        <v>320</v>
      </c>
      <c r="D5017" t="s">
        <v>336</v>
      </c>
      <c r="E5017" t="s">
        <v>102</v>
      </c>
      <c r="F5017" t="s">
        <v>16</v>
      </c>
      <c r="G5017" t="s">
        <v>37</v>
      </c>
      <c r="H5017" t="s">
        <v>43</v>
      </c>
      <c r="I5017" s="187">
        <v>6455.52490234375</v>
      </c>
      <c r="J5017" s="187">
        <v>0</v>
      </c>
      <c r="K5017" s="187">
        <v>0</v>
      </c>
      <c r="L5017" s="187">
        <v>0</v>
      </c>
      <c r="M5017" s="187">
        <v>6455.52490234375</v>
      </c>
      <c r="N5017" s="187">
        <v>6455.52490234375</v>
      </c>
      <c r="O5017" t="s">
        <v>5476</v>
      </c>
    </row>
    <row r="5018" spans="1:15" hidden="1" x14ac:dyDescent="0.45">
      <c r="A5018" s="187">
        <v>2021</v>
      </c>
      <c r="B5018" t="s">
        <v>34</v>
      </c>
      <c r="C5018" t="s">
        <v>320</v>
      </c>
      <c r="D5018" t="s">
        <v>336</v>
      </c>
      <c r="E5018" t="s">
        <v>102</v>
      </c>
      <c r="F5018" t="s">
        <v>351</v>
      </c>
      <c r="G5018" t="s">
        <v>36</v>
      </c>
      <c r="H5018" t="s">
        <v>43</v>
      </c>
      <c r="I5018" s="187">
        <v>0</v>
      </c>
      <c r="J5018" s="187">
        <v>0</v>
      </c>
      <c r="K5018" s="187">
        <v>0</v>
      </c>
      <c r="L5018" s="187">
        <v>0</v>
      </c>
      <c r="M5018" s="187">
        <v>0</v>
      </c>
      <c r="N5018" s="187">
        <v>0</v>
      </c>
      <c r="O5018" t="s">
        <v>5477</v>
      </c>
    </row>
    <row r="5019" spans="1:15" hidden="1" x14ac:dyDescent="0.45">
      <c r="A5019" s="187">
        <v>2021</v>
      </c>
      <c r="B5019" t="s">
        <v>34</v>
      </c>
      <c r="C5019" t="s">
        <v>320</v>
      </c>
      <c r="D5019" t="s">
        <v>336</v>
      </c>
      <c r="E5019" t="s">
        <v>102</v>
      </c>
      <c r="F5019" t="s">
        <v>351</v>
      </c>
      <c r="G5019" t="s">
        <v>37</v>
      </c>
      <c r="H5019" t="s">
        <v>43</v>
      </c>
      <c r="I5019" s="187">
        <v>0</v>
      </c>
      <c r="J5019" s="187">
        <v>0</v>
      </c>
      <c r="K5019" s="187">
        <v>0</v>
      </c>
      <c r="L5019" s="187">
        <v>0</v>
      </c>
      <c r="M5019" s="187">
        <v>0</v>
      </c>
      <c r="N5019" s="187">
        <v>0</v>
      </c>
      <c r="O5019" t="s">
        <v>5478</v>
      </c>
    </row>
    <row r="5020" spans="1:15" hidden="1" x14ac:dyDescent="0.45">
      <c r="A5020" s="187">
        <v>2021</v>
      </c>
      <c r="B5020" t="s">
        <v>34</v>
      </c>
      <c r="C5020" t="s">
        <v>320</v>
      </c>
      <c r="D5020" t="s">
        <v>336</v>
      </c>
      <c r="E5020" t="s">
        <v>102</v>
      </c>
      <c r="F5020" t="s">
        <v>382</v>
      </c>
      <c r="G5020" t="s">
        <v>36</v>
      </c>
      <c r="H5020" t="s">
        <v>43</v>
      </c>
      <c r="I5020" s="187">
        <v>13125.5703125</v>
      </c>
      <c r="J5020" s="187">
        <v>0</v>
      </c>
      <c r="K5020" s="187">
        <v>0</v>
      </c>
      <c r="L5020" s="187">
        <v>0</v>
      </c>
      <c r="M5020" s="187">
        <v>13125.5703125</v>
      </c>
      <c r="N5020" s="187">
        <v>13125.5703125</v>
      </c>
      <c r="O5020" t="s">
        <v>5479</v>
      </c>
    </row>
    <row r="5021" spans="1:15" hidden="1" x14ac:dyDescent="0.45">
      <c r="A5021" s="187">
        <v>2021</v>
      </c>
      <c r="B5021" t="s">
        <v>34</v>
      </c>
      <c r="C5021" t="s">
        <v>320</v>
      </c>
      <c r="D5021" t="s">
        <v>336</v>
      </c>
      <c r="E5021" t="s">
        <v>102</v>
      </c>
      <c r="F5021" t="s">
        <v>382</v>
      </c>
      <c r="G5021" t="s">
        <v>37</v>
      </c>
      <c r="H5021" t="s">
        <v>43</v>
      </c>
      <c r="I5021" s="187">
        <v>12465.1640625</v>
      </c>
      <c r="J5021" s="187">
        <v>0</v>
      </c>
      <c r="K5021" s="187">
        <v>0</v>
      </c>
      <c r="L5021" s="187">
        <v>0</v>
      </c>
      <c r="M5021" s="187">
        <v>12465.1640625</v>
      </c>
      <c r="N5021" s="187">
        <v>12465.1640625</v>
      </c>
      <c r="O5021" t="s">
        <v>5480</v>
      </c>
    </row>
    <row r="5022" spans="1:15" hidden="1" x14ac:dyDescent="0.45">
      <c r="A5022" s="187">
        <v>2021</v>
      </c>
      <c r="B5022" t="s">
        <v>34</v>
      </c>
      <c r="C5022" t="s">
        <v>320</v>
      </c>
      <c r="D5022" t="s">
        <v>336</v>
      </c>
      <c r="E5022" t="s">
        <v>102</v>
      </c>
      <c r="F5022" t="s">
        <v>384</v>
      </c>
      <c r="G5022" t="s">
        <v>36</v>
      </c>
      <c r="H5022" t="s">
        <v>43</v>
      </c>
      <c r="I5022" s="187">
        <v>0</v>
      </c>
      <c r="J5022" s="187">
        <v>0</v>
      </c>
      <c r="K5022" s="187">
        <v>0</v>
      </c>
      <c r="L5022" s="187">
        <v>0</v>
      </c>
      <c r="M5022" s="187">
        <v>0</v>
      </c>
      <c r="N5022" s="187">
        <v>0</v>
      </c>
      <c r="O5022" t="s">
        <v>5481</v>
      </c>
    </row>
    <row r="5023" spans="1:15" hidden="1" x14ac:dyDescent="0.45">
      <c r="A5023" s="187">
        <v>2021</v>
      </c>
      <c r="B5023" t="s">
        <v>34</v>
      </c>
      <c r="C5023" t="s">
        <v>320</v>
      </c>
      <c r="D5023" t="s">
        <v>336</v>
      </c>
      <c r="E5023" t="s">
        <v>102</v>
      </c>
      <c r="F5023" t="s">
        <v>384</v>
      </c>
      <c r="G5023" t="s">
        <v>37</v>
      </c>
      <c r="H5023" t="s">
        <v>43</v>
      </c>
      <c r="I5023" s="187">
        <v>0</v>
      </c>
      <c r="J5023" s="187">
        <v>0</v>
      </c>
      <c r="K5023" s="187">
        <v>0</v>
      </c>
      <c r="L5023" s="187">
        <v>0</v>
      </c>
      <c r="M5023" s="187">
        <v>0</v>
      </c>
      <c r="N5023" s="187">
        <v>0</v>
      </c>
      <c r="O5023" t="s">
        <v>5482</v>
      </c>
    </row>
    <row r="5024" spans="1:15" hidden="1" x14ac:dyDescent="0.45">
      <c r="A5024" s="187">
        <v>2021</v>
      </c>
      <c r="B5024" t="s">
        <v>34</v>
      </c>
      <c r="C5024" t="s">
        <v>320</v>
      </c>
      <c r="D5024" t="s">
        <v>336</v>
      </c>
      <c r="E5024" t="s">
        <v>102</v>
      </c>
      <c r="F5024" t="s">
        <v>374</v>
      </c>
      <c r="G5024" t="s">
        <v>36</v>
      </c>
      <c r="H5024" t="s">
        <v>43</v>
      </c>
      <c r="I5024" s="187">
        <v>0</v>
      </c>
      <c r="J5024" s="187">
        <v>0</v>
      </c>
      <c r="K5024" s="187">
        <v>0</v>
      </c>
      <c r="L5024" s="187">
        <v>0</v>
      </c>
      <c r="M5024" s="187">
        <v>0</v>
      </c>
      <c r="N5024" s="187">
        <v>0</v>
      </c>
      <c r="O5024" t="s">
        <v>5483</v>
      </c>
    </row>
    <row r="5025" spans="1:15" hidden="1" x14ac:dyDescent="0.45">
      <c r="A5025" s="187">
        <v>2021</v>
      </c>
      <c r="B5025" t="s">
        <v>34</v>
      </c>
      <c r="C5025" t="s">
        <v>320</v>
      </c>
      <c r="D5025" t="s">
        <v>336</v>
      </c>
      <c r="E5025" t="s">
        <v>102</v>
      </c>
      <c r="F5025" t="s">
        <v>374</v>
      </c>
      <c r="G5025" t="s">
        <v>37</v>
      </c>
      <c r="H5025" t="s">
        <v>43</v>
      </c>
      <c r="I5025" s="187">
        <v>0</v>
      </c>
      <c r="J5025" s="187">
        <v>0</v>
      </c>
      <c r="K5025" s="187">
        <v>0</v>
      </c>
      <c r="L5025" s="187">
        <v>0</v>
      </c>
      <c r="M5025" s="187">
        <v>0</v>
      </c>
      <c r="N5025" s="187">
        <v>0</v>
      </c>
      <c r="O5025" t="s">
        <v>5484</v>
      </c>
    </row>
    <row r="5026" spans="1:15" hidden="1" x14ac:dyDescent="0.45">
      <c r="A5026" s="187">
        <v>2021</v>
      </c>
      <c r="B5026" t="s">
        <v>34</v>
      </c>
      <c r="C5026" t="s">
        <v>320</v>
      </c>
      <c r="D5026" t="s">
        <v>336</v>
      </c>
      <c r="E5026" t="s">
        <v>102</v>
      </c>
      <c r="F5026" t="s">
        <v>40</v>
      </c>
      <c r="G5026" t="s">
        <v>36</v>
      </c>
      <c r="H5026" t="s">
        <v>43</v>
      </c>
      <c r="I5026" s="187">
        <v>4440.05615234375</v>
      </c>
      <c r="J5026" s="187">
        <v>0</v>
      </c>
      <c r="K5026" s="187">
        <v>0</v>
      </c>
      <c r="L5026" s="187">
        <v>0</v>
      </c>
      <c r="M5026" s="187">
        <v>4440.05615234375</v>
      </c>
      <c r="N5026" s="187">
        <v>4440.05615234375</v>
      </c>
      <c r="O5026" t="s">
        <v>5485</v>
      </c>
    </row>
    <row r="5027" spans="1:15" hidden="1" x14ac:dyDescent="0.45">
      <c r="A5027" s="187">
        <v>2021</v>
      </c>
      <c r="B5027" t="s">
        <v>34</v>
      </c>
      <c r="C5027" t="s">
        <v>320</v>
      </c>
      <c r="D5027" t="s">
        <v>336</v>
      </c>
      <c r="E5027" t="s">
        <v>102</v>
      </c>
      <c r="F5027" t="s">
        <v>40</v>
      </c>
      <c r="G5027" t="s">
        <v>37</v>
      </c>
      <c r="H5027" t="s">
        <v>43</v>
      </c>
      <c r="I5027" s="187">
        <v>4216.6572265625</v>
      </c>
      <c r="J5027" s="187">
        <v>0</v>
      </c>
      <c r="K5027" s="187">
        <v>0</v>
      </c>
      <c r="L5027" s="187">
        <v>0</v>
      </c>
      <c r="M5027" s="187">
        <v>4216.6572265625</v>
      </c>
      <c r="N5027" s="187">
        <v>4216.6572265625</v>
      </c>
      <c r="O5027" t="s">
        <v>5486</v>
      </c>
    </row>
    <row r="5028" spans="1:15" hidden="1" x14ac:dyDescent="0.45">
      <c r="A5028" s="187">
        <v>2021</v>
      </c>
      <c r="B5028" t="s">
        <v>34</v>
      </c>
      <c r="C5028" t="s">
        <v>320</v>
      </c>
      <c r="D5028" t="s">
        <v>336</v>
      </c>
      <c r="E5028" t="s">
        <v>102</v>
      </c>
      <c r="F5028" t="s">
        <v>38</v>
      </c>
      <c r="G5028" t="s">
        <v>36</v>
      </c>
      <c r="H5028" t="s">
        <v>43</v>
      </c>
      <c r="I5028" s="187">
        <v>132.36170959472656</v>
      </c>
      <c r="J5028" s="187">
        <v>0</v>
      </c>
      <c r="K5028" s="187">
        <v>0</v>
      </c>
      <c r="L5028" s="187">
        <v>0</v>
      </c>
      <c r="M5028" s="187">
        <v>132.36170959472656</v>
      </c>
      <c r="N5028" s="187">
        <v>132.36170959472656</v>
      </c>
      <c r="O5028" t="s">
        <v>5487</v>
      </c>
    </row>
    <row r="5029" spans="1:15" hidden="1" x14ac:dyDescent="0.45">
      <c r="A5029" s="187">
        <v>2021</v>
      </c>
      <c r="B5029" t="s">
        <v>34</v>
      </c>
      <c r="C5029" t="s">
        <v>320</v>
      </c>
      <c r="D5029" t="s">
        <v>336</v>
      </c>
      <c r="E5029" t="s">
        <v>102</v>
      </c>
      <c r="F5029" t="s">
        <v>38</v>
      </c>
      <c r="G5029" t="s">
        <v>37</v>
      </c>
      <c r="H5029" t="s">
        <v>43</v>
      </c>
      <c r="I5029" s="187">
        <v>125.70200347900391</v>
      </c>
      <c r="J5029" s="187">
        <v>0</v>
      </c>
      <c r="K5029" s="187">
        <v>0</v>
      </c>
      <c r="L5029" s="187">
        <v>0</v>
      </c>
      <c r="M5029" s="187">
        <v>125.70200347900391</v>
      </c>
      <c r="N5029" s="187">
        <v>125.70200347900391</v>
      </c>
      <c r="O5029" t="s">
        <v>5488</v>
      </c>
    </row>
    <row r="5030" spans="1:15" hidden="1" x14ac:dyDescent="0.45">
      <c r="A5030" s="187">
        <v>2021</v>
      </c>
      <c r="B5030" t="s">
        <v>34</v>
      </c>
      <c r="C5030" t="s">
        <v>320</v>
      </c>
      <c r="D5030" t="s">
        <v>336</v>
      </c>
      <c r="E5030" t="s">
        <v>102</v>
      </c>
      <c r="F5030" t="s">
        <v>375</v>
      </c>
      <c r="G5030" t="s">
        <v>36</v>
      </c>
      <c r="H5030" t="s">
        <v>43</v>
      </c>
      <c r="I5030" s="187">
        <v>6776.14697265625</v>
      </c>
      <c r="J5030" s="187">
        <v>406.6083984375</v>
      </c>
      <c r="K5030" s="187">
        <v>0</v>
      </c>
      <c r="L5030" s="187">
        <v>562.35302734375</v>
      </c>
      <c r="M5030" s="187">
        <v>7745.1083984375</v>
      </c>
      <c r="N5030" s="187">
        <v>7338.5</v>
      </c>
      <c r="O5030" t="s">
        <v>5489</v>
      </c>
    </row>
    <row r="5031" spans="1:15" hidden="1" x14ac:dyDescent="0.45">
      <c r="A5031" s="187">
        <v>2021</v>
      </c>
      <c r="B5031" t="s">
        <v>34</v>
      </c>
      <c r="C5031" t="s">
        <v>320</v>
      </c>
      <c r="D5031" t="s">
        <v>336</v>
      </c>
      <c r="E5031" t="s">
        <v>102</v>
      </c>
      <c r="F5031" t="s">
        <v>375</v>
      </c>
      <c r="G5031" t="s">
        <v>37</v>
      </c>
      <c r="H5031" t="s">
        <v>43</v>
      </c>
      <c r="I5031" s="187">
        <v>6482.7021484375</v>
      </c>
      <c r="J5031" s="187">
        <v>389</v>
      </c>
      <c r="K5031" s="187">
        <v>0</v>
      </c>
      <c r="L5031" s="187">
        <v>538</v>
      </c>
      <c r="M5031" s="187">
        <v>7409.7021484375</v>
      </c>
      <c r="N5031" s="187">
        <v>7020.7021484375</v>
      </c>
      <c r="O5031" t="s">
        <v>5490</v>
      </c>
    </row>
    <row r="5032" spans="1:15" hidden="1" x14ac:dyDescent="0.45">
      <c r="A5032" s="187">
        <v>2021</v>
      </c>
      <c r="B5032" t="s">
        <v>34</v>
      </c>
      <c r="C5032" t="s">
        <v>320</v>
      </c>
      <c r="D5032" t="s">
        <v>336</v>
      </c>
      <c r="E5032" t="s">
        <v>102</v>
      </c>
      <c r="F5032" t="s">
        <v>376</v>
      </c>
      <c r="G5032" t="s">
        <v>36</v>
      </c>
      <c r="H5032" t="s">
        <v>43</v>
      </c>
      <c r="I5032" s="187">
        <v>0</v>
      </c>
      <c r="J5032" s="187">
        <v>0</v>
      </c>
      <c r="K5032" s="187">
        <v>0</v>
      </c>
      <c r="L5032" s="187">
        <v>0</v>
      </c>
      <c r="M5032" s="187">
        <v>0</v>
      </c>
      <c r="N5032" s="187">
        <v>0</v>
      </c>
      <c r="O5032" t="s">
        <v>5491</v>
      </c>
    </row>
    <row r="5033" spans="1:15" hidden="1" x14ac:dyDescent="0.45">
      <c r="A5033" s="187">
        <v>2021</v>
      </c>
      <c r="B5033" t="s">
        <v>34</v>
      </c>
      <c r="C5033" t="s">
        <v>320</v>
      </c>
      <c r="D5033" t="s">
        <v>336</v>
      </c>
      <c r="E5033" t="s">
        <v>102</v>
      </c>
      <c r="F5033" t="s">
        <v>376</v>
      </c>
      <c r="G5033" t="s">
        <v>37</v>
      </c>
      <c r="H5033" t="s">
        <v>43</v>
      </c>
      <c r="I5033" s="187">
        <v>0</v>
      </c>
      <c r="J5033" s="187">
        <v>0</v>
      </c>
      <c r="K5033" s="187">
        <v>0</v>
      </c>
      <c r="L5033" s="187">
        <v>0</v>
      </c>
      <c r="M5033" s="187">
        <v>0</v>
      </c>
      <c r="N5033" s="187">
        <v>0</v>
      </c>
      <c r="O5033" t="s">
        <v>5492</v>
      </c>
    </row>
    <row r="5034" spans="1:15" hidden="1" x14ac:dyDescent="0.45">
      <c r="A5034" s="187">
        <v>2021</v>
      </c>
      <c r="B5034" t="s">
        <v>34</v>
      </c>
      <c r="C5034" t="s">
        <v>320</v>
      </c>
      <c r="D5034" t="s">
        <v>336</v>
      </c>
      <c r="E5034" t="s">
        <v>102</v>
      </c>
      <c r="F5034" t="s">
        <v>385</v>
      </c>
      <c r="G5034" t="s">
        <v>36</v>
      </c>
      <c r="H5034" t="s">
        <v>43</v>
      </c>
      <c r="I5034" s="187">
        <v>0</v>
      </c>
      <c r="J5034" s="187">
        <v>0</v>
      </c>
      <c r="K5034" s="187">
        <v>0</v>
      </c>
      <c r="L5034" s="187">
        <v>0</v>
      </c>
      <c r="M5034" s="187">
        <v>0</v>
      </c>
      <c r="N5034" s="187">
        <v>0</v>
      </c>
      <c r="O5034" t="s">
        <v>5493</v>
      </c>
    </row>
    <row r="5035" spans="1:15" hidden="1" x14ac:dyDescent="0.45">
      <c r="A5035" s="187">
        <v>2021</v>
      </c>
      <c r="B5035" t="s">
        <v>34</v>
      </c>
      <c r="C5035" t="s">
        <v>320</v>
      </c>
      <c r="D5035" t="s">
        <v>336</v>
      </c>
      <c r="E5035" t="s">
        <v>102</v>
      </c>
      <c r="F5035" t="s">
        <v>385</v>
      </c>
      <c r="G5035" t="s">
        <v>37</v>
      </c>
      <c r="H5035" t="s">
        <v>43</v>
      </c>
      <c r="I5035" s="187">
        <v>0</v>
      </c>
      <c r="J5035" s="187">
        <v>0</v>
      </c>
      <c r="K5035" s="187">
        <v>0</v>
      </c>
      <c r="L5035" s="187">
        <v>0</v>
      </c>
      <c r="M5035" s="187">
        <v>0</v>
      </c>
      <c r="N5035" s="187">
        <v>0</v>
      </c>
      <c r="O5035" t="s">
        <v>5494</v>
      </c>
    </row>
    <row r="5036" spans="1:15" hidden="1" x14ac:dyDescent="0.45">
      <c r="A5036" s="187">
        <v>2021</v>
      </c>
      <c r="B5036" t="s">
        <v>34</v>
      </c>
      <c r="C5036" t="s">
        <v>320</v>
      </c>
      <c r="D5036" t="s">
        <v>336</v>
      </c>
      <c r="E5036" t="s">
        <v>102</v>
      </c>
      <c r="F5036" t="s">
        <v>386</v>
      </c>
      <c r="G5036" t="s">
        <v>36</v>
      </c>
      <c r="H5036" t="s">
        <v>43</v>
      </c>
      <c r="I5036" s="187">
        <v>0</v>
      </c>
      <c r="J5036" s="187">
        <v>0</v>
      </c>
      <c r="K5036" s="187">
        <v>0</v>
      </c>
      <c r="L5036" s="187">
        <v>0</v>
      </c>
      <c r="M5036" s="187">
        <v>0</v>
      </c>
      <c r="N5036" s="187">
        <v>0</v>
      </c>
      <c r="O5036" t="s">
        <v>5495</v>
      </c>
    </row>
    <row r="5037" spans="1:15" hidden="1" x14ac:dyDescent="0.45">
      <c r="A5037" s="187">
        <v>2021</v>
      </c>
      <c r="B5037" t="s">
        <v>34</v>
      </c>
      <c r="C5037" t="s">
        <v>320</v>
      </c>
      <c r="D5037" t="s">
        <v>336</v>
      </c>
      <c r="E5037" t="s">
        <v>102</v>
      </c>
      <c r="F5037" t="s">
        <v>386</v>
      </c>
      <c r="G5037" t="s">
        <v>37</v>
      </c>
      <c r="H5037" t="s">
        <v>43</v>
      </c>
      <c r="I5037" s="187">
        <v>0</v>
      </c>
      <c r="J5037" s="187">
        <v>0</v>
      </c>
      <c r="K5037" s="187">
        <v>0</v>
      </c>
      <c r="L5037" s="187">
        <v>0</v>
      </c>
      <c r="M5037" s="187">
        <v>0</v>
      </c>
      <c r="N5037" s="187">
        <v>0</v>
      </c>
      <c r="O5037" t="s">
        <v>5496</v>
      </c>
    </row>
    <row r="5038" spans="1:15" hidden="1" x14ac:dyDescent="0.45">
      <c r="A5038" s="187">
        <v>2021</v>
      </c>
      <c r="B5038" t="s">
        <v>34</v>
      </c>
      <c r="C5038" t="s">
        <v>320</v>
      </c>
      <c r="D5038" t="s">
        <v>336</v>
      </c>
      <c r="E5038" t="s">
        <v>102</v>
      </c>
      <c r="F5038" t="s">
        <v>362</v>
      </c>
      <c r="G5038" t="s">
        <v>36</v>
      </c>
      <c r="H5038" t="s">
        <v>43</v>
      </c>
      <c r="I5038" s="187">
        <v>1229.8428955078125</v>
      </c>
      <c r="J5038" s="187">
        <v>0</v>
      </c>
      <c r="K5038" s="187">
        <v>0</v>
      </c>
      <c r="L5038" s="187">
        <v>0</v>
      </c>
      <c r="M5038" s="187">
        <v>1229.8428955078125</v>
      </c>
      <c r="N5038" s="187">
        <v>1229.8428955078125</v>
      </c>
      <c r="O5038" t="s">
        <v>5497</v>
      </c>
    </row>
    <row r="5039" spans="1:15" hidden="1" x14ac:dyDescent="0.45">
      <c r="A5039" s="187">
        <v>2021</v>
      </c>
      <c r="B5039" t="s">
        <v>34</v>
      </c>
      <c r="C5039" t="s">
        <v>320</v>
      </c>
      <c r="D5039" t="s">
        <v>336</v>
      </c>
      <c r="E5039" t="s">
        <v>102</v>
      </c>
      <c r="F5039" t="s">
        <v>362</v>
      </c>
      <c r="G5039" t="s">
        <v>37</v>
      </c>
      <c r="H5039" t="s">
        <v>43</v>
      </c>
      <c r="I5039" s="187">
        <v>1167.9639892578125</v>
      </c>
      <c r="J5039" s="187">
        <v>0</v>
      </c>
      <c r="K5039" s="187">
        <v>0</v>
      </c>
      <c r="L5039" s="187">
        <v>0</v>
      </c>
      <c r="M5039" s="187">
        <v>1167.9639892578125</v>
      </c>
      <c r="N5039" s="187">
        <v>1167.9639892578125</v>
      </c>
      <c r="O5039" t="s">
        <v>5498</v>
      </c>
    </row>
    <row r="5040" spans="1:15" hidden="1" x14ac:dyDescent="0.45">
      <c r="A5040" s="187">
        <v>2021</v>
      </c>
      <c r="B5040" t="s">
        <v>34</v>
      </c>
      <c r="C5040" t="s">
        <v>320</v>
      </c>
      <c r="D5040" t="s">
        <v>336</v>
      </c>
      <c r="E5040" t="s">
        <v>102</v>
      </c>
      <c r="F5040" t="s">
        <v>363</v>
      </c>
      <c r="G5040" t="s">
        <v>36</v>
      </c>
      <c r="H5040" t="s">
        <v>43</v>
      </c>
      <c r="I5040" s="187">
        <v>3210.21337890625</v>
      </c>
      <c r="J5040" s="187">
        <v>0</v>
      </c>
      <c r="K5040" s="187">
        <v>0</v>
      </c>
      <c r="L5040" s="187">
        <v>0</v>
      </c>
      <c r="M5040" s="187">
        <v>3210.21337890625</v>
      </c>
      <c r="N5040" s="187">
        <v>3210.21337890625</v>
      </c>
      <c r="O5040" t="s">
        <v>5499</v>
      </c>
    </row>
    <row r="5041" spans="1:15" hidden="1" x14ac:dyDescent="0.45">
      <c r="A5041" s="187">
        <v>2021</v>
      </c>
      <c r="B5041" t="s">
        <v>34</v>
      </c>
      <c r="C5041" t="s">
        <v>320</v>
      </c>
      <c r="D5041" t="s">
        <v>336</v>
      </c>
      <c r="E5041" t="s">
        <v>102</v>
      </c>
      <c r="F5041" t="s">
        <v>363</v>
      </c>
      <c r="G5041" t="s">
        <v>37</v>
      </c>
      <c r="H5041" t="s">
        <v>43</v>
      </c>
      <c r="I5041" s="187">
        <v>3048.693115234375</v>
      </c>
      <c r="J5041" s="187">
        <v>0</v>
      </c>
      <c r="K5041" s="187">
        <v>0</v>
      </c>
      <c r="L5041" s="187">
        <v>0</v>
      </c>
      <c r="M5041" s="187">
        <v>3048.693115234375</v>
      </c>
      <c r="N5041" s="187">
        <v>3048.693115234375</v>
      </c>
      <c r="O5041" t="s">
        <v>5500</v>
      </c>
    </row>
    <row r="5042" spans="1:15" hidden="1" x14ac:dyDescent="0.45">
      <c r="A5042" s="187">
        <v>2021</v>
      </c>
      <c r="B5042" t="s">
        <v>34</v>
      </c>
      <c r="C5042" t="s">
        <v>320</v>
      </c>
      <c r="D5042" t="s">
        <v>336</v>
      </c>
      <c r="E5042" t="s">
        <v>102</v>
      </c>
      <c r="F5042" t="s">
        <v>17</v>
      </c>
      <c r="G5042" t="s">
        <v>36</v>
      </c>
      <c r="H5042" t="s">
        <v>43</v>
      </c>
      <c r="I5042" s="187">
        <v>2848.175537109375</v>
      </c>
      <c r="J5042" s="187">
        <v>0</v>
      </c>
      <c r="K5042" s="187">
        <v>0</v>
      </c>
      <c r="L5042" s="187">
        <v>0</v>
      </c>
      <c r="M5042" s="187">
        <v>2848.175537109375</v>
      </c>
      <c r="N5042" s="187">
        <v>2848.175537109375</v>
      </c>
      <c r="O5042" t="s">
        <v>5501</v>
      </c>
    </row>
    <row r="5043" spans="1:15" hidden="1" x14ac:dyDescent="0.45">
      <c r="A5043" s="187">
        <v>2021</v>
      </c>
      <c r="B5043" t="s">
        <v>34</v>
      </c>
      <c r="C5043" t="s">
        <v>320</v>
      </c>
      <c r="D5043" t="s">
        <v>336</v>
      </c>
      <c r="E5043" t="s">
        <v>102</v>
      </c>
      <c r="F5043" t="s">
        <v>17</v>
      </c>
      <c r="G5043" t="s">
        <v>37</v>
      </c>
      <c r="H5043" t="s">
        <v>43</v>
      </c>
      <c r="I5043" s="187">
        <v>2704.87109375</v>
      </c>
      <c r="J5043" s="187">
        <v>0</v>
      </c>
      <c r="K5043" s="187">
        <v>0</v>
      </c>
      <c r="L5043" s="187">
        <v>0</v>
      </c>
      <c r="M5043" s="187">
        <v>2704.87109375</v>
      </c>
      <c r="N5043" s="187">
        <v>2704.87109375</v>
      </c>
      <c r="O5043" t="s">
        <v>5502</v>
      </c>
    </row>
    <row r="5044" spans="1:15" hidden="1" x14ac:dyDescent="0.45">
      <c r="A5044" s="187">
        <v>2021</v>
      </c>
      <c r="B5044" t="s">
        <v>34</v>
      </c>
      <c r="C5044" t="s">
        <v>320</v>
      </c>
      <c r="D5044" t="s">
        <v>336</v>
      </c>
      <c r="E5044" t="s">
        <v>102</v>
      </c>
      <c r="F5044" t="s">
        <v>364</v>
      </c>
      <c r="G5044" t="s">
        <v>36</v>
      </c>
      <c r="H5044" t="s">
        <v>43</v>
      </c>
      <c r="I5044" s="187">
        <v>2386.100341796875</v>
      </c>
      <c r="J5044" s="187">
        <v>0</v>
      </c>
      <c r="K5044" s="187">
        <v>0</v>
      </c>
      <c r="L5044" s="187">
        <v>566.5032958984375</v>
      </c>
      <c r="M5044" s="187">
        <v>2952.603515625</v>
      </c>
      <c r="N5044" s="187">
        <v>2952.603515625</v>
      </c>
      <c r="O5044" t="s">
        <v>5503</v>
      </c>
    </row>
    <row r="5045" spans="1:15" hidden="1" x14ac:dyDescent="0.45">
      <c r="A5045" s="187">
        <v>2021</v>
      </c>
      <c r="B5045" t="s">
        <v>34</v>
      </c>
      <c r="C5045" t="s">
        <v>320</v>
      </c>
      <c r="D5045" t="s">
        <v>336</v>
      </c>
      <c r="E5045" t="s">
        <v>102</v>
      </c>
      <c r="F5045" t="s">
        <v>364</v>
      </c>
      <c r="G5045" t="s">
        <v>37</v>
      </c>
      <c r="H5045" t="s">
        <v>43</v>
      </c>
      <c r="I5045" s="187">
        <v>2266.044921875</v>
      </c>
      <c r="J5045" s="187">
        <v>0</v>
      </c>
      <c r="K5045" s="187">
        <v>0</v>
      </c>
      <c r="L5045" s="187">
        <v>538</v>
      </c>
      <c r="M5045" s="187">
        <v>2804.044921875</v>
      </c>
      <c r="N5045" s="187">
        <v>2804.044921875</v>
      </c>
      <c r="O5045" t="s">
        <v>5504</v>
      </c>
    </row>
    <row r="5046" spans="1:15" hidden="1" x14ac:dyDescent="0.45">
      <c r="A5046" s="187">
        <v>2021</v>
      </c>
      <c r="B5046" t="s">
        <v>34</v>
      </c>
      <c r="C5046" t="s">
        <v>320</v>
      </c>
      <c r="D5046" t="s">
        <v>336</v>
      </c>
      <c r="E5046" t="s">
        <v>102</v>
      </c>
      <c r="F5046" t="s">
        <v>452</v>
      </c>
      <c r="G5046" t="s">
        <v>36</v>
      </c>
      <c r="H5046" t="s">
        <v>43</v>
      </c>
      <c r="I5046" s="187">
        <v>19951.7265625</v>
      </c>
      <c r="J5046" s="187">
        <v>402.9312744140625</v>
      </c>
      <c r="K5046" s="187">
        <v>0</v>
      </c>
      <c r="L5046" s="187">
        <v>566.5032958984375</v>
      </c>
      <c r="M5046" s="187">
        <v>20921.162109375</v>
      </c>
      <c r="N5046" s="187">
        <v>20518.23046875</v>
      </c>
      <c r="O5046" t="s">
        <v>5505</v>
      </c>
    </row>
    <row r="5047" spans="1:15" hidden="1" x14ac:dyDescent="0.45">
      <c r="A5047" s="187">
        <v>2021</v>
      </c>
      <c r="B5047" t="s">
        <v>34</v>
      </c>
      <c r="C5047" t="s">
        <v>320</v>
      </c>
      <c r="D5047" t="s">
        <v>336</v>
      </c>
      <c r="E5047" t="s">
        <v>102</v>
      </c>
      <c r="F5047" t="s">
        <v>452</v>
      </c>
      <c r="G5047" t="s">
        <v>37</v>
      </c>
      <c r="H5047" t="s">
        <v>43</v>
      </c>
      <c r="I5047" s="187">
        <v>18947.865234375</v>
      </c>
      <c r="J5047" s="187">
        <v>382.65798950195313</v>
      </c>
      <c r="K5047" s="187">
        <v>0</v>
      </c>
      <c r="L5047" s="187">
        <v>538</v>
      </c>
      <c r="M5047" s="187">
        <v>19868.5234375</v>
      </c>
      <c r="N5047" s="187">
        <v>19485.865234375</v>
      </c>
      <c r="O5047" t="s">
        <v>5506</v>
      </c>
    </row>
    <row r="5048" spans="1:15" hidden="1" x14ac:dyDescent="0.45">
      <c r="A5048" s="187">
        <v>2021</v>
      </c>
      <c r="B5048" t="s">
        <v>34</v>
      </c>
      <c r="C5048" t="s">
        <v>320</v>
      </c>
      <c r="D5048" t="s">
        <v>336</v>
      </c>
      <c r="E5048" t="s">
        <v>102</v>
      </c>
      <c r="F5048" t="s">
        <v>347</v>
      </c>
      <c r="G5048" t="s">
        <v>36</v>
      </c>
      <c r="H5048" t="s">
        <v>43</v>
      </c>
      <c r="I5048" s="187">
        <v>2347.0927734375</v>
      </c>
      <c r="J5048" s="187">
        <v>0</v>
      </c>
      <c r="K5048" s="187">
        <v>559.10101318359375</v>
      </c>
      <c r="L5048" s="187">
        <v>2547.158935546875</v>
      </c>
      <c r="M5048" s="187">
        <v>5453.3525390625</v>
      </c>
      <c r="N5048" s="187">
        <v>4894.251953125</v>
      </c>
      <c r="O5048" t="s">
        <v>5507</v>
      </c>
    </row>
    <row r="5049" spans="1:15" hidden="1" x14ac:dyDescent="0.45">
      <c r="A5049" s="187">
        <v>2021</v>
      </c>
      <c r="B5049" t="s">
        <v>34</v>
      </c>
      <c r="C5049" t="s">
        <v>320</v>
      </c>
      <c r="D5049" t="s">
        <v>336</v>
      </c>
      <c r="E5049" t="s">
        <v>102</v>
      </c>
      <c r="F5049" t="s">
        <v>347</v>
      </c>
      <c r="G5049" t="s">
        <v>37</v>
      </c>
      <c r="H5049" t="s">
        <v>43</v>
      </c>
      <c r="I5049" s="187">
        <v>2229</v>
      </c>
      <c r="J5049" s="187">
        <v>0</v>
      </c>
      <c r="K5049" s="187">
        <v>530.97015380859375</v>
      </c>
      <c r="L5049" s="187">
        <v>2419</v>
      </c>
      <c r="M5049" s="187">
        <v>5178.97021484375</v>
      </c>
      <c r="N5049" s="187">
        <v>4648</v>
      </c>
      <c r="O5049" t="s">
        <v>5508</v>
      </c>
    </row>
    <row r="5050" spans="1:15" hidden="1" x14ac:dyDescent="0.45">
      <c r="A5050" s="187">
        <v>2021</v>
      </c>
      <c r="B5050" t="s">
        <v>34</v>
      </c>
      <c r="C5050" t="s">
        <v>320</v>
      </c>
      <c r="D5050" t="s">
        <v>336</v>
      </c>
      <c r="E5050" t="s">
        <v>102</v>
      </c>
      <c r="F5050" t="s">
        <v>45</v>
      </c>
      <c r="G5050" t="s">
        <v>36</v>
      </c>
      <c r="H5050" t="s">
        <v>43</v>
      </c>
      <c r="I5050" s="187">
        <v>0</v>
      </c>
      <c r="J5050" s="187">
        <v>6.6779999732971191</v>
      </c>
      <c r="K5050" s="187">
        <v>0</v>
      </c>
      <c r="L5050" s="187">
        <v>0</v>
      </c>
      <c r="M5050" s="187">
        <v>6.6779999732971191</v>
      </c>
      <c r="N5050" s="187">
        <v>0</v>
      </c>
      <c r="O5050" t="s">
        <v>5509</v>
      </c>
    </row>
    <row r="5051" spans="1:15" hidden="1" x14ac:dyDescent="0.45">
      <c r="A5051" s="187">
        <v>2021</v>
      </c>
      <c r="B5051" t="s">
        <v>34</v>
      </c>
      <c r="C5051" t="s">
        <v>320</v>
      </c>
      <c r="D5051" t="s">
        <v>336</v>
      </c>
      <c r="E5051" t="s">
        <v>102</v>
      </c>
      <c r="F5051" t="s">
        <v>45</v>
      </c>
      <c r="G5051" t="s">
        <v>37</v>
      </c>
      <c r="H5051" t="s">
        <v>43</v>
      </c>
      <c r="I5051" s="187">
        <v>0</v>
      </c>
      <c r="J5051" s="187">
        <v>6.3420000076293945</v>
      </c>
      <c r="K5051" s="187">
        <v>0</v>
      </c>
      <c r="L5051" s="187">
        <v>0</v>
      </c>
      <c r="M5051" s="187">
        <v>6.3420000076293945</v>
      </c>
      <c r="N5051" s="187">
        <v>0</v>
      </c>
      <c r="O5051" t="s">
        <v>5510</v>
      </c>
    </row>
    <row r="5052" spans="1:15" hidden="1" x14ac:dyDescent="0.45">
      <c r="A5052" s="187">
        <v>2021</v>
      </c>
      <c r="B5052" t="s">
        <v>34</v>
      </c>
      <c r="C5052" t="s">
        <v>320</v>
      </c>
      <c r="D5052" t="s">
        <v>336</v>
      </c>
      <c r="E5052" t="s">
        <v>102</v>
      </c>
      <c r="F5052" t="s">
        <v>356</v>
      </c>
      <c r="G5052" t="s">
        <v>36</v>
      </c>
      <c r="H5052" t="s">
        <v>43</v>
      </c>
      <c r="I5052" s="187">
        <v>0</v>
      </c>
      <c r="J5052" s="187">
        <v>0</v>
      </c>
      <c r="K5052" s="187">
        <v>0</v>
      </c>
      <c r="L5052" s="187">
        <v>0</v>
      </c>
      <c r="M5052" s="187">
        <v>0</v>
      </c>
      <c r="N5052" s="187">
        <v>0</v>
      </c>
      <c r="O5052" t="s">
        <v>5511</v>
      </c>
    </row>
    <row r="5053" spans="1:15" hidden="1" x14ac:dyDescent="0.45">
      <c r="A5053" s="187">
        <v>2021</v>
      </c>
      <c r="B5053" t="s">
        <v>34</v>
      </c>
      <c r="C5053" t="s">
        <v>320</v>
      </c>
      <c r="D5053" t="s">
        <v>336</v>
      </c>
      <c r="E5053" t="s">
        <v>102</v>
      </c>
      <c r="F5053" t="s">
        <v>356</v>
      </c>
      <c r="G5053" t="s">
        <v>37</v>
      </c>
      <c r="H5053" t="s">
        <v>43</v>
      </c>
      <c r="I5053" s="187">
        <v>0</v>
      </c>
      <c r="J5053" s="187">
        <v>0</v>
      </c>
      <c r="K5053" s="187">
        <v>0</v>
      </c>
      <c r="L5053" s="187">
        <v>0</v>
      </c>
      <c r="M5053" s="187">
        <v>0</v>
      </c>
      <c r="N5053" s="187">
        <v>0</v>
      </c>
      <c r="O5053" t="s">
        <v>5512</v>
      </c>
    </row>
    <row r="5054" spans="1:15" hidden="1" x14ac:dyDescent="0.45">
      <c r="A5054" s="187">
        <v>2021</v>
      </c>
      <c r="B5054" t="s">
        <v>34</v>
      </c>
      <c r="C5054" t="s">
        <v>330</v>
      </c>
      <c r="D5054" t="s">
        <v>338</v>
      </c>
      <c r="E5054" t="s">
        <v>366</v>
      </c>
      <c r="F5054" t="s">
        <v>434</v>
      </c>
      <c r="G5054" t="s">
        <v>36</v>
      </c>
      <c r="H5054" t="s">
        <v>43</v>
      </c>
      <c r="I5054" s="187">
        <v>21492.793302969989</v>
      </c>
      <c r="J5054" s="187">
        <v>2707</v>
      </c>
      <c r="K5054" s="187">
        <v>48428</v>
      </c>
      <c r="L5054" s="187">
        <v>47139</v>
      </c>
      <c r="M5054" s="187">
        <v>119766.796875</v>
      </c>
      <c r="N5054" s="187">
        <v>68631.796875</v>
      </c>
      <c r="O5054" t="s">
        <v>5513</v>
      </c>
    </row>
    <row r="5055" spans="1:15" hidden="1" x14ac:dyDescent="0.45">
      <c r="A5055" s="187">
        <v>2021</v>
      </c>
      <c r="B5055" t="s">
        <v>34</v>
      </c>
      <c r="C5055" t="s">
        <v>330</v>
      </c>
      <c r="D5055" t="s">
        <v>338</v>
      </c>
      <c r="E5055" t="s">
        <v>366</v>
      </c>
      <c r="F5055" t="s">
        <v>435</v>
      </c>
      <c r="G5055" t="s">
        <v>36</v>
      </c>
      <c r="H5055" t="s">
        <v>43</v>
      </c>
      <c r="I5055" s="187">
        <v>1683.1921223703</v>
      </c>
      <c r="J5055" s="187">
        <v>245</v>
      </c>
      <c r="K5055" s="187">
        <v>4779</v>
      </c>
      <c r="L5055" s="187">
        <v>4540</v>
      </c>
      <c r="M5055" s="187">
        <v>11247.1923828125</v>
      </c>
      <c r="N5055" s="187">
        <v>6223.1923828125</v>
      </c>
      <c r="O5055" t="s">
        <v>5514</v>
      </c>
    </row>
    <row r="5056" spans="1:15" hidden="1" x14ac:dyDescent="0.45">
      <c r="A5056" s="187">
        <v>2021</v>
      </c>
      <c r="B5056" t="s">
        <v>34</v>
      </c>
      <c r="C5056" t="s">
        <v>330</v>
      </c>
      <c r="D5056" t="s">
        <v>338</v>
      </c>
      <c r="E5056" t="s">
        <v>366</v>
      </c>
      <c r="F5056" t="s">
        <v>436</v>
      </c>
      <c r="G5056" t="s">
        <v>36</v>
      </c>
      <c r="H5056" t="s">
        <v>43</v>
      </c>
      <c r="I5056" s="187">
        <v>1456.303297464186</v>
      </c>
      <c r="J5056" s="187">
        <v>7271</v>
      </c>
      <c r="K5056" s="187">
        <v>4769</v>
      </c>
      <c r="L5056" s="187">
        <v>9444</v>
      </c>
      <c r="M5056" s="187">
        <v>22940.3046875</v>
      </c>
      <c r="N5056" s="187">
        <v>10900.3037109375</v>
      </c>
      <c r="O5056" t="s">
        <v>5515</v>
      </c>
    </row>
    <row r="5057" spans="1:15" hidden="1" x14ac:dyDescent="0.45">
      <c r="A5057" s="187">
        <v>2021</v>
      </c>
      <c r="B5057" t="s">
        <v>34</v>
      </c>
      <c r="C5057" t="s">
        <v>330</v>
      </c>
      <c r="D5057" t="s">
        <v>338</v>
      </c>
      <c r="E5057" t="s">
        <v>366</v>
      </c>
      <c r="F5057" t="s">
        <v>437</v>
      </c>
      <c r="G5057" t="s">
        <v>36</v>
      </c>
      <c r="H5057" t="s">
        <v>43</v>
      </c>
      <c r="I5057" s="187">
        <v>104004.74816115991</v>
      </c>
      <c r="J5057" s="187">
        <v>6058</v>
      </c>
      <c r="K5057" s="187">
        <v>173438</v>
      </c>
      <c r="L5057" s="187">
        <v>276592</v>
      </c>
      <c r="M5057" s="187">
        <v>560092.75</v>
      </c>
      <c r="N5057" s="187">
        <v>380596.75</v>
      </c>
      <c r="O5057" t="s">
        <v>5516</v>
      </c>
    </row>
    <row r="5058" spans="1:15" hidden="1" x14ac:dyDescent="0.45">
      <c r="A5058" s="187">
        <v>2021</v>
      </c>
      <c r="B5058" t="s">
        <v>34</v>
      </c>
      <c r="C5058" t="s">
        <v>330</v>
      </c>
      <c r="D5058" t="s">
        <v>338</v>
      </c>
      <c r="E5058" t="s">
        <v>366</v>
      </c>
      <c r="F5058" t="s">
        <v>44</v>
      </c>
      <c r="G5058" t="s">
        <v>36</v>
      </c>
      <c r="H5058" t="s">
        <v>43</v>
      </c>
      <c r="I5058" s="187">
        <v>3379.1184099688589</v>
      </c>
      <c r="J5058" s="187">
        <v>253</v>
      </c>
      <c r="K5058" s="187">
        <v>36077</v>
      </c>
      <c r="L5058" s="187">
        <v>11525</v>
      </c>
      <c r="M5058" s="187">
        <v>51234.1171875</v>
      </c>
      <c r="N5058" s="187">
        <v>14904.1181640625</v>
      </c>
      <c r="O5058" t="s">
        <v>5517</v>
      </c>
    </row>
    <row r="5059" spans="1:15" hidden="1" x14ac:dyDescent="0.45">
      <c r="A5059" s="187">
        <v>2021</v>
      </c>
      <c r="B5059" t="s">
        <v>34</v>
      </c>
      <c r="C5059" t="s">
        <v>330</v>
      </c>
      <c r="D5059" t="s">
        <v>338</v>
      </c>
      <c r="E5059" t="s">
        <v>366</v>
      </c>
      <c r="F5059" t="s">
        <v>438</v>
      </c>
      <c r="G5059" t="s">
        <v>36</v>
      </c>
      <c r="H5059" t="s">
        <v>43</v>
      </c>
      <c r="I5059" s="187">
        <v>39125.716535766667</v>
      </c>
      <c r="J5059" s="187">
        <v>7501</v>
      </c>
      <c r="K5059" s="187">
        <v>109868</v>
      </c>
      <c r="L5059" s="187">
        <v>90040</v>
      </c>
      <c r="M5059" s="187">
        <v>246534.71875</v>
      </c>
      <c r="N5059" s="187">
        <v>129165.71875</v>
      </c>
      <c r="O5059" t="s">
        <v>5518</v>
      </c>
    </row>
    <row r="5060" spans="1:15" hidden="1" x14ac:dyDescent="0.45">
      <c r="A5060" s="187">
        <v>2021</v>
      </c>
      <c r="B5060" t="s">
        <v>34</v>
      </c>
      <c r="C5060" t="s">
        <v>330</v>
      </c>
      <c r="D5060" t="s">
        <v>338</v>
      </c>
      <c r="E5060" t="s">
        <v>366</v>
      </c>
      <c r="F5060" t="s">
        <v>439</v>
      </c>
      <c r="G5060" t="s">
        <v>36</v>
      </c>
      <c r="H5060" t="s">
        <v>43</v>
      </c>
      <c r="I5060" s="187">
        <v>3302.338003363639</v>
      </c>
      <c r="J5060" s="187">
        <v>529</v>
      </c>
      <c r="K5060" s="187">
        <v>880</v>
      </c>
      <c r="L5060" s="187">
        <v>882</v>
      </c>
      <c r="M5060" s="187">
        <v>5593.337890625</v>
      </c>
      <c r="N5060" s="187">
        <v>4184.337890625</v>
      </c>
      <c r="O5060" t="s">
        <v>5519</v>
      </c>
    </row>
    <row r="5061" spans="1:15" hidden="1" x14ac:dyDescent="0.45">
      <c r="A5061" s="187">
        <v>2021</v>
      </c>
      <c r="B5061" t="s">
        <v>34</v>
      </c>
      <c r="C5061" t="s">
        <v>330</v>
      </c>
      <c r="D5061" t="s">
        <v>338</v>
      </c>
      <c r="E5061" t="s">
        <v>366</v>
      </c>
      <c r="F5061" t="s">
        <v>440</v>
      </c>
      <c r="G5061" t="s">
        <v>36</v>
      </c>
      <c r="H5061" t="s">
        <v>43</v>
      </c>
      <c r="I5061" s="187">
        <v>6069.1092508500233</v>
      </c>
      <c r="J5061" s="187">
        <v>116</v>
      </c>
      <c r="K5061" s="187">
        <v>6278</v>
      </c>
      <c r="L5061" s="187">
        <v>5726</v>
      </c>
      <c r="M5061" s="187">
        <v>18189.109375</v>
      </c>
      <c r="N5061" s="187">
        <v>11795.109375</v>
      </c>
      <c r="O5061" t="s">
        <v>5520</v>
      </c>
    </row>
    <row r="5062" spans="1:15" hidden="1" x14ac:dyDescent="0.45">
      <c r="A5062" s="187">
        <v>2021</v>
      </c>
      <c r="B5062" t="s">
        <v>34</v>
      </c>
      <c r="C5062" t="s">
        <v>330</v>
      </c>
      <c r="D5062" t="s">
        <v>338</v>
      </c>
      <c r="E5062" t="s">
        <v>366</v>
      </c>
      <c r="F5062" t="s">
        <v>441</v>
      </c>
      <c r="G5062" t="s">
        <v>36</v>
      </c>
      <c r="H5062" t="s">
        <v>43</v>
      </c>
      <c r="I5062" s="187">
        <v>181908.46657050299</v>
      </c>
      <c r="J5062" s="187">
        <v>24943</v>
      </c>
      <c r="K5062" s="187">
        <v>406139</v>
      </c>
      <c r="L5062" s="187">
        <v>451131</v>
      </c>
      <c r="M5062" s="187">
        <v>1064121.5</v>
      </c>
      <c r="N5062" s="187">
        <v>633039.5</v>
      </c>
      <c r="O5062" t="s">
        <v>5521</v>
      </c>
    </row>
    <row r="5063" spans="1:15" hidden="1" x14ac:dyDescent="0.45">
      <c r="A5063" s="187">
        <v>2021</v>
      </c>
      <c r="B5063" t="s">
        <v>34</v>
      </c>
      <c r="C5063" t="s">
        <v>331</v>
      </c>
      <c r="D5063" t="s">
        <v>339</v>
      </c>
      <c r="E5063" t="s">
        <v>7</v>
      </c>
      <c r="F5063" t="s">
        <v>442</v>
      </c>
      <c r="G5063" t="s">
        <v>453</v>
      </c>
      <c r="H5063" t="s">
        <v>456</v>
      </c>
      <c r="I5063" s="187">
        <v>7.789302420174903</v>
      </c>
      <c r="J5063" s="187">
        <v>23.705918626162021</v>
      </c>
      <c r="K5063" s="187">
        <v>18.180127019002921</v>
      </c>
      <c r="L5063" s="187">
        <v>9.0839003689528699</v>
      </c>
      <c r="M5063" s="187">
        <v>58.759246826171875</v>
      </c>
      <c r="N5063" s="187">
        <v>16.873203277587891</v>
      </c>
      <c r="O5063" t="s">
        <v>5522</v>
      </c>
    </row>
    <row r="5064" spans="1:15" hidden="1" x14ac:dyDescent="0.45">
      <c r="A5064" s="187">
        <v>2021</v>
      </c>
      <c r="B5064" t="s">
        <v>34</v>
      </c>
      <c r="C5064" t="s">
        <v>332</v>
      </c>
      <c r="D5064" t="s">
        <v>339</v>
      </c>
      <c r="E5064" t="s">
        <v>110</v>
      </c>
      <c r="F5064" t="s">
        <v>443</v>
      </c>
      <c r="G5064" t="s">
        <v>453</v>
      </c>
      <c r="H5064" t="s">
        <v>456</v>
      </c>
      <c r="I5064" s="187">
        <v>190</v>
      </c>
      <c r="J5064" s="187">
        <v>101</v>
      </c>
      <c r="K5064" s="187">
        <v>450</v>
      </c>
      <c r="L5064" s="187">
        <v>443</v>
      </c>
      <c r="M5064" s="187">
        <v>1184</v>
      </c>
      <c r="N5064" s="187">
        <v>633</v>
      </c>
      <c r="O5064" t="s">
        <v>5523</v>
      </c>
    </row>
    <row r="5065" spans="1:15" hidden="1" x14ac:dyDescent="0.45">
      <c r="A5065" s="187">
        <v>2021</v>
      </c>
      <c r="B5065" t="s">
        <v>34</v>
      </c>
      <c r="C5065" t="s">
        <v>332</v>
      </c>
      <c r="D5065" t="s">
        <v>339</v>
      </c>
      <c r="E5065" t="s">
        <v>110</v>
      </c>
      <c r="F5065" t="s">
        <v>444</v>
      </c>
      <c r="G5065" t="s">
        <v>453</v>
      </c>
      <c r="H5065" t="s">
        <v>456</v>
      </c>
      <c r="I5065" s="187">
        <v>99</v>
      </c>
      <c r="J5065" s="187">
        <v>44</v>
      </c>
      <c r="K5065" s="187">
        <v>468</v>
      </c>
      <c r="L5065" s="187">
        <v>38</v>
      </c>
      <c r="M5065" s="187">
        <v>649</v>
      </c>
      <c r="N5065" s="187">
        <v>137</v>
      </c>
      <c r="O5065" t="s">
        <v>5524</v>
      </c>
    </row>
    <row r="5066" spans="1:15" hidden="1" x14ac:dyDescent="0.45">
      <c r="A5066" s="187">
        <v>2021</v>
      </c>
      <c r="B5066" t="s">
        <v>34</v>
      </c>
      <c r="C5066" t="s">
        <v>333</v>
      </c>
      <c r="D5066" t="s">
        <v>339</v>
      </c>
      <c r="E5066" t="s">
        <v>111</v>
      </c>
      <c r="F5066" t="s">
        <v>188</v>
      </c>
      <c r="G5066" t="s">
        <v>453</v>
      </c>
      <c r="H5066" t="s">
        <v>460</v>
      </c>
      <c r="I5066" s="187">
        <v>168.95870736092741</v>
      </c>
      <c r="J5066" s="187">
        <v>149.08588957055221</v>
      </c>
      <c r="K5066" s="187">
        <v>150.9806408544726</v>
      </c>
      <c r="L5066" s="187">
        <v>119.39102564102561</v>
      </c>
      <c r="M5066" s="187">
        <v>147.10406494140625</v>
      </c>
      <c r="N5066" s="187">
        <v>288.3497314453125</v>
      </c>
      <c r="O5066" t="s">
        <v>5525</v>
      </c>
    </row>
    <row r="5067" spans="1:15" hidden="1" x14ac:dyDescent="0.45">
      <c r="A5067" s="187">
        <v>2021</v>
      </c>
      <c r="B5067" t="s">
        <v>34</v>
      </c>
      <c r="C5067" t="s">
        <v>333</v>
      </c>
      <c r="D5067" t="s">
        <v>339</v>
      </c>
      <c r="E5067" t="s">
        <v>111</v>
      </c>
      <c r="F5067" t="s">
        <v>445</v>
      </c>
      <c r="G5067" t="s">
        <v>453</v>
      </c>
      <c r="H5067" t="s">
        <v>460</v>
      </c>
      <c r="I5067" s="187">
        <v>309.97247706422019</v>
      </c>
      <c r="J5067" s="187">
        <v>206.38888888888891</v>
      </c>
      <c r="K5067" s="187">
        <v>72.160377358490564</v>
      </c>
      <c r="L5067" s="187">
        <v>129.55974842767299</v>
      </c>
      <c r="M5067" s="187">
        <v>179.5203857421875</v>
      </c>
      <c r="N5067" s="187">
        <v>439.5322265625</v>
      </c>
      <c r="O5067" t="s">
        <v>5526</v>
      </c>
    </row>
    <row r="5068" spans="1:15" hidden="1" x14ac:dyDescent="0.45">
      <c r="A5068" s="187">
        <v>2021</v>
      </c>
      <c r="B5068" t="s">
        <v>34</v>
      </c>
      <c r="C5068" t="s">
        <v>333</v>
      </c>
      <c r="D5068" t="s">
        <v>339</v>
      </c>
      <c r="E5068" t="s">
        <v>0</v>
      </c>
      <c r="F5068" t="s">
        <v>188</v>
      </c>
      <c r="G5068" t="s">
        <v>453</v>
      </c>
      <c r="H5068" t="s">
        <v>460</v>
      </c>
      <c r="I5068" s="187">
        <v>1426.0387307942619</v>
      </c>
      <c r="J5068" s="187">
        <v>1837.921645741945</v>
      </c>
      <c r="K5068" s="187">
        <v>2015.155835130174</v>
      </c>
      <c r="L5068" s="187">
        <v>745</v>
      </c>
      <c r="M5068" s="187">
        <v>1506.029052734375</v>
      </c>
      <c r="N5068" s="187">
        <v>2171.03857421875</v>
      </c>
      <c r="O5068" t="s">
        <v>5527</v>
      </c>
    </row>
    <row r="5069" spans="1:15" hidden="1" x14ac:dyDescent="0.45">
      <c r="A5069" s="187">
        <v>2021</v>
      </c>
      <c r="B5069" t="s">
        <v>34</v>
      </c>
      <c r="C5069" t="s">
        <v>333</v>
      </c>
      <c r="D5069" t="s">
        <v>339</v>
      </c>
      <c r="E5069" t="s">
        <v>0</v>
      </c>
      <c r="F5069" t="s">
        <v>445</v>
      </c>
      <c r="G5069" t="s">
        <v>453</v>
      </c>
      <c r="H5069" t="s">
        <v>460</v>
      </c>
      <c r="I5069" s="187">
        <v>1023.941570445798</v>
      </c>
      <c r="J5069" s="187">
        <v>280.97110875813041</v>
      </c>
      <c r="K5069" s="187">
        <v>136.3045066557371</v>
      </c>
      <c r="L5069" s="187">
        <v>206</v>
      </c>
      <c r="M5069" s="187">
        <v>411.8043212890625</v>
      </c>
      <c r="N5069" s="187">
        <v>1229.941650390625</v>
      </c>
      <c r="O5069" t="s">
        <v>5528</v>
      </c>
    </row>
    <row r="5070" spans="1:15" hidden="1" x14ac:dyDescent="0.45">
      <c r="A5070" s="187">
        <v>2021</v>
      </c>
      <c r="B5070" t="s">
        <v>34</v>
      </c>
      <c r="C5070" t="s">
        <v>333</v>
      </c>
      <c r="D5070" t="s">
        <v>339</v>
      </c>
      <c r="E5070" t="s">
        <v>42</v>
      </c>
      <c r="F5070" t="s">
        <v>188</v>
      </c>
      <c r="G5070" t="s">
        <v>453</v>
      </c>
      <c r="H5070" t="s">
        <v>460</v>
      </c>
      <c r="I5070" s="187">
        <v>8.4401612267781925</v>
      </c>
      <c r="J5070" s="187">
        <v>12.32793828467705</v>
      </c>
      <c r="K5070" s="187">
        <v>13.34711406525652</v>
      </c>
      <c r="L5070" s="187">
        <v>6.24</v>
      </c>
      <c r="M5070" s="187">
        <v>10.088803291320801</v>
      </c>
      <c r="N5070" s="187">
        <v>14.680160522460938</v>
      </c>
      <c r="O5070" t="s">
        <v>5529</v>
      </c>
    </row>
    <row r="5071" spans="1:15" hidden="1" x14ac:dyDescent="0.45">
      <c r="A5071" s="187">
        <v>2021</v>
      </c>
      <c r="B5071" t="s">
        <v>34</v>
      </c>
      <c r="C5071" t="s">
        <v>333</v>
      </c>
      <c r="D5071" t="s">
        <v>339</v>
      </c>
      <c r="E5071" t="s">
        <v>42</v>
      </c>
      <c r="F5071" t="s">
        <v>445</v>
      </c>
      <c r="G5071" t="s">
        <v>453</v>
      </c>
      <c r="H5071" t="s">
        <v>460</v>
      </c>
      <c r="I5071" s="187">
        <v>3.3033306058126501</v>
      </c>
      <c r="J5071" s="187">
        <v>1.361367417939797</v>
      </c>
      <c r="K5071" s="187">
        <v>1.888910668781296</v>
      </c>
      <c r="L5071" s="187">
        <v>1.59</v>
      </c>
      <c r="M5071" s="187">
        <v>2.0359022617340088</v>
      </c>
      <c r="N5071" s="187">
        <v>4.8933305740356445</v>
      </c>
      <c r="O5071" t="s">
        <v>5530</v>
      </c>
    </row>
    <row r="5072" spans="1:15" hidden="1" x14ac:dyDescent="0.45">
      <c r="A5072" s="187">
        <v>2021</v>
      </c>
      <c r="B5072" t="s">
        <v>34</v>
      </c>
      <c r="C5072" t="s">
        <v>319</v>
      </c>
      <c r="D5072" t="s">
        <v>335</v>
      </c>
      <c r="E5072" t="s">
        <v>10</v>
      </c>
      <c r="F5072" t="s">
        <v>372</v>
      </c>
      <c r="G5072" t="s">
        <v>453</v>
      </c>
      <c r="H5072" t="s">
        <v>454</v>
      </c>
      <c r="I5072" s="187">
        <v>8.4793331484031703E-2</v>
      </c>
      <c r="J5072" s="187">
        <v>7.7454384372520502E-2</v>
      </c>
      <c r="K5072" s="187">
        <v>8.8632633547020001E-2</v>
      </c>
      <c r="L5072" s="187">
        <v>7.0109727189826998E-2</v>
      </c>
      <c r="M5072" s="187">
        <v>8.024752140045166E-2</v>
      </c>
      <c r="N5072" s="187">
        <v>0.15490305423736572</v>
      </c>
      <c r="O5072" t="s">
        <v>5531</v>
      </c>
    </row>
    <row r="5073" spans="1:15" hidden="1" x14ac:dyDescent="0.45">
      <c r="A5073" s="187">
        <v>2021</v>
      </c>
      <c r="B5073" t="s">
        <v>34</v>
      </c>
      <c r="C5073" t="s">
        <v>319</v>
      </c>
      <c r="D5073" t="s">
        <v>335</v>
      </c>
      <c r="E5073" t="s">
        <v>10</v>
      </c>
      <c r="F5073" t="s">
        <v>373</v>
      </c>
      <c r="G5073" t="s">
        <v>453</v>
      </c>
      <c r="H5073" t="s">
        <v>454</v>
      </c>
      <c r="I5073" s="187">
        <v>8.7204131484031694E-2</v>
      </c>
      <c r="J5073" s="187">
        <v>8.00415843725205E-2</v>
      </c>
      <c r="K5073" s="187">
        <v>9.1043433547020006E-2</v>
      </c>
      <c r="L5073" s="187">
        <v>7.2696927189826996E-2</v>
      </c>
      <c r="M5073" s="187">
        <v>8.2746520638465881E-2</v>
      </c>
      <c r="N5073" s="187">
        <v>0.15990105271339417</v>
      </c>
      <c r="O5073" t="s">
        <v>5532</v>
      </c>
    </row>
    <row r="5074" spans="1:15" hidden="1" x14ac:dyDescent="0.45">
      <c r="A5074" s="187">
        <v>2021</v>
      </c>
      <c r="B5074" t="s">
        <v>34</v>
      </c>
      <c r="C5074" t="s">
        <v>321</v>
      </c>
      <c r="D5074" t="s">
        <v>335</v>
      </c>
      <c r="E5074" t="s">
        <v>341</v>
      </c>
      <c r="F5074" t="s">
        <v>375</v>
      </c>
      <c r="G5074" t="s">
        <v>36</v>
      </c>
      <c r="H5074" t="s">
        <v>43</v>
      </c>
      <c r="I5074" s="187">
        <v>10516.8857421875</v>
      </c>
      <c r="J5074" s="187">
        <v>2115.43701171875</v>
      </c>
      <c r="K5074" s="187">
        <v>19030.509765625</v>
      </c>
      <c r="L5074" s="187">
        <v>14029.37109375</v>
      </c>
      <c r="M5074" s="187">
        <v>45692.203125</v>
      </c>
      <c r="N5074" s="187">
        <v>24546.2578125</v>
      </c>
      <c r="O5074" t="s">
        <v>5533</v>
      </c>
    </row>
    <row r="5075" spans="1:15" hidden="1" x14ac:dyDescent="0.45">
      <c r="A5075" s="187">
        <v>2021</v>
      </c>
      <c r="B5075" t="s">
        <v>34</v>
      </c>
      <c r="C5075" t="s">
        <v>321</v>
      </c>
      <c r="D5075" t="s">
        <v>335</v>
      </c>
      <c r="E5075" t="s">
        <v>341</v>
      </c>
      <c r="F5075" t="s">
        <v>375</v>
      </c>
      <c r="G5075" t="s">
        <v>37</v>
      </c>
      <c r="H5075" t="s">
        <v>43</v>
      </c>
      <c r="I5075" s="187">
        <v>9987.734375</v>
      </c>
      <c r="J5075" s="187">
        <v>2009</v>
      </c>
      <c r="K5075" s="187">
        <v>18073</v>
      </c>
      <c r="L5075" s="187">
        <v>13323.490234375</v>
      </c>
      <c r="M5075" s="187">
        <v>43393.2265625</v>
      </c>
      <c r="N5075" s="187">
        <v>23311.224609375</v>
      </c>
      <c r="O5075" t="s">
        <v>5534</v>
      </c>
    </row>
    <row r="5076" spans="1:15" hidden="1" x14ac:dyDescent="0.45">
      <c r="A5076" s="187">
        <v>2021</v>
      </c>
      <c r="B5076" t="s">
        <v>34</v>
      </c>
      <c r="C5076" t="s">
        <v>321</v>
      </c>
      <c r="D5076" t="s">
        <v>335</v>
      </c>
      <c r="E5076" t="s">
        <v>341</v>
      </c>
      <c r="F5076" t="s">
        <v>377</v>
      </c>
      <c r="G5076" t="s">
        <v>36</v>
      </c>
      <c r="H5076" t="s">
        <v>43</v>
      </c>
      <c r="I5076" s="187">
        <v>818.9710693359375</v>
      </c>
      <c r="J5076" s="187">
        <v>80.708824157714844</v>
      </c>
      <c r="K5076" s="187">
        <v>1916.423828125</v>
      </c>
      <c r="L5076" s="187">
        <v>2023.827880859375</v>
      </c>
      <c r="M5076" s="187">
        <v>4839.931640625</v>
      </c>
      <c r="N5076" s="187">
        <v>2842.798828125</v>
      </c>
      <c r="O5076" t="s">
        <v>5535</v>
      </c>
    </row>
    <row r="5077" spans="1:15" hidden="1" x14ac:dyDescent="0.45">
      <c r="A5077" s="187">
        <v>2021</v>
      </c>
      <c r="B5077" t="s">
        <v>34</v>
      </c>
      <c r="C5077" t="s">
        <v>321</v>
      </c>
      <c r="D5077" t="s">
        <v>335</v>
      </c>
      <c r="E5077" t="s">
        <v>341</v>
      </c>
      <c r="F5077" t="s">
        <v>377</v>
      </c>
      <c r="G5077" t="s">
        <v>37</v>
      </c>
      <c r="H5077" t="s">
        <v>43</v>
      </c>
      <c r="I5077" s="187">
        <v>777.76495361328125</v>
      </c>
      <c r="J5077" s="187">
        <v>76.648002624511719</v>
      </c>
      <c r="K5077" s="187">
        <v>1820</v>
      </c>
      <c r="L5077" s="187">
        <v>1922</v>
      </c>
      <c r="M5077" s="187">
        <v>4596.4130859375</v>
      </c>
      <c r="N5077" s="187">
        <v>2699.764892578125</v>
      </c>
      <c r="O5077" t="s">
        <v>5536</v>
      </c>
    </row>
    <row r="5078" spans="1:15" hidden="1" x14ac:dyDescent="0.45">
      <c r="A5078" s="187">
        <v>2021</v>
      </c>
      <c r="B5078" t="s">
        <v>34</v>
      </c>
      <c r="C5078" t="s">
        <v>321</v>
      </c>
      <c r="D5078" t="s">
        <v>335</v>
      </c>
      <c r="E5078" t="s">
        <v>342</v>
      </c>
      <c r="F5078" t="s">
        <v>342</v>
      </c>
      <c r="G5078" t="s">
        <v>36</v>
      </c>
      <c r="H5078" t="s">
        <v>43</v>
      </c>
      <c r="I5078" s="187">
        <v>15768.96875</v>
      </c>
      <c r="J5078" s="187">
        <v>2566.790771484375</v>
      </c>
      <c r="K5078" s="187">
        <v>37963.1171875</v>
      </c>
      <c r="L5078" s="187">
        <v>34955.26953125</v>
      </c>
      <c r="M5078" s="187">
        <v>91254.140625</v>
      </c>
      <c r="N5078" s="187">
        <v>50724.23828125</v>
      </c>
      <c r="O5078" t="s">
        <v>5537</v>
      </c>
    </row>
    <row r="5079" spans="1:15" hidden="1" x14ac:dyDescent="0.45">
      <c r="A5079" s="187">
        <v>2021</v>
      </c>
      <c r="B5079" t="s">
        <v>34</v>
      </c>
      <c r="C5079" t="s">
        <v>321</v>
      </c>
      <c r="D5079" t="s">
        <v>335</v>
      </c>
      <c r="E5079" t="s">
        <v>342</v>
      </c>
      <c r="F5079" t="s">
        <v>342</v>
      </c>
      <c r="G5079" t="s">
        <v>37</v>
      </c>
      <c r="H5079" t="s">
        <v>43</v>
      </c>
      <c r="I5079" s="187">
        <v>14975.5615234375</v>
      </c>
      <c r="J5079" s="187">
        <v>2437.64404296875</v>
      </c>
      <c r="K5079" s="187">
        <v>36053.0234375</v>
      </c>
      <c r="L5079" s="187">
        <v>33196.51171875</v>
      </c>
      <c r="M5079" s="187">
        <v>86662.734375</v>
      </c>
      <c r="N5079" s="187">
        <v>48172.07421875</v>
      </c>
      <c r="O5079" t="s">
        <v>5538</v>
      </c>
    </row>
    <row r="5080" spans="1:15" hidden="1" x14ac:dyDescent="0.45">
      <c r="A5080" s="187">
        <v>2021</v>
      </c>
      <c r="B5080" t="s">
        <v>34</v>
      </c>
      <c r="C5080" t="s">
        <v>321</v>
      </c>
      <c r="D5080" t="s">
        <v>335</v>
      </c>
      <c r="E5080" t="s">
        <v>343</v>
      </c>
      <c r="F5080" t="s">
        <v>343</v>
      </c>
      <c r="G5080" t="s">
        <v>36</v>
      </c>
      <c r="H5080" t="s">
        <v>43</v>
      </c>
      <c r="I5080" s="187">
        <v>15052.4892578125</v>
      </c>
      <c r="J5080" s="187">
        <v>1901.48876953125</v>
      </c>
      <c r="K5080" s="187">
        <v>34095.45703125</v>
      </c>
      <c r="L5080" s="187">
        <v>30444.89453125</v>
      </c>
      <c r="M5080" s="187">
        <v>81494.328125</v>
      </c>
      <c r="N5080" s="187">
        <v>45497.3828125</v>
      </c>
      <c r="O5080" t="s">
        <v>5539</v>
      </c>
    </row>
    <row r="5081" spans="1:15" hidden="1" x14ac:dyDescent="0.45">
      <c r="A5081" s="187">
        <v>2021</v>
      </c>
      <c r="B5081" t="s">
        <v>34</v>
      </c>
      <c r="C5081" t="s">
        <v>321</v>
      </c>
      <c r="D5081" t="s">
        <v>335</v>
      </c>
      <c r="E5081" t="s">
        <v>343</v>
      </c>
      <c r="F5081" t="s">
        <v>343</v>
      </c>
      <c r="G5081" t="s">
        <v>37</v>
      </c>
      <c r="H5081" t="s">
        <v>43</v>
      </c>
      <c r="I5081" s="187">
        <v>14295.130859375</v>
      </c>
      <c r="J5081" s="187">
        <v>1805.8162841796875</v>
      </c>
      <c r="K5081" s="187">
        <v>32379.962890625</v>
      </c>
      <c r="L5081" s="187">
        <v>28913.076171875</v>
      </c>
      <c r="M5081" s="187">
        <v>77393.984375</v>
      </c>
      <c r="N5081" s="187">
        <v>43208.20703125</v>
      </c>
      <c r="O5081" t="s">
        <v>5540</v>
      </c>
    </row>
    <row r="5082" spans="1:15" hidden="1" x14ac:dyDescent="0.45">
      <c r="A5082" s="187">
        <v>2021</v>
      </c>
      <c r="B5082" t="s">
        <v>34</v>
      </c>
      <c r="C5082" t="s">
        <v>321</v>
      </c>
      <c r="D5082" t="s">
        <v>335</v>
      </c>
      <c r="E5082" t="s">
        <v>344</v>
      </c>
      <c r="F5082" t="s">
        <v>344</v>
      </c>
      <c r="G5082" t="s">
        <v>36</v>
      </c>
      <c r="H5082" t="s">
        <v>43</v>
      </c>
      <c r="I5082" s="187">
        <v>18208.998046875</v>
      </c>
      <c r="J5082" s="187">
        <v>2476.407470703125</v>
      </c>
      <c r="K5082" s="187">
        <v>40622.9765625</v>
      </c>
      <c r="L5082" s="187">
        <v>36866.6953125</v>
      </c>
      <c r="M5082" s="187">
        <v>98175.078125</v>
      </c>
      <c r="N5082" s="187">
        <v>55075.6953125</v>
      </c>
      <c r="O5082" t="s">
        <v>5541</v>
      </c>
    </row>
    <row r="5083" spans="1:15" hidden="1" x14ac:dyDescent="0.45">
      <c r="A5083" s="187">
        <v>2021</v>
      </c>
      <c r="B5083" t="s">
        <v>34</v>
      </c>
      <c r="C5083" t="s">
        <v>321</v>
      </c>
      <c r="D5083" t="s">
        <v>335</v>
      </c>
      <c r="E5083" t="s">
        <v>344</v>
      </c>
      <c r="F5083" t="s">
        <v>344</v>
      </c>
      <c r="G5083" t="s">
        <v>37</v>
      </c>
      <c r="H5083" t="s">
        <v>43</v>
      </c>
      <c r="I5083" s="187">
        <v>17292.822265625</v>
      </c>
      <c r="J5083" s="187">
        <v>2351.808349609375</v>
      </c>
      <c r="K5083" s="187">
        <v>38579.05078125</v>
      </c>
      <c r="L5083" s="187">
        <v>35011.765625</v>
      </c>
      <c r="M5083" s="187">
        <v>93235.4453125</v>
      </c>
      <c r="N5083" s="187">
        <v>52304.5859375</v>
      </c>
      <c r="O5083" t="s">
        <v>5542</v>
      </c>
    </row>
    <row r="5084" spans="1:15" hidden="1" x14ac:dyDescent="0.45">
      <c r="A5084" s="187">
        <v>2021</v>
      </c>
      <c r="B5084" t="s">
        <v>34</v>
      </c>
      <c r="C5084" t="s">
        <v>321</v>
      </c>
      <c r="D5084" t="s">
        <v>335</v>
      </c>
      <c r="E5084" t="s">
        <v>345</v>
      </c>
      <c r="F5084" t="s">
        <v>378</v>
      </c>
      <c r="G5084" t="s">
        <v>36</v>
      </c>
      <c r="H5084" t="s">
        <v>43</v>
      </c>
      <c r="I5084" s="187">
        <v>2879.881591796875</v>
      </c>
      <c r="J5084" s="187">
        <v>574.9188232421875</v>
      </c>
      <c r="K5084" s="187">
        <v>6090.296875</v>
      </c>
      <c r="L5084" s="187">
        <v>6006.17529296875</v>
      </c>
      <c r="M5084" s="187">
        <v>15551.2734375</v>
      </c>
      <c r="N5084" s="187">
        <v>8886.056640625</v>
      </c>
      <c r="O5084" t="s">
        <v>5543</v>
      </c>
    </row>
    <row r="5085" spans="1:15" hidden="1" x14ac:dyDescent="0.45">
      <c r="A5085" s="187">
        <v>2021</v>
      </c>
      <c r="B5085" t="s">
        <v>34</v>
      </c>
      <c r="C5085" t="s">
        <v>321</v>
      </c>
      <c r="D5085" t="s">
        <v>335</v>
      </c>
      <c r="E5085" t="s">
        <v>345</v>
      </c>
      <c r="F5085" t="s">
        <v>378</v>
      </c>
      <c r="G5085" t="s">
        <v>37</v>
      </c>
      <c r="H5085" t="s">
        <v>43</v>
      </c>
      <c r="I5085" s="187">
        <v>2734.98193359375</v>
      </c>
      <c r="J5085" s="187">
        <v>545.9920654296875</v>
      </c>
      <c r="K5085" s="187">
        <v>5783.86669921875</v>
      </c>
      <c r="L5085" s="187">
        <v>5703.9775390625</v>
      </c>
      <c r="M5085" s="187">
        <v>14768.818359375</v>
      </c>
      <c r="N5085" s="187">
        <v>8438.958984375</v>
      </c>
      <c r="O5085" t="s">
        <v>5544</v>
      </c>
    </row>
    <row r="5086" spans="1:15" hidden="1" x14ac:dyDescent="0.45">
      <c r="A5086" s="187">
        <v>2021</v>
      </c>
      <c r="B5086" t="s">
        <v>34</v>
      </c>
      <c r="C5086" t="s">
        <v>321</v>
      </c>
      <c r="D5086" t="s">
        <v>335</v>
      </c>
      <c r="E5086" t="s">
        <v>346</v>
      </c>
      <c r="F5086" t="s">
        <v>379</v>
      </c>
      <c r="G5086" t="s">
        <v>36</v>
      </c>
      <c r="H5086" t="s">
        <v>43</v>
      </c>
      <c r="I5086" s="187">
        <v>276.628173828125</v>
      </c>
      <c r="J5086" s="187">
        <v>0</v>
      </c>
      <c r="K5086" s="187">
        <v>437.21966552734375</v>
      </c>
      <c r="L5086" s="187">
        <v>415.62216186523438</v>
      </c>
      <c r="M5086" s="187">
        <v>1129.469970703125</v>
      </c>
      <c r="N5086" s="187">
        <v>692.2503662109375</v>
      </c>
      <c r="O5086" t="s">
        <v>5545</v>
      </c>
    </row>
    <row r="5087" spans="1:15" hidden="1" x14ac:dyDescent="0.45">
      <c r="A5087" s="187">
        <v>2021</v>
      </c>
      <c r="B5087" t="s">
        <v>34</v>
      </c>
      <c r="C5087" t="s">
        <v>321</v>
      </c>
      <c r="D5087" t="s">
        <v>335</v>
      </c>
      <c r="E5087" t="s">
        <v>346</v>
      </c>
      <c r="F5087" t="s">
        <v>379</v>
      </c>
      <c r="G5087" t="s">
        <v>37</v>
      </c>
      <c r="H5087" t="s">
        <v>43</v>
      </c>
      <c r="I5087" s="187">
        <v>262.70977783203125</v>
      </c>
      <c r="J5087" s="187">
        <v>0</v>
      </c>
      <c r="K5087" s="187">
        <v>415.22119140625</v>
      </c>
      <c r="L5087" s="187">
        <v>394.71035766601563</v>
      </c>
      <c r="M5087" s="187">
        <v>1072.641357421875</v>
      </c>
      <c r="N5087" s="187">
        <v>657.420166015625</v>
      </c>
      <c r="O5087" t="s">
        <v>5546</v>
      </c>
    </row>
    <row r="5088" spans="1:15" hidden="1" x14ac:dyDescent="0.45">
      <c r="A5088" s="187">
        <v>2021</v>
      </c>
      <c r="B5088" t="s">
        <v>34</v>
      </c>
      <c r="C5088" t="s">
        <v>321</v>
      </c>
      <c r="D5088" t="s">
        <v>335</v>
      </c>
      <c r="E5088" t="s">
        <v>347</v>
      </c>
      <c r="F5088" t="s">
        <v>380</v>
      </c>
      <c r="G5088" t="s">
        <v>36</v>
      </c>
      <c r="H5088" t="s">
        <v>43</v>
      </c>
      <c r="I5088" s="187">
        <v>10.072849273681641</v>
      </c>
      <c r="J5088" s="187"/>
      <c r="K5088" s="187">
        <v>-125.92779541015625</v>
      </c>
      <c r="L5088" s="187">
        <v>-294.83444213867188</v>
      </c>
      <c r="M5088" s="187">
        <v>-410.68939208984375</v>
      </c>
      <c r="N5088" s="187">
        <v>-284.7615966796875</v>
      </c>
      <c r="O5088" t="s">
        <v>5547</v>
      </c>
    </row>
    <row r="5089" spans="1:15" hidden="1" x14ac:dyDescent="0.45">
      <c r="A5089" s="187">
        <v>2021</v>
      </c>
      <c r="B5089" t="s">
        <v>34</v>
      </c>
      <c r="C5089" t="s">
        <v>321</v>
      </c>
      <c r="D5089" t="s">
        <v>335</v>
      </c>
      <c r="E5089" t="s">
        <v>347</v>
      </c>
      <c r="F5089" t="s">
        <v>380</v>
      </c>
      <c r="G5089" t="s">
        <v>37</v>
      </c>
      <c r="H5089" t="s">
        <v>43</v>
      </c>
      <c r="I5089" s="187">
        <v>9.5660390853881836</v>
      </c>
      <c r="J5089" s="187"/>
      <c r="K5089" s="187">
        <v>-119.59180450439453</v>
      </c>
      <c r="L5089" s="187">
        <v>-280</v>
      </c>
      <c r="M5089" s="187">
        <v>-390.0257568359375</v>
      </c>
      <c r="N5089" s="187">
        <v>-270.4339599609375</v>
      </c>
      <c r="O5089" t="s">
        <v>5548</v>
      </c>
    </row>
    <row r="5090" spans="1:15" hidden="1" x14ac:dyDescent="0.45">
      <c r="A5090" s="187">
        <v>2021</v>
      </c>
      <c r="B5090" t="s">
        <v>34</v>
      </c>
      <c r="C5090" t="s">
        <v>321</v>
      </c>
      <c r="D5090" t="s">
        <v>335</v>
      </c>
      <c r="E5090" t="s">
        <v>347</v>
      </c>
      <c r="F5090" t="s">
        <v>11</v>
      </c>
      <c r="G5090" t="s">
        <v>36</v>
      </c>
      <c r="H5090" t="s">
        <v>43</v>
      </c>
      <c r="I5090" s="187">
        <v>26806.76953125</v>
      </c>
      <c r="J5090" s="187">
        <v>4712.2587890625</v>
      </c>
      <c r="K5090" s="187">
        <v>57888.56640625</v>
      </c>
      <c r="L5090" s="187">
        <v>51303.30078125</v>
      </c>
      <c r="M5090" s="187">
        <v>140710.890625</v>
      </c>
      <c r="N5090" s="187">
        <v>78110.0703125</v>
      </c>
      <c r="O5090" t="s">
        <v>5549</v>
      </c>
    </row>
    <row r="5091" spans="1:15" hidden="1" x14ac:dyDescent="0.45">
      <c r="A5091" s="187">
        <v>2021</v>
      </c>
      <c r="B5091" t="s">
        <v>34</v>
      </c>
      <c r="C5091" t="s">
        <v>321</v>
      </c>
      <c r="D5091" t="s">
        <v>335</v>
      </c>
      <c r="E5091" t="s">
        <v>347</v>
      </c>
      <c r="F5091" t="s">
        <v>11</v>
      </c>
      <c r="G5091" t="s">
        <v>37</v>
      </c>
      <c r="H5091" t="s">
        <v>43</v>
      </c>
      <c r="I5091" s="187">
        <v>25458</v>
      </c>
      <c r="J5091" s="187">
        <v>4475.1640625</v>
      </c>
      <c r="K5091" s="187">
        <v>54975.93359375</v>
      </c>
      <c r="L5091" s="187">
        <v>48722</v>
      </c>
      <c r="M5091" s="187">
        <v>133631.09375</v>
      </c>
      <c r="N5091" s="187">
        <v>74180</v>
      </c>
      <c r="O5091" t="s">
        <v>5550</v>
      </c>
    </row>
    <row r="5092" spans="1:15" hidden="1" x14ac:dyDescent="0.45">
      <c r="A5092" s="187">
        <v>2021</v>
      </c>
      <c r="B5092" t="s">
        <v>34</v>
      </c>
      <c r="C5092" t="s">
        <v>321</v>
      </c>
      <c r="D5092" t="s">
        <v>335</v>
      </c>
      <c r="E5092" t="s">
        <v>347</v>
      </c>
      <c r="F5092" t="s">
        <v>381</v>
      </c>
      <c r="G5092" t="s">
        <v>36</v>
      </c>
      <c r="H5092" t="s">
        <v>43</v>
      </c>
      <c r="I5092" s="187">
        <v>287.984130859375</v>
      </c>
      <c r="J5092" s="187">
        <v>50.677825927734375</v>
      </c>
      <c r="K5092" s="187">
        <v>1147.4146728515625</v>
      </c>
      <c r="L5092" s="187">
        <v>0</v>
      </c>
      <c r="M5092" s="187">
        <v>1486.07666015625</v>
      </c>
      <c r="N5092" s="187">
        <v>287.984130859375</v>
      </c>
      <c r="O5092" t="s">
        <v>5551</v>
      </c>
    </row>
    <row r="5093" spans="1:15" hidden="1" x14ac:dyDescent="0.45">
      <c r="A5093" s="187">
        <v>2021</v>
      </c>
      <c r="B5093" t="s">
        <v>34</v>
      </c>
      <c r="C5093" t="s">
        <v>321</v>
      </c>
      <c r="D5093" t="s">
        <v>335</v>
      </c>
      <c r="E5093" t="s">
        <v>347</v>
      </c>
      <c r="F5093" t="s">
        <v>381</v>
      </c>
      <c r="G5093" t="s">
        <v>37</v>
      </c>
      <c r="H5093" t="s">
        <v>43</v>
      </c>
      <c r="I5093" s="187">
        <v>273.49435424804688</v>
      </c>
      <c r="J5093" s="187">
        <v>48.127998352050781</v>
      </c>
      <c r="K5093" s="187">
        <v>1089.68310546875</v>
      </c>
      <c r="L5093" s="187">
        <v>0</v>
      </c>
      <c r="M5093" s="187">
        <v>1411.305419921875</v>
      </c>
      <c r="N5093" s="187">
        <v>273.49435424804688</v>
      </c>
      <c r="O5093" t="s">
        <v>5552</v>
      </c>
    </row>
    <row r="5094" spans="1:15" hidden="1" x14ac:dyDescent="0.45">
      <c r="A5094" s="187">
        <v>2021</v>
      </c>
      <c r="B5094" t="s">
        <v>34</v>
      </c>
      <c r="C5094" t="s">
        <v>321</v>
      </c>
      <c r="D5094" t="s">
        <v>335</v>
      </c>
      <c r="E5094" t="s">
        <v>347</v>
      </c>
      <c r="F5094" t="s">
        <v>347</v>
      </c>
      <c r="G5094" t="s">
        <v>36</v>
      </c>
      <c r="H5094" t="s">
        <v>43</v>
      </c>
      <c r="I5094" s="187">
        <v>27104.826171875</v>
      </c>
      <c r="J5094" s="187">
        <v>4762.9365234375</v>
      </c>
      <c r="K5094" s="187">
        <v>58910.05078125</v>
      </c>
      <c r="L5094" s="187">
        <v>51008.46484375</v>
      </c>
      <c r="M5094" s="187">
        <v>141786.28125</v>
      </c>
      <c r="N5094" s="187">
        <v>78113.2890625</v>
      </c>
      <c r="O5094" t="s">
        <v>5553</v>
      </c>
    </row>
    <row r="5095" spans="1:15" hidden="1" x14ac:dyDescent="0.45">
      <c r="A5095" s="187">
        <v>2021</v>
      </c>
      <c r="B5095" t="s">
        <v>34</v>
      </c>
      <c r="C5095" t="s">
        <v>321</v>
      </c>
      <c r="D5095" t="s">
        <v>335</v>
      </c>
      <c r="E5095" t="s">
        <v>347</v>
      </c>
      <c r="F5095" t="s">
        <v>347</v>
      </c>
      <c r="G5095" t="s">
        <v>37</v>
      </c>
      <c r="H5095" t="s">
        <v>43</v>
      </c>
      <c r="I5095" s="187">
        <v>25741.060546875</v>
      </c>
      <c r="J5095" s="187">
        <v>4523.2919921875</v>
      </c>
      <c r="K5095" s="187">
        <v>55946.0234375</v>
      </c>
      <c r="L5095" s="187">
        <v>48442</v>
      </c>
      <c r="M5095" s="187">
        <v>134652.375</v>
      </c>
      <c r="N5095" s="187">
        <v>74183.0625</v>
      </c>
      <c r="O5095" t="s">
        <v>5554</v>
      </c>
    </row>
    <row r="5096" spans="1:15" hidden="1" x14ac:dyDescent="0.45">
      <c r="A5096" s="187">
        <v>2021</v>
      </c>
      <c r="B5096" t="s">
        <v>34</v>
      </c>
      <c r="C5096" t="s">
        <v>334</v>
      </c>
      <c r="D5096" t="s">
        <v>335</v>
      </c>
      <c r="E5096" t="s">
        <v>367</v>
      </c>
      <c r="F5096" t="s">
        <v>367</v>
      </c>
      <c r="G5096" t="s">
        <v>36</v>
      </c>
      <c r="H5096" t="s">
        <v>43</v>
      </c>
      <c r="I5096" s="187">
        <v>-140.25823974609375</v>
      </c>
      <c r="J5096" s="187">
        <v>0.87999778985977173</v>
      </c>
      <c r="K5096" s="187">
        <v>-679.255126953125</v>
      </c>
      <c r="L5096" s="187">
        <v>-244.29139709472656</v>
      </c>
      <c r="M5096" s="187">
        <v>-1062.9248046875</v>
      </c>
      <c r="N5096" s="187">
        <v>-384.54962158203125</v>
      </c>
      <c r="O5096" t="s">
        <v>5555</v>
      </c>
    </row>
    <row r="5097" spans="1:15" hidden="1" x14ac:dyDescent="0.45">
      <c r="A5097" s="187">
        <v>2021</v>
      </c>
      <c r="B5097" t="s">
        <v>34</v>
      </c>
      <c r="C5097" t="s">
        <v>334</v>
      </c>
      <c r="D5097" t="s">
        <v>335</v>
      </c>
      <c r="E5097" t="s">
        <v>367</v>
      </c>
      <c r="F5097" t="s">
        <v>367</v>
      </c>
      <c r="G5097" t="s">
        <v>37</v>
      </c>
      <c r="H5097" t="s">
        <v>43</v>
      </c>
      <c r="I5097" s="187">
        <v>-133.20121765136719</v>
      </c>
      <c r="J5097" s="187">
        <v>0.83572113513946533</v>
      </c>
      <c r="K5097" s="187">
        <v>-645.0787353515625</v>
      </c>
      <c r="L5097" s="187">
        <v>-232</v>
      </c>
      <c r="M5097" s="187">
        <v>-1009.4442138671875</v>
      </c>
      <c r="N5097" s="187">
        <v>-365.20123291015625</v>
      </c>
      <c r="O5097" t="s">
        <v>5556</v>
      </c>
    </row>
    <row r="5098" spans="1:15" hidden="1" x14ac:dyDescent="0.45">
      <c r="A5098" s="187">
        <v>2021</v>
      </c>
      <c r="B5098" t="s">
        <v>34</v>
      </c>
      <c r="C5098" t="s">
        <v>334</v>
      </c>
      <c r="D5098" t="s">
        <v>335</v>
      </c>
      <c r="E5098" t="s">
        <v>26</v>
      </c>
      <c r="F5098" t="s">
        <v>26</v>
      </c>
      <c r="G5098" t="s">
        <v>36</v>
      </c>
      <c r="H5098" t="s">
        <v>43</v>
      </c>
      <c r="I5098" s="187">
        <v>124.86800384521484</v>
      </c>
      <c r="J5098" s="187">
        <v>0</v>
      </c>
      <c r="K5098" s="187">
        <v>125.92779541015625</v>
      </c>
      <c r="L5098" s="187">
        <v>294.83444213867188</v>
      </c>
      <c r="M5098" s="187">
        <v>545.6302490234375</v>
      </c>
      <c r="N5098" s="187">
        <v>419.70245361328125</v>
      </c>
      <c r="O5098" t="s">
        <v>5557</v>
      </c>
    </row>
    <row r="5099" spans="1:15" hidden="1" x14ac:dyDescent="0.45">
      <c r="A5099" s="187">
        <v>2021</v>
      </c>
      <c r="B5099" t="s">
        <v>34</v>
      </c>
      <c r="C5099" t="s">
        <v>334</v>
      </c>
      <c r="D5099" t="s">
        <v>335</v>
      </c>
      <c r="E5099" t="s">
        <v>26</v>
      </c>
      <c r="F5099" t="s">
        <v>26</v>
      </c>
      <c r="G5099" t="s">
        <v>37</v>
      </c>
      <c r="H5099" t="s">
        <v>43</v>
      </c>
      <c r="I5099" s="187">
        <v>118.58533477783203</v>
      </c>
      <c r="J5099" s="187">
        <v>0</v>
      </c>
      <c r="K5099" s="187">
        <v>119.59180450439453</v>
      </c>
      <c r="L5099" s="187">
        <v>280</v>
      </c>
      <c r="M5099" s="187">
        <v>518.1771240234375</v>
      </c>
      <c r="N5099" s="187">
        <v>398.5853271484375</v>
      </c>
      <c r="O5099" t="s">
        <v>5558</v>
      </c>
    </row>
    <row r="5100" spans="1:15" hidden="1" x14ac:dyDescent="0.45">
      <c r="A5100" s="187">
        <v>2021</v>
      </c>
      <c r="B5100" t="s">
        <v>34</v>
      </c>
      <c r="C5100" t="s">
        <v>334</v>
      </c>
      <c r="D5100" t="s">
        <v>335</v>
      </c>
      <c r="E5100" t="s">
        <v>368</v>
      </c>
      <c r="F5100" t="s">
        <v>448</v>
      </c>
      <c r="G5100" t="s">
        <v>36</v>
      </c>
      <c r="H5100" t="s">
        <v>43</v>
      </c>
      <c r="I5100" s="187">
        <v>6605.4853515625</v>
      </c>
      <c r="J5100" s="187">
        <v>937.15234375</v>
      </c>
      <c r="K5100" s="187">
        <v>17396.076171875</v>
      </c>
      <c r="L5100" s="187">
        <v>13356</v>
      </c>
      <c r="M5100" s="187">
        <v>38294.71484375</v>
      </c>
      <c r="N5100" s="187">
        <v>19961.484375</v>
      </c>
      <c r="O5100" t="s">
        <v>5559</v>
      </c>
    </row>
    <row r="5101" spans="1:15" hidden="1" x14ac:dyDescent="0.45">
      <c r="A5101" s="187">
        <v>2021</v>
      </c>
      <c r="B5101" t="s">
        <v>34</v>
      </c>
      <c r="C5101" t="s">
        <v>334</v>
      </c>
      <c r="D5101" t="s">
        <v>335</v>
      </c>
      <c r="E5101" t="s">
        <v>368</v>
      </c>
      <c r="F5101" t="s">
        <v>448</v>
      </c>
      <c r="G5101" t="s">
        <v>37</v>
      </c>
      <c r="H5101" t="s">
        <v>43</v>
      </c>
      <c r="I5101" s="187">
        <v>6273.1337890625</v>
      </c>
      <c r="J5101" s="187">
        <v>890</v>
      </c>
      <c r="K5101" s="187">
        <v>16520.80078125</v>
      </c>
      <c r="L5101" s="187">
        <v>12684</v>
      </c>
      <c r="M5101" s="187">
        <v>36367.93359375</v>
      </c>
      <c r="N5101" s="187">
        <v>18957.1328125</v>
      </c>
      <c r="O5101" t="s">
        <v>5560</v>
      </c>
    </row>
    <row r="5102" spans="1:15" hidden="1" x14ac:dyDescent="0.45">
      <c r="A5102" s="187">
        <v>2021</v>
      </c>
      <c r="B5102" t="s">
        <v>34</v>
      </c>
      <c r="C5102" t="s">
        <v>334</v>
      </c>
      <c r="D5102" t="s">
        <v>335</v>
      </c>
      <c r="E5102" t="s">
        <v>368</v>
      </c>
      <c r="F5102" t="s">
        <v>449</v>
      </c>
      <c r="G5102" t="s">
        <v>36</v>
      </c>
      <c r="H5102" t="s">
        <v>43</v>
      </c>
      <c r="I5102" s="187">
        <v>9045.515625</v>
      </c>
      <c r="J5102" s="187">
        <v>846.76904296875</v>
      </c>
      <c r="K5102" s="187">
        <v>20055.931640625</v>
      </c>
      <c r="L5102" s="187">
        <v>15267.427734375</v>
      </c>
      <c r="M5102" s="187">
        <v>45215.64453125</v>
      </c>
      <c r="N5102" s="187">
        <v>24312.943359375</v>
      </c>
      <c r="O5102" t="s">
        <v>5561</v>
      </c>
    </row>
    <row r="5103" spans="1:15" hidden="1" x14ac:dyDescent="0.45">
      <c r="A5103" s="187">
        <v>2021</v>
      </c>
      <c r="B5103" t="s">
        <v>34</v>
      </c>
      <c r="C5103" t="s">
        <v>334</v>
      </c>
      <c r="D5103" t="s">
        <v>335</v>
      </c>
      <c r="E5103" t="s">
        <v>368</v>
      </c>
      <c r="F5103" t="s">
        <v>449</v>
      </c>
      <c r="G5103" t="s">
        <v>37</v>
      </c>
      <c r="H5103" t="s">
        <v>43</v>
      </c>
      <c r="I5103" s="187">
        <v>8590.3955078125</v>
      </c>
      <c r="J5103" s="187">
        <v>804.164306640625</v>
      </c>
      <c r="K5103" s="187">
        <v>19046.828125</v>
      </c>
      <c r="L5103" s="187">
        <v>14499.2548828125</v>
      </c>
      <c r="M5103" s="187">
        <v>42940.640625</v>
      </c>
      <c r="N5103" s="187">
        <v>23089.650390625</v>
      </c>
      <c r="O5103" t="s">
        <v>5562</v>
      </c>
    </row>
    <row r="5104" spans="1:15" hidden="1" x14ac:dyDescent="0.45">
      <c r="A5104" s="187">
        <v>2021</v>
      </c>
      <c r="B5104" t="s">
        <v>34</v>
      </c>
      <c r="C5104" t="s">
        <v>334</v>
      </c>
      <c r="D5104" t="s">
        <v>335</v>
      </c>
      <c r="E5104" t="s">
        <v>46</v>
      </c>
      <c r="F5104" t="s">
        <v>46</v>
      </c>
      <c r="G5104" t="s">
        <v>36</v>
      </c>
      <c r="H5104" t="s">
        <v>43</v>
      </c>
      <c r="I5104" s="187">
        <v>5725.92236328125</v>
      </c>
      <c r="J5104" s="187">
        <v>1011.9139404296875</v>
      </c>
      <c r="K5104" s="187">
        <v>16336.580078125</v>
      </c>
      <c r="L5104" s="187">
        <v>16397.0078125</v>
      </c>
      <c r="M5104" s="187">
        <v>39471.421875</v>
      </c>
      <c r="N5104" s="187">
        <v>22122.9296875</v>
      </c>
      <c r="O5104" t="s">
        <v>5563</v>
      </c>
    </row>
    <row r="5105" spans="1:15" hidden="1" x14ac:dyDescent="0.45">
      <c r="A5105" s="187">
        <v>2021</v>
      </c>
      <c r="B5105" t="s">
        <v>34</v>
      </c>
      <c r="C5105" t="s">
        <v>334</v>
      </c>
      <c r="D5105" t="s">
        <v>335</v>
      </c>
      <c r="E5105" t="s">
        <v>46</v>
      </c>
      <c r="F5105" t="s">
        <v>46</v>
      </c>
      <c r="G5105" t="s">
        <v>37</v>
      </c>
      <c r="H5105" t="s">
        <v>43</v>
      </c>
      <c r="I5105" s="187">
        <v>5437.82568359375</v>
      </c>
      <c r="J5105" s="187">
        <v>961</v>
      </c>
      <c r="K5105" s="187">
        <v>15514.61328125</v>
      </c>
      <c r="L5105" s="187">
        <v>15572</v>
      </c>
      <c r="M5105" s="187">
        <v>37485.4375</v>
      </c>
      <c r="N5105" s="187">
        <v>21009.826171875</v>
      </c>
      <c r="O5105" t="s">
        <v>5564</v>
      </c>
    </row>
    <row r="5106" spans="1:15" hidden="1" x14ac:dyDescent="0.45">
      <c r="A5106" s="187">
        <v>2021</v>
      </c>
      <c r="B5106" t="s">
        <v>34</v>
      </c>
      <c r="C5106" t="s">
        <v>334</v>
      </c>
      <c r="D5106" t="s">
        <v>335</v>
      </c>
      <c r="E5106" t="s">
        <v>369</v>
      </c>
      <c r="F5106" t="s">
        <v>369</v>
      </c>
      <c r="G5106" t="s">
        <v>36</v>
      </c>
      <c r="H5106" t="s">
        <v>43</v>
      </c>
      <c r="I5106" s="187">
        <v>0</v>
      </c>
      <c r="J5106" s="187">
        <v>11.582781791687012</v>
      </c>
      <c r="K5106" s="187">
        <v>0</v>
      </c>
      <c r="L5106" s="187">
        <v>0</v>
      </c>
      <c r="M5106" s="187">
        <v>11.582781791687012</v>
      </c>
      <c r="N5106" s="187">
        <v>0</v>
      </c>
      <c r="O5106" t="s">
        <v>5565</v>
      </c>
    </row>
    <row r="5107" spans="1:15" hidden="1" x14ac:dyDescent="0.45">
      <c r="A5107" s="187">
        <v>2021</v>
      </c>
      <c r="B5107" t="s">
        <v>34</v>
      </c>
      <c r="C5107" t="s">
        <v>334</v>
      </c>
      <c r="D5107" t="s">
        <v>335</v>
      </c>
      <c r="E5107" t="s">
        <v>369</v>
      </c>
      <c r="F5107" t="s">
        <v>369</v>
      </c>
      <c r="G5107" t="s">
        <v>37</v>
      </c>
      <c r="H5107" t="s">
        <v>43</v>
      </c>
      <c r="I5107" s="187">
        <v>0</v>
      </c>
      <c r="J5107" s="187">
        <v>11</v>
      </c>
      <c r="K5107" s="187">
        <v>0</v>
      </c>
      <c r="L5107" s="187">
        <v>0</v>
      </c>
      <c r="M5107" s="187">
        <v>11</v>
      </c>
      <c r="N5107" s="187">
        <v>0</v>
      </c>
      <c r="O5107" t="s">
        <v>5566</v>
      </c>
    </row>
    <row r="5108" spans="1:15" hidden="1" x14ac:dyDescent="0.45">
      <c r="A5108" s="187">
        <v>2021</v>
      </c>
      <c r="B5108" t="s">
        <v>34</v>
      </c>
      <c r="C5108" t="s">
        <v>334</v>
      </c>
      <c r="D5108" t="s">
        <v>335</v>
      </c>
      <c r="E5108" t="s">
        <v>366</v>
      </c>
      <c r="F5108" t="s">
        <v>366</v>
      </c>
      <c r="G5108" t="s">
        <v>36</v>
      </c>
      <c r="H5108" t="s">
        <v>43</v>
      </c>
      <c r="I5108" s="187">
        <v>191546</v>
      </c>
      <c r="J5108" s="187">
        <v>26264.484375</v>
      </c>
      <c r="K5108" s="187">
        <v>427656.3125</v>
      </c>
      <c r="L5108" s="187">
        <v>475032.25</v>
      </c>
      <c r="M5108" s="187">
        <v>1120499</v>
      </c>
      <c r="N5108" s="187">
        <v>666578.25</v>
      </c>
      <c r="O5108" t="s">
        <v>5567</v>
      </c>
    </row>
    <row r="5109" spans="1:15" hidden="1" x14ac:dyDescent="0.45">
      <c r="A5109" s="187">
        <v>2021</v>
      </c>
      <c r="B5109" t="s">
        <v>34</v>
      </c>
      <c r="C5109" t="s">
        <v>334</v>
      </c>
      <c r="D5109" t="s">
        <v>335</v>
      </c>
      <c r="E5109" t="s">
        <v>366</v>
      </c>
      <c r="F5109" t="s">
        <v>366</v>
      </c>
      <c r="G5109" t="s">
        <v>37</v>
      </c>
      <c r="H5109" t="s">
        <v>43</v>
      </c>
      <c r="I5109" s="187">
        <v>181908.46875</v>
      </c>
      <c r="J5109" s="187">
        <v>24943</v>
      </c>
      <c r="K5109" s="187">
        <v>406139</v>
      </c>
      <c r="L5109" s="187">
        <v>451131.25</v>
      </c>
      <c r="M5109" s="187">
        <v>1064121.75</v>
      </c>
      <c r="N5109" s="187">
        <v>633039.75</v>
      </c>
      <c r="O5109" t="s">
        <v>5568</v>
      </c>
    </row>
    <row r="5110" spans="1:15" hidden="1" x14ac:dyDescent="0.45">
      <c r="A5110" s="187">
        <v>2021</v>
      </c>
      <c r="B5110" t="s">
        <v>34</v>
      </c>
      <c r="C5110" t="s">
        <v>334</v>
      </c>
      <c r="D5110" t="s">
        <v>335</v>
      </c>
      <c r="E5110" t="s">
        <v>370</v>
      </c>
      <c r="F5110" t="s">
        <v>370</v>
      </c>
      <c r="G5110" t="s">
        <v>36</v>
      </c>
      <c r="H5110" t="s">
        <v>43</v>
      </c>
      <c r="I5110" s="187">
        <v>183645.1875</v>
      </c>
      <c r="J5110" s="187">
        <v>25330.490234375</v>
      </c>
      <c r="K5110" s="187">
        <v>409465.0625</v>
      </c>
      <c r="L5110" s="187">
        <v>457262.9375</v>
      </c>
      <c r="M5110" s="187">
        <v>1075703.75</v>
      </c>
      <c r="N5110" s="187">
        <v>640908.125</v>
      </c>
      <c r="O5110" t="s">
        <v>5569</v>
      </c>
    </row>
    <row r="5111" spans="1:15" hidden="1" x14ac:dyDescent="0.45">
      <c r="A5111" s="187">
        <v>2021</v>
      </c>
      <c r="B5111" t="s">
        <v>34</v>
      </c>
      <c r="C5111" t="s">
        <v>334</v>
      </c>
      <c r="D5111" t="s">
        <v>335</v>
      </c>
      <c r="E5111" t="s">
        <v>370</v>
      </c>
      <c r="F5111" t="s">
        <v>370</v>
      </c>
      <c r="G5111" t="s">
        <v>37</v>
      </c>
      <c r="H5111" t="s">
        <v>43</v>
      </c>
      <c r="I5111" s="187">
        <v>174405.171875</v>
      </c>
      <c r="J5111" s="187">
        <v>24056</v>
      </c>
      <c r="K5111" s="187">
        <v>388863.03125</v>
      </c>
      <c r="L5111" s="187">
        <v>434256</v>
      </c>
      <c r="M5111" s="187">
        <v>1021580.1875</v>
      </c>
      <c r="N5111" s="187">
        <v>608661.1875</v>
      </c>
      <c r="O5111" t="s">
        <v>5570</v>
      </c>
    </row>
    <row r="5112" spans="1:15" hidden="1" x14ac:dyDescent="0.45">
      <c r="A5112" s="187">
        <v>2022</v>
      </c>
      <c r="B5112" t="s">
        <v>309</v>
      </c>
      <c r="C5112" t="s">
        <v>322</v>
      </c>
      <c r="D5112" t="s">
        <v>35</v>
      </c>
      <c r="E5112" t="s">
        <v>348</v>
      </c>
      <c r="F5112" t="s">
        <v>382</v>
      </c>
      <c r="G5112" t="s">
        <v>36</v>
      </c>
      <c r="H5112" t="s">
        <v>43</v>
      </c>
      <c r="I5112" s="187"/>
      <c r="J5112" s="187">
        <v>1065.0468030944978</v>
      </c>
      <c r="K5112" s="187">
        <v>16995.992046612311</v>
      </c>
      <c r="L5112" s="187">
        <v>29143.071726466358</v>
      </c>
      <c r="M5112" s="187">
        <v>47204.109375</v>
      </c>
      <c r="N5112" s="187">
        <v>29143.072265625</v>
      </c>
      <c r="O5112" t="s">
        <v>5574</v>
      </c>
    </row>
    <row r="5113" spans="1:15" hidden="1" x14ac:dyDescent="0.45">
      <c r="A5113" s="187">
        <v>2022</v>
      </c>
      <c r="B5113" t="s">
        <v>312</v>
      </c>
      <c r="C5113" t="s">
        <v>322</v>
      </c>
      <c r="D5113" t="s">
        <v>35</v>
      </c>
      <c r="E5113" t="s">
        <v>348</v>
      </c>
      <c r="F5113" t="s">
        <v>382</v>
      </c>
      <c r="G5113" t="s">
        <v>36</v>
      </c>
      <c r="H5113" t="s">
        <v>43</v>
      </c>
      <c r="I5113" s="187">
        <v>16413.925311280324</v>
      </c>
      <c r="J5113" s="187">
        <v>1106.7339411782395</v>
      </c>
      <c r="K5113" s="187">
        <v>16550.771667948244</v>
      </c>
      <c r="L5113" s="187">
        <v>24751.269906842059</v>
      </c>
      <c r="M5113" s="187">
        <v>58822.703125</v>
      </c>
      <c r="N5113" s="187">
        <v>41165.1953125</v>
      </c>
      <c r="O5113" t="s">
        <v>5575</v>
      </c>
    </row>
    <row r="5114" spans="1:15" hidden="1" x14ac:dyDescent="0.45">
      <c r="A5114" s="187">
        <v>2022</v>
      </c>
      <c r="B5114" t="s">
        <v>310</v>
      </c>
      <c r="C5114" t="s">
        <v>322</v>
      </c>
      <c r="D5114" t="s">
        <v>35</v>
      </c>
      <c r="E5114" t="s">
        <v>348</v>
      </c>
      <c r="F5114" t="s">
        <v>382</v>
      </c>
      <c r="G5114" t="s">
        <v>36</v>
      </c>
      <c r="H5114" t="s">
        <v>43</v>
      </c>
      <c r="I5114" s="187"/>
      <c r="J5114" s="187">
        <v>954.63620153653858</v>
      </c>
      <c r="K5114" s="187">
        <v>16943.508732410777</v>
      </c>
      <c r="L5114" s="187">
        <v>37829.74799732738</v>
      </c>
      <c r="M5114" s="187">
        <v>55727.890625</v>
      </c>
      <c r="N5114" s="187">
        <v>37829.74609375</v>
      </c>
      <c r="O5114" t="s">
        <v>5578</v>
      </c>
    </row>
    <row r="5115" spans="1:15" hidden="1" x14ac:dyDescent="0.45">
      <c r="A5115" s="187">
        <v>2022</v>
      </c>
      <c r="B5115" t="s">
        <v>311</v>
      </c>
      <c r="C5115" t="s">
        <v>322</v>
      </c>
      <c r="D5115" t="s">
        <v>35</v>
      </c>
      <c r="E5115" t="s">
        <v>348</v>
      </c>
      <c r="F5115" t="s">
        <v>382</v>
      </c>
      <c r="G5115" t="s">
        <v>36</v>
      </c>
      <c r="H5115" t="s">
        <v>43</v>
      </c>
      <c r="I5115" s="187"/>
      <c r="J5115" s="187">
        <v>1192.4000046824287</v>
      </c>
      <c r="K5115" s="187">
        <v>17247.328317142157</v>
      </c>
      <c r="L5115" s="187">
        <v>39391.284860567765</v>
      </c>
      <c r="M5115" s="187">
        <v>57831.01171875</v>
      </c>
      <c r="N5115" s="187">
        <v>39391.28515625</v>
      </c>
      <c r="O5115" t="s">
        <v>5579</v>
      </c>
    </row>
    <row r="5116" spans="1:15" hidden="1" x14ac:dyDescent="0.45">
      <c r="A5116" s="187">
        <v>2022</v>
      </c>
      <c r="B5116" t="s">
        <v>317</v>
      </c>
      <c r="C5116" t="s">
        <v>322</v>
      </c>
      <c r="D5116" t="s">
        <v>35</v>
      </c>
      <c r="E5116" t="s">
        <v>348</v>
      </c>
      <c r="F5116" t="s">
        <v>382</v>
      </c>
      <c r="G5116" t="s">
        <v>36</v>
      </c>
      <c r="H5116" t="s">
        <v>43</v>
      </c>
      <c r="I5116" s="187">
        <v>25998.331001021346</v>
      </c>
      <c r="J5116" s="187">
        <v>1169.9752488095039</v>
      </c>
      <c r="K5116" s="187">
        <v>19901.607844608901</v>
      </c>
      <c r="L5116" s="187">
        <v>34694.066553402619</v>
      </c>
      <c r="M5116" s="187">
        <v>81763.984375</v>
      </c>
      <c r="N5116" s="187">
        <v>60692.3984375</v>
      </c>
      <c r="O5116" t="s">
        <v>5573</v>
      </c>
    </row>
    <row r="5117" spans="1:15" hidden="1" x14ac:dyDescent="0.45">
      <c r="A5117" s="187">
        <v>2022</v>
      </c>
      <c r="B5117" t="s">
        <v>316</v>
      </c>
      <c r="C5117" t="s">
        <v>322</v>
      </c>
      <c r="D5117" t="s">
        <v>35</v>
      </c>
      <c r="E5117" t="s">
        <v>348</v>
      </c>
      <c r="F5117" t="s">
        <v>382</v>
      </c>
      <c r="G5117" t="s">
        <v>36</v>
      </c>
      <c r="H5117" t="s">
        <v>43</v>
      </c>
      <c r="I5117" s="187">
        <v>19454.112928871491</v>
      </c>
      <c r="J5117" s="187">
        <v>1336.4306575446599</v>
      </c>
      <c r="K5117" s="187">
        <v>18880.342580295084</v>
      </c>
      <c r="L5117" s="187">
        <v>30462.908815147806</v>
      </c>
      <c r="M5117" s="187">
        <v>70133.796875</v>
      </c>
      <c r="N5117" s="187">
        <v>49917.0234375</v>
      </c>
      <c r="O5117" t="s">
        <v>5571</v>
      </c>
    </row>
    <row r="5118" spans="1:15" hidden="1" x14ac:dyDescent="0.45">
      <c r="A5118" s="187">
        <v>2022</v>
      </c>
      <c r="B5118" t="s">
        <v>314</v>
      </c>
      <c r="C5118" t="s">
        <v>322</v>
      </c>
      <c r="D5118" t="s">
        <v>35</v>
      </c>
      <c r="E5118" t="s">
        <v>348</v>
      </c>
      <c r="F5118" t="s">
        <v>382</v>
      </c>
      <c r="G5118" t="s">
        <v>36</v>
      </c>
      <c r="H5118" t="s">
        <v>43</v>
      </c>
      <c r="I5118" s="187">
        <v>20287.161139343392</v>
      </c>
      <c r="J5118" s="187">
        <v>908.56011565714186</v>
      </c>
      <c r="K5118" s="187">
        <v>17587.481270032658</v>
      </c>
      <c r="L5118" s="187">
        <v>31643.518079412712</v>
      </c>
      <c r="M5118" s="187">
        <v>70426.71875</v>
      </c>
      <c r="N5118" s="187">
        <v>51930.6796875</v>
      </c>
      <c r="O5118" t="s">
        <v>5572</v>
      </c>
    </row>
    <row r="5119" spans="1:15" hidden="1" x14ac:dyDescent="0.45">
      <c r="A5119" s="187">
        <v>2022</v>
      </c>
      <c r="B5119" t="s">
        <v>313</v>
      </c>
      <c r="C5119" t="s">
        <v>322</v>
      </c>
      <c r="D5119" t="s">
        <v>35</v>
      </c>
      <c r="E5119" t="s">
        <v>348</v>
      </c>
      <c r="F5119" t="s">
        <v>382</v>
      </c>
      <c r="G5119" t="s">
        <v>36</v>
      </c>
      <c r="H5119" t="s">
        <v>43</v>
      </c>
      <c r="I5119" s="187">
        <v>15920.622338092235</v>
      </c>
      <c r="J5119" s="187">
        <v>922.37674338968839</v>
      </c>
      <c r="K5119" s="187">
        <v>16563.71307793256</v>
      </c>
      <c r="L5119" s="187">
        <v>24735.269317212566</v>
      </c>
      <c r="M5119" s="187">
        <v>58141.98046875</v>
      </c>
      <c r="N5119" s="187">
        <v>40655.890625</v>
      </c>
      <c r="O5119" t="s">
        <v>5577</v>
      </c>
    </row>
    <row r="5120" spans="1:15" x14ac:dyDescent="0.45">
      <c r="A5120" s="187">
        <v>2022</v>
      </c>
      <c r="B5120" t="s">
        <v>8570</v>
      </c>
      <c r="C5120" t="s">
        <v>322</v>
      </c>
      <c r="D5120" t="s">
        <v>35</v>
      </c>
      <c r="E5120" t="s">
        <v>348</v>
      </c>
      <c r="F5120" t="s">
        <v>382</v>
      </c>
      <c r="G5120" t="s">
        <v>36</v>
      </c>
      <c r="H5120" t="s">
        <v>43</v>
      </c>
      <c r="I5120" s="187">
        <v>16040.791257819999</v>
      </c>
      <c r="J5120" s="187">
        <v>984</v>
      </c>
      <c r="K5120" s="187">
        <v>20535.142830456771</v>
      </c>
      <c r="L5120" s="187">
        <v>27340</v>
      </c>
      <c r="M5120" s="187">
        <v>64899.93359375</v>
      </c>
      <c r="N5120" s="187">
        <v>43380.7890625</v>
      </c>
      <c r="O5120" t="s">
        <v>8571</v>
      </c>
    </row>
    <row r="5121" spans="1:15" hidden="1" x14ac:dyDescent="0.45">
      <c r="A5121" s="187">
        <v>2022</v>
      </c>
      <c r="B5121" t="s">
        <v>315</v>
      </c>
      <c r="C5121" t="s">
        <v>322</v>
      </c>
      <c r="D5121" t="s">
        <v>35</v>
      </c>
      <c r="E5121" t="s">
        <v>348</v>
      </c>
      <c r="F5121" t="s">
        <v>382</v>
      </c>
      <c r="G5121" t="s">
        <v>36</v>
      </c>
      <c r="H5121" t="s">
        <v>43</v>
      </c>
      <c r="I5121" s="187">
        <v>20501.23581270334</v>
      </c>
      <c r="J5121" s="187">
        <v>962.87782075725158</v>
      </c>
      <c r="K5121" s="187">
        <v>19098.875953383493</v>
      </c>
      <c r="L5121" s="187">
        <v>33876.307329112482</v>
      </c>
      <c r="M5121" s="187">
        <v>74439.296875</v>
      </c>
      <c r="N5121" s="187">
        <v>54377.54296875</v>
      </c>
      <c r="O5121" t="s">
        <v>5576</v>
      </c>
    </row>
    <row r="5122" spans="1:15" hidden="1" x14ac:dyDescent="0.45">
      <c r="A5122" s="187">
        <v>2022</v>
      </c>
      <c r="B5122" t="s">
        <v>312</v>
      </c>
      <c r="C5122" t="s">
        <v>322</v>
      </c>
      <c r="D5122" t="s">
        <v>35</v>
      </c>
      <c r="E5122" t="s">
        <v>348</v>
      </c>
      <c r="F5122" t="s">
        <v>382</v>
      </c>
      <c r="G5122" t="s">
        <v>37</v>
      </c>
      <c r="H5122" t="s">
        <v>43</v>
      </c>
      <c r="I5122" s="187">
        <v>14698.181562120049</v>
      </c>
      <c r="J5122" s="187">
        <v>1007</v>
      </c>
      <c r="K5122" s="187">
        <v>15026.49435873483</v>
      </c>
      <c r="L5122" s="187">
        <v>22507</v>
      </c>
      <c r="M5122" s="187">
        <v>53238.67578125</v>
      </c>
      <c r="N5122" s="187">
        <v>37205.1796875</v>
      </c>
      <c r="O5122" t="s">
        <v>5588</v>
      </c>
    </row>
    <row r="5123" spans="1:15" hidden="1" x14ac:dyDescent="0.45">
      <c r="A5123" s="187">
        <v>2022</v>
      </c>
      <c r="B5123" t="s">
        <v>313</v>
      </c>
      <c r="C5123" t="s">
        <v>322</v>
      </c>
      <c r="D5123" t="s">
        <v>35</v>
      </c>
      <c r="E5123" t="s">
        <v>348</v>
      </c>
      <c r="F5123" t="s">
        <v>382</v>
      </c>
      <c r="G5123" t="s">
        <v>37</v>
      </c>
      <c r="H5123" t="s">
        <v>43</v>
      </c>
      <c r="I5123" s="187">
        <v>14643.594969533071</v>
      </c>
      <c r="J5123" s="187">
        <v>850</v>
      </c>
      <c r="K5123" s="187">
        <v>15198.267647999361</v>
      </c>
      <c r="L5123" s="187">
        <v>22879.21523018778</v>
      </c>
      <c r="M5123" s="187">
        <v>53571.078125</v>
      </c>
      <c r="N5123" s="187">
        <v>37522.80859375</v>
      </c>
      <c r="O5123" t="s">
        <v>5581</v>
      </c>
    </row>
    <row r="5124" spans="1:15" hidden="1" x14ac:dyDescent="0.45">
      <c r="A5124" s="187">
        <v>2022</v>
      </c>
      <c r="B5124" t="s">
        <v>311</v>
      </c>
      <c r="C5124" t="s">
        <v>322</v>
      </c>
      <c r="D5124" t="s">
        <v>35</v>
      </c>
      <c r="E5124" t="s">
        <v>348</v>
      </c>
      <c r="F5124" t="s">
        <v>382</v>
      </c>
      <c r="G5124" t="s">
        <v>37</v>
      </c>
      <c r="H5124" t="s">
        <v>43</v>
      </c>
      <c r="I5124" s="187"/>
      <c r="J5124" s="187">
        <v>1074</v>
      </c>
      <c r="K5124" s="187">
        <v>15421.65519764117</v>
      </c>
      <c r="L5124" s="187">
        <v>37131</v>
      </c>
      <c r="M5124" s="187">
        <v>53626.65625</v>
      </c>
      <c r="N5124" s="187">
        <v>37131</v>
      </c>
      <c r="O5124" t="s">
        <v>5580</v>
      </c>
    </row>
    <row r="5125" spans="1:15" x14ac:dyDescent="0.45">
      <c r="A5125" s="187">
        <v>2022</v>
      </c>
      <c r="B5125" t="s">
        <v>8570</v>
      </c>
      <c r="C5125" t="s">
        <v>322</v>
      </c>
      <c r="D5125" t="s">
        <v>35</v>
      </c>
      <c r="E5125" t="s">
        <v>348</v>
      </c>
      <c r="F5125" t="s">
        <v>382</v>
      </c>
      <c r="G5125" t="s">
        <v>37</v>
      </c>
      <c r="H5125" t="s">
        <v>43</v>
      </c>
      <c r="I5125" s="187">
        <v>16040.791257819999</v>
      </c>
      <c r="J5125" s="187">
        <v>984</v>
      </c>
      <c r="K5125" s="187">
        <v>20534.820400294189</v>
      </c>
      <c r="L5125" s="187">
        <v>27340</v>
      </c>
      <c r="M5125" s="187">
        <v>64899.61328125</v>
      </c>
      <c r="N5125" s="187">
        <v>43380.7890625</v>
      </c>
      <c r="O5125" t="s">
        <v>8572</v>
      </c>
    </row>
    <row r="5126" spans="1:15" hidden="1" x14ac:dyDescent="0.45">
      <c r="A5126" s="187">
        <v>2022</v>
      </c>
      <c r="B5126" t="s">
        <v>317</v>
      </c>
      <c r="C5126" t="s">
        <v>322</v>
      </c>
      <c r="D5126" t="s">
        <v>35</v>
      </c>
      <c r="E5126" t="s">
        <v>348</v>
      </c>
      <c r="F5126" t="s">
        <v>382</v>
      </c>
      <c r="G5126" t="s">
        <v>37</v>
      </c>
      <c r="H5126" t="s">
        <v>43</v>
      </c>
      <c r="I5126" s="187">
        <v>24542.262457211989</v>
      </c>
      <c r="J5126" s="187">
        <v>1082.8</v>
      </c>
      <c r="K5126" s="187">
        <v>18716.800290503281</v>
      </c>
      <c r="L5126" s="187">
        <v>32734</v>
      </c>
      <c r="M5126" s="187">
        <v>77075.859375</v>
      </c>
      <c r="N5126" s="187">
        <v>57276.26171875</v>
      </c>
      <c r="O5126" t="s">
        <v>5584</v>
      </c>
    </row>
    <row r="5127" spans="1:15" hidden="1" x14ac:dyDescent="0.45">
      <c r="A5127" s="187">
        <v>2022</v>
      </c>
      <c r="B5127" t="s">
        <v>314</v>
      </c>
      <c r="C5127" t="s">
        <v>322</v>
      </c>
      <c r="D5127" t="s">
        <v>35</v>
      </c>
      <c r="E5127" t="s">
        <v>348</v>
      </c>
      <c r="F5127" t="s">
        <v>382</v>
      </c>
      <c r="G5127" t="s">
        <v>37</v>
      </c>
      <c r="H5127" t="s">
        <v>43</v>
      </c>
      <c r="I5127" s="187">
        <v>18937.233229667891</v>
      </c>
      <c r="J5127" s="187">
        <v>844</v>
      </c>
      <c r="K5127" s="187">
        <v>16373.645952329551</v>
      </c>
      <c r="L5127" s="187">
        <v>30926</v>
      </c>
      <c r="M5127" s="187">
        <v>67080.875</v>
      </c>
      <c r="N5127" s="187">
        <v>49863.234375</v>
      </c>
      <c r="O5127" t="s">
        <v>5582</v>
      </c>
    </row>
    <row r="5128" spans="1:15" hidden="1" x14ac:dyDescent="0.45">
      <c r="A5128" s="187">
        <v>2022</v>
      </c>
      <c r="B5128" t="s">
        <v>316</v>
      </c>
      <c r="C5128" t="s">
        <v>322</v>
      </c>
      <c r="D5128" t="s">
        <v>35</v>
      </c>
      <c r="E5128" t="s">
        <v>348</v>
      </c>
      <c r="F5128" t="s">
        <v>382</v>
      </c>
      <c r="G5128" t="s">
        <v>37</v>
      </c>
      <c r="H5128" t="s">
        <v>43</v>
      </c>
      <c r="I5128" s="187">
        <v>18379</v>
      </c>
      <c r="J5128" s="187">
        <v>1213.333333333333</v>
      </c>
      <c r="K5128" s="187">
        <v>17611.910336271801</v>
      </c>
      <c r="L5128" s="187">
        <v>29169</v>
      </c>
      <c r="M5128" s="187">
        <v>66373.25</v>
      </c>
      <c r="N5128" s="187">
        <v>47548</v>
      </c>
      <c r="O5128" t="s">
        <v>5587</v>
      </c>
    </row>
    <row r="5129" spans="1:15" hidden="1" x14ac:dyDescent="0.45">
      <c r="A5129" s="187">
        <v>2022</v>
      </c>
      <c r="B5129" t="s">
        <v>310</v>
      </c>
      <c r="C5129" t="s">
        <v>322</v>
      </c>
      <c r="D5129" t="s">
        <v>35</v>
      </c>
      <c r="E5129" t="s">
        <v>348</v>
      </c>
      <c r="F5129" t="s">
        <v>382</v>
      </c>
      <c r="G5129" t="s">
        <v>37</v>
      </c>
      <c r="H5129" t="s">
        <v>43</v>
      </c>
      <c r="I5129" s="187"/>
      <c r="J5129" s="187">
        <v>858</v>
      </c>
      <c r="K5129" s="187">
        <v>15241.362299491409</v>
      </c>
      <c r="L5129" s="187">
        <v>35609</v>
      </c>
      <c r="M5129" s="187">
        <v>51708.36328125</v>
      </c>
      <c r="N5129" s="187">
        <v>35609</v>
      </c>
      <c r="O5129" t="s">
        <v>5586</v>
      </c>
    </row>
    <row r="5130" spans="1:15" hidden="1" x14ac:dyDescent="0.45">
      <c r="A5130" s="187">
        <v>2022</v>
      </c>
      <c r="B5130" t="s">
        <v>309</v>
      </c>
      <c r="C5130" t="s">
        <v>322</v>
      </c>
      <c r="D5130" t="s">
        <v>35</v>
      </c>
      <c r="E5130" t="s">
        <v>348</v>
      </c>
      <c r="F5130" t="s">
        <v>382</v>
      </c>
      <c r="G5130" t="s">
        <v>37</v>
      </c>
      <c r="H5130" t="s">
        <v>43</v>
      </c>
      <c r="I5130" s="187"/>
      <c r="J5130" s="187">
        <v>951.3732</v>
      </c>
      <c r="K5130" s="187">
        <v>15663.491283207961</v>
      </c>
      <c r="L5130" s="187">
        <v>28173</v>
      </c>
      <c r="M5130" s="187">
        <v>44787.8671875</v>
      </c>
      <c r="N5130" s="187">
        <v>28173</v>
      </c>
      <c r="O5130" t="s">
        <v>5583</v>
      </c>
    </row>
    <row r="5131" spans="1:15" hidden="1" x14ac:dyDescent="0.45">
      <c r="A5131" s="187">
        <v>2022</v>
      </c>
      <c r="B5131" t="s">
        <v>315</v>
      </c>
      <c r="C5131" t="s">
        <v>322</v>
      </c>
      <c r="D5131" t="s">
        <v>35</v>
      </c>
      <c r="E5131" t="s">
        <v>348</v>
      </c>
      <c r="F5131" t="s">
        <v>382</v>
      </c>
      <c r="G5131" t="s">
        <v>37</v>
      </c>
      <c r="H5131" t="s">
        <v>43</v>
      </c>
      <c r="I5131" s="187">
        <v>19282.218914743709</v>
      </c>
      <c r="J5131" s="187">
        <v>885</v>
      </c>
      <c r="K5131" s="187">
        <v>17847.34283465354</v>
      </c>
      <c r="L5131" s="187">
        <v>31736</v>
      </c>
      <c r="M5131" s="187">
        <v>69750.5625</v>
      </c>
      <c r="N5131" s="187">
        <v>51018.21875</v>
      </c>
      <c r="O5131" t="s">
        <v>5585</v>
      </c>
    </row>
    <row r="5132" spans="1:15" hidden="1" x14ac:dyDescent="0.45">
      <c r="A5132" s="187">
        <v>2022</v>
      </c>
      <c r="B5132" t="s">
        <v>313</v>
      </c>
      <c r="C5132" t="s">
        <v>322</v>
      </c>
      <c r="D5132" t="s">
        <v>35</v>
      </c>
      <c r="E5132" t="s">
        <v>19</v>
      </c>
      <c r="F5132" t="s">
        <v>19</v>
      </c>
      <c r="G5132" t="s">
        <v>36</v>
      </c>
      <c r="H5132" t="s">
        <v>43</v>
      </c>
      <c r="I5132" s="187">
        <v>916.38728401702804</v>
      </c>
      <c r="J5132" s="187">
        <v>11.978918745320629</v>
      </c>
      <c r="K5132" s="187">
        <v>133.16114960655048</v>
      </c>
      <c r="L5132" s="187">
        <v>3122.9041169050874</v>
      </c>
      <c r="M5132" s="187">
        <v>4184.431640625</v>
      </c>
      <c r="N5132" s="187">
        <v>4039.29150390625</v>
      </c>
      <c r="O5132" t="s">
        <v>5595</v>
      </c>
    </row>
    <row r="5133" spans="1:15" hidden="1" x14ac:dyDescent="0.45">
      <c r="A5133" s="187">
        <v>2022</v>
      </c>
      <c r="B5133" t="s">
        <v>314</v>
      </c>
      <c r="C5133" t="s">
        <v>322</v>
      </c>
      <c r="D5133" t="s">
        <v>35</v>
      </c>
      <c r="E5133" t="s">
        <v>19</v>
      </c>
      <c r="F5133" t="s">
        <v>19</v>
      </c>
      <c r="G5133" t="s">
        <v>36</v>
      </c>
      <c r="H5133" t="s">
        <v>43</v>
      </c>
      <c r="I5133" s="187">
        <v>891.08780574065827</v>
      </c>
      <c r="J5133" s="187">
        <v>0</v>
      </c>
      <c r="K5133" s="187">
        <v>130.43660111672438</v>
      </c>
      <c r="L5133" s="187">
        <v>3466.5062874303258</v>
      </c>
      <c r="M5133" s="187">
        <v>4488.03076171875</v>
      </c>
      <c r="N5133" s="187">
        <v>4357.59423828125</v>
      </c>
      <c r="O5133" t="s">
        <v>5590</v>
      </c>
    </row>
    <row r="5134" spans="1:15" hidden="1" x14ac:dyDescent="0.45">
      <c r="A5134" s="187">
        <v>2022</v>
      </c>
      <c r="B5134" t="s">
        <v>309</v>
      </c>
      <c r="C5134" t="s">
        <v>322</v>
      </c>
      <c r="D5134" t="s">
        <v>35</v>
      </c>
      <c r="E5134" t="s">
        <v>19</v>
      </c>
      <c r="F5134" t="s">
        <v>19</v>
      </c>
      <c r="G5134" t="s">
        <v>36</v>
      </c>
      <c r="H5134" t="s">
        <v>43</v>
      </c>
      <c r="I5134" s="187"/>
      <c r="J5134" s="187">
        <v>0</v>
      </c>
      <c r="K5134" s="187">
        <v>150.70942137818534</v>
      </c>
      <c r="L5134" s="187">
        <v>4164.8098867277376</v>
      </c>
      <c r="M5134" s="187">
        <v>4315.51953125</v>
      </c>
      <c r="N5134" s="187">
        <v>4164.81005859375</v>
      </c>
      <c r="O5134" t="s">
        <v>5594</v>
      </c>
    </row>
    <row r="5135" spans="1:15" hidden="1" x14ac:dyDescent="0.45">
      <c r="A5135" s="187">
        <v>2022</v>
      </c>
      <c r="B5135" t="s">
        <v>317</v>
      </c>
      <c r="C5135" t="s">
        <v>322</v>
      </c>
      <c r="D5135" t="s">
        <v>35</v>
      </c>
      <c r="E5135" t="s">
        <v>19</v>
      </c>
      <c r="F5135" t="s">
        <v>19</v>
      </c>
      <c r="G5135" t="s">
        <v>36</v>
      </c>
      <c r="H5135" t="s">
        <v>43</v>
      </c>
      <c r="I5135" s="187">
        <v>918.43273133365187</v>
      </c>
      <c r="J5135" s="187">
        <v>334.95781966286131</v>
      </c>
      <c r="K5135" s="187">
        <v>131.18040460898101</v>
      </c>
      <c r="L5135" s="187">
        <v>3817.438635060932</v>
      </c>
      <c r="M5135" s="187">
        <v>5202.009765625</v>
      </c>
      <c r="N5135" s="187">
        <v>4735.87158203125</v>
      </c>
      <c r="O5135" t="s">
        <v>5593</v>
      </c>
    </row>
    <row r="5136" spans="1:15" hidden="1" x14ac:dyDescent="0.45">
      <c r="A5136" s="187">
        <v>2022</v>
      </c>
      <c r="B5136" t="s">
        <v>310</v>
      </c>
      <c r="C5136" t="s">
        <v>322</v>
      </c>
      <c r="D5136" t="s">
        <v>35</v>
      </c>
      <c r="E5136" t="s">
        <v>19</v>
      </c>
      <c r="F5136" t="s">
        <v>19</v>
      </c>
      <c r="G5136" t="s">
        <v>36</v>
      </c>
      <c r="H5136" t="s">
        <v>43</v>
      </c>
      <c r="I5136" s="187"/>
      <c r="J5136" s="187">
        <v>0</v>
      </c>
      <c r="K5136" s="187">
        <v>148.71541454316983</v>
      </c>
      <c r="L5136" s="187">
        <v>5471.5039277107908</v>
      </c>
      <c r="M5136" s="187">
        <v>5620.21923828125</v>
      </c>
      <c r="N5136" s="187">
        <v>5471.50390625</v>
      </c>
      <c r="O5136" t="s">
        <v>5591</v>
      </c>
    </row>
    <row r="5137" spans="1:15" hidden="1" x14ac:dyDescent="0.45">
      <c r="A5137" s="187">
        <v>2022</v>
      </c>
      <c r="B5137" t="s">
        <v>316</v>
      </c>
      <c r="C5137" t="s">
        <v>322</v>
      </c>
      <c r="D5137" t="s">
        <v>35</v>
      </c>
      <c r="E5137" t="s">
        <v>19</v>
      </c>
      <c r="F5137" t="s">
        <v>19</v>
      </c>
      <c r="G5137" t="s">
        <v>36</v>
      </c>
      <c r="H5137" t="s">
        <v>43</v>
      </c>
      <c r="I5137" s="187">
        <v>859.54869150609932</v>
      </c>
      <c r="J5137" s="187">
        <v>220.2907677271418</v>
      </c>
      <c r="K5137" s="187">
        <v>129.29524133768683</v>
      </c>
      <c r="L5137" s="187">
        <v>2902.3308648050934</v>
      </c>
      <c r="M5137" s="187">
        <v>4111.4658203125</v>
      </c>
      <c r="N5137" s="187">
        <v>3761.879638671875</v>
      </c>
      <c r="O5137" t="s">
        <v>5589</v>
      </c>
    </row>
    <row r="5138" spans="1:15" hidden="1" x14ac:dyDescent="0.45">
      <c r="A5138" s="187">
        <v>2022</v>
      </c>
      <c r="B5138" t="s">
        <v>312</v>
      </c>
      <c r="C5138" t="s">
        <v>322</v>
      </c>
      <c r="D5138" t="s">
        <v>35</v>
      </c>
      <c r="E5138" t="s">
        <v>19</v>
      </c>
      <c r="F5138" t="s">
        <v>19</v>
      </c>
      <c r="G5138" t="s">
        <v>36</v>
      </c>
      <c r="H5138" t="s">
        <v>43</v>
      </c>
      <c r="I5138" s="187">
        <v>945.97929050430525</v>
      </c>
      <c r="J5138" s="187">
        <v>0</v>
      </c>
      <c r="K5138" s="187">
        <v>138.78845876182805</v>
      </c>
      <c r="L5138" s="187">
        <v>1791.79606789639</v>
      </c>
      <c r="M5138" s="187">
        <v>2876.56396484375</v>
      </c>
      <c r="N5138" s="187">
        <v>2737.775390625</v>
      </c>
      <c r="O5138" t="s">
        <v>5597</v>
      </c>
    </row>
    <row r="5139" spans="1:15" x14ac:dyDescent="0.45">
      <c r="A5139" s="187">
        <v>2022</v>
      </c>
      <c r="B5139" t="s">
        <v>8570</v>
      </c>
      <c r="C5139" t="s">
        <v>322</v>
      </c>
      <c r="D5139" t="s">
        <v>35</v>
      </c>
      <c r="E5139" t="s">
        <v>19</v>
      </c>
      <c r="F5139" t="s">
        <v>19</v>
      </c>
      <c r="G5139" t="s">
        <v>36</v>
      </c>
      <c r="H5139" t="s">
        <v>43</v>
      </c>
      <c r="I5139" s="187">
        <v>768.29625781999982</v>
      </c>
      <c r="J5139" s="187">
        <v>41</v>
      </c>
      <c r="K5139" s="187">
        <v>144.2437387860966</v>
      </c>
      <c r="L5139" s="187">
        <v>3931</v>
      </c>
      <c r="M5139" s="187">
        <v>4884.5400390625</v>
      </c>
      <c r="N5139" s="187">
        <v>4699.29638671875</v>
      </c>
      <c r="O5139" t="s">
        <v>8573</v>
      </c>
    </row>
    <row r="5140" spans="1:15" hidden="1" x14ac:dyDescent="0.45">
      <c r="A5140" s="187">
        <v>2022</v>
      </c>
      <c r="B5140" t="s">
        <v>311</v>
      </c>
      <c r="C5140" t="s">
        <v>322</v>
      </c>
      <c r="D5140" t="s">
        <v>35</v>
      </c>
      <c r="E5140" t="s">
        <v>19</v>
      </c>
      <c r="F5140" t="s">
        <v>19</v>
      </c>
      <c r="G5140" t="s">
        <v>36</v>
      </c>
      <c r="H5140" t="s">
        <v>43</v>
      </c>
      <c r="I5140" s="187"/>
      <c r="J5140" s="187">
        <v>0</v>
      </c>
      <c r="K5140" s="187">
        <v>142.16344950770949</v>
      </c>
      <c r="L5140" s="187">
        <v>4929.0117840615903</v>
      </c>
      <c r="M5140" s="187">
        <v>5071.17529296875</v>
      </c>
      <c r="N5140" s="187">
        <v>4929.01171875</v>
      </c>
      <c r="O5140" t="s">
        <v>5592</v>
      </c>
    </row>
    <row r="5141" spans="1:15" hidden="1" x14ac:dyDescent="0.45">
      <c r="A5141" s="187">
        <v>2022</v>
      </c>
      <c r="B5141" t="s">
        <v>315</v>
      </c>
      <c r="C5141" t="s">
        <v>322</v>
      </c>
      <c r="D5141" t="s">
        <v>35</v>
      </c>
      <c r="E5141" t="s">
        <v>19</v>
      </c>
      <c r="F5141" t="s">
        <v>19</v>
      </c>
      <c r="G5141" t="s">
        <v>36</v>
      </c>
      <c r="H5141" t="s">
        <v>43</v>
      </c>
      <c r="I5141" s="187">
        <v>866.59003868152638</v>
      </c>
      <c r="J5141" s="187">
        <v>0</v>
      </c>
      <c r="K5141" s="187">
        <v>129.65257586018677</v>
      </c>
      <c r="L5141" s="187">
        <v>3031.3659392310647</v>
      </c>
      <c r="M5141" s="187">
        <v>4027.608642578125</v>
      </c>
      <c r="N5141" s="187">
        <v>3897.9560546875</v>
      </c>
      <c r="O5141" t="s">
        <v>5596</v>
      </c>
    </row>
    <row r="5142" spans="1:15" hidden="1" x14ac:dyDescent="0.45">
      <c r="A5142" s="187">
        <v>2022</v>
      </c>
      <c r="B5142" t="s">
        <v>314</v>
      </c>
      <c r="C5142" t="s">
        <v>322</v>
      </c>
      <c r="D5142" t="s">
        <v>35</v>
      </c>
      <c r="E5142" t="s">
        <v>19</v>
      </c>
      <c r="F5142" t="s">
        <v>19</v>
      </c>
      <c r="G5142" t="s">
        <v>37</v>
      </c>
      <c r="H5142" t="s">
        <v>43</v>
      </c>
      <c r="I5142" s="187">
        <v>828.46657017576103</v>
      </c>
      <c r="J5142" s="187">
        <v>0</v>
      </c>
      <c r="K5142" s="187">
        <v>121.4342573060498</v>
      </c>
      <c r="L5142" s="187">
        <v>3388</v>
      </c>
      <c r="M5142" s="187">
        <v>4337.90087890625</v>
      </c>
      <c r="N5142" s="187">
        <v>4216.466796875</v>
      </c>
      <c r="O5142" t="s">
        <v>5605</v>
      </c>
    </row>
    <row r="5143" spans="1:15" hidden="1" x14ac:dyDescent="0.45">
      <c r="A5143" s="187">
        <v>2022</v>
      </c>
      <c r="B5143" t="s">
        <v>311</v>
      </c>
      <c r="C5143" t="s">
        <v>322</v>
      </c>
      <c r="D5143" t="s">
        <v>35</v>
      </c>
      <c r="E5143" t="s">
        <v>19</v>
      </c>
      <c r="F5143" t="s">
        <v>19</v>
      </c>
      <c r="G5143" t="s">
        <v>37</v>
      </c>
      <c r="H5143" t="s">
        <v>43</v>
      </c>
      <c r="I5143" s="187"/>
      <c r="J5143" s="187">
        <v>0</v>
      </c>
      <c r="K5143" s="187">
        <v>127.1150905057069</v>
      </c>
      <c r="L5143" s="187">
        <v>4645</v>
      </c>
      <c r="M5143" s="187">
        <v>4772.115234375</v>
      </c>
      <c r="N5143" s="187">
        <v>4645</v>
      </c>
      <c r="O5143" t="s">
        <v>5598</v>
      </c>
    </row>
    <row r="5144" spans="1:15" hidden="1" x14ac:dyDescent="0.45">
      <c r="A5144" s="187">
        <v>2022</v>
      </c>
      <c r="B5144" t="s">
        <v>316</v>
      </c>
      <c r="C5144" t="s">
        <v>322</v>
      </c>
      <c r="D5144" t="s">
        <v>35</v>
      </c>
      <c r="E5144" t="s">
        <v>19</v>
      </c>
      <c r="F5144" t="s">
        <v>19</v>
      </c>
      <c r="G5144" t="s">
        <v>37</v>
      </c>
      <c r="H5144" t="s">
        <v>43</v>
      </c>
      <c r="I5144" s="187">
        <v>812</v>
      </c>
      <c r="J5144" s="187">
        <v>200</v>
      </c>
      <c r="K5144" s="187">
        <v>120.60883893719971</v>
      </c>
      <c r="L5144" s="187">
        <v>2779</v>
      </c>
      <c r="M5144" s="187">
        <v>3911.60888671875</v>
      </c>
      <c r="N5144" s="187">
        <v>3591</v>
      </c>
      <c r="O5144" t="s">
        <v>5604</v>
      </c>
    </row>
    <row r="5145" spans="1:15" hidden="1" x14ac:dyDescent="0.45">
      <c r="A5145" s="187">
        <v>2022</v>
      </c>
      <c r="B5145" t="s">
        <v>312</v>
      </c>
      <c r="C5145" t="s">
        <v>322</v>
      </c>
      <c r="D5145" t="s">
        <v>35</v>
      </c>
      <c r="E5145" t="s">
        <v>19</v>
      </c>
      <c r="F5145" t="s">
        <v>19</v>
      </c>
      <c r="G5145" t="s">
        <v>37</v>
      </c>
      <c r="H5145" t="s">
        <v>43</v>
      </c>
      <c r="I5145" s="187">
        <v>847.09629793930321</v>
      </c>
      <c r="J5145" s="187">
        <v>0</v>
      </c>
      <c r="K5145" s="187">
        <v>126.0064506044054</v>
      </c>
      <c r="L5145" s="187">
        <v>1629</v>
      </c>
      <c r="M5145" s="187">
        <v>2602.102783203125</v>
      </c>
      <c r="N5145" s="187">
        <v>2476.09619140625</v>
      </c>
      <c r="O5145" t="s">
        <v>5600</v>
      </c>
    </row>
    <row r="5146" spans="1:15" hidden="1" x14ac:dyDescent="0.45">
      <c r="A5146" s="187">
        <v>2022</v>
      </c>
      <c r="B5146" t="s">
        <v>317</v>
      </c>
      <c r="C5146" t="s">
        <v>322</v>
      </c>
      <c r="D5146" t="s">
        <v>35</v>
      </c>
      <c r="E5146" t="s">
        <v>19</v>
      </c>
      <c r="F5146" t="s">
        <v>19</v>
      </c>
      <c r="G5146" t="s">
        <v>37</v>
      </c>
      <c r="H5146" t="s">
        <v>43</v>
      </c>
      <c r="I5146" s="187">
        <v>867</v>
      </c>
      <c r="J5146" s="187">
        <v>310</v>
      </c>
      <c r="K5146" s="187">
        <v>123.3708077389747</v>
      </c>
      <c r="L5146" s="187">
        <v>3602</v>
      </c>
      <c r="M5146" s="187">
        <v>4902.37109375</v>
      </c>
      <c r="N5146" s="187">
        <v>4469</v>
      </c>
      <c r="O5146" t="s">
        <v>5602</v>
      </c>
    </row>
    <row r="5147" spans="1:15" hidden="1" x14ac:dyDescent="0.45">
      <c r="A5147" s="187">
        <v>2022</v>
      </c>
      <c r="B5147" t="s">
        <v>310</v>
      </c>
      <c r="C5147" t="s">
        <v>322</v>
      </c>
      <c r="D5147" t="s">
        <v>35</v>
      </c>
      <c r="E5147" t="s">
        <v>19</v>
      </c>
      <c r="F5147" t="s">
        <v>19</v>
      </c>
      <c r="G5147" t="s">
        <v>37</v>
      </c>
      <c r="H5147" t="s">
        <v>43</v>
      </c>
      <c r="I5147" s="187"/>
      <c r="J5147" s="187">
        <v>0</v>
      </c>
      <c r="K5147" s="187">
        <v>133.77545043168891</v>
      </c>
      <c r="L5147" s="187">
        <v>5150</v>
      </c>
      <c r="M5147" s="187">
        <v>5283.775390625</v>
      </c>
      <c r="N5147" s="187">
        <v>5150</v>
      </c>
      <c r="O5147" t="s">
        <v>5603</v>
      </c>
    </row>
    <row r="5148" spans="1:15" hidden="1" x14ac:dyDescent="0.45">
      <c r="A5148" s="187">
        <v>2022</v>
      </c>
      <c r="B5148" t="s">
        <v>313</v>
      </c>
      <c r="C5148" t="s">
        <v>322</v>
      </c>
      <c r="D5148" t="s">
        <v>35</v>
      </c>
      <c r="E5148" t="s">
        <v>19</v>
      </c>
      <c r="F5148" t="s">
        <v>19</v>
      </c>
      <c r="G5148" t="s">
        <v>37</v>
      </c>
      <c r="H5148" t="s">
        <v>43</v>
      </c>
      <c r="I5148" s="187">
        <v>842.8818884968191</v>
      </c>
      <c r="J5148" s="187">
        <v>11</v>
      </c>
      <c r="K5148" s="187">
        <v>122.18388368076261</v>
      </c>
      <c r="L5148" s="187">
        <v>2889</v>
      </c>
      <c r="M5148" s="187">
        <v>3865.06591796875</v>
      </c>
      <c r="N5148" s="187">
        <v>3731.8818359375</v>
      </c>
      <c r="O5148" t="s">
        <v>5599</v>
      </c>
    </row>
    <row r="5149" spans="1:15" hidden="1" x14ac:dyDescent="0.45">
      <c r="A5149" s="187">
        <v>2022</v>
      </c>
      <c r="B5149" t="s">
        <v>309</v>
      </c>
      <c r="C5149" t="s">
        <v>322</v>
      </c>
      <c r="D5149" t="s">
        <v>35</v>
      </c>
      <c r="E5149" t="s">
        <v>19</v>
      </c>
      <c r="F5149" t="s">
        <v>19</v>
      </c>
      <c r="G5149" t="s">
        <v>37</v>
      </c>
      <c r="H5149" t="s">
        <v>43</v>
      </c>
      <c r="I5149" s="187"/>
      <c r="J5149" s="187">
        <v>0</v>
      </c>
      <c r="K5149" s="187">
        <v>138.89366984759499</v>
      </c>
      <c r="L5149" s="187">
        <v>4026</v>
      </c>
      <c r="M5149" s="187">
        <v>4164.8935546875</v>
      </c>
      <c r="N5149" s="187">
        <v>4026</v>
      </c>
      <c r="O5149" t="s">
        <v>5606</v>
      </c>
    </row>
    <row r="5150" spans="1:15" hidden="1" x14ac:dyDescent="0.45">
      <c r="A5150" s="187">
        <v>2022</v>
      </c>
      <c r="B5150" t="s">
        <v>315</v>
      </c>
      <c r="C5150" t="s">
        <v>322</v>
      </c>
      <c r="D5150" t="s">
        <v>35</v>
      </c>
      <c r="E5150" t="s">
        <v>19</v>
      </c>
      <c r="F5150" t="s">
        <v>19</v>
      </c>
      <c r="G5150" t="s">
        <v>37</v>
      </c>
      <c r="H5150" t="s">
        <v>43</v>
      </c>
      <c r="I5150" s="187">
        <v>811.98330900300004</v>
      </c>
      <c r="J5150" s="187">
        <v>0</v>
      </c>
      <c r="K5150" s="187">
        <v>121.15655269035589</v>
      </c>
      <c r="L5150" s="187">
        <v>2840</v>
      </c>
      <c r="M5150" s="187">
        <v>3773.139892578125</v>
      </c>
      <c r="N5150" s="187">
        <v>3651.9833984375</v>
      </c>
      <c r="O5150" t="s">
        <v>5601</v>
      </c>
    </row>
    <row r="5151" spans="1:15" x14ac:dyDescent="0.45">
      <c r="A5151" s="187">
        <v>2022</v>
      </c>
      <c r="B5151" t="s">
        <v>8570</v>
      </c>
      <c r="C5151" t="s">
        <v>322</v>
      </c>
      <c r="D5151" t="s">
        <v>35</v>
      </c>
      <c r="E5151" t="s">
        <v>19</v>
      </c>
      <c r="F5151" t="s">
        <v>19</v>
      </c>
      <c r="G5151" t="s">
        <v>37</v>
      </c>
      <c r="H5151" t="s">
        <v>43</v>
      </c>
      <c r="I5151" s="187">
        <v>768.29625781999982</v>
      </c>
      <c r="J5151" s="187">
        <v>41</v>
      </c>
      <c r="K5151" s="187">
        <v>144.2437387860966</v>
      </c>
      <c r="L5151" s="187">
        <v>3931</v>
      </c>
      <c r="M5151" s="187">
        <v>4884.5400390625</v>
      </c>
      <c r="N5151" s="187">
        <v>4699.29638671875</v>
      </c>
      <c r="O5151" t="s">
        <v>8574</v>
      </c>
    </row>
    <row r="5152" spans="1:15" hidden="1" x14ac:dyDescent="0.45">
      <c r="A5152" s="187">
        <v>2022</v>
      </c>
      <c r="B5152" t="s">
        <v>311</v>
      </c>
      <c r="C5152" t="s">
        <v>322</v>
      </c>
      <c r="D5152" t="s">
        <v>35</v>
      </c>
      <c r="E5152" t="s">
        <v>349</v>
      </c>
      <c r="F5152" t="s">
        <v>349</v>
      </c>
      <c r="G5152" t="s">
        <v>36</v>
      </c>
      <c r="H5152" t="s">
        <v>43</v>
      </c>
      <c r="I5152" s="187"/>
      <c r="J5152" s="187">
        <v>803.43529727265252</v>
      </c>
      <c r="K5152" s="187">
        <v>4122.7400357235774</v>
      </c>
      <c r="L5152" s="187">
        <v>4072.0141336374277</v>
      </c>
      <c r="M5152" s="187">
        <v>8998.189453125</v>
      </c>
      <c r="N5152" s="187">
        <v>4072.01416015625</v>
      </c>
      <c r="O5152" t="s">
        <v>5610</v>
      </c>
    </row>
    <row r="5153" spans="1:15" hidden="1" x14ac:dyDescent="0.45">
      <c r="A5153" s="187">
        <v>2022</v>
      </c>
      <c r="B5153" t="s">
        <v>312</v>
      </c>
      <c r="C5153" t="s">
        <v>322</v>
      </c>
      <c r="D5153" t="s">
        <v>35</v>
      </c>
      <c r="E5153" t="s">
        <v>349</v>
      </c>
      <c r="F5153" t="s">
        <v>349</v>
      </c>
      <c r="G5153" t="s">
        <v>36</v>
      </c>
      <c r="H5153" t="s">
        <v>43</v>
      </c>
      <c r="I5153" s="187">
        <v>4513.4959612296916</v>
      </c>
      <c r="J5153" s="187">
        <v>618.28711797667017</v>
      </c>
      <c r="K5153" s="187">
        <v>3406.625805972144</v>
      </c>
      <c r="L5153" s="187">
        <v>2087.3373102892383</v>
      </c>
      <c r="M5153" s="187">
        <v>10625.74609375</v>
      </c>
      <c r="N5153" s="187">
        <v>6600.83349609375</v>
      </c>
      <c r="O5153" t="s">
        <v>5615</v>
      </c>
    </row>
    <row r="5154" spans="1:15" hidden="1" x14ac:dyDescent="0.45">
      <c r="A5154" s="187">
        <v>2022</v>
      </c>
      <c r="B5154" t="s">
        <v>315</v>
      </c>
      <c r="C5154" t="s">
        <v>322</v>
      </c>
      <c r="D5154" t="s">
        <v>35</v>
      </c>
      <c r="E5154" t="s">
        <v>349</v>
      </c>
      <c r="F5154" t="s">
        <v>349</v>
      </c>
      <c r="G5154" t="s">
        <v>36</v>
      </c>
      <c r="H5154" t="s">
        <v>43</v>
      </c>
      <c r="I5154" s="187">
        <v>4440.5659498452069</v>
      </c>
      <c r="J5154" s="187">
        <v>464.44694883585072</v>
      </c>
      <c r="K5154" s="187">
        <v>4021.7534154829195</v>
      </c>
      <c r="L5154" s="187">
        <v>3161.63764439234</v>
      </c>
      <c r="M5154" s="187">
        <v>12088.4033203125</v>
      </c>
      <c r="N5154" s="187">
        <v>7602.20361328125</v>
      </c>
      <c r="O5154" t="s">
        <v>5607</v>
      </c>
    </row>
    <row r="5155" spans="1:15" hidden="1" x14ac:dyDescent="0.45">
      <c r="A5155" s="187">
        <v>2022</v>
      </c>
      <c r="B5155" t="s">
        <v>310</v>
      </c>
      <c r="C5155" t="s">
        <v>322</v>
      </c>
      <c r="D5155" t="s">
        <v>35</v>
      </c>
      <c r="E5155" t="s">
        <v>349</v>
      </c>
      <c r="F5155" t="s">
        <v>349</v>
      </c>
      <c r="G5155" t="s">
        <v>36</v>
      </c>
      <c r="H5155" t="s">
        <v>43</v>
      </c>
      <c r="I5155" s="187"/>
      <c r="J5155" s="187">
        <v>653.86041201132775</v>
      </c>
      <c r="K5155" s="187">
        <v>3717.8853635792452</v>
      </c>
      <c r="L5155" s="187">
        <v>4161.1676620400904</v>
      </c>
      <c r="M5155" s="187">
        <v>8532.9130859375</v>
      </c>
      <c r="N5155" s="187">
        <v>4161.16748046875</v>
      </c>
      <c r="O5155" t="s">
        <v>5613</v>
      </c>
    </row>
    <row r="5156" spans="1:15" hidden="1" x14ac:dyDescent="0.45">
      <c r="A5156" s="187">
        <v>2022</v>
      </c>
      <c r="B5156" t="s">
        <v>316</v>
      </c>
      <c r="C5156" t="s">
        <v>322</v>
      </c>
      <c r="D5156" t="s">
        <v>35</v>
      </c>
      <c r="E5156" t="s">
        <v>349</v>
      </c>
      <c r="F5156" t="s">
        <v>349</v>
      </c>
      <c r="G5156" t="s">
        <v>36</v>
      </c>
      <c r="H5156" t="s">
        <v>43</v>
      </c>
      <c r="I5156" s="187">
        <v>4493.9294587260156</v>
      </c>
      <c r="J5156" s="187">
        <v>545.21965012467604</v>
      </c>
      <c r="K5156" s="187">
        <v>3815.9160972305963</v>
      </c>
      <c r="L5156" s="187">
        <v>3277.9266237798702</v>
      </c>
      <c r="M5156" s="187">
        <v>12132.9921875</v>
      </c>
      <c r="N5156" s="187">
        <v>7771.8564453125</v>
      </c>
      <c r="O5156" t="s">
        <v>5609</v>
      </c>
    </row>
    <row r="5157" spans="1:15" hidden="1" x14ac:dyDescent="0.45">
      <c r="A5157" s="187">
        <v>2022</v>
      </c>
      <c r="B5157" t="s">
        <v>313</v>
      </c>
      <c r="C5157" t="s">
        <v>322</v>
      </c>
      <c r="D5157" t="s">
        <v>35</v>
      </c>
      <c r="E5157" t="s">
        <v>349</v>
      </c>
      <c r="F5157" t="s">
        <v>349</v>
      </c>
      <c r="G5157" t="s">
        <v>36</v>
      </c>
      <c r="H5157" t="s">
        <v>43</v>
      </c>
      <c r="I5157" s="187">
        <v>4432.1999357686327</v>
      </c>
      <c r="J5157" s="187">
        <v>539.05134353942822</v>
      </c>
      <c r="K5157" s="187">
        <v>2368.1856759330058</v>
      </c>
      <c r="L5157" s="187">
        <v>2267.6093184891947</v>
      </c>
      <c r="M5157" s="187">
        <v>9607.0458984375</v>
      </c>
      <c r="N5157" s="187">
        <v>6699.80908203125</v>
      </c>
      <c r="O5157" t="s">
        <v>5612</v>
      </c>
    </row>
    <row r="5158" spans="1:15" hidden="1" x14ac:dyDescent="0.45">
      <c r="A5158" s="187">
        <v>2022</v>
      </c>
      <c r="B5158" t="s">
        <v>314</v>
      </c>
      <c r="C5158" t="s">
        <v>322</v>
      </c>
      <c r="D5158" t="s">
        <v>35</v>
      </c>
      <c r="E5158" t="s">
        <v>349</v>
      </c>
      <c r="F5158" t="s">
        <v>349</v>
      </c>
      <c r="G5158" t="s">
        <v>36</v>
      </c>
      <c r="H5158" t="s">
        <v>43</v>
      </c>
      <c r="I5158" s="187">
        <v>4566.0969915076867</v>
      </c>
      <c r="J5158" s="187">
        <v>506.69698757802138</v>
      </c>
      <c r="K5158" s="187">
        <v>3467.8425540740959</v>
      </c>
      <c r="L5158" s="187">
        <v>2316.8282949257118</v>
      </c>
      <c r="M5158" s="187">
        <v>10857.46484375</v>
      </c>
      <c r="N5158" s="187">
        <v>6882.92529296875</v>
      </c>
      <c r="O5158" t="s">
        <v>5611</v>
      </c>
    </row>
    <row r="5159" spans="1:15" x14ac:dyDescent="0.45">
      <c r="A5159" s="187">
        <v>2022</v>
      </c>
      <c r="B5159" t="s">
        <v>8570</v>
      </c>
      <c r="C5159" t="s">
        <v>322</v>
      </c>
      <c r="D5159" t="s">
        <v>35</v>
      </c>
      <c r="E5159" t="s">
        <v>349</v>
      </c>
      <c r="F5159" t="s">
        <v>349</v>
      </c>
      <c r="G5159" t="s">
        <v>36</v>
      </c>
      <c r="H5159" t="s">
        <v>43</v>
      </c>
      <c r="I5159" s="187">
        <v>5462.1459999999988</v>
      </c>
      <c r="J5159" s="187">
        <v>373</v>
      </c>
      <c r="K5159" s="187">
        <v>6024.8596397085357</v>
      </c>
      <c r="L5159" s="187">
        <v>4670</v>
      </c>
      <c r="M5159" s="187">
        <v>16530.005859375</v>
      </c>
      <c r="N5159" s="187">
        <v>10132.146484375</v>
      </c>
      <c r="O5159" t="s">
        <v>8575</v>
      </c>
    </row>
    <row r="5160" spans="1:15" hidden="1" x14ac:dyDescent="0.45">
      <c r="A5160" s="187">
        <v>2022</v>
      </c>
      <c r="B5160" t="s">
        <v>309</v>
      </c>
      <c r="C5160" t="s">
        <v>322</v>
      </c>
      <c r="D5160" t="s">
        <v>35</v>
      </c>
      <c r="E5160" t="s">
        <v>349</v>
      </c>
      <c r="F5160" t="s">
        <v>349</v>
      </c>
      <c r="G5160" t="s">
        <v>36</v>
      </c>
      <c r="H5160" t="s">
        <v>43</v>
      </c>
      <c r="I5160" s="187"/>
      <c r="J5160" s="187">
        <v>565.64052850914243</v>
      </c>
      <c r="K5160" s="187">
        <v>3767.7355344546336</v>
      </c>
      <c r="L5160" s="187">
        <v>1352.503465123734</v>
      </c>
      <c r="M5160" s="187">
        <v>5685.87939453125</v>
      </c>
      <c r="N5160" s="187">
        <v>1352.50341796875</v>
      </c>
      <c r="O5160" t="s">
        <v>5614</v>
      </c>
    </row>
    <row r="5161" spans="1:15" hidden="1" x14ac:dyDescent="0.45">
      <c r="A5161" s="187">
        <v>2022</v>
      </c>
      <c r="B5161" t="s">
        <v>317</v>
      </c>
      <c r="C5161" t="s">
        <v>322</v>
      </c>
      <c r="D5161" t="s">
        <v>35</v>
      </c>
      <c r="E5161" t="s">
        <v>349</v>
      </c>
      <c r="F5161" t="s">
        <v>349</v>
      </c>
      <c r="G5161" t="s">
        <v>36</v>
      </c>
      <c r="H5161" t="s">
        <v>43</v>
      </c>
      <c r="I5161" s="187">
        <v>5294.4945688645812</v>
      </c>
      <c r="J5161" s="187">
        <v>364.67181979424413</v>
      </c>
      <c r="K5161" s="187">
        <v>4396.6864704432955</v>
      </c>
      <c r="L5161" s="187">
        <v>5389.5793692850066</v>
      </c>
      <c r="M5161" s="187">
        <v>15445.431640625</v>
      </c>
      <c r="N5161" s="187">
        <v>10684.07421875</v>
      </c>
      <c r="O5161" t="s">
        <v>5608</v>
      </c>
    </row>
    <row r="5162" spans="1:15" hidden="1" x14ac:dyDescent="0.45">
      <c r="A5162" s="187">
        <v>2022</v>
      </c>
      <c r="B5162" t="s">
        <v>310</v>
      </c>
      <c r="C5162" t="s">
        <v>322</v>
      </c>
      <c r="D5162" t="s">
        <v>35</v>
      </c>
      <c r="E5162" t="s">
        <v>349</v>
      </c>
      <c r="F5162" t="s">
        <v>349</v>
      </c>
      <c r="G5162" t="s">
        <v>37</v>
      </c>
      <c r="H5162" t="s">
        <v>43</v>
      </c>
      <c r="I5162" s="187"/>
      <c r="J5162" s="187">
        <v>588</v>
      </c>
      <c r="K5162" s="187">
        <v>3344.386260792221</v>
      </c>
      <c r="L5162" s="187">
        <v>3917</v>
      </c>
      <c r="M5162" s="187">
        <v>7849.38623046875</v>
      </c>
      <c r="N5162" s="187">
        <v>3917</v>
      </c>
      <c r="O5162" t="s">
        <v>5616</v>
      </c>
    </row>
    <row r="5163" spans="1:15" hidden="1" x14ac:dyDescent="0.45">
      <c r="A5163" s="187">
        <v>2022</v>
      </c>
      <c r="B5163" t="s">
        <v>317</v>
      </c>
      <c r="C5163" t="s">
        <v>322</v>
      </c>
      <c r="D5163" t="s">
        <v>35</v>
      </c>
      <c r="E5163" t="s">
        <v>349</v>
      </c>
      <c r="F5163" t="s">
        <v>349</v>
      </c>
      <c r="G5163" t="s">
        <v>37</v>
      </c>
      <c r="H5163" t="s">
        <v>43</v>
      </c>
      <c r="I5163" s="187">
        <v>4998.0153</v>
      </c>
      <c r="J5163" s="187">
        <v>337.5</v>
      </c>
      <c r="K5163" s="187">
        <v>4134.9374005244917</v>
      </c>
      <c r="L5163" s="187">
        <v>5085</v>
      </c>
      <c r="M5163" s="187">
        <v>14555.4521484375</v>
      </c>
      <c r="N5163" s="187">
        <v>10083.015625</v>
      </c>
      <c r="O5163" t="s">
        <v>5624</v>
      </c>
    </row>
    <row r="5164" spans="1:15" hidden="1" x14ac:dyDescent="0.45">
      <c r="A5164" s="187">
        <v>2022</v>
      </c>
      <c r="B5164" t="s">
        <v>312</v>
      </c>
      <c r="C5164" t="s">
        <v>322</v>
      </c>
      <c r="D5164" t="s">
        <v>35</v>
      </c>
      <c r="E5164" t="s">
        <v>349</v>
      </c>
      <c r="F5164" t="s">
        <v>349</v>
      </c>
      <c r="G5164" t="s">
        <v>37</v>
      </c>
      <c r="H5164" t="s">
        <v>43</v>
      </c>
      <c r="I5164" s="187">
        <v>4041.701290821512</v>
      </c>
      <c r="J5164" s="187">
        <v>563</v>
      </c>
      <c r="K5164" s="187">
        <v>3092.8856057444959</v>
      </c>
      <c r="L5164" s="187">
        <v>1898</v>
      </c>
      <c r="M5164" s="187">
        <v>9595.5869140625</v>
      </c>
      <c r="N5164" s="187">
        <v>5939.701171875</v>
      </c>
      <c r="O5164" t="s">
        <v>5623</v>
      </c>
    </row>
    <row r="5165" spans="1:15" hidden="1" x14ac:dyDescent="0.45">
      <c r="A5165" s="187">
        <v>2022</v>
      </c>
      <c r="B5165" t="s">
        <v>311</v>
      </c>
      <c r="C5165" t="s">
        <v>322</v>
      </c>
      <c r="D5165" t="s">
        <v>35</v>
      </c>
      <c r="E5165" t="s">
        <v>349</v>
      </c>
      <c r="F5165" t="s">
        <v>349</v>
      </c>
      <c r="G5165" t="s">
        <v>37</v>
      </c>
      <c r="H5165" t="s">
        <v>43</v>
      </c>
      <c r="I5165" s="187"/>
      <c r="J5165" s="187">
        <v>724</v>
      </c>
      <c r="K5165" s="187">
        <v>3686.3376246655012</v>
      </c>
      <c r="L5165" s="187">
        <v>3839</v>
      </c>
      <c r="M5165" s="187">
        <v>8249.337890625</v>
      </c>
      <c r="N5165" s="187">
        <v>3839</v>
      </c>
      <c r="O5165" t="s">
        <v>5620</v>
      </c>
    </row>
    <row r="5166" spans="1:15" hidden="1" x14ac:dyDescent="0.45">
      <c r="A5166" s="187">
        <v>2022</v>
      </c>
      <c r="B5166" t="s">
        <v>313</v>
      </c>
      <c r="C5166" t="s">
        <v>322</v>
      </c>
      <c r="D5166" t="s">
        <v>35</v>
      </c>
      <c r="E5166" t="s">
        <v>349</v>
      </c>
      <c r="F5166" t="s">
        <v>349</v>
      </c>
      <c r="G5166" t="s">
        <v>37</v>
      </c>
      <c r="H5166" t="s">
        <v>43</v>
      </c>
      <c r="I5166" s="187">
        <v>4076.683643710106</v>
      </c>
      <c r="J5166" s="187">
        <v>497</v>
      </c>
      <c r="K5166" s="187">
        <v>2172.962038985077</v>
      </c>
      <c r="L5166" s="187">
        <v>2097</v>
      </c>
      <c r="M5166" s="187">
        <v>8843.6455078125</v>
      </c>
      <c r="N5166" s="187">
        <v>6173.68359375</v>
      </c>
      <c r="O5166" t="s">
        <v>5621</v>
      </c>
    </row>
    <row r="5167" spans="1:15" hidden="1" x14ac:dyDescent="0.45">
      <c r="A5167" s="187">
        <v>2022</v>
      </c>
      <c r="B5167" t="s">
        <v>309</v>
      </c>
      <c r="C5167" t="s">
        <v>322</v>
      </c>
      <c r="D5167" t="s">
        <v>35</v>
      </c>
      <c r="E5167" t="s">
        <v>349</v>
      </c>
      <c r="F5167" t="s">
        <v>349</v>
      </c>
      <c r="G5167" t="s">
        <v>37</v>
      </c>
      <c r="H5167" t="s">
        <v>43</v>
      </c>
      <c r="I5167" s="187"/>
      <c r="J5167" s="187">
        <v>505.26909999999998</v>
      </c>
      <c r="K5167" s="187">
        <v>3472.3417461898748</v>
      </c>
      <c r="L5167" s="187">
        <v>1308</v>
      </c>
      <c r="M5167" s="187">
        <v>5285.61083984375</v>
      </c>
      <c r="N5167" s="187">
        <v>1308</v>
      </c>
      <c r="O5167" t="s">
        <v>5617</v>
      </c>
    </row>
    <row r="5168" spans="1:15" hidden="1" x14ac:dyDescent="0.45">
      <c r="A5168" s="187">
        <v>2022</v>
      </c>
      <c r="B5168" t="s">
        <v>316</v>
      </c>
      <c r="C5168" t="s">
        <v>322</v>
      </c>
      <c r="D5168" t="s">
        <v>35</v>
      </c>
      <c r="E5168" t="s">
        <v>349</v>
      </c>
      <c r="F5168" t="s">
        <v>349</v>
      </c>
      <c r="G5168" t="s">
        <v>37</v>
      </c>
      <c r="H5168" t="s">
        <v>43</v>
      </c>
      <c r="I5168" s="187">
        <v>4246</v>
      </c>
      <c r="J5168" s="187">
        <v>495</v>
      </c>
      <c r="K5168" s="187">
        <v>3559.552580645553</v>
      </c>
      <c r="L5168" s="187">
        <v>3139</v>
      </c>
      <c r="M5168" s="187">
        <v>11439.552734375</v>
      </c>
      <c r="N5168" s="187">
        <v>7385</v>
      </c>
      <c r="O5168" t="s">
        <v>5618</v>
      </c>
    </row>
    <row r="5169" spans="1:15" hidden="1" x14ac:dyDescent="0.45">
      <c r="A5169" s="187">
        <v>2022</v>
      </c>
      <c r="B5169" t="s">
        <v>314</v>
      </c>
      <c r="C5169" t="s">
        <v>322</v>
      </c>
      <c r="D5169" t="s">
        <v>35</v>
      </c>
      <c r="E5169" t="s">
        <v>349</v>
      </c>
      <c r="F5169" t="s">
        <v>349</v>
      </c>
      <c r="G5169" t="s">
        <v>37</v>
      </c>
      <c r="H5169" t="s">
        <v>43</v>
      </c>
      <c r="I5169" s="187">
        <v>4245.2143203777559</v>
      </c>
      <c r="J5169" s="187">
        <v>471</v>
      </c>
      <c r="K5169" s="187">
        <v>3228.5024402886561</v>
      </c>
      <c r="L5169" s="187">
        <v>2264</v>
      </c>
      <c r="M5169" s="187">
        <v>10208.716796875</v>
      </c>
      <c r="N5169" s="187">
        <v>6509.21435546875</v>
      </c>
      <c r="O5169" t="s">
        <v>5619</v>
      </c>
    </row>
    <row r="5170" spans="1:15" x14ac:dyDescent="0.45">
      <c r="A5170" s="187">
        <v>2022</v>
      </c>
      <c r="B5170" t="s">
        <v>8570</v>
      </c>
      <c r="C5170" t="s">
        <v>322</v>
      </c>
      <c r="D5170" t="s">
        <v>35</v>
      </c>
      <c r="E5170" t="s">
        <v>349</v>
      </c>
      <c r="F5170" t="s">
        <v>349</v>
      </c>
      <c r="G5170" t="s">
        <v>37</v>
      </c>
      <c r="H5170" t="s">
        <v>43</v>
      </c>
      <c r="I5170" s="187">
        <v>5462.1459999999997</v>
      </c>
      <c r="J5170" s="187">
        <v>373</v>
      </c>
      <c r="K5170" s="187">
        <v>6024.8596397085357</v>
      </c>
      <c r="L5170" s="187">
        <v>4670</v>
      </c>
      <c r="M5170" s="187">
        <v>16530.005859375</v>
      </c>
      <c r="N5170" s="187">
        <v>10132.146484375</v>
      </c>
      <c r="O5170" t="s">
        <v>8576</v>
      </c>
    </row>
    <row r="5171" spans="1:15" hidden="1" x14ac:dyDescent="0.45">
      <c r="A5171" s="187">
        <v>2022</v>
      </c>
      <c r="B5171" t="s">
        <v>315</v>
      </c>
      <c r="C5171" t="s">
        <v>322</v>
      </c>
      <c r="D5171" t="s">
        <v>35</v>
      </c>
      <c r="E5171" t="s">
        <v>349</v>
      </c>
      <c r="F5171" t="s">
        <v>349</v>
      </c>
      <c r="G5171" t="s">
        <v>37</v>
      </c>
      <c r="H5171" t="s">
        <v>43</v>
      </c>
      <c r="I5171" s="187">
        <v>4160.7510735840006</v>
      </c>
      <c r="J5171" s="187">
        <v>427</v>
      </c>
      <c r="K5171" s="187">
        <v>3758.211330224728</v>
      </c>
      <c r="L5171" s="187">
        <v>2962</v>
      </c>
      <c r="M5171" s="187">
        <v>11307.9619140625</v>
      </c>
      <c r="N5171" s="187">
        <v>7122.7509765625</v>
      </c>
      <c r="O5171" t="s">
        <v>5622</v>
      </c>
    </row>
    <row r="5172" spans="1:15" hidden="1" x14ac:dyDescent="0.45">
      <c r="A5172" s="187">
        <v>2022</v>
      </c>
      <c r="B5172" t="s">
        <v>313</v>
      </c>
      <c r="C5172" t="s">
        <v>322</v>
      </c>
      <c r="D5172" t="s">
        <v>35</v>
      </c>
      <c r="E5172" t="s">
        <v>46</v>
      </c>
      <c r="F5172" t="s">
        <v>46</v>
      </c>
      <c r="G5172" t="s">
        <v>37</v>
      </c>
      <c r="H5172" t="s">
        <v>43</v>
      </c>
      <c r="I5172" s="187">
        <v>13558.26362221299</v>
      </c>
      <c r="J5172" s="187">
        <v>850</v>
      </c>
      <c r="K5172" s="187">
        <v>14955.1871144446</v>
      </c>
      <c r="L5172" s="187"/>
      <c r="M5172" s="187">
        <v>29363.451171875</v>
      </c>
      <c r="N5172" s="187">
        <v>13558.263671875</v>
      </c>
      <c r="O5172" t="s">
        <v>5625</v>
      </c>
    </row>
    <row r="5173" spans="1:15" hidden="1" x14ac:dyDescent="0.45">
      <c r="A5173" s="187">
        <v>2022</v>
      </c>
      <c r="B5173" t="s">
        <v>315</v>
      </c>
      <c r="C5173" t="s">
        <v>322</v>
      </c>
      <c r="D5173" t="s">
        <v>35</v>
      </c>
      <c r="E5173" t="s">
        <v>46</v>
      </c>
      <c r="F5173" t="s">
        <v>46</v>
      </c>
      <c r="G5173" t="s">
        <v>37</v>
      </c>
      <c r="H5173" t="s">
        <v>43</v>
      </c>
      <c r="I5173" s="187">
        <v>17426.942361315461</v>
      </c>
      <c r="J5173" s="187">
        <v>885</v>
      </c>
      <c r="K5173" s="187">
        <v>17135.014745773111</v>
      </c>
      <c r="L5173" s="187">
        <v>24910</v>
      </c>
      <c r="M5173" s="187">
        <v>60356.95703125</v>
      </c>
      <c r="N5173" s="187">
        <v>42336.94140625</v>
      </c>
      <c r="O5173" t="s">
        <v>5628</v>
      </c>
    </row>
    <row r="5174" spans="1:15" hidden="1" x14ac:dyDescent="0.45">
      <c r="A5174" s="187">
        <v>2022</v>
      </c>
      <c r="B5174" t="s">
        <v>314</v>
      </c>
      <c r="C5174" t="s">
        <v>322</v>
      </c>
      <c r="D5174" t="s">
        <v>35</v>
      </c>
      <c r="E5174" t="s">
        <v>46</v>
      </c>
      <c r="F5174" t="s">
        <v>46</v>
      </c>
      <c r="G5174" t="s">
        <v>37</v>
      </c>
      <c r="H5174" t="s">
        <v>43</v>
      </c>
      <c r="I5174" s="187">
        <v>16995.561234547651</v>
      </c>
      <c r="J5174" s="187">
        <v>844</v>
      </c>
      <c r="K5174" s="187">
        <v>16166.414263506011</v>
      </c>
      <c r="L5174" s="187">
        <v>18363</v>
      </c>
      <c r="M5174" s="187">
        <v>52368.9765625</v>
      </c>
      <c r="N5174" s="187">
        <v>35358.5625</v>
      </c>
      <c r="O5174" t="s">
        <v>5626</v>
      </c>
    </row>
    <row r="5175" spans="1:15" hidden="1" x14ac:dyDescent="0.45">
      <c r="A5175" s="187">
        <v>2022</v>
      </c>
      <c r="B5175" t="s">
        <v>316</v>
      </c>
      <c r="C5175" t="s">
        <v>322</v>
      </c>
      <c r="D5175" t="s">
        <v>35</v>
      </c>
      <c r="E5175" t="s">
        <v>46</v>
      </c>
      <c r="F5175" t="s">
        <v>46</v>
      </c>
      <c r="G5175" t="s">
        <v>37</v>
      </c>
      <c r="H5175" t="s">
        <v>43</v>
      </c>
      <c r="I5175" s="187">
        <v>16165</v>
      </c>
      <c r="J5175" s="187">
        <v>1213.333333333333</v>
      </c>
      <c r="K5175" s="187">
        <v>16882.95191849981</v>
      </c>
      <c r="L5175" s="187">
        <v>21258</v>
      </c>
      <c r="M5175" s="187">
        <v>55519.28515625</v>
      </c>
      <c r="N5175" s="187">
        <v>37423</v>
      </c>
      <c r="O5175" t="s">
        <v>5627</v>
      </c>
    </row>
    <row r="5176" spans="1:15" x14ac:dyDescent="0.45">
      <c r="A5176" s="187">
        <v>2022</v>
      </c>
      <c r="B5176" t="s">
        <v>8570</v>
      </c>
      <c r="C5176" t="s">
        <v>322</v>
      </c>
      <c r="D5176" t="s">
        <v>35</v>
      </c>
      <c r="E5176" t="s">
        <v>46</v>
      </c>
      <c r="F5176" t="s">
        <v>46</v>
      </c>
      <c r="G5176" t="s">
        <v>37</v>
      </c>
      <c r="H5176" t="s">
        <v>43</v>
      </c>
      <c r="I5176" s="187"/>
      <c r="J5176" s="187">
        <v>984</v>
      </c>
      <c r="K5176" s="187">
        <v>19917.282124203921</v>
      </c>
      <c r="L5176" s="187">
        <v>12612</v>
      </c>
      <c r="M5176" s="187">
        <v>33513.28125</v>
      </c>
      <c r="N5176" s="187">
        <v>12612</v>
      </c>
      <c r="O5176" t="s">
        <v>8577</v>
      </c>
    </row>
    <row r="5177" spans="1:15" hidden="1" x14ac:dyDescent="0.45">
      <c r="A5177" s="187">
        <v>2022</v>
      </c>
      <c r="B5177" t="s">
        <v>317</v>
      </c>
      <c r="C5177" t="s">
        <v>322</v>
      </c>
      <c r="D5177" t="s">
        <v>35</v>
      </c>
      <c r="E5177" t="s">
        <v>46</v>
      </c>
      <c r="F5177" t="s">
        <v>46</v>
      </c>
      <c r="G5177" t="s">
        <v>37</v>
      </c>
      <c r="H5177" t="s">
        <v>43</v>
      </c>
      <c r="I5177" s="187">
        <v>21335.169342804569</v>
      </c>
      <c r="J5177" s="187">
        <v>1082.8</v>
      </c>
      <c r="K5177" s="187">
        <v>18131.671857010871</v>
      </c>
      <c r="L5177" s="187">
        <v>11364</v>
      </c>
      <c r="M5177" s="187">
        <v>51913.640625</v>
      </c>
      <c r="N5177" s="187">
        <v>32699.169921875</v>
      </c>
      <c r="O5177" t="s">
        <v>5629</v>
      </c>
    </row>
    <row r="5178" spans="1:15" hidden="1" x14ac:dyDescent="0.45">
      <c r="A5178" s="187">
        <v>2022</v>
      </c>
      <c r="B5178" t="s">
        <v>312</v>
      </c>
      <c r="C5178" t="s">
        <v>322</v>
      </c>
      <c r="D5178" t="s">
        <v>35</v>
      </c>
      <c r="E5178" t="s">
        <v>46</v>
      </c>
      <c r="F5178" t="s">
        <v>46</v>
      </c>
      <c r="G5178" t="s">
        <v>37</v>
      </c>
      <c r="H5178" t="s">
        <v>43</v>
      </c>
      <c r="I5178" s="187">
        <v>17346.58329135269</v>
      </c>
      <c r="J5178" s="187">
        <v>1007</v>
      </c>
      <c r="K5178" s="187">
        <v>14422.82138657046</v>
      </c>
      <c r="L5178" s="187">
        <v>18983</v>
      </c>
      <c r="M5178" s="187">
        <v>51759.40625</v>
      </c>
      <c r="N5178" s="187">
        <v>36329.5859375</v>
      </c>
      <c r="O5178" t="s">
        <v>5630</v>
      </c>
    </row>
    <row r="5179" spans="1:15" hidden="1" x14ac:dyDescent="0.45">
      <c r="A5179" s="187">
        <v>2022</v>
      </c>
      <c r="B5179" t="s">
        <v>311</v>
      </c>
      <c r="C5179" t="s">
        <v>322</v>
      </c>
      <c r="D5179" t="s">
        <v>35</v>
      </c>
      <c r="E5179" t="s">
        <v>46</v>
      </c>
      <c r="F5179" t="s">
        <v>46</v>
      </c>
      <c r="G5179" t="s">
        <v>37</v>
      </c>
      <c r="H5179" t="s">
        <v>43</v>
      </c>
      <c r="I5179" s="187"/>
      <c r="J5179" s="187">
        <v>1074</v>
      </c>
      <c r="K5179" s="187">
        <v>14823.92992198723</v>
      </c>
      <c r="L5179" s="187">
        <v>38349</v>
      </c>
      <c r="M5179" s="187">
        <v>54246.9296875</v>
      </c>
      <c r="N5179" s="187">
        <v>38349</v>
      </c>
      <c r="O5179" t="s">
        <v>5631</v>
      </c>
    </row>
    <row r="5180" spans="1:15" hidden="1" x14ac:dyDescent="0.45">
      <c r="A5180" s="187">
        <v>2022</v>
      </c>
      <c r="B5180" t="s">
        <v>312</v>
      </c>
      <c r="C5180" t="s">
        <v>322</v>
      </c>
      <c r="D5180" t="s">
        <v>35</v>
      </c>
      <c r="E5180" t="s">
        <v>350</v>
      </c>
      <c r="F5180" t="s">
        <v>350</v>
      </c>
      <c r="G5180" t="s">
        <v>37</v>
      </c>
      <c r="H5180" t="s">
        <v>43</v>
      </c>
      <c r="I5180" s="187">
        <v>14300.411012565801</v>
      </c>
      <c r="J5180" s="187">
        <v>1007</v>
      </c>
      <c r="K5180" s="187">
        <v>14303.880814503649</v>
      </c>
      <c r="L5180" s="187">
        <v>18982</v>
      </c>
      <c r="M5180" s="187">
        <v>48593.2890625</v>
      </c>
      <c r="N5180" s="187">
        <v>33282.41015625</v>
      </c>
      <c r="O5180" t="s">
        <v>5636</v>
      </c>
    </row>
    <row r="5181" spans="1:15" hidden="1" x14ac:dyDescent="0.45">
      <c r="A5181" s="187">
        <v>2022</v>
      </c>
      <c r="B5181" t="s">
        <v>314</v>
      </c>
      <c r="C5181" t="s">
        <v>322</v>
      </c>
      <c r="D5181" t="s">
        <v>35</v>
      </c>
      <c r="E5181" t="s">
        <v>350</v>
      </c>
      <c r="F5181" t="s">
        <v>350</v>
      </c>
      <c r="G5181" t="s">
        <v>37</v>
      </c>
      <c r="H5181" t="s">
        <v>43</v>
      </c>
      <c r="I5181" s="187">
        <v>17428.373251341851</v>
      </c>
      <c r="J5181" s="187">
        <v>844</v>
      </c>
      <c r="K5181" s="187">
        <v>16067.935246721539</v>
      </c>
      <c r="L5181" s="187">
        <v>23374</v>
      </c>
      <c r="M5181" s="187">
        <v>57714.30859375</v>
      </c>
      <c r="N5181" s="187">
        <v>40802.375</v>
      </c>
      <c r="O5181" t="s">
        <v>5632</v>
      </c>
    </row>
    <row r="5182" spans="1:15" hidden="1" x14ac:dyDescent="0.45">
      <c r="A5182" s="187">
        <v>2022</v>
      </c>
      <c r="B5182" t="s">
        <v>309</v>
      </c>
      <c r="C5182" t="s">
        <v>322</v>
      </c>
      <c r="D5182" t="s">
        <v>35</v>
      </c>
      <c r="E5182" t="s">
        <v>350</v>
      </c>
      <c r="F5182" t="s">
        <v>350</v>
      </c>
      <c r="G5182" t="s">
        <v>37</v>
      </c>
      <c r="H5182" t="s">
        <v>43</v>
      </c>
      <c r="I5182" s="187"/>
      <c r="J5182" s="187">
        <v>951.3732</v>
      </c>
      <c r="K5182" s="187">
        <v>15133.59213312186</v>
      </c>
      <c r="L5182" s="187">
        <v>23445</v>
      </c>
      <c r="M5182" s="187">
        <v>39529.96484375</v>
      </c>
      <c r="N5182" s="187">
        <v>23445</v>
      </c>
      <c r="O5182" t="s">
        <v>5637</v>
      </c>
    </row>
    <row r="5183" spans="1:15" hidden="1" x14ac:dyDescent="0.45">
      <c r="A5183" s="187">
        <v>2022</v>
      </c>
      <c r="B5183" t="s">
        <v>316</v>
      </c>
      <c r="C5183" t="s">
        <v>322</v>
      </c>
      <c r="D5183" t="s">
        <v>35</v>
      </c>
      <c r="E5183" t="s">
        <v>350</v>
      </c>
      <c r="F5183" t="s">
        <v>350</v>
      </c>
      <c r="G5183" t="s">
        <v>37</v>
      </c>
      <c r="H5183" t="s">
        <v>43</v>
      </c>
      <c r="I5183" s="187">
        <v>16874</v>
      </c>
      <c r="J5183" s="187">
        <v>1213.333333333333</v>
      </c>
      <c r="K5183" s="187">
        <v>16751.396433949089</v>
      </c>
      <c r="L5183" s="187">
        <v>21797</v>
      </c>
      <c r="M5183" s="187">
        <v>56635.73046875</v>
      </c>
      <c r="N5183" s="187">
        <v>38671</v>
      </c>
      <c r="O5183" t="s">
        <v>5638</v>
      </c>
    </row>
    <row r="5184" spans="1:15" hidden="1" x14ac:dyDescent="0.45">
      <c r="A5184" s="187">
        <v>2022</v>
      </c>
      <c r="B5184" t="s">
        <v>317</v>
      </c>
      <c r="C5184" t="s">
        <v>322</v>
      </c>
      <c r="D5184" t="s">
        <v>35</v>
      </c>
      <c r="E5184" t="s">
        <v>350</v>
      </c>
      <c r="F5184" t="s">
        <v>350</v>
      </c>
      <c r="G5184" t="s">
        <v>37</v>
      </c>
      <c r="H5184" t="s">
        <v>43</v>
      </c>
      <c r="I5184" s="187">
        <v>23410.969399431309</v>
      </c>
      <c r="J5184" s="187">
        <v>1082.8</v>
      </c>
      <c r="K5184" s="187">
        <v>17866.7648354761</v>
      </c>
      <c r="L5184" s="187">
        <v>11366</v>
      </c>
      <c r="M5184" s="187">
        <v>53726.53515625</v>
      </c>
      <c r="N5184" s="187">
        <v>34776.96875</v>
      </c>
      <c r="O5184" t="s">
        <v>5640</v>
      </c>
    </row>
    <row r="5185" spans="1:15" hidden="1" x14ac:dyDescent="0.45">
      <c r="A5185" s="187">
        <v>2022</v>
      </c>
      <c r="B5185" t="s">
        <v>311</v>
      </c>
      <c r="C5185" t="s">
        <v>322</v>
      </c>
      <c r="D5185" t="s">
        <v>35</v>
      </c>
      <c r="E5185" t="s">
        <v>350</v>
      </c>
      <c r="F5185" t="s">
        <v>350</v>
      </c>
      <c r="G5185" t="s">
        <v>37</v>
      </c>
      <c r="H5185" t="s">
        <v>43</v>
      </c>
      <c r="I5185" s="187"/>
      <c r="J5185" s="187">
        <v>1074</v>
      </c>
      <c r="K5185" s="187">
        <v>14769.43843515048</v>
      </c>
      <c r="L5185" s="187">
        <v>29488</v>
      </c>
      <c r="M5185" s="187">
        <v>45331.4375</v>
      </c>
      <c r="N5185" s="187">
        <v>29488</v>
      </c>
      <c r="O5185" t="s">
        <v>5635</v>
      </c>
    </row>
    <row r="5186" spans="1:15" hidden="1" x14ac:dyDescent="0.45">
      <c r="A5186" s="187">
        <v>2022</v>
      </c>
      <c r="B5186" t="s">
        <v>315</v>
      </c>
      <c r="C5186" t="s">
        <v>322</v>
      </c>
      <c r="D5186" t="s">
        <v>35</v>
      </c>
      <c r="E5186" t="s">
        <v>350</v>
      </c>
      <c r="F5186" t="s">
        <v>350</v>
      </c>
      <c r="G5186" t="s">
        <v>37</v>
      </c>
      <c r="H5186" t="s">
        <v>43</v>
      </c>
      <c r="I5186" s="187">
        <v>17677.792514576879</v>
      </c>
      <c r="J5186" s="187">
        <v>885</v>
      </c>
      <c r="K5186" s="187">
        <v>17027.829324176171</v>
      </c>
      <c r="L5186" s="187">
        <v>25138</v>
      </c>
      <c r="M5186" s="187">
        <v>60728.62109375</v>
      </c>
      <c r="N5186" s="187">
        <v>42815.79296875</v>
      </c>
      <c r="O5186" t="s">
        <v>5634</v>
      </c>
    </row>
    <row r="5187" spans="1:15" hidden="1" x14ac:dyDescent="0.45">
      <c r="A5187" s="187">
        <v>2022</v>
      </c>
      <c r="B5187" t="s">
        <v>313</v>
      </c>
      <c r="C5187" t="s">
        <v>322</v>
      </c>
      <c r="D5187" t="s">
        <v>35</v>
      </c>
      <c r="E5187" t="s">
        <v>350</v>
      </c>
      <c r="F5187" t="s">
        <v>350</v>
      </c>
      <c r="G5187" t="s">
        <v>37</v>
      </c>
      <c r="H5187" t="s">
        <v>43</v>
      </c>
      <c r="I5187" s="187">
        <v>13471.15104315397</v>
      </c>
      <c r="J5187" s="187">
        <v>850</v>
      </c>
      <c r="K5187" s="187">
        <v>15009.430939641539</v>
      </c>
      <c r="L5187" s="187">
        <v>18484.21523018778</v>
      </c>
      <c r="M5187" s="187">
        <v>47814.796875</v>
      </c>
      <c r="N5187" s="187">
        <v>31955.3671875</v>
      </c>
      <c r="O5187" t="s">
        <v>5633</v>
      </c>
    </row>
    <row r="5188" spans="1:15" hidden="1" x14ac:dyDescent="0.45">
      <c r="A5188" s="187">
        <v>2022</v>
      </c>
      <c r="B5188" t="s">
        <v>310</v>
      </c>
      <c r="C5188" t="s">
        <v>322</v>
      </c>
      <c r="D5188" t="s">
        <v>35</v>
      </c>
      <c r="E5188" t="s">
        <v>350</v>
      </c>
      <c r="F5188" t="s">
        <v>350</v>
      </c>
      <c r="G5188" t="s">
        <v>37</v>
      </c>
      <c r="H5188" t="s">
        <v>43</v>
      </c>
      <c r="I5188" s="187"/>
      <c r="J5188" s="187">
        <v>858</v>
      </c>
      <c r="K5188" s="187">
        <v>14567.952046153499</v>
      </c>
      <c r="L5188" s="187">
        <v>29146</v>
      </c>
      <c r="M5188" s="187">
        <v>44571.953125</v>
      </c>
      <c r="N5188" s="187">
        <v>29146</v>
      </c>
      <c r="O5188" t="s">
        <v>5639</v>
      </c>
    </row>
    <row r="5189" spans="1:15" x14ac:dyDescent="0.45">
      <c r="A5189" s="187">
        <v>2022</v>
      </c>
      <c r="B5189" t="s">
        <v>8570</v>
      </c>
      <c r="C5189" t="s">
        <v>322</v>
      </c>
      <c r="D5189" t="s">
        <v>35</v>
      </c>
      <c r="E5189" t="s">
        <v>350</v>
      </c>
      <c r="F5189" t="s">
        <v>350</v>
      </c>
      <c r="G5189" t="s">
        <v>37</v>
      </c>
      <c r="H5189" t="s">
        <v>43</v>
      </c>
      <c r="I5189" s="187">
        <v>15000.41128355328</v>
      </c>
      <c r="J5189" s="187">
        <v>984</v>
      </c>
      <c r="K5189" s="187">
        <v>19959.155440239909</v>
      </c>
      <c r="L5189" s="187">
        <v>11978</v>
      </c>
      <c r="M5189" s="187">
        <v>47921.56640625</v>
      </c>
      <c r="N5189" s="187">
        <v>26978.41015625</v>
      </c>
      <c r="O5189" t="s">
        <v>8578</v>
      </c>
    </row>
    <row r="5190" spans="1:15" hidden="1" x14ac:dyDescent="0.45">
      <c r="A5190" s="187">
        <v>2022</v>
      </c>
      <c r="B5190" t="s">
        <v>314</v>
      </c>
      <c r="C5190" t="s">
        <v>322</v>
      </c>
      <c r="D5190" t="s">
        <v>35</v>
      </c>
      <c r="E5190" t="s">
        <v>16</v>
      </c>
      <c r="F5190" t="s">
        <v>16</v>
      </c>
      <c r="G5190" t="s">
        <v>36</v>
      </c>
      <c r="H5190" t="s">
        <v>43</v>
      </c>
      <c r="I5190" s="187">
        <v>10271.091920120882</v>
      </c>
      <c r="J5190" s="187">
        <v>139.77847933186797</v>
      </c>
      <c r="K5190" s="187">
        <v>6930.4261338391498</v>
      </c>
      <c r="L5190" s="187">
        <v>17636.549629698442</v>
      </c>
      <c r="M5190" s="187">
        <v>34977.84765625</v>
      </c>
      <c r="N5190" s="187">
        <v>27907.640625</v>
      </c>
      <c r="O5190" t="s">
        <v>5645</v>
      </c>
    </row>
    <row r="5191" spans="1:15" hidden="1" x14ac:dyDescent="0.45">
      <c r="A5191" s="187">
        <v>2022</v>
      </c>
      <c r="B5191" t="s">
        <v>313</v>
      </c>
      <c r="C5191" t="s">
        <v>322</v>
      </c>
      <c r="D5191" t="s">
        <v>35</v>
      </c>
      <c r="E5191" t="s">
        <v>16</v>
      </c>
      <c r="F5191" t="s">
        <v>16</v>
      </c>
      <c r="G5191" t="s">
        <v>36</v>
      </c>
      <c r="H5191" t="s">
        <v>43</v>
      </c>
      <c r="I5191" s="187">
        <v>7471.569911995216</v>
      </c>
      <c r="J5191" s="187">
        <v>125.77864682586659</v>
      </c>
      <c r="K5191" s="187">
        <v>5881.7519106031696</v>
      </c>
      <c r="L5191" s="187">
        <v>17127.458022059433</v>
      </c>
      <c r="M5191" s="187">
        <v>30606.55859375</v>
      </c>
      <c r="N5191" s="187">
        <v>24599.02734375</v>
      </c>
      <c r="O5191" t="s">
        <v>5646</v>
      </c>
    </row>
    <row r="5192" spans="1:15" x14ac:dyDescent="0.45">
      <c r="A5192" s="187">
        <v>2022</v>
      </c>
      <c r="B5192" t="s">
        <v>8570</v>
      </c>
      <c r="C5192" t="s">
        <v>322</v>
      </c>
      <c r="D5192" t="s">
        <v>35</v>
      </c>
      <c r="E5192" t="s">
        <v>16</v>
      </c>
      <c r="F5192" t="s">
        <v>16</v>
      </c>
      <c r="G5192" t="s">
        <v>36</v>
      </c>
      <c r="H5192" t="s">
        <v>43</v>
      </c>
      <c r="I5192" s="187">
        <v>5512.009</v>
      </c>
      <c r="J5192" s="187">
        <v>191</v>
      </c>
      <c r="K5192" s="187">
        <v>7539.5697654050346</v>
      </c>
      <c r="L5192" s="187">
        <v>15388</v>
      </c>
      <c r="M5192" s="187">
        <v>28630.578125</v>
      </c>
      <c r="N5192" s="187">
        <v>20900.0078125</v>
      </c>
      <c r="O5192" t="s">
        <v>8579</v>
      </c>
    </row>
    <row r="5193" spans="1:15" hidden="1" x14ac:dyDescent="0.45">
      <c r="A5193" s="187">
        <v>2022</v>
      </c>
      <c r="B5193" t="s">
        <v>317</v>
      </c>
      <c r="C5193" t="s">
        <v>322</v>
      </c>
      <c r="D5193" t="s">
        <v>35</v>
      </c>
      <c r="E5193" t="s">
        <v>16</v>
      </c>
      <c r="F5193" t="s">
        <v>16</v>
      </c>
      <c r="G5193" t="s">
        <v>36</v>
      </c>
      <c r="H5193" t="s">
        <v>43</v>
      </c>
      <c r="I5193" s="187">
        <v>13922.359697922477</v>
      </c>
      <c r="J5193" s="187">
        <v>178.28400078829713</v>
      </c>
      <c r="K5193" s="187">
        <v>7796.7633004775134</v>
      </c>
      <c r="L5193" s="187">
        <v>16853.780874520355</v>
      </c>
      <c r="M5193" s="187">
        <v>38751.1875</v>
      </c>
      <c r="N5193" s="187">
        <v>30776.140625</v>
      </c>
      <c r="O5193" t="s">
        <v>5649</v>
      </c>
    </row>
    <row r="5194" spans="1:15" hidden="1" x14ac:dyDescent="0.45">
      <c r="A5194" s="187">
        <v>2022</v>
      </c>
      <c r="B5194" t="s">
        <v>316</v>
      </c>
      <c r="C5194" t="s">
        <v>322</v>
      </c>
      <c r="D5194" t="s">
        <v>35</v>
      </c>
      <c r="E5194" t="s">
        <v>16</v>
      </c>
      <c r="F5194" t="s">
        <v>16</v>
      </c>
      <c r="G5194" t="s">
        <v>36</v>
      </c>
      <c r="H5194" t="s">
        <v>43</v>
      </c>
      <c r="I5194" s="187">
        <v>8834.4077435078671</v>
      </c>
      <c r="J5194" s="187">
        <v>135.84597343173741</v>
      </c>
      <c r="K5194" s="187">
        <v>7859.4922598460207</v>
      </c>
      <c r="L5194" s="187">
        <v>18106.799653332422</v>
      </c>
      <c r="M5194" s="187">
        <v>34936.546875</v>
      </c>
      <c r="N5194" s="187">
        <v>26941.20703125</v>
      </c>
      <c r="O5194" t="s">
        <v>5644</v>
      </c>
    </row>
    <row r="5195" spans="1:15" hidden="1" x14ac:dyDescent="0.45">
      <c r="A5195" s="187">
        <v>2022</v>
      </c>
      <c r="B5195" t="s">
        <v>310</v>
      </c>
      <c r="C5195" t="s">
        <v>322</v>
      </c>
      <c r="D5195" t="s">
        <v>35</v>
      </c>
      <c r="E5195" t="s">
        <v>16</v>
      </c>
      <c r="F5195" t="s">
        <v>16</v>
      </c>
      <c r="G5195" t="s">
        <v>36</v>
      </c>
      <c r="H5195" t="s">
        <v>43</v>
      </c>
      <c r="I5195" s="187"/>
      <c r="J5195" s="187">
        <v>104.61766592181245</v>
      </c>
      <c r="K5195" s="187">
        <v>5467.6583383400039</v>
      </c>
      <c r="L5195" s="187">
        <v>18348.630881861878</v>
      </c>
      <c r="M5195" s="187">
        <v>23920.90625</v>
      </c>
      <c r="N5195" s="187">
        <v>18348.630859375</v>
      </c>
      <c r="O5195" t="s">
        <v>5648</v>
      </c>
    </row>
    <row r="5196" spans="1:15" hidden="1" x14ac:dyDescent="0.45">
      <c r="A5196" s="187">
        <v>2022</v>
      </c>
      <c r="B5196" t="s">
        <v>311</v>
      </c>
      <c r="C5196" t="s">
        <v>322</v>
      </c>
      <c r="D5196" t="s">
        <v>35</v>
      </c>
      <c r="E5196" t="s">
        <v>16</v>
      </c>
      <c r="F5196" t="s">
        <v>16</v>
      </c>
      <c r="G5196" t="s">
        <v>36</v>
      </c>
      <c r="H5196" t="s">
        <v>43</v>
      </c>
      <c r="I5196" s="187"/>
      <c r="J5196" s="187">
        <v>127.5294122655004</v>
      </c>
      <c r="K5196" s="187">
        <v>5217.2707053068043</v>
      </c>
      <c r="L5196" s="187">
        <v>20281.002432582529</v>
      </c>
      <c r="M5196" s="187">
        <v>25625.802734375</v>
      </c>
      <c r="N5196" s="187">
        <v>20281.001953125</v>
      </c>
      <c r="O5196" t="s">
        <v>5641</v>
      </c>
    </row>
    <row r="5197" spans="1:15" hidden="1" x14ac:dyDescent="0.45">
      <c r="A5197" s="187">
        <v>2022</v>
      </c>
      <c r="B5197" t="s">
        <v>312</v>
      </c>
      <c r="C5197" t="s">
        <v>322</v>
      </c>
      <c r="D5197" t="s">
        <v>35</v>
      </c>
      <c r="E5197" t="s">
        <v>16</v>
      </c>
      <c r="F5197" t="s">
        <v>16</v>
      </c>
      <c r="G5197" t="s">
        <v>36</v>
      </c>
      <c r="H5197" t="s">
        <v>43</v>
      </c>
      <c r="I5197" s="187">
        <v>5651.6883338831703</v>
      </c>
      <c r="J5197" s="187">
        <v>129.84029477510072</v>
      </c>
      <c r="K5197" s="187">
        <v>4937.1689883477266</v>
      </c>
      <c r="L5197" s="187">
        <v>18277.80378162632</v>
      </c>
      <c r="M5197" s="187">
        <v>28996.501953125</v>
      </c>
      <c r="N5197" s="187">
        <v>23929.4921875</v>
      </c>
      <c r="O5197" t="s">
        <v>5642</v>
      </c>
    </row>
    <row r="5198" spans="1:15" hidden="1" x14ac:dyDescent="0.45">
      <c r="A5198" s="187">
        <v>2022</v>
      </c>
      <c r="B5198" t="s">
        <v>309</v>
      </c>
      <c r="C5198" t="s">
        <v>322</v>
      </c>
      <c r="D5198" t="s">
        <v>35</v>
      </c>
      <c r="E5198" t="s">
        <v>16</v>
      </c>
      <c r="F5198" t="s">
        <v>16</v>
      </c>
      <c r="G5198" t="s">
        <v>36</v>
      </c>
      <c r="H5198" t="s">
        <v>43</v>
      </c>
      <c r="I5198" s="187"/>
      <c r="J5198" s="187">
        <v>123.19571229824415</v>
      </c>
      <c r="K5198" s="187">
        <v>4887.5065352945503</v>
      </c>
      <c r="L5198" s="187">
        <v>13275.993856483901</v>
      </c>
      <c r="M5198" s="187">
        <v>18286.6953125</v>
      </c>
      <c r="N5198" s="187">
        <v>13275.994140625</v>
      </c>
      <c r="O5198" t="s">
        <v>5647</v>
      </c>
    </row>
    <row r="5199" spans="1:15" hidden="1" x14ac:dyDescent="0.45">
      <c r="A5199" s="187">
        <v>2022</v>
      </c>
      <c r="B5199" t="s">
        <v>315</v>
      </c>
      <c r="C5199" t="s">
        <v>322</v>
      </c>
      <c r="D5199" t="s">
        <v>35</v>
      </c>
      <c r="E5199" t="s">
        <v>16</v>
      </c>
      <c r="F5199" t="s">
        <v>16</v>
      </c>
      <c r="G5199" t="s">
        <v>36</v>
      </c>
      <c r="H5199" t="s">
        <v>43</v>
      </c>
      <c r="I5199" s="187">
        <v>9988.719278860337</v>
      </c>
      <c r="J5199" s="187">
        <v>249.2154359607004</v>
      </c>
      <c r="K5199" s="187">
        <v>7679.1670200634771</v>
      </c>
      <c r="L5199" s="187">
        <v>17562.891450612267</v>
      </c>
      <c r="M5199" s="187">
        <v>35479.99609375</v>
      </c>
      <c r="N5199" s="187">
        <v>27551.611328125</v>
      </c>
      <c r="O5199" t="s">
        <v>5643</v>
      </c>
    </row>
    <row r="5200" spans="1:15" hidden="1" x14ac:dyDescent="0.45">
      <c r="A5200" s="187">
        <v>2022</v>
      </c>
      <c r="B5200" t="s">
        <v>310</v>
      </c>
      <c r="C5200" t="s">
        <v>322</v>
      </c>
      <c r="D5200" t="s">
        <v>35</v>
      </c>
      <c r="E5200" t="s">
        <v>16</v>
      </c>
      <c r="F5200" t="s">
        <v>16</v>
      </c>
      <c r="G5200" t="s">
        <v>37</v>
      </c>
      <c r="H5200" t="s">
        <v>43</v>
      </c>
      <c r="I5200" s="187"/>
      <c r="J5200" s="187">
        <v>94</v>
      </c>
      <c r="K5200" s="187">
        <v>4918.3768828865268</v>
      </c>
      <c r="L5200" s="187">
        <v>17271</v>
      </c>
      <c r="M5200" s="187">
        <v>22283.376953125</v>
      </c>
      <c r="N5200" s="187">
        <v>17271</v>
      </c>
      <c r="O5200" t="s">
        <v>5654</v>
      </c>
    </row>
    <row r="5201" spans="1:15" hidden="1" x14ac:dyDescent="0.45">
      <c r="A5201" s="187">
        <v>2022</v>
      </c>
      <c r="B5201" t="s">
        <v>315</v>
      </c>
      <c r="C5201" t="s">
        <v>322</v>
      </c>
      <c r="D5201" t="s">
        <v>35</v>
      </c>
      <c r="E5201" t="s">
        <v>16</v>
      </c>
      <c r="F5201" t="s">
        <v>16</v>
      </c>
      <c r="G5201" t="s">
        <v>37</v>
      </c>
      <c r="H5201" t="s">
        <v>43</v>
      </c>
      <c r="I5201" s="187">
        <v>9359.2967501577368</v>
      </c>
      <c r="J5201" s="187">
        <v>229</v>
      </c>
      <c r="K5201" s="187">
        <v>7175.9577278870074</v>
      </c>
      <c r="L5201" s="187">
        <v>16453</v>
      </c>
      <c r="M5201" s="187">
        <v>33217.25390625</v>
      </c>
      <c r="N5201" s="187">
        <v>25812.296875</v>
      </c>
      <c r="O5201" t="s">
        <v>5656</v>
      </c>
    </row>
    <row r="5202" spans="1:15" hidden="1" x14ac:dyDescent="0.45">
      <c r="A5202" s="187">
        <v>2022</v>
      </c>
      <c r="B5202" t="s">
        <v>317</v>
      </c>
      <c r="C5202" t="s">
        <v>322</v>
      </c>
      <c r="D5202" t="s">
        <v>35</v>
      </c>
      <c r="E5202" t="s">
        <v>16</v>
      </c>
      <c r="F5202" t="s">
        <v>16</v>
      </c>
      <c r="G5202" t="s">
        <v>37</v>
      </c>
      <c r="H5202" t="s">
        <v>43</v>
      </c>
      <c r="I5202" s="187">
        <v>13142.7</v>
      </c>
      <c r="J5202" s="187">
        <v>165</v>
      </c>
      <c r="K5202" s="187">
        <v>7332.5965794715266</v>
      </c>
      <c r="L5202" s="187">
        <v>15902</v>
      </c>
      <c r="M5202" s="187">
        <v>36542.296875</v>
      </c>
      <c r="N5202" s="187">
        <v>29044.69921875</v>
      </c>
      <c r="O5202" t="s">
        <v>5651</v>
      </c>
    </row>
    <row r="5203" spans="1:15" hidden="1" x14ac:dyDescent="0.45">
      <c r="A5203" s="187">
        <v>2022</v>
      </c>
      <c r="B5203" t="s">
        <v>314</v>
      </c>
      <c r="C5203" t="s">
        <v>322</v>
      </c>
      <c r="D5203" t="s">
        <v>35</v>
      </c>
      <c r="E5203" t="s">
        <v>16</v>
      </c>
      <c r="F5203" t="s">
        <v>16</v>
      </c>
      <c r="G5203" t="s">
        <v>37</v>
      </c>
      <c r="H5203" t="s">
        <v>43</v>
      </c>
      <c r="I5203" s="187">
        <v>9549.2904741859402</v>
      </c>
      <c r="J5203" s="187">
        <v>130</v>
      </c>
      <c r="K5203" s="187">
        <v>6452.108864934904</v>
      </c>
      <c r="L5203" s="187">
        <v>17237</v>
      </c>
      <c r="M5203" s="187">
        <v>33368.3984375</v>
      </c>
      <c r="N5203" s="187">
        <v>26786.2890625</v>
      </c>
      <c r="O5203" t="s">
        <v>5652</v>
      </c>
    </row>
    <row r="5204" spans="1:15" hidden="1" x14ac:dyDescent="0.45">
      <c r="A5204" s="187">
        <v>2022</v>
      </c>
      <c r="B5204" t="s">
        <v>316</v>
      </c>
      <c r="C5204" t="s">
        <v>322</v>
      </c>
      <c r="D5204" t="s">
        <v>35</v>
      </c>
      <c r="E5204" t="s">
        <v>16</v>
      </c>
      <c r="F5204" t="s">
        <v>16</v>
      </c>
      <c r="G5204" t="s">
        <v>37</v>
      </c>
      <c r="H5204" t="s">
        <v>43</v>
      </c>
      <c r="I5204" s="187">
        <v>8346</v>
      </c>
      <c r="J5204" s="187">
        <v>123.3333333333333</v>
      </c>
      <c r="K5204" s="187">
        <v>7331.4704105791134</v>
      </c>
      <c r="L5204" s="187">
        <v>17337</v>
      </c>
      <c r="M5204" s="187">
        <v>33137.8046875</v>
      </c>
      <c r="N5204" s="187">
        <v>25683</v>
      </c>
      <c r="O5204" t="s">
        <v>5657</v>
      </c>
    </row>
    <row r="5205" spans="1:15" x14ac:dyDescent="0.45">
      <c r="A5205" s="187">
        <v>2022</v>
      </c>
      <c r="B5205" t="s">
        <v>8570</v>
      </c>
      <c r="C5205" t="s">
        <v>322</v>
      </c>
      <c r="D5205" t="s">
        <v>35</v>
      </c>
      <c r="E5205" t="s">
        <v>16</v>
      </c>
      <c r="F5205" t="s">
        <v>16</v>
      </c>
      <c r="G5205" t="s">
        <v>37</v>
      </c>
      <c r="H5205" t="s">
        <v>43</v>
      </c>
      <c r="I5205" s="187">
        <v>5512.009</v>
      </c>
      <c r="J5205" s="187">
        <v>191</v>
      </c>
      <c r="K5205" s="187">
        <v>7539.2473352424522</v>
      </c>
      <c r="L5205" s="187">
        <v>15388</v>
      </c>
      <c r="M5205" s="187">
        <v>28630.255859375</v>
      </c>
      <c r="N5205" s="187">
        <v>20900.0078125</v>
      </c>
      <c r="O5205" t="s">
        <v>8580</v>
      </c>
    </row>
    <row r="5206" spans="1:15" hidden="1" x14ac:dyDescent="0.45">
      <c r="A5206" s="187">
        <v>2022</v>
      </c>
      <c r="B5206" t="s">
        <v>309</v>
      </c>
      <c r="C5206" t="s">
        <v>322</v>
      </c>
      <c r="D5206" t="s">
        <v>35</v>
      </c>
      <c r="E5206" t="s">
        <v>16</v>
      </c>
      <c r="F5206" t="s">
        <v>16</v>
      </c>
      <c r="G5206" t="s">
        <v>37</v>
      </c>
      <c r="H5206" t="s">
        <v>43</v>
      </c>
      <c r="I5206" s="187"/>
      <c r="J5206" s="187">
        <v>110.04689999999999</v>
      </c>
      <c r="K5206" s="187">
        <v>4504.3217131575057</v>
      </c>
      <c r="L5206" s="187">
        <v>12834</v>
      </c>
      <c r="M5206" s="187">
        <v>17448.369140625</v>
      </c>
      <c r="N5206" s="187">
        <v>12834</v>
      </c>
      <c r="O5206" t="s">
        <v>5653</v>
      </c>
    </row>
    <row r="5207" spans="1:15" hidden="1" x14ac:dyDescent="0.45">
      <c r="A5207" s="187">
        <v>2022</v>
      </c>
      <c r="B5207" t="s">
        <v>313</v>
      </c>
      <c r="C5207" t="s">
        <v>322</v>
      </c>
      <c r="D5207" t="s">
        <v>35</v>
      </c>
      <c r="E5207" t="s">
        <v>16</v>
      </c>
      <c r="F5207" t="s">
        <v>16</v>
      </c>
      <c r="G5207" t="s">
        <v>37</v>
      </c>
      <c r="H5207" t="s">
        <v>43</v>
      </c>
      <c r="I5207" s="187">
        <v>6872.2592153968817</v>
      </c>
      <c r="J5207" s="187">
        <v>116</v>
      </c>
      <c r="K5207" s="187">
        <v>5396.8841017642353</v>
      </c>
      <c r="L5207" s="187">
        <v>15842</v>
      </c>
      <c r="M5207" s="187">
        <v>28227.14453125</v>
      </c>
      <c r="N5207" s="187">
        <v>22714.259765625</v>
      </c>
      <c r="O5207" t="s">
        <v>5650</v>
      </c>
    </row>
    <row r="5208" spans="1:15" hidden="1" x14ac:dyDescent="0.45">
      <c r="A5208" s="187">
        <v>2022</v>
      </c>
      <c r="B5208" t="s">
        <v>312</v>
      </c>
      <c r="C5208" t="s">
        <v>322</v>
      </c>
      <c r="D5208" t="s">
        <v>35</v>
      </c>
      <c r="E5208" t="s">
        <v>16</v>
      </c>
      <c r="F5208" t="s">
        <v>16</v>
      </c>
      <c r="G5208" t="s">
        <v>37</v>
      </c>
      <c r="H5208" t="s">
        <v>43</v>
      </c>
      <c r="I5208" s="187">
        <v>5060.9186826774339</v>
      </c>
      <c r="J5208" s="187">
        <v>118</v>
      </c>
      <c r="K5208" s="187">
        <v>4482.4702702653276</v>
      </c>
      <c r="L5208" s="187">
        <v>16621</v>
      </c>
      <c r="M5208" s="187">
        <v>26282.388671875</v>
      </c>
      <c r="N5208" s="187">
        <v>21681.91796875</v>
      </c>
      <c r="O5208" t="s">
        <v>5658</v>
      </c>
    </row>
    <row r="5209" spans="1:15" hidden="1" x14ac:dyDescent="0.45">
      <c r="A5209" s="187">
        <v>2022</v>
      </c>
      <c r="B5209" t="s">
        <v>311</v>
      </c>
      <c r="C5209" t="s">
        <v>322</v>
      </c>
      <c r="D5209" t="s">
        <v>35</v>
      </c>
      <c r="E5209" t="s">
        <v>16</v>
      </c>
      <c r="F5209" t="s">
        <v>16</v>
      </c>
      <c r="G5209" t="s">
        <v>37</v>
      </c>
      <c r="H5209" t="s">
        <v>43</v>
      </c>
      <c r="I5209" s="187"/>
      <c r="J5209" s="187">
        <v>115</v>
      </c>
      <c r="K5209" s="187">
        <v>4665.0094675838782</v>
      </c>
      <c r="L5209" s="187">
        <v>19116</v>
      </c>
      <c r="M5209" s="187">
        <v>23896.009765625</v>
      </c>
      <c r="N5209" s="187">
        <v>19116</v>
      </c>
      <c r="O5209" t="s">
        <v>5655</v>
      </c>
    </row>
    <row r="5210" spans="1:15" hidden="1" x14ac:dyDescent="0.45">
      <c r="A5210" s="187">
        <v>2022</v>
      </c>
      <c r="B5210" t="s">
        <v>317</v>
      </c>
      <c r="C5210" t="s">
        <v>322</v>
      </c>
      <c r="D5210" t="s">
        <v>35</v>
      </c>
      <c r="E5210" t="s">
        <v>351</v>
      </c>
      <c r="F5210" t="s">
        <v>351</v>
      </c>
      <c r="G5210" t="s">
        <v>37</v>
      </c>
      <c r="H5210" t="s">
        <v>43</v>
      </c>
      <c r="I5210" s="187">
        <v>99.106116219315197</v>
      </c>
      <c r="J5210" s="187"/>
      <c r="K5210" s="187">
        <v>57.6</v>
      </c>
      <c r="L5210" s="187">
        <v>266</v>
      </c>
      <c r="M5210" s="187">
        <v>422.70611572265625</v>
      </c>
      <c r="N5210" s="187">
        <v>365.10610961914063</v>
      </c>
      <c r="O5210" t="s">
        <v>5666</v>
      </c>
    </row>
    <row r="5211" spans="1:15" hidden="1" x14ac:dyDescent="0.45">
      <c r="A5211" s="187">
        <v>2022</v>
      </c>
      <c r="B5211" t="s">
        <v>312</v>
      </c>
      <c r="C5211" t="s">
        <v>322</v>
      </c>
      <c r="D5211" t="s">
        <v>35</v>
      </c>
      <c r="E5211" t="s">
        <v>351</v>
      </c>
      <c r="F5211" t="s">
        <v>351</v>
      </c>
      <c r="G5211" t="s">
        <v>37</v>
      </c>
      <c r="H5211" t="s">
        <v>43</v>
      </c>
      <c r="I5211" s="187">
        <v>704.81195291515962</v>
      </c>
      <c r="J5211" s="187">
        <v>0</v>
      </c>
      <c r="K5211" s="187">
        <v>54.222140438098307</v>
      </c>
      <c r="L5211" s="187">
        <v>91</v>
      </c>
      <c r="M5211" s="187">
        <v>850.03411865234375</v>
      </c>
      <c r="N5211" s="187">
        <v>795.81195068359375</v>
      </c>
      <c r="O5211" t="s">
        <v>5661</v>
      </c>
    </row>
    <row r="5212" spans="1:15" hidden="1" x14ac:dyDescent="0.45">
      <c r="A5212" s="187">
        <v>2022</v>
      </c>
      <c r="B5212" t="s">
        <v>309</v>
      </c>
      <c r="C5212" t="s">
        <v>322</v>
      </c>
      <c r="D5212" t="s">
        <v>35</v>
      </c>
      <c r="E5212" t="s">
        <v>351</v>
      </c>
      <c r="F5212" t="s">
        <v>351</v>
      </c>
      <c r="G5212" t="s">
        <v>37</v>
      </c>
      <c r="H5212" t="s">
        <v>43</v>
      </c>
      <c r="I5212" s="187"/>
      <c r="J5212" s="187">
        <v>0</v>
      </c>
      <c r="K5212" s="187">
        <v>207.02299484571051</v>
      </c>
      <c r="L5212" s="187">
        <v>200</v>
      </c>
      <c r="M5212" s="187">
        <v>407.02301025390625</v>
      </c>
      <c r="N5212" s="187">
        <v>200</v>
      </c>
      <c r="O5212" t="s">
        <v>5665</v>
      </c>
    </row>
    <row r="5213" spans="1:15" x14ac:dyDescent="0.45">
      <c r="A5213" s="187">
        <v>2022</v>
      </c>
      <c r="B5213" t="s">
        <v>8570</v>
      </c>
      <c r="C5213" t="s">
        <v>322</v>
      </c>
      <c r="D5213" t="s">
        <v>35</v>
      </c>
      <c r="E5213" t="s">
        <v>351</v>
      </c>
      <c r="F5213" t="s">
        <v>351</v>
      </c>
      <c r="G5213" t="s">
        <v>37</v>
      </c>
      <c r="H5213" t="s">
        <v>43</v>
      </c>
      <c r="I5213" s="187">
        <v>62.60214606706613</v>
      </c>
      <c r="J5213" s="187"/>
      <c r="K5213" s="187">
        <v>57.6</v>
      </c>
      <c r="L5213" s="187">
        <v>208</v>
      </c>
      <c r="M5213" s="187">
        <v>328.2021484375</v>
      </c>
      <c r="N5213" s="187">
        <v>270.60214233398438</v>
      </c>
      <c r="O5213" t="s">
        <v>8581</v>
      </c>
    </row>
    <row r="5214" spans="1:15" hidden="1" x14ac:dyDescent="0.45">
      <c r="A5214" s="187">
        <v>2022</v>
      </c>
      <c r="B5214" t="s">
        <v>310</v>
      </c>
      <c r="C5214" t="s">
        <v>322</v>
      </c>
      <c r="D5214" t="s">
        <v>35</v>
      </c>
      <c r="E5214" t="s">
        <v>351</v>
      </c>
      <c r="F5214" t="s">
        <v>351</v>
      </c>
      <c r="G5214" t="s">
        <v>37</v>
      </c>
      <c r="H5214" t="s">
        <v>43</v>
      </c>
      <c r="I5214" s="187"/>
      <c r="J5214" s="187">
        <v>0</v>
      </c>
      <c r="K5214" s="187">
        <v>33.885002136096148</v>
      </c>
      <c r="L5214" s="187">
        <v>230</v>
      </c>
      <c r="M5214" s="187">
        <v>263.885009765625</v>
      </c>
      <c r="N5214" s="187">
        <v>230</v>
      </c>
      <c r="O5214" t="s">
        <v>5659</v>
      </c>
    </row>
    <row r="5215" spans="1:15" hidden="1" x14ac:dyDescent="0.45">
      <c r="A5215" s="187">
        <v>2022</v>
      </c>
      <c r="B5215" t="s">
        <v>313</v>
      </c>
      <c r="C5215" t="s">
        <v>322</v>
      </c>
      <c r="D5215" t="s">
        <v>35</v>
      </c>
      <c r="E5215" t="s">
        <v>351</v>
      </c>
      <c r="F5215" t="s">
        <v>351</v>
      </c>
      <c r="G5215" t="s">
        <v>37</v>
      </c>
      <c r="H5215" t="s">
        <v>43</v>
      </c>
      <c r="I5215" s="187">
        <v>52.005282333425967</v>
      </c>
      <c r="J5215" s="187">
        <v>0</v>
      </c>
      <c r="K5215" s="187">
        <v>155.34839567452661</v>
      </c>
      <c r="L5215" s="187">
        <v>319</v>
      </c>
      <c r="M5215" s="187">
        <v>526.35369873046875</v>
      </c>
      <c r="N5215" s="187">
        <v>371.00527954101563</v>
      </c>
      <c r="O5215" t="s">
        <v>5662</v>
      </c>
    </row>
    <row r="5216" spans="1:15" hidden="1" x14ac:dyDescent="0.45">
      <c r="A5216" s="187">
        <v>2022</v>
      </c>
      <c r="B5216" t="s">
        <v>314</v>
      </c>
      <c r="C5216" t="s">
        <v>322</v>
      </c>
      <c r="D5216" t="s">
        <v>35</v>
      </c>
      <c r="E5216" t="s">
        <v>351</v>
      </c>
      <c r="F5216" t="s">
        <v>351</v>
      </c>
      <c r="G5216" t="s">
        <v>37</v>
      </c>
      <c r="H5216" t="s">
        <v>43</v>
      </c>
      <c r="I5216" s="187">
        <v>73.544549673955657</v>
      </c>
      <c r="J5216" s="187">
        <v>0</v>
      </c>
      <c r="K5216" s="187">
        <v>42.344965737428758</v>
      </c>
      <c r="L5216" s="187">
        <v>539</v>
      </c>
      <c r="M5216" s="187">
        <v>654.8895263671875</v>
      </c>
      <c r="N5216" s="187">
        <v>612.5445556640625</v>
      </c>
      <c r="O5216" t="s">
        <v>5667</v>
      </c>
    </row>
    <row r="5217" spans="1:15" hidden="1" x14ac:dyDescent="0.45">
      <c r="A5217" s="187">
        <v>2022</v>
      </c>
      <c r="B5217" t="s">
        <v>315</v>
      </c>
      <c r="C5217" t="s">
        <v>322</v>
      </c>
      <c r="D5217" t="s">
        <v>35</v>
      </c>
      <c r="E5217" t="s">
        <v>351</v>
      </c>
      <c r="F5217" t="s">
        <v>351</v>
      </c>
      <c r="G5217" t="s">
        <v>37</v>
      </c>
      <c r="H5217" t="s">
        <v>43</v>
      </c>
      <c r="I5217" s="187">
        <v>75.163227057706877</v>
      </c>
      <c r="J5217" s="187">
        <v>0</v>
      </c>
      <c r="K5217" s="187">
        <v>65.78548781338408</v>
      </c>
      <c r="L5217" s="187">
        <v>151</v>
      </c>
      <c r="M5217" s="187">
        <v>291.94873046875</v>
      </c>
      <c r="N5217" s="187">
        <v>226.16322326660156</v>
      </c>
      <c r="O5217" t="s">
        <v>5660</v>
      </c>
    </row>
    <row r="5218" spans="1:15" hidden="1" x14ac:dyDescent="0.45">
      <c r="A5218" s="187">
        <v>2022</v>
      </c>
      <c r="B5218" t="s">
        <v>316</v>
      </c>
      <c r="C5218" t="s">
        <v>322</v>
      </c>
      <c r="D5218" t="s">
        <v>35</v>
      </c>
      <c r="E5218" t="s">
        <v>351</v>
      </c>
      <c r="F5218" t="s">
        <v>351</v>
      </c>
      <c r="G5218" t="s">
        <v>37</v>
      </c>
      <c r="H5218" t="s">
        <v>43</v>
      </c>
      <c r="I5218" s="187">
        <v>72</v>
      </c>
      <c r="J5218" s="187"/>
      <c r="K5218" s="187">
        <v>64.13747251784234</v>
      </c>
      <c r="L5218" s="187">
        <v>226</v>
      </c>
      <c r="M5218" s="187">
        <v>362.137451171875</v>
      </c>
      <c r="N5218" s="187">
        <v>298</v>
      </c>
      <c r="O5218" t="s">
        <v>5664</v>
      </c>
    </row>
    <row r="5219" spans="1:15" hidden="1" x14ac:dyDescent="0.45">
      <c r="A5219" s="187">
        <v>2022</v>
      </c>
      <c r="B5219" t="s">
        <v>311</v>
      </c>
      <c r="C5219" t="s">
        <v>322</v>
      </c>
      <c r="D5219" t="s">
        <v>35</v>
      </c>
      <c r="E5219" t="s">
        <v>351</v>
      </c>
      <c r="F5219" t="s">
        <v>351</v>
      </c>
      <c r="G5219" t="s">
        <v>37</v>
      </c>
      <c r="H5219" t="s">
        <v>43</v>
      </c>
      <c r="I5219" s="187"/>
      <c r="J5219" s="187">
        <v>0</v>
      </c>
      <c r="K5219" s="187">
        <v>53.011073559295887</v>
      </c>
      <c r="L5219" s="187">
        <v>205</v>
      </c>
      <c r="M5219" s="187">
        <v>258.01107788085938</v>
      </c>
      <c r="N5219" s="187">
        <v>205</v>
      </c>
      <c r="O5219" t="s">
        <v>5663</v>
      </c>
    </row>
    <row r="5220" spans="1:15" hidden="1" x14ac:dyDescent="0.45">
      <c r="A5220" s="187">
        <v>2022</v>
      </c>
      <c r="B5220" t="s">
        <v>315</v>
      </c>
      <c r="C5220" t="s">
        <v>322</v>
      </c>
      <c r="D5220" t="s">
        <v>35</v>
      </c>
      <c r="E5220" t="s">
        <v>352</v>
      </c>
      <c r="F5220" t="s">
        <v>361</v>
      </c>
      <c r="G5220" t="s">
        <v>36</v>
      </c>
      <c r="H5220" t="s">
        <v>43</v>
      </c>
      <c r="I5220" s="187">
        <v>0</v>
      </c>
      <c r="J5220" s="187">
        <v>0</v>
      </c>
      <c r="K5220" s="187">
        <v>0</v>
      </c>
      <c r="L5220" s="187"/>
      <c r="M5220" s="187">
        <v>0</v>
      </c>
      <c r="N5220" s="187">
        <v>0</v>
      </c>
      <c r="O5220" t="s">
        <v>5670</v>
      </c>
    </row>
    <row r="5221" spans="1:15" hidden="1" x14ac:dyDescent="0.45">
      <c r="A5221" s="187">
        <v>2022</v>
      </c>
      <c r="B5221" t="s">
        <v>311</v>
      </c>
      <c r="C5221" t="s">
        <v>322</v>
      </c>
      <c r="D5221" t="s">
        <v>35</v>
      </c>
      <c r="E5221" t="s">
        <v>352</v>
      </c>
      <c r="F5221" t="s">
        <v>361</v>
      </c>
      <c r="G5221" t="s">
        <v>36</v>
      </c>
      <c r="H5221" t="s">
        <v>43</v>
      </c>
      <c r="I5221" s="187"/>
      <c r="J5221" s="187">
        <v>0</v>
      </c>
      <c r="K5221" s="187">
        <v>0</v>
      </c>
      <c r="L5221" s="187"/>
      <c r="M5221" s="187">
        <v>0</v>
      </c>
      <c r="N5221" s="187">
        <v>0</v>
      </c>
      <c r="O5221" t="s">
        <v>5676</v>
      </c>
    </row>
    <row r="5222" spans="1:15" hidden="1" x14ac:dyDescent="0.45">
      <c r="A5222" s="187">
        <v>2022</v>
      </c>
      <c r="B5222" t="s">
        <v>312</v>
      </c>
      <c r="C5222" t="s">
        <v>322</v>
      </c>
      <c r="D5222" t="s">
        <v>35</v>
      </c>
      <c r="E5222" t="s">
        <v>352</v>
      </c>
      <c r="F5222" t="s">
        <v>361</v>
      </c>
      <c r="G5222" t="s">
        <v>36</v>
      </c>
      <c r="H5222" t="s">
        <v>43</v>
      </c>
      <c r="I5222" s="187"/>
      <c r="J5222" s="187">
        <v>0</v>
      </c>
      <c r="K5222" s="187">
        <v>0</v>
      </c>
      <c r="L5222" s="187"/>
      <c r="M5222" s="187">
        <v>0</v>
      </c>
      <c r="N5222" s="187">
        <v>0</v>
      </c>
      <c r="O5222" t="s">
        <v>5675</v>
      </c>
    </row>
    <row r="5223" spans="1:15" x14ac:dyDescent="0.45">
      <c r="A5223" s="187">
        <v>2022</v>
      </c>
      <c r="B5223" t="s">
        <v>8570</v>
      </c>
      <c r="C5223" t="s">
        <v>322</v>
      </c>
      <c r="D5223" t="s">
        <v>35</v>
      </c>
      <c r="E5223" t="s">
        <v>352</v>
      </c>
      <c r="F5223" t="s">
        <v>361</v>
      </c>
      <c r="G5223" t="s">
        <v>36</v>
      </c>
      <c r="H5223" t="s">
        <v>43</v>
      </c>
      <c r="I5223" s="187">
        <v>0</v>
      </c>
      <c r="J5223" s="187"/>
      <c r="K5223" s="187">
        <v>0</v>
      </c>
      <c r="L5223" s="187"/>
      <c r="M5223" s="187">
        <v>0</v>
      </c>
      <c r="N5223" s="187">
        <v>0</v>
      </c>
      <c r="O5223" t="s">
        <v>8582</v>
      </c>
    </row>
    <row r="5224" spans="1:15" hidden="1" x14ac:dyDescent="0.45">
      <c r="A5224" s="187">
        <v>2022</v>
      </c>
      <c r="B5224" t="s">
        <v>313</v>
      </c>
      <c r="C5224" t="s">
        <v>322</v>
      </c>
      <c r="D5224" t="s">
        <v>35</v>
      </c>
      <c r="E5224" t="s">
        <v>352</v>
      </c>
      <c r="F5224" t="s">
        <v>361</v>
      </c>
      <c r="G5224" t="s">
        <v>36</v>
      </c>
      <c r="H5224" t="s">
        <v>43</v>
      </c>
      <c r="I5224" s="187"/>
      <c r="J5224" s="187">
        <v>0</v>
      </c>
      <c r="K5224" s="187">
        <v>0</v>
      </c>
      <c r="L5224" s="187"/>
      <c r="M5224" s="187">
        <v>0</v>
      </c>
      <c r="N5224" s="187">
        <v>0</v>
      </c>
      <c r="O5224" t="s">
        <v>5674</v>
      </c>
    </row>
    <row r="5225" spans="1:15" hidden="1" x14ac:dyDescent="0.45">
      <c r="A5225" s="187">
        <v>2022</v>
      </c>
      <c r="B5225" t="s">
        <v>310</v>
      </c>
      <c r="C5225" t="s">
        <v>322</v>
      </c>
      <c r="D5225" t="s">
        <v>35</v>
      </c>
      <c r="E5225" t="s">
        <v>352</v>
      </c>
      <c r="F5225" t="s">
        <v>361</v>
      </c>
      <c r="G5225" t="s">
        <v>36</v>
      </c>
      <c r="H5225" t="s">
        <v>43</v>
      </c>
      <c r="I5225" s="187"/>
      <c r="J5225" s="187">
        <v>0</v>
      </c>
      <c r="K5225" s="187">
        <v>0</v>
      </c>
      <c r="L5225" s="187"/>
      <c r="M5225" s="187">
        <v>0</v>
      </c>
      <c r="N5225" s="187">
        <v>0</v>
      </c>
      <c r="O5225" t="s">
        <v>5671</v>
      </c>
    </row>
    <row r="5226" spans="1:15" hidden="1" x14ac:dyDescent="0.45">
      <c r="A5226" s="187">
        <v>2022</v>
      </c>
      <c r="B5226" t="s">
        <v>316</v>
      </c>
      <c r="C5226" t="s">
        <v>322</v>
      </c>
      <c r="D5226" t="s">
        <v>35</v>
      </c>
      <c r="E5226" t="s">
        <v>352</v>
      </c>
      <c r="F5226" t="s">
        <v>361</v>
      </c>
      <c r="G5226" t="s">
        <v>36</v>
      </c>
      <c r="H5226" t="s">
        <v>43</v>
      </c>
      <c r="I5226" s="187">
        <v>0</v>
      </c>
      <c r="J5226" s="187"/>
      <c r="K5226" s="187">
        <v>0</v>
      </c>
      <c r="L5226" s="187"/>
      <c r="M5226" s="187">
        <v>0</v>
      </c>
      <c r="N5226" s="187">
        <v>0</v>
      </c>
      <c r="O5226" t="s">
        <v>5672</v>
      </c>
    </row>
    <row r="5227" spans="1:15" hidden="1" x14ac:dyDescent="0.45">
      <c r="A5227" s="187">
        <v>2022</v>
      </c>
      <c r="B5227" t="s">
        <v>314</v>
      </c>
      <c r="C5227" t="s">
        <v>322</v>
      </c>
      <c r="D5227" t="s">
        <v>35</v>
      </c>
      <c r="E5227" t="s">
        <v>352</v>
      </c>
      <c r="F5227" t="s">
        <v>361</v>
      </c>
      <c r="G5227" t="s">
        <v>36</v>
      </c>
      <c r="H5227" t="s">
        <v>43</v>
      </c>
      <c r="I5227" s="187">
        <v>0</v>
      </c>
      <c r="J5227" s="187">
        <v>0</v>
      </c>
      <c r="K5227" s="187">
        <v>0</v>
      </c>
      <c r="L5227" s="187"/>
      <c r="M5227" s="187">
        <v>0</v>
      </c>
      <c r="N5227" s="187">
        <v>0</v>
      </c>
      <c r="O5227" t="s">
        <v>5668</v>
      </c>
    </row>
    <row r="5228" spans="1:15" hidden="1" x14ac:dyDescent="0.45">
      <c r="A5228" s="187">
        <v>2022</v>
      </c>
      <c r="B5228" t="s">
        <v>317</v>
      </c>
      <c r="C5228" t="s">
        <v>322</v>
      </c>
      <c r="D5228" t="s">
        <v>35</v>
      </c>
      <c r="E5228" t="s">
        <v>352</v>
      </c>
      <c r="F5228" t="s">
        <v>361</v>
      </c>
      <c r="G5228" t="s">
        <v>36</v>
      </c>
      <c r="H5228" t="s">
        <v>43</v>
      </c>
      <c r="I5228" s="187">
        <v>0</v>
      </c>
      <c r="J5228" s="187"/>
      <c r="K5228" s="187">
        <v>0</v>
      </c>
      <c r="L5228" s="187"/>
      <c r="M5228" s="187">
        <v>0</v>
      </c>
      <c r="N5228" s="187">
        <v>0</v>
      </c>
      <c r="O5228" t="s">
        <v>5669</v>
      </c>
    </row>
    <row r="5229" spans="1:15" hidden="1" x14ac:dyDescent="0.45">
      <c r="A5229" s="187">
        <v>2022</v>
      </c>
      <c r="B5229" t="s">
        <v>309</v>
      </c>
      <c r="C5229" t="s">
        <v>322</v>
      </c>
      <c r="D5229" t="s">
        <v>35</v>
      </c>
      <c r="E5229" t="s">
        <v>352</v>
      </c>
      <c r="F5229" t="s">
        <v>361</v>
      </c>
      <c r="G5229" t="s">
        <v>36</v>
      </c>
      <c r="H5229" t="s">
        <v>43</v>
      </c>
      <c r="I5229" s="187"/>
      <c r="J5229" s="187">
        <v>0</v>
      </c>
      <c r="K5229" s="187">
        <v>0</v>
      </c>
      <c r="L5229" s="187">
        <v>0</v>
      </c>
      <c r="M5229" s="187">
        <v>0</v>
      </c>
      <c r="N5229" s="187">
        <v>0</v>
      </c>
      <c r="O5229" t="s">
        <v>5673</v>
      </c>
    </row>
    <row r="5230" spans="1:15" hidden="1" x14ac:dyDescent="0.45">
      <c r="A5230" s="187">
        <v>2022</v>
      </c>
      <c r="B5230" t="s">
        <v>309</v>
      </c>
      <c r="C5230" t="s">
        <v>322</v>
      </c>
      <c r="D5230" t="s">
        <v>35</v>
      </c>
      <c r="E5230" t="s">
        <v>353</v>
      </c>
      <c r="F5230" t="s">
        <v>383</v>
      </c>
      <c r="G5230" t="s">
        <v>36</v>
      </c>
      <c r="H5230" t="s">
        <v>43</v>
      </c>
      <c r="I5230" s="187"/>
      <c r="J5230" s="187">
        <v>866.34404132313625</v>
      </c>
      <c r="K5230" s="187">
        <v>15627.808627109443</v>
      </c>
      <c r="L5230" s="187">
        <v>27545.501521824612</v>
      </c>
      <c r="M5230" s="187">
        <v>44039.65234375</v>
      </c>
      <c r="N5230" s="187">
        <v>27545.501953125</v>
      </c>
      <c r="O5230" t="s">
        <v>5685</v>
      </c>
    </row>
    <row r="5231" spans="1:15" hidden="1" x14ac:dyDescent="0.45">
      <c r="A5231" s="187">
        <v>2022</v>
      </c>
      <c r="B5231" t="s">
        <v>310</v>
      </c>
      <c r="C5231" t="s">
        <v>322</v>
      </c>
      <c r="D5231" t="s">
        <v>35</v>
      </c>
      <c r="E5231" t="s">
        <v>353</v>
      </c>
      <c r="F5231" t="s">
        <v>383</v>
      </c>
      <c r="G5231" t="s">
        <v>36</v>
      </c>
      <c r="H5231" t="s">
        <v>43</v>
      </c>
      <c r="I5231" s="187"/>
      <c r="J5231" s="187">
        <v>810.7869108940464</v>
      </c>
      <c r="K5231" s="187">
        <v>15629.168394325752</v>
      </c>
      <c r="L5231" s="187">
        <v>36678.953672187439</v>
      </c>
      <c r="M5231" s="187">
        <v>53118.91015625</v>
      </c>
      <c r="N5231" s="187">
        <v>36678.953125</v>
      </c>
      <c r="O5231" t="s">
        <v>5684</v>
      </c>
    </row>
    <row r="5232" spans="1:15" x14ac:dyDescent="0.45">
      <c r="A5232" s="187">
        <v>2022</v>
      </c>
      <c r="B5232" t="s">
        <v>8570</v>
      </c>
      <c r="C5232" t="s">
        <v>322</v>
      </c>
      <c r="D5232" t="s">
        <v>35</v>
      </c>
      <c r="E5232" t="s">
        <v>353</v>
      </c>
      <c r="F5232" t="s">
        <v>383</v>
      </c>
      <c r="G5232" t="s">
        <v>36</v>
      </c>
      <c r="H5232" t="s">
        <v>43</v>
      </c>
      <c r="I5232" s="187">
        <v>15834.949257820001</v>
      </c>
      <c r="J5232" s="187">
        <v>764</v>
      </c>
      <c r="K5232" s="187">
        <v>17895.521300162582</v>
      </c>
      <c r="L5232" s="187">
        <v>26235</v>
      </c>
      <c r="M5232" s="187">
        <v>60729.46875</v>
      </c>
      <c r="N5232" s="187">
        <v>42069.94921875</v>
      </c>
      <c r="O5232" t="s">
        <v>8583</v>
      </c>
    </row>
    <row r="5233" spans="1:15" hidden="1" x14ac:dyDescent="0.45">
      <c r="A5233" s="187">
        <v>2022</v>
      </c>
      <c r="B5233" t="s">
        <v>317</v>
      </c>
      <c r="C5233" t="s">
        <v>322</v>
      </c>
      <c r="D5233" t="s">
        <v>35</v>
      </c>
      <c r="E5233" t="s">
        <v>353</v>
      </c>
      <c r="F5233" t="s">
        <v>383</v>
      </c>
      <c r="G5233" t="s">
        <v>36</v>
      </c>
      <c r="H5233" t="s">
        <v>43</v>
      </c>
      <c r="I5233" s="187">
        <v>25319.598407474823</v>
      </c>
      <c r="J5233" s="187">
        <v>1087.5324048086125</v>
      </c>
      <c r="K5233" s="187">
        <v>17215.740760313791</v>
      </c>
      <c r="L5233" s="187">
        <v>31187.814537899445</v>
      </c>
      <c r="M5233" s="187">
        <v>74810.6875</v>
      </c>
      <c r="N5233" s="187">
        <v>56507.4140625</v>
      </c>
      <c r="O5233" t="s">
        <v>5677</v>
      </c>
    </row>
    <row r="5234" spans="1:15" hidden="1" x14ac:dyDescent="0.45">
      <c r="A5234" s="187">
        <v>2022</v>
      </c>
      <c r="B5234" t="s">
        <v>314</v>
      </c>
      <c r="C5234" t="s">
        <v>322</v>
      </c>
      <c r="D5234" t="s">
        <v>35</v>
      </c>
      <c r="E5234" t="s">
        <v>353</v>
      </c>
      <c r="F5234" t="s">
        <v>383</v>
      </c>
      <c r="G5234" t="s">
        <v>36</v>
      </c>
      <c r="H5234" t="s">
        <v>43</v>
      </c>
      <c r="I5234" s="187">
        <v>19991.520336991194</v>
      </c>
      <c r="J5234" s="187">
        <v>832.84677268571329</v>
      </c>
      <c r="K5234" s="187">
        <v>16044.751001591601</v>
      </c>
      <c r="L5234" s="187">
        <v>29563.148378690075</v>
      </c>
      <c r="M5234" s="187">
        <v>66432.265625</v>
      </c>
      <c r="N5234" s="187">
        <v>49554.66796875</v>
      </c>
      <c r="O5234" t="s">
        <v>5678</v>
      </c>
    </row>
    <row r="5235" spans="1:15" hidden="1" x14ac:dyDescent="0.45">
      <c r="A5235" s="187">
        <v>2022</v>
      </c>
      <c r="B5235" t="s">
        <v>311</v>
      </c>
      <c r="C5235" t="s">
        <v>322</v>
      </c>
      <c r="D5235" t="s">
        <v>35</v>
      </c>
      <c r="E5235" t="s">
        <v>353</v>
      </c>
      <c r="F5235" t="s">
        <v>383</v>
      </c>
      <c r="G5235" t="s">
        <v>36</v>
      </c>
      <c r="H5235" t="s">
        <v>43</v>
      </c>
      <c r="I5235" s="187"/>
      <c r="J5235" s="187">
        <v>1103.1294160965783</v>
      </c>
      <c r="K5235" s="187">
        <v>15933.463109080194</v>
      </c>
      <c r="L5235" s="187">
        <v>37242.414263894083</v>
      </c>
      <c r="M5235" s="187">
        <v>54279.0078125</v>
      </c>
      <c r="N5235" s="187">
        <v>37242.4140625</v>
      </c>
      <c r="O5235" t="s">
        <v>5680</v>
      </c>
    </row>
    <row r="5236" spans="1:15" hidden="1" x14ac:dyDescent="0.45">
      <c r="A5236" s="187">
        <v>2022</v>
      </c>
      <c r="B5236" t="s">
        <v>316</v>
      </c>
      <c r="C5236" t="s">
        <v>322</v>
      </c>
      <c r="D5236" t="s">
        <v>35</v>
      </c>
      <c r="E5236" t="s">
        <v>353</v>
      </c>
      <c r="F5236" t="s">
        <v>383</v>
      </c>
      <c r="G5236" t="s">
        <v>36</v>
      </c>
      <c r="H5236" t="s">
        <v>43</v>
      </c>
      <c r="I5236" s="187">
        <v>19064.279777578504</v>
      </c>
      <c r="J5236" s="187">
        <v>1154.690774169768</v>
      </c>
      <c r="K5236" s="187">
        <v>16933.988564146333</v>
      </c>
      <c r="L5236" s="187">
        <v>27042.89464618393</v>
      </c>
      <c r="M5236" s="187">
        <v>64195.85546875</v>
      </c>
      <c r="N5236" s="187">
        <v>46107.17578125</v>
      </c>
      <c r="O5236" t="s">
        <v>5681</v>
      </c>
    </row>
    <row r="5237" spans="1:15" hidden="1" x14ac:dyDescent="0.45">
      <c r="A5237" s="187">
        <v>2022</v>
      </c>
      <c r="B5237" t="s">
        <v>315</v>
      </c>
      <c r="C5237" t="s">
        <v>322</v>
      </c>
      <c r="D5237" t="s">
        <v>35</v>
      </c>
      <c r="E5237" t="s">
        <v>353</v>
      </c>
      <c r="F5237" t="s">
        <v>383</v>
      </c>
      <c r="G5237" t="s">
        <v>36</v>
      </c>
      <c r="H5237" t="s">
        <v>43</v>
      </c>
      <c r="I5237" s="187">
        <v>20212.216140429973</v>
      </c>
      <c r="J5237" s="187">
        <v>894.90997458615141</v>
      </c>
      <c r="K5237" s="187">
        <v>17338.373624579464</v>
      </c>
      <c r="L5237" s="187">
        <v>31679.813100349762</v>
      </c>
      <c r="M5237" s="187">
        <v>70125.3125</v>
      </c>
      <c r="N5237" s="187">
        <v>51892.03125</v>
      </c>
      <c r="O5237" t="s">
        <v>5683</v>
      </c>
    </row>
    <row r="5238" spans="1:15" hidden="1" x14ac:dyDescent="0.45">
      <c r="A5238" s="187">
        <v>2022</v>
      </c>
      <c r="B5238" t="s">
        <v>312</v>
      </c>
      <c r="C5238" t="s">
        <v>322</v>
      </c>
      <c r="D5238" t="s">
        <v>35</v>
      </c>
      <c r="E5238" t="s">
        <v>353</v>
      </c>
      <c r="F5238" t="s">
        <v>383</v>
      </c>
      <c r="G5238" t="s">
        <v>36</v>
      </c>
      <c r="H5238" t="s">
        <v>43</v>
      </c>
      <c r="I5238" s="187">
        <v>16106.92349886866</v>
      </c>
      <c r="J5238" s="187">
        <v>933.61354814477193</v>
      </c>
      <c r="K5238" s="187">
        <v>15261.87369715782</v>
      </c>
      <c r="L5238" s="187">
        <v>22881.569662080608</v>
      </c>
      <c r="M5238" s="187">
        <v>55183.98046875</v>
      </c>
      <c r="N5238" s="187">
        <v>38988.4921875</v>
      </c>
      <c r="O5238" t="s">
        <v>5682</v>
      </c>
    </row>
    <row r="5239" spans="1:15" hidden="1" x14ac:dyDescent="0.45">
      <c r="A5239" s="187">
        <v>2022</v>
      </c>
      <c r="B5239" t="s">
        <v>313</v>
      </c>
      <c r="C5239" t="s">
        <v>322</v>
      </c>
      <c r="D5239" t="s">
        <v>35</v>
      </c>
      <c r="E5239" t="s">
        <v>353</v>
      </c>
      <c r="F5239" t="s">
        <v>383</v>
      </c>
      <c r="G5239" t="s">
        <v>36</v>
      </c>
      <c r="H5239" t="s">
        <v>43</v>
      </c>
      <c r="I5239" s="187">
        <v>15623.22411818591</v>
      </c>
      <c r="J5239" s="187">
        <v>862.48214966308524</v>
      </c>
      <c r="K5239" s="187">
        <v>15013.987807258609</v>
      </c>
      <c r="L5239" s="187">
        <v>23113.323719096152</v>
      </c>
      <c r="M5239" s="187">
        <v>54613.015625</v>
      </c>
      <c r="N5239" s="187">
        <v>38736.546875</v>
      </c>
      <c r="O5239" t="s">
        <v>5679</v>
      </c>
    </row>
    <row r="5240" spans="1:15" x14ac:dyDescent="0.45">
      <c r="A5240" s="187">
        <v>2022</v>
      </c>
      <c r="B5240" t="s">
        <v>8570</v>
      </c>
      <c r="C5240" t="s">
        <v>322</v>
      </c>
      <c r="D5240" t="s">
        <v>35</v>
      </c>
      <c r="E5240" t="s">
        <v>353</v>
      </c>
      <c r="F5240" t="s">
        <v>383</v>
      </c>
      <c r="G5240" t="s">
        <v>37</v>
      </c>
      <c r="H5240" t="s">
        <v>43</v>
      </c>
      <c r="I5240" s="187">
        <v>15834.949257820001</v>
      </c>
      <c r="J5240" s="187">
        <v>764</v>
      </c>
      <c r="K5240" s="187">
        <v>17895.19887</v>
      </c>
      <c r="L5240" s="187">
        <v>26235</v>
      </c>
      <c r="M5240" s="187">
        <v>60729.1484375</v>
      </c>
      <c r="N5240" s="187">
        <v>42069.94921875</v>
      </c>
      <c r="O5240" t="s">
        <v>8584</v>
      </c>
    </row>
    <row r="5241" spans="1:15" hidden="1" x14ac:dyDescent="0.45">
      <c r="A5241" s="187">
        <v>2022</v>
      </c>
      <c r="B5241" t="s">
        <v>310</v>
      </c>
      <c r="C5241" t="s">
        <v>322</v>
      </c>
      <c r="D5241" t="s">
        <v>35</v>
      </c>
      <c r="E5241" t="s">
        <v>353</v>
      </c>
      <c r="F5241" t="s">
        <v>383</v>
      </c>
      <c r="G5241" t="s">
        <v>37</v>
      </c>
      <c r="H5241" t="s">
        <v>43</v>
      </c>
      <c r="I5241" s="187"/>
      <c r="J5241" s="187">
        <v>729</v>
      </c>
      <c r="K5241" s="187">
        <v>14059.06071167031</v>
      </c>
      <c r="L5241" s="187">
        <v>34525</v>
      </c>
      <c r="M5241" s="187">
        <v>49313.0625</v>
      </c>
      <c r="N5241" s="187">
        <v>34525</v>
      </c>
      <c r="O5241" t="s">
        <v>5690</v>
      </c>
    </row>
    <row r="5242" spans="1:15" hidden="1" x14ac:dyDescent="0.45">
      <c r="A5242" s="187">
        <v>2022</v>
      </c>
      <c r="B5242" t="s">
        <v>312</v>
      </c>
      <c r="C5242" t="s">
        <v>322</v>
      </c>
      <c r="D5242" t="s">
        <v>35</v>
      </c>
      <c r="E5242" t="s">
        <v>353</v>
      </c>
      <c r="F5242" t="s">
        <v>383</v>
      </c>
      <c r="G5242" t="s">
        <v>37</v>
      </c>
      <c r="H5242" t="s">
        <v>43</v>
      </c>
      <c r="I5242" s="187">
        <v>14423.27057689548</v>
      </c>
      <c r="J5242" s="187">
        <v>849</v>
      </c>
      <c r="K5242" s="187">
        <v>13856.300093740299</v>
      </c>
      <c r="L5242" s="187">
        <v>20807</v>
      </c>
      <c r="M5242" s="187">
        <v>49935.5703125</v>
      </c>
      <c r="N5242" s="187">
        <v>35230.26953125</v>
      </c>
      <c r="O5242" t="s">
        <v>5692</v>
      </c>
    </row>
    <row r="5243" spans="1:15" hidden="1" x14ac:dyDescent="0.45">
      <c r="A5243" s="187">
        <v>2022</v>
      </c>
      <c r="B5243" t="s">
        <v>316</v>
      </c>
      <c r="C5243" t="s">
        <v>322</v>
      </c>
      <c r="D5243" t="s">
        <v>35</v>
      </c>
      <c r="E5243" t="s">
        <v>353</v>
      </c>
      <c r="F5243" t="s">
        <v>383</v>
      </c>
      <c r="G5243" t="s">
        <v>37</v>
      </c>
      <c r="H5243" t="s">
        <v>43</v>
      </c>
      <c r="I5243" s="187">
        <v>18011</v>
      </c>
      <c r="J5243" s="187">
        <v>1048.333333333333</v>
      </c>
      <c r="K5243" s="187">
        <v>15796.317622883729</v>
      </c>
      <c r="L5243" s="187">
        <v>25894</v>
      </c>
      <c r="M5243" s="187">
        <v>60749.65234375</v>
      </c>
      <c r="N5243" s="187">
        <v>43905</v>
      </c>
      <c r="O5243" t="s">
        <v>5691</v>
      </c>
    </row>
    <row r="5244" spans="1:15" hidden="1" x14ac:dyDescent="0.45">
      <c r="A5244" s="187">
        <v>2022</v>
      </c>
      <c r="B5244" t="s">
        <v>311</v>
      </c>
      <c r="C5244" t="s">
        <v>322</v>
      </c>
      <c r="D5244" t="s">
        <v>35</v>
      </c>
      <c r="E5244" t="s">
        <v>353</v>
      </c>
      <c r="F5244" t="s">
        <v>383</v>
      </c>
      <c r="G5244" t="s">
        <v>37</v>
      </c>
      <c r="H5244" t="s">
        <v>43</v>
      </c>
      <c r="I5244" s="187"/>
      <c r="J5244" s="187">
        <v>994</v>
      </c>
      <c r="K5244" s="187">
        <v>14246.86592927836</v>
      </c>
      <c r="L5244" s="187">
        <v>35105</v>
      </c>
      <c r="M5244" s="187">
        <v>50345.8671875</v>
      </c>
      <c r="N5244" s="187">
        <v>35105</v>
      </c>
      <c r="O5244" t="s">
        <v>5694</v>
      </c>
    </row>
    <row r="5245" spans="1:15" hidden="1" x14ac:dyDescent="0.45">
      <c r="A5245" s="187">
        <v>2022</v>
      </c>
      <c r="B5245" t="s">
        <v>314</v>
      </c>
      <c r="C5245" t="s">
        <v>322</v>
      </c>
      <c r="D5245" t="s">
        <v>35</v>
      </c>
      <c r="E5245" t="s">
        <v>353</v>
      </c>
      <c r="F5245" t="s">
        <v>383</v>
      </c>
      <c r="G5245" t="s">
        <v>37</v>
      </c>
      <c r="H5245" t="s">
        <v>43</v>
      </c>
      <c r="I5245" s="187">
        <v>18586.615347541141</v>
      </c>
      <c r="J5245" s="187">
        <v>774</v>
      </c>
      <c r="K5245" s="187">
        <v>14937.39030960502</v>
      </c>
      <c r="L5245" s="187">
        <v>28893</v>
      </c>
      <c r="M5245" s="187">
        <v>63191.00390625</v>
      </c>
      <c r="N5245" s="187">
        <v>47479.6171875</v>
      </c>
      <c r="O5245" t="s">
        <v>5686</v>
      </c>
    </row>
    <row r="5246" spans="1:15" hidden="1" x14ac:dyDescent="0.45">
      <c r="A5246" s="187">
        <v>2022</v>
      </c>
      <c r="B5246" t="s">
        <v>317</v>
      </c>
      <c r="C5246" t="s">
        <v>322</v>
      </c>
      <c r="D5246" t="s">
        <v>35</v>
      </c>
      <c r="E5246" t="s">
        <v>353</v>
      </c>
      <c r="F5246" t="s">
        <v>383</v>
      </c>
      <c r="G5246" t="s">
        <v>37</v>
      </c>
      <c r="H5246" t="s">
        <v>43</v>
      </c>
      <c r="I5246" s="187">
        <v>23901.702457211992</v>
      </c>
      <c r="J5246" s="187">
        <v>1006.5</v>
      </c>
      <c r="K5246" s="187">
        <v>16190.83162424773</v>
      </c>
      <c r="L5246" s="187">
        <v>29426</v>
      </c>
      <c r="M5246" s="187">
        <v>70525.03125</v>
      </c>
      <c r="N5246" s="187">
        <v>53327.703125</v>
      </c>
      <c r="O5246" t="s">
        <v>5687</v>
      </c>
    </row>
    <row r="5247" spans="1:15" hidden="1" x14ac:dyDescent="0.45">
      <c r="A5247" s="187">
        <v>2022</v>
      </c>
      <c r="B5247" t="s">
        <v>309</v>
      </c>
      <c r="C5247" t="s">
        <v>322</v>
      </c>
      <c r="D5247" t="s">
        <v>35</v>
      </c>
      <c r="E5247" t="s">
        <v>353</v>
      </c>
      <c r="F5247" t="s">
        <v>383</v>
      </c>
      <c r="G5247" t="s">
        <v>37</v>
      </c>
      <c r="H5247" t="s">
        <v>43</v>
      </c>
      <c r="I5247" s="187"/>
      <c r="J5247" s="187">
        <v>773.87819999999999</v>
      </c>
      <c r="K5247" s="187">
        <v>14402.574650248929</v>
      </c>
      <c r="L5247" s="187">
        <v>26629</v>
      </c>
      <c r="M5247" s="187">
        <v>41805.453125</v>
      </c>
      <c r="N5247" s="187">
        <v>26629</v>
      </c>
      <c r="O5247" t="s">
        <v>5689</v>
      </c>
    </row>
    <row r="5248" spans="1:15" hidden="1" x14ac:dyDescent="0.45">
      <c r="A5248" s="187">
        <v>2022</v>
      </c>
      <c r="B5248" t="s">
        <v>315</v>
      </c>
      <c r="C5248" t="s">
        <v>322</v>
      </c>
      <c r="D5248" t="s">
        <v>35</v>
      </c>
      <c r="E5248" t="s">
        <v>353</v>
      </c>
      <c r="F5248" t="s">
        <v>383</v>
      </c>
      <c r="G5248" t="s">
        <v>37</v>
      </c>
      <c r="H5248" t="s">
        <v>43</v>
      </c>
      <c r="I5248" s="187">
        <v>18938.576964212742</v>
      </c>
      <c r="J5248" s="187">
        <v>823</v>
      </c>
      <c r="K5248" s="187">
        <v>16202.204728093649</v>
      </c>
      <c r="L5248" s="187">
        <v>29678</v>
      </c>
      <c r="M5248" s="187">
        <v>65641.78125</v>
      </c>
      <c r="N5248" s="187">
        <v>48616.578125</v>
      </c>
      <c r="O5248" t="s">
        <v>5688</v>
      </c>
    </row>
    <row r="5249" spans="1:15" hidden="1" x14ac:dyDescent="0.45">
      <c r="A5249" s="187">
        <v>2022</v>
      </c>
      <c r="B5249" t="s">
        <v>313</v>
      </c>
      <c r="C5249" t="s">
        <v>322</v>
      </c>
      <c r="D5249" t="s">
        <v>35</v>
      </c>
      <c r="E5249" t="s">
        <v>353</v>
      </c>
      <c r="F5249" t="s">
        <v>383</v>
      </c>
      <c r="G5249" t="s">
        <v>37</v>
      </c>
      <c r="H5249" t="s">
        <v>43</v>
      </c>
      <c r="I5249" s="187">
        <v>14370.051700652899</v>
      </c>
      <c r="J5249" s="187">
        <v>795</v>
      </c>
      <c r="K5249" s="187">
        <v>13776.29545289111</v>
      </c>
      <c r="L5249" s="187">
        <v>21379.009321497721</v>
      </c>
      <c r="M5249" s="187">
        <v>50320.35546875</v>
      </c>
      <c r="N5249" s="187">
        <v>35749.0625</v>
      </c>
      <c r="O5249" t="s">
        <v>5693</v>
      </c>
    </row>
    <row r="5250" spans="1:15" x14ac:dyDescent="0.45">
      <c r="A5250" s="187">
        <v>2022</v>
      </c>
      <c r="B5250" t="s">
        <v>8570</v>
      </c>
      <c r="C5250" t="s">
        <v>322</v>
      </c>
      <c r="D5250" t="s">
        <v>35</v>
      </c>
      <c r="E5250" t="s">
        <v>38</v>
      </c>
      <c r="F5250" t="s">
        <v>38</v>
      </c>
      <c r="G5250" t="s">
        <v>36</v>
      </c>
      <c r="H5250" t="s">
        <v>43</v>
      </c>
      <c r="I5250" s="187">
        <v>205.84200000000001</v>
      </c>
      <c r="J5250" s="187">
        <v>220</v>
      </c>
      <c r="K5250" s="187">
        <v>2639.621530294186</v>
      </c>
      <c r="L5250" s="187">
        <v>1105</v>
      </c>
      <c r="M5250" s="187">
        <v>4170.4638671875</v>
      </c>
      <c r="N5250" s="187">
        <v>1310.842041015625</v>
      </c>
      <c r="O5250" t="s">
        <v>8585</v>
      </c>
    </row>
    <row r="5251" spans="1:15" hidden="1" x14ac:dyDescent="0.45">
      <c r="A5251" s="187">
        <v>2022</v>
      </c>
      <c r="B5251" t="s">
        <v>313</v>
      </c>
      <c r="C5251" t="s">
        <v>322</v>
      </c>
      <c r="D5251" t="s">
        <v>35</v>
      </c>
      <c r="E5251" t="s">
        <v>38</v>
      </c>
      <c r="F5251" t="s">
        <v>38</v>
      </c>
      <c r="G5251" t="s">
        <v>36</v>
      </c>
      <c r="H5251" t="s">
        <v>43</v>
      </c>
      <c r="I5251" s="187">
        <v>297.39821990632618</v>
      </c>
      <c r="J5251" s="187">
        <v>59.894593726603141</v>
      </c>
      <c r="K5251" s="187">
        <v>1549.7252706739494</v>
      </c>
      <c r="L5251" s="187">
        <v>1621.9455981164131</v>
      </c>
      <c r="M5251" s="187">
        <v>3528.963623046875</v>
      </c>
      <c r="N5251" s="187">
        <v>1919.3438720703125</v>
      </c>
      <c r="O5251" t="s">
        <v>5702</v>
      </c>
    </row>
    <row r="5252" spans="1:15" hidden="1" x14ac:dyDescent="0.45">
      <c r="A5252" s="187">
        <v>2022</v>
      </c>
      <c r="B5252" t="s">
        <v>316</v>
      </c>
      <c r="C5252" t="s">
        <v>322</v>
      </c>
      <c r="D5252" t="s">
        <v>35</v>
      </c>
      <c r="E5252" t="s">
        <v>38</v>
      </c>
      <c r="F5252" t="s">
        <v>38</v>
      </c>
      <c r="G5252" t="s">
        <v>36</v>
      </c>
      <c r="H5252" t="s">
        <v>43</v>
      </c>
      <c r="I5252" s="187">
        <v>389.83315129298194</v>
      </c>
      <c r="J5252" s="187">
        <v>181.739883374892</v>
      </c>
      <c r="K5252" s="187">
        <v>1946.3540161487529</v>
      </c>
      <c r="L5252" s="187">
        <v>3420.0141689638767</v>
      </c>
      <c r="M5252" s="187">
        <v>5937.94140625</v>
      </c>
      <c r="N5252" s="187">
        <v>3809.847412109375</v>
      </c>
      <c r="O5252" t="s">
        <v>5697</v>
      </c>
    </row>
    <row r="5253" spans="1:15" hidden="1" x14ac:dyDescent="0.45">
      <c r="A5253" s="187">
        <v>2022</v>
      </c>
      <c r="B5253" t="s">
        <v>314</v>
      </c>
      <c r="C5253" t="s">
        <v>322</v>
      </c>
      <c r="D5253" t="s">
        <v>35</v>
      </c>
      <c r="E5253" t="s">
        <v>38</v>
      </c>
      <c r="F5253" t="s">
        <v>38</v>
      </c>
      <c r="G5253" t="s">
        <v>36</v>
      </c>
      <c r="H5253" t="s">
        <v>43</v>
      </c>
      <c r="I5253" s="187">
        <v>295.64080235218955</v>
      </c>
      <c r="J5253" s="187">
        <v>75.713342971428489</v>
      </c>
      <c r="K5253" s="187">
        <v>1542.730268441062</v>
      </c>
      <c r="L5253" s="187">
        <v>2080.3697007226351</v>
      </c>
      <c r="M5253" s="187">
        <v>3994.4541015625</v>
      </c>
      <c r="N5253" s="187">
        <v>2376.010498046875</v>
      </c>
      <c r="O5253" t="s">
        <v>5698</v>
      </c>
    </row>
    <row r="5254" spans="1:15" hidden="1" x14ac:dyDescent="0.45">
      <c r="A5254" s="187">
        <v>2022</v>
      </c>
      <c r="B5254" t="s">
        <v>311</v>
      </c>
      <c r="C5254" t="s">
        <v>322</v>
      </c>
      <c r="D5254" t="s">
        <v>35</v>
      </c>
      <c r="E5254" t="s">
        <v>38</v>
      </c>
      <c r="F5254" t="s">
        <v>38</v>
      </c>
      <c r="G5254" t="s">
        <v>36</v>
      </c>
      <c r="H5254" t="s">
        <v>43</v>
      </c>
      <c r="I5254" s="187"/>
      <c r="J5254" s="187">
        <v>89.270588585850277</v>
      </c>
      <c r="K5254" s="187">
        <v>1313.8652080619563</v>
      </c>
      <c r="L5254" s="187">
        <v>2148.8705966736816</v>
      </c>
      <c r="M5254" s="187">
        <v>3552.00634765625</v>
      </c>
      <c r="N5254" s="187">
        <v>2148.87060546875</v>
      </c>
      <c r="O5254" t="s">
        <v>5700</v>
      </c>
    </row>
    <row r="5255" spans="1:15" hidden="1" x14ac:dyDescent="0.45">
      <c r="A5255" s="187">
        <v>2022</v>
      </c>
      <c r="B5255" t="s">
        <v>310</v>
      </c>
      <c r="C5255" t="s">
        <v>322</v>
      </c>
      <c r="D5255" t="s">
        <v>35</v>
      </c>
      <c r="E5255" t="s">
        <v>38</v>
      </c>
      <c r="F5255" t="s">
        <v>38</v>
      </c>
      <c r="G5255" t="s">
        <v>36</v>
      </c>
      <c r="H5255" t="s">
        <v>43</v>
      </c>
      <c r="I5255" s="187"/>
      <c r="J5255" s="187">
        <v>143.84929064249212</v>
      </c>
      <c r="K5255" s="187">
        <v>1314.3403380850257</v>
      </c>
      <c r="L5255" s="187">
        <v>1150.794325139937</v>
      </c>
      <c r="M5255" s="187">
        <v>2608.98388671875</v>
      </c>
      <c r="N5255" s="187">
        <v>1150.7943115234375</v>
      </c>
      <c r="O5255" t="s">
        <v>5696</v>
      </c>
    </row>
    <row r="5256" spans="1:15" hidden="1" x14ac:dyDescent="0.45">
      <c r="A5256" s="187">
        <v>2022</v>
      </c>
      <c r="B5256" t="s">
        <v>317</v>
      </c>
      <c r="C5256" t="s">
        <v>322</v>
      </c>
      <c r="D5256" t="s">
        <v>35</v>
      </c>
      <c r="E5256" t="s">
        <v>38</v>
      </c>
      <c r="F5256" t="s">
        <v>38</v>
      </c>
      <c r="G5256" t="s">
        <v>36</v>
      </c>
      <c r="H5256" t="s">
        <v>43</v>
      </c>
      <c r="I5256" s="187">
        <v>678.73259354652578</v>
      </c>
      <c r="J5256" s="187">
        <v>82.442844000891341</v>
      </c>
      <c r="K5256" s="187">
        <v>2685.867084295106</v>
      </c>
      <c r="L5256" s="187">
        <v>3506.2520155031771</v>
      </c>
      <c r="M5256" s="187">
        <v>6953.29443359375</v>
      </c>
      <c r="N5256" s="187">
        <v>4184.98486328125</v>
      </c>
      <c r="O5256" t="s">
        <v>5695</v>
      </c>
    </row>
    <row r="5257" spans="1:15" hidden="1" x14ac:dyDescent="0.45">
      <c r="A5257" s="187">
        <v>2022</v>
      </c>
      <c r="B5257" t="s">
        <v>312</v>
      </c>
      <c r="C5257" t="s">
        <v>322</v>
      </c>
      <c r="D5257" t="s">
        <v>35</v>
      </c>
      <c r="E5257" t="s">
        <v>38</v>
      </c>
      <c r="F5257" t="s">
        <v>38</v>
      </c>
      <c r="G5257" t="s">
        <v>36</v>
      </c>
      <c r="H5257" t="s">
        <v>43</v>
      </c>
      <c r="I5257" s="187">
        <v>307.00181241166388</v>
      </c>
      <c r="J5257" s="187">
        <v>173.12039303346762</v>
      </c>
      <c r="K5257" s="187">
        <v>1288.8979707904175</v>
      </c>
      <c r="L5257" s="187">
        <v>1869.7002447614504</v>
      </c>
      <c r="M5257" s="187">
        <v>3638.720458984375</v>
      </c>
      <c r="N5257" s="187">
        <v>2176.7021484375</v>
      </c>
      <c r="O5257" t="s">
        <v>5703</v>
      </c>
    </row>
    <row r="5258" spans="1:15" hidden="1" x14ac:dyDescent="0.45">
      <c r="A5258" s="187">
        <v>2022</v>
      </c>
      <c r="B5258" t="s">
        <v>315</v>
      </c>
      <c r="C5258" t="s">
        <v>322</v>
      </c>
      <c r="D5258" t="s">
        <v>35</v>
      </c>
      <c r="E5258" t="s">
        <v>38</v>
      </c>
      <c r="F5258" t="s">
        <v>38</v>
      </c>
      <c r="G5258" t="s">
        <v>36</v>
      </c>
      <c r="H5258" t="s">
        <v>43</v>
      </c>
      <c r="I5258" s="187">
        <v>289.019672273369</v>
      </c>
      <c r="J5258" s="187">
        <v>67.967846171100106</v>
      </c>
      <c r="K5258" s="187">
        <v>1760.5023288040334</v>
      </c>
      <c r="L5258" s="187">
        <v>2196.4942287627186</v>
      </c>
      <c r="M5258" s="187">
        <v>4313.98388671875</v>
      </c>
      <c r="N5258" s="187">
        <v>2485.513916015625</v>
      </c>
      <c r="O5258" t="s">
        <v>5701</v>
      </c>
    </row>
    <row r="5259" spans="1:15" hidden="1" x14ac:dyDescent="0.45">
      <c r="A5259" s="187">
        <v>2022</v>
      </c>
      <c r="B5259" t="s">
        <v>309</v>
      </c>
      <c r="C5259" t="s">
        <v>322</v>
      </c>
      <c r="D5259" t="s">
        <v>35</v>
      </c>
      <c r="E5259" t="s">
        <v>38</v>
      </c>
      <c r="F5259" t="s">
        <v>38</v>
      </c>
      <c r="G5259" t="s">
        <v>36</v>
      </c>
      <c r="H5259" t="s">
        <v>43</v>
      </c>
      <c r="I5259" s="187"/>
      <c r="J5259" s="187">
        <v>198.70276177136154</v>
      </c>
      <c r="K5259" s="187">
        <v>1368.18341950287</v>
      </c>
      <c r="L5259" s="187">
        <v>1597.5702046417466</v>
      </c>
      <c r="M5259" s="187">
        <v>3164.45654296875</v>
      </c>
      <c r="N5259" s="187">
        <v>1597.5701904296875</v>
      </c>
      <c r="O5259" t="s">
        <v>5699</v>
      </c>
    </row>
    <row r="5260" spans="1:15" hidden="1" x14ac:dyDescent="0.45">
      <c r="A5260" s="187">
        <v>2022</v>
      </c>
      <c r="B5260" t="s">
        <v>314</v>
      </c>
      <c r="C5260" t="s">
        <v>322</v>
      </c>
      <c r="D5260" t="s">
        <v>35</v>
      </c>
      <c r="E5260" t="s">
        <v>38</v>
      </c>
      <c r="F5260" t="s">
        <v>38</v>
      </c>
      <c r="G5260" t="s">
        <v>37</v>
      </c>
      <c r="H5260" t="s">
        <v>43</v>
      </c>
      <c r="I5260" s="187">
        <v>350.61788212675037</v>
      </c>
      <c r="J5260" s="187">
        <v>70</v>
      </c>
      <c r="K5260" s="187">
        <v>1436.2556427245231</v>
      </c>
      <c r="L5260" s="187">
        <v>2033</v>
      </c>
      <c r="M5260" s="187">
        <v>3889.87353515625</v>
      </c>
      <c r="N5260" s="187">
        <v>2383.617919921875</v>
      </c>
      <c r="O5260" t="s">
        <v>5707</v>
      </c>
    </row>
    <row r="5261" spans="1:15" hidden="1" x14ac:dyDescent="0.45">
      <c r="A5261" s="187">
        <v>2022</v>
      </c>
      <c r="B5261" t="s">
        <v>317</v>
      </c>
      <c r="C5261" t="s">
        <v>322</v>
      </c>
      <c r="D5261" t="s">
        <v>35</v>
      </c>
      <c r="E5261" t="s">
        <v>38</v>
      </c>
      <c r="F5261" t="s">
        <v>38</v>
      </c>
      <c r="G5261" t="s">
        <v>37</v>
      </c>
      <c r="H5261" t="s">
        <v>43</v>
      </c>
      <c r="I5261" s="187">
        <v>640.55999999999995</v>
      </c>
      <c r="J5261" s="187">
        <v>76.3</v>
      </c>
      <c r="K5261" s="187">
        <v>2525.9686662555559</v>
      </c>
      <c r="L5261" s="187">
        <v>3308</v>
      </c>
      <c r="M5261" s="187">
        <v>6550.82861328125</v>
      </c>
      <c r="N5261" s="187">
        <v>3948.56005859375</v>
      </c>
      <c r="O5261" t="s">
        <v>5704</v>
      </c>
    </row>
    <row r="5262" spans="1:15" x14ac:dyDescent="0.45">
      <c r="A5262" s="187">
        <v>2022</v>
      </c>
      <c r="B5262" t="s">
        <v>8570</v>
      </c>
      <c r="C5262" t="s">
        <v>322</v>
      </c>
      <c r="D5262" t="s">
        <v>35</v>
      </c>
      <c r="E5262" t="s">
        <v>38</v>
      </c>
      <c r="F5262" t="s">
        <v>38</v>
      </c>
      <c r="G5262" t="s">
        <v>37</v>
      </c>
      <c r="H5262" t="s">
        <v>43</v>
      </c>
      <c r="I5262" s="187">
        <v>205.84200000000001</v>
      </c>
      <c r="J5262" s="187">
        <v>220</v>
      </c>
      <c r="K5262" s="187">
        <v>2639.621530294186</v>
      </c>
      <c r="L5262" s="187">
        <v>1105</v>
      </c>
      <c r="M5262" s="187">
        <v>4170.4638671875</v>
      </c>
      <c r="N5262" s="187">
        <v>1310.842041015625</v>
      </c>
      <c r="O5262" t="s">
        <v>8586</v>
      </c>
    </row>
    <row r="5263" spans="1:15" hidden="1" x14ac:dyDescent="0.45">
      <c r="A5263" s="187">
        <v>2022</v>
      </c>
      <c r="B5263" t="s">
        <v>316</v>
      </c>
      <c r="C5263" t="s">
        <v>322</v>
      </c>
      <c r="D5263" t="s">
        <v>35</v>
      </c>
      <c r="E5263" t="s">
        <v>38</v>
      </c>
      <c r="F5263" t="s">
        <v>38</v>
      </c>
      <c r="G5263" t="s">
        <v>37</v>
      </c>
      <c r="H5263" t="s">
        <v>43</v>
      </c>
      <c r="I5263" s="187">
        <v>368</v>
      </c>
      <c r="J5263" s="187">
        <v>165</v>
      </c>
      <c r="K5263" s="187">
        <v>1815.5927133880739</v>
      </c>
      <c r="L5263" s="187">
        <v>3275</v>
      </c>
      <c r="M5263" s="187">
        <v>5623.5927734375</v>
      </c>
      <c r="N5263" s="187">
        <v>3643</v>
      </c>
      <c r="O5263" t="s">
        <v>5706</v>
      </c>
    </row>
    <row r="5264" spans="1:15" hidden="1" x14ac:dyDescent="0.45">
      <c r="A5264" s="187">
        <v>2022</v>
      </c>
      <c r="B5264" t="s">
        <v>310</v>
      </c>
      <c r="C5264" t="s">
        <v>322</v>
      </c>
      <c r="D5264" t="s">
        <v>35</v>
      </c>
      <c r="E5264" t="s">
        <v>38</v>
      </c>
      <c r="F5264" t="s">
        <v>38</v>
      </c>
      <c r="G5264" t="s">
        <v>37</v>
      </c>
      <c r="H5264" t="s">
        <v>43</v>
      </c>
      <c r="I5264" s="187"/>
      <c r="J5264" s="187">
        <v>129</v>
      </c>
      <c r="K5264" s="187">
        <v>1182.301587821097</v>
      </c>
      <c r="L5264" s="187">
        <v>1084</v>
      </c>
      <c r="M5264" s="187">
        <v>2395.3017578125</v>
      </c>
      <c r="N5264" s="187">
        <v>1084</v>
      </c>
      <c r="O5264" t="s">
        <v>5710</v>
      </c>
    </row>
    <row r="5265" spans="1:15" hidden="1" x14ac:dyDescent="0.45">
      <c r="A5265" s="187">
        <v>2022</v>
      </c>
      <c r="B5265" t="s">
        <v>311</v>
      </c>
      <c r="C5265" t="s">
        <v>322</v>
      </c>
      <c r="D5265" t="s">
        <v>35</v>
      </c>
      <c r="E5265" t="s">
        <v>38</v>
      </c>
      <c r="F5265" t="s">
        <v>38</v>
      </c>
      <c r="G5265" t="s">
        <v>37</v>
      </c>
      <c r="H5265" t="s">
        <v>43</v>
      </c>
      <c r="I5265" s="187"/>
      <c r="J5265" s="187">
        <v>80</v>
      </c>
      <c r="K5265" s="187">
        <v>1174.789268362807</v>
      </c>
      <c r="L5265" s="187">
        <v>2026</v>
      </c>
      <c r="M5265" s="187">
        <v>3280.789306640625</v>
      </c>
      <c r="N5265" s="187">
        <v>2026</v>
      </c>
      <c r="O5265" t="s">
        <v>5708</v>
      </c>
    </row>
    <row r="5266" spans="1:15" hidden="1" x14ac:dyDescent="0.45">
      <c r="A5266" s="187">
        <v>2022</v>
      </c>
      <c r="B5266" t="s">
        <v>309</v>
      </c>
      <c r="C5266" t="s">
        <v>322</v>
      </c>
      <c r="D5266" t="s">
        <v>35</v>
      </c>
      <c r="E5266" t="s">
        <v>38</v>
      </c>
      <c r="F5266" t="s">
        <v>38</v>
      </c>
      <c r="G5266" t="s">
        <v>37</v>
      </c>
      <c r="H5266" t="s">
        <v>43</v>
      </c>
      <c r="I5266" s="187"/>
      <c r="J5266" s="187">
        <v>177.495</v>
      </c>
      <c r="K5266" s="187">
        <v>1260.9166329590309</v>
      </c>
      <c r="L5266" s="187">
        <v>1544</v>
      </c>
      <c r="M5266" s="187">
        <v>2982.41162109375</v>
      </c>
      <c r="N5266" s="187">
        <v>1544</v>
      </c>
      <c r="O5266" t="s">
        <v>5712</v>
      </c>
    </row>
    <row r="5267" spans="1:15" hidden="1" x14ac:dyDescent="0.45">
      <c r="A5267" s="187">
        <v>2022</v>
      </c>
      <c r="B5267" t="s">
        <v>315</v>
      </c>
      <c r="C5267" t="s">
        <v>322</v>
      </c>
      <c r="D5267" t="s">
        <v>35</v>
      </c>
      <c r="E5267" t="s">
        <v>38</v>
      </c>
      <c r="F5267" t="s">
        <v>38</v>
      </c>
      <c r="G5267" t="s">
        <v>37</v>
      </c>
      <c r="H5267" t="s">
        <v>43</v>
      </c>
      <c r="I5267" s="187">
        <v>343.6419505309716</v>
      </c>
      <c r="J5267" s="187">
        <v>62</v>
      </c>
      <c r="K5267" s="187">
        <v>1645.1381065598889</v>
      </c>
      <c r="L5267" s="187">
        <v>2058</v>
      </c>
      <c r="M5267" s="187">
        <v>4108.7802734375</v>
      </c>
      <c r="N5267" s="187">
        <v>2401.641845703125</v>
      </c>
      <c r="O5267" t="s">
        <v>5711</v>
      </c>
    </row>
    <row r="5268" spans="1:15" hidden="1" x14ac:dyDescent="0.45">
      <c r="A5268" s="187">
        <v>2022</v>
      </c>
      <c r="B5268" t="s">
        <v>312</v>
      </c>
      <c r="C5268" t="s">
        <v>322</v>
      </c>
      <c r="D5268" t="s">
        <v>35</v>
      </c>
      <c r="E5268" t="s">
        <v>38</v>
      </c>
      <c r="F5268" t="s">
        <v>38</v>
      </c>
      <c r="G5268" t="s">
        <v>37</v>
      </c>
      <c r="H5268" t="s">
        <v>43</v>
      </c>
      <c r="I5268" s="187">
        <v>274.91098522456849</v>
      </c>
      <c r="J5268" s="187">
        <v>158</v>
      </c>
      <c r="K5268" s="187">
        <v>1170.1942649945299</v>
      </c>
      <c r="L5268" s="187">
        <v>1700</v>
      </c>
      <c r="M5268" s="187">
        <v>3303.105224609375</v>
      </c>
      <c r="N5268" s="187">
        <v>1974.9110107421875</v>
      </c>
      <c r="O5268" t="s">
        <v>5705</v>
      </c>
    </row>
    <row r="5269" spans="1:15" hidden="1" x14ac:dyDescent="0.45">
      <c r="A5269" s="187">
        <v>2022</v>
      </c>
      <c r="B5269" t="s">
        <v>313</v>
      </c>
      <c r="C5269" t="s">
        <v>322</v>
      </c>
      <c r="D5269" t="s">
        <v>35</v>
      </c>
      <c r="E5269" t="s">
        <v>38</v>
      </c>
      <c r="F5269" t="s">
        <v>38</v>
      </c>
      <c r="G5269" t="s">
        <v>37</v>
      </c>
      <c r="H5269" t="s">
        <v>43</v>
      </c>
      <c r="I5269" s="187">
        <v>273.54326888016766</v>
      </c>
      <c r="J5269" s="187">
        <v>55</v>
      </c>
      <c r="K5269" s="187">
        <v>1421.972195108247</v>
      </c>
      <c r="L5269" s="187">
        <v>1500.205908690059</v>
      </c>
      <c r="M5269" s="187">
        <v>3250.721435546875</v>
      </c>
      <c r="N5269" s="187">
        <v>1773.7491455078125</v>
      </c>
      <c r="O5269" t="s">
        <v>5709</v>
      </c>
    </row>
    <row r="5270" spans="1:15" hidden="1" x14ac:dyDescent="0.45">
      <c r="A5270" s="187">
        <v>2022</v>
      </c>
      <c r="B5270" t="s">
        <v>311</v>
      </c>
      <c r="C5270" t="s">
        <v>322</v>
      </c>
      <c r="D5270" t="s">
        <v>35</v>
      </c>
      <c r="E5270" t="s">
        <v>354</v>
      </c>
      <c r="F5270" t="s">
        <v>384</v>
      </c>
      <c r="G5270" t="s">
        <v>36</v>
      </c>
      <c r="H5270" t="s">
        <v>43</v>
      </c>
      <c r="I5270" s="187"/>
      <c r="J5270" s="187">
        <v>0</v>
      </c>
      <c r="K5270" s="187">
        <v>0</v>
      </c>
      <c r="L5270" s="187">
        <v>0</v>
      </c>
      <c r="M5270" s="187">
        <v>0</v>
      </c>
      <c r="N5270" s="187">
        <v>0</v>
      </c>
      <c r="O5270" t="s">
        <v>5719</v>
      </c>
    </row>
    <row r="5271" spans="1:15" hidden="1" x14ac:dyDescent="0.45">
      <c r="A5271" s="187">
        <v>2022</v>
      </c>
      <c r="B5271" t="s">
        <v>312</v>
      </c>
      <c r="C5271" t="s">
        <v>322</v>
      </c>
      <c r="D5271" t="s">
        <v>35</v>
      </c>
      <c r="E5271" t="s">
        <v>354</v>
      </c>
      <c r="F5271" t="s">
        <v>384</v>
      </c>
      <c r="G5271" t="s">
        <v>36</v>
      </c>
      <c r="H5271" t="s">
        <v>43</v>
      </c>
      <c r="I5271" s="187"/>
      <c r="J5271" s="187">
        <v>0</v>
      </c>
      <c r="K5271" s="187">
        <v>0</v>
      </c>
      <c r="L5271" s="187">
        <v>0</v>
      </c>
      <c r="M5271" s="187">
        <v>0</v>
      </c>
      <c r="N5271" s="187">
        <v>0</v>
      </c>
      <c r="O5271" t="s">
        <v>5720</v>
      </c>
    </row>
    <row r="5272" spans="1:15" x14ac:dyDescent="0.45">
      <c r="A5272" s="187">
        <v>2022</v>
      </c>
      <c r="B5272" t="s">
        <v>8570</v>
      </c>
      <c r="C5272" t="s">
        <v>322</v>
      </c>
      <c r="D5272" t="s">
        <v>35</v>
      </c>
      <c r="E5272" t="s">
        <v>354</v>
      </c>
      <c r="F5272" t="s">
        <v>384</v>
      </c>
      <c r="G5272" t="s">
        <v>36</v>
      </c>
      <c r="H5272" t="s">
        <v>43</v>
      </c>
      <c r="I5272" s="187">
        <v>0</v>
      </c>
      <c r="J5272" s="187">
        <v>0</v>
      </c>
      <c r="K5272" s="187">
        <v>0</v>
      </c>
      <c r="L5272" s="187">
        <v>0</v>
      </c>
      <c r="M5272" s="187">
        <v>0</v>
      </c>
      <c r="N5272" s="187">
        <v>0</v>
      </c>
      <c r="O5272" t="s">
        <v>8587</v>
      </c>
    </row>
    <row r="5273" spans="1:15" hidden="1" x14ac:dyDescent="0.45">
      <c r="A5273" s="187">
        <v>2022</v>
      </c>
      <c r="B5273" t="s">
        <v>315</v>
      </c>
      <c r="C5273" t="s">
        <v>322</v>
      </c>
      <c r="D5273" t="s">
        <v>35</v>
      </c>
      <c r="E5273" t="s">
        <v>354</v>
      </c>
      <c r="F5273" t="s">
        <v>384</v>
      </c>
      <c r="G5273" t="s">
        <v>36</v>
      </c>
      <c r="H5273" t="s">
        <v>43</v>
      </c>
      <c r="I5273" s="187">
        <v>0</v>
      </c>
      <c r="J5273" s="187">
        <v>0</v>
      </c>
      <c r="K5273" s="187">
        <v>0</v>
      </c>
      <c r="L5273" s="187">
        <v>0</v>
      </c>
      <c r="M5273" s="187">
        <v>0</v>
      </c>
      <c r="N5273" s="187">
        <v>0</v>
      </c>
      <c r="O5273" t="s">
        <v>5718</v>
      </c>
    </row>
    <row r="5274" spans="1:15" hidden="1" x14ac:dyDescent="0.45">
      <c r="A5274" s="187">
        <v>2022</v>
      </c>
      <c r="B5274" t="s">
        <v>310</v>
      </c>
      <c r="C5274" t="s">
        <v>322</v>
      </c>
      <c r="D5274" t="s">
        <v>35</v>
      </c>
      <c r="E5274" t="s">
        <v>354</v>
      </c>
      <c r="F5274" t="s">
        <v>384</v>
      </c>
      <c r="G5274" t="s">
        <v>36</v>
      </c>
      <c r="H5274" t="s">
        <v>43</v>
      </c>
      <c r="I5274" s="187"/>
      <c r="J5274" s="187">
        <v>0</v>
      </c>
      <c r="K5274" s="187">
        <v>0</v>
      </c>
      <c r="L5274" s="187">
        <v>0</v>
      </c>
      <c r="M5274" s="187">
        <v>0</v>
      </c>
      <c r="N5274" s="187">
        <v>0</v>
      </c>
      <c r="O5274" t="s">
        <v>5717</v>
      </c>
    </row>
    <row r="5275" spans="1:15" hidden="1" x14ac:dyDescent="0.45">
      <c r="A5275" s="187">
        <v>2022</v>
      </c>
      <c r="B5275" t="s">
        <v>313</v>
      </c>
      <c r="C5275" t="s">
        <v>322</v>
      </c>
      <c r="D5275" t="s">
        <v>35</v>
      </c>
      <c r="E5275" t="s">
        <v>354</v>
      </c>
      <c r="F5275" t="s">
        <v>384</v>
      </c>
      <c r="G5275" t="s">
        <v>36</v>
      </c>
      <c r="H5275" t="s">
        <v>43</v>
      </c>
      <c r="I5275" s="187">
        <v>0</v>
      </c>
      <c r="J5275" s="187">
        <v>0</v>
      </c>
      <c r="K5275" s="187">
        <v>0</v>
      </c>
      <c r="L5275" s="187">
        <v>0</v>
      </c>
      <c r="M5275" s="187">
        <v>0</v>
      </c>
      <c r="N5275" s="187">
        <v>0</v>
      </c>
      <c r="O5275" t="s">
        <v>5721</v>
      </c>
    </row>
    <row r="5276" spans="1:15" hidden="1" x14ac:dyDescent="0.45">
      <c r="A5276" s="187">
        <v>2022</v>
      </c>
      <c r="B5276" t="s">
        <v>316</v>
      </c>
      <c r="C5276" t="s">
        <v>322</v>
      </c>
      <c r="D5276" t="s">
        <v>35</v>
      </c>
      <c r="E5276" t="s">
        <v>354</v>
      </c>
      <c r="F5276" t="s">
        <v>384</v>
      </c>
      <c r="G5276" t="s">
        <v>36</v>
      </c>
      <c r="H5276" t="s">
        <v>43</v>
      </c>
      <c r="I5276" s="187">
        <v>0</v>
      </c>
      <c r="J5276" s="187">
        <v>44.058153545428361</v>
      </c>
      <c r="K5276" s="187">
        <v>0</v>
      </c>
      <c r="L5276" s="187">
        <v>0</v>
      </c>
      <c r="M5276" s="187">
        <v>44.058155059814453</v>
      </c>
      <c r="N5276" s="187">
        <v>0</v>
      </c>
      <c r="O5276" t="s">
        <v>5714</v>
      </c>
    </row>
    <row r="5277" spans="1:15" hidden="1" x14ac:dyDescent="0.45">
      <c r="A5277" s="187">
        <v>2022</v>
      </c>
      <c r="B5277" t="s">
        <v>309</v>
      </c>
      <c r="C5277" t="s">
        <v>322</v>
      </c>
      <c r="D5277" t="s">
        <v>35</v>
      </c>
      <c r="E5277" t="s">
        <v>354</v>
      </c>
      <c r="F5277" t="s">
        <v>384</v>
      </c>
      <c r="G5277" t="s">
        <v>36</v>
      </c>
      <c r="H5277" t="s">
        <v>43</v>
      </c>
      <c r="I5277" s="187"/>
      <c r="J5277" s="187">
        <v>0</v>
      </c>
      <c r="K5277" s="187">
        <v>0</v>
      </c>
      <c r="L5277" s="187">
        <v>0</v>
      </c>
      <c r="M5277" s="187">
        <v>0</v>
      </c>
      <c r="N5277" s="187">
        <v>0</v>
      </c>
      <c r="O5277" t="s">
        <v>5716</v>
      </c>
    </row>
    <row r="5278" spans="1:15" hidden="1" x14ac:dyDescent="0.45">
      <c r="A5278" s="187">
        <v>2022</v>
      </c>
      <c r="B5278" t="s">
        <v>317</v>
      </c>
      <c r="C5278" t="s">
        <v>322</v>
      </c>
      <c r="D5278" t="s">
        <v>35</v>
      </c>
      <c r="E5278" t="s">
        <v>354</v>
      </c>
      <c r="F5278" t="s">
        <v>384</v>
      </c>
      <c r="G5278" t="s">
        <v>36</v>
      </c>
      <c r="H5278" t="s">
        <v>43</v>
      </c>
      <c r="I5278" s="187">
        <v>0</v>
      </c>
      <c r="J5278" s="187">
        <v>0</v>
      </c>
      <c r="K5278" s="187">
        <v>0</v>
      </c>
      <c r="L5278" s="187">
        <v>0</v>
      </c>
      <c r="M5278" s="187">
        <v>0</v>
      </c>
      <c r="N5278" s="187">
        <v>0</v>
      </c>
      <c r="O5278" t="s">
        <v>5713</v>
      </c>
    </row>
    <row r="5279" spans="1:15" hidden="1" x14ac:dyDescent="0.45">
      <c r="A5279" s="187">
        <v>2022</v>
      </c>
      <c r="B5279" t="s">
        <v>314</v>
      </c>
      <c r="C5279" t="s">
        <v>322</v>
      </c>
      <c r="D5279" t="s">
        <v>35</v>
      </c>
      <c r="E5279" t="s">
        <v>354</v>
      </c>
      <c r="F5279" t="s">
        <v>384</v>
      </c>
      <c r="G5279" t="s">
        <v>36</v>
      </c>
      <c r="H5279" t="s">
        <v>43</v>
      </c>
      <c r="I5279" s="187">
        <v>0</v>
      </c>
      <c r="J5279" s="187">
        <v>0</v>
      </c>
      <c r="K5279" s="187">
        <v>0</v>
      </c>
      <c r="L5279" s="187">
        <v>0</v>
      </c>
      <c r="M5279" s="187">
        <v>0</v>
      </c>
      <c r="N5279" s="187">
        <v>0</v>
      </c>
      <c r="O5279" t="s">
        <v>5715</v>
      </c>
    </row>
    <row r="5280" spans="1:15" hidden="1" x14ac:dyDescent="0.45">
      <c r="A5280" s="187">
        <v>2022</v>
      </c>
      <c r="B5280" t="s">
        <v>317</v>
      </c>
      <c r="C5280" t="s">
        <v>322</v>
      </c>
      <c r="D5280" t="s">
        <v>35</v>
      </c>
      <c r="E5280" t="s">
        <v>354</v>
      </c>
      <c r="F5280" t="s">
        <v>384</v>
      </c>
      <c r="G5280" t="s">
        <v>37</v>
      </c>
      <c r="H5280" t="s">
        <v>43</v>
      </c>
      <c r="I5280" s="187">
        <v>0</v>
      </c>
      <c r="J5280" s="187">
        <v>0</v>
      </c>
      <c r="K5280" s="187">
        <v>0</v>
      </c>
      <c r="L5280" s="187">
        <v>0</v>
      </c>
      <c r="M5280" s="187">
        <v>0</v>
      </c>
      <c r="N5280" s="187">
        <v>0</v>
      </c>
      <c r="O5280" t="s">
        <v>5722</v>
      </c>
    </row>
    <row r="5281" spans="1:15" hidden="1" x14ac:dyDescent="0.45">
      <c r="A5281" s="187">
        <v>2022</v>
      </c>
      <c r="B5281" t="s">
        <v>311</v>
      </c>
      <c r="C5281" t="s">
        <v>322</v>
      </c>
      <c r="D5281" t="s">
        <v>35</v>
      </c>
      <c r="E5281" t="s">
        <v>354</v>
      </c>
      <c r="F5281" t="s">
        <v>384</v>
      </c>
      <c r="G5281" t="s">
        <v>37</v>
      </c>
      <c r="H5281" t="s">
        <v>43</v>
      </c>
      <c r="I5281" s="187"/>
      <c r="J5281" s="187">
        <v>0</v>
      </c>
      <c r="K5281" s="187">
        <v>0</v>
      </c>
      <c r="L5281" s="187">
        <v>0</v>
      </c>
      <c r="M5281" s="187">
        <v>0</v>
      </c>
      <c r="N5281" s="187">
        <v>0</v>
      </c>
      <c r="O5281" t="s">
        <v>5726</v>
      </c>
    </row>
    <row r="5282" spans="1:15" hidden="1" x14ac:dyDescent="0.45">
      <c r="A5282" s="187">
        <v>2022</v>
      </c>
      <c r="B5282" t="s">
        <v>313</v>
      </c>
      <c r="C5282" t="s">
        <v>322</v>
      </c>
      <c r="D5282" t="s">
        <v>35</v>
      </c>
      <c r="E5282" t="s">
        <v>354</v>
      </c>
      <c r="F5282" t="s">
        <v>384</v>
      </c>
      <c r="G5282" t="s">
        <v>37</v>
      </c>
      <c r="H5282" t="s">
        <v>43</v>
      </c>
      <c r="I5282" s="187"/>
      <c r="J5282" s="187">
        <v>0</v>
      </c>
      <c r="K5282" s="187">
        <v>0</v>
      </c>
      <c r="L5282" s="187">
        <v>0</v>
      </c>
      <c r="M5282" s="187">
        <v>0</v>
      </c>
      <c r="N5282" s="187">
        <v>0</v>
      </c>
      <c r="O5282" t="s">
        <v>5723</v>
      </c>
    </row>
    <row r="5283" spans="1:15" hidden="1" x14ac:dyDescent="0.45">
      <c r="A5283" s="187">
        <v>2022</v>
      </c>
      <c r="B5283" t="s">
        <v>312</v>
      </c>
      <c r="C5283" t="s">
        <v>322</v>
      </c>
      <c r="D5283" t="s">
        <v>35</v>
      </c>
      <c r="E5283" t="s">
        <v>354</v>
      </c>
      <c r="F5283" t="s">
        <v>384</v>
      </c>
      <c r="G5283" t="s">
        <v>37</v>
      </c>
      <c r="H5283" t="s">
        <v>43</v>
      </c>
      <c r="I5283" s="187"/>
      <c r="J5283" s="187">
        <v>0</v>
      </c>
      <c r="K5283" s="187">
        <v>0</v>
      </c>
      <c r="L5283" s="187">
        <v>0</v>
      </c>
      <c r="M5283" s="187">
        <v>0</v>
      </c>
      <c r="N5283" s="187">
        <v>0</v>
      </c>
      <c r="O5283" t="s">
        <v>5727</v>
      </c>
    </row>
    <row r="5284" spans="1:15" hidden="1" x14ac:dyDescent="0.45">
      <c r="A5284" s="187">
        <v>2022</v>
      </c>
      <c r="B5284" t="s">
        <v>310</v>
      </c>
      <c r="C5284" t="s">
        <v>322</v>
      </c>
      <c r="D5284" t="s">
        <v>35</v>
      </c>
      <c r="E5284" t="s">
        <v>354</v>
      </c>
      <c r="F5284" t="s">
        <v>384</v>
      </c>
      <c r="G5284" t="s">
        <v>37</v>
      </c>
      <c r="H5284" t="s">
        <v>43</v>
      </c>
      <c r="I5284" s="187"/>
      <c r="J5284" s="187">
        <v>0</v>
      </c>
      <c r="K5284" s="187">
        <v>0</v>
      </c>
      <c r="L5284" s="187">
        <v>0</v>
      </c>
      <c r="M5284" s="187">
        <v>0</v>
      </c>
      <c r="N5284" s="187">
        <v>0</v>
      </c>
      <c r="O5284" t="s">
        <v>5728</v>
      </c>
    </row>
    <row r="5285" spans="1:15" hidden="1" x14ac:dyDescent="0.45">
      <c r="A5285" s="187">
        <v>2022</v>
      </c>
      <c r="B5285" t="s">
        <v>316</v>
      </c>
      <c r="C5285" t="s">
        <v>322</v>
      </c>
      <c r="D5285" t="s">
        <v>35</v>
      </c>
      <c r="E5285" t="s">
        <v>354</v>
      </c>
      <c r="F5285" t="s">
        <v>384</v>
      </c>
      <c r="G5285" t="s">
        <v>37</v>
      </c>
      <c r="H5285" t="s">
        <v>43</v>
      </c>
      <c r="I5285" s="187">
        <v>0</v>
      </c>
      <c r="J5285" s="187">
        <v>40</v>
      </c>
      <c r="K5285" s="187">
        <v>0</v>
      </c>
      <c r="L5285" s="187">
        <v>0</v>
      </c>
      <c r="M5285" s="187">
        <v>40</v>
      </c>
      <c r="N5285" s="187">
        <v>0</v>
      </c>
      <c r="O5285" t="s">
        <v>5724</v>
      </c>
    </row>
    <row r="5286" spans="1:15" hidden="1" x14ac:dyDescent="0.45">
      <c r="A5286" s="187">
        <v>2022</v>
      </c>
      <c r="B5286" t="s">
        <v>315</v>
      </c>
      <c r="C5286" t="s">
        <v>322</v>
      </c>
      <c r="D5286" t="s">
        <v>35</v>
      </c>
      <c r="E5286" t="s">
        <v>354</v>
      </c>
      <c r="F5286" t="s">
        <v>384</v>
      </c>
      <c r="G5286" t="s">
        <v>37</v>
      </c>
      <c r="H5286" t="s">
        <v>43</v>
      </c>
      <c r="I5286" s="187">
        <v>0</v>
      </c>
      <c r="J5286" s="187">
        <v>0</v>
      </c>
      <c r="K5286" s="187">
        <v>0</v>
      </c>
      <c r="L5286" s="187">
        <v>0</v>
      </c>
      <c r="M5286" s="187">
        <v>0</v>
      </c>
      <c r="N5286" s="187">
        <v>0</v>
      </c>
      <c r="O5286" t="s">
        <v>5725</v>
      </c>
    </row>
    <row r="5287" spans="1:15" hidden="1" x14ac:dyDescent="0.45">
      <c r="A5287" s="187">
        <v>2022</v>
      </c>
      <c r="B5287" t="s">
        <v>309</v>
      </c>
      <c r="C5287" t="s">
        <v>322</v>
      </c>
      <c r="D5287" t="s">
        <v>35</v>
      </c>
      <c r="E5287" t="s">
        <v>354</v>
      </c>
      <c r="F5287" t="s">
        <v>384</v>
      </c>
      <c r="G5287" t="s">
        <v>37</v>
      </c>
      <c r="H5287" t="s">
        <v>43</v>
      </c>
      <c r="I5287" s="187"/>
      <c r="J5287" s="187">
        <v>0</v>
      </c>
      <c r="K5287" s="187">
        <v>0</v>
      </c>
      <c r="L5287" s="187">
        <v>0</v>
      </c>
      <c r="M5287" s="187">
        <v>0</v>
      </c>
      <c r="N5287" s="187">
        <v>0</v>
      </c>
      <c r="O5287" t="s">
        <v>5729</v>
      </c>
    </row>
    <row r="5288" spans="1:15" x14ac:dyDescent="0.45">
      <c r="A5288" s="187">
        <v>2022</v>
      </c>
      <c r="B5288" t="s">
        <v>8570</v>
      </c>
      <c r="C5288" t="s">
        <v>322</v>
      </c>
      <c r="D5288" t="s">
        <v>35</v>
      </c>
      <c r="E5288" t="s">
        <v>354</v>
      </c>
      <c r="F5288" t="s">
        <v>384</v>
      </c>
      <c r="G5288" t="s">
        <v>37</v>
      </c>
      <c r="H5288" t="s">
        <v>43</v>
      </c>
      <c r="I5288" s="187">
        <v>0</v>
      </c>
      <c r="J5288" s="187">
        <v>0</v>
      </c>
      <c r="K5288" s="187">
        <v>0</v>
      </c>
      <c r="L5288" s="187">
        <v>0</v>
      </c>
      <c r="M5288" s="187">
        <v>0</v>
      </c>
      <c r="N5288" s="187">
        <v>0</v>
      </c>
      <c r="O5288" t="s">
        <v>8588</v>
      </c>
    </row>
    <row r="5289" spans="1:15" hidden="1" x14ac:dyDescent="0.45">
      <c r="A5289" s="187">
        <v>2022</v>
      </c>
      <c r="B5289" t="s">
        <v>314</v>
      </c>
      <c r="C5289" t="s">
        <v>322</v>
      </c>
      <c r="D5289" t="s">
        <v>35</v>
      </c>
      <c r="E5289" t="s">
        <v>354</v>
      </c>
      <c r="F5289" t="s">
        <v>384</v>
      </c>
      <c r="G5289" t="s">
        <v>37</v>
      </c>
      <c r="H5289" t="s">
        <v>43</v>
      </c>
      <c r="I5289" s="187">
        <v>0</v>
      </c>
      <c r="J5289" s="187">
        <v>0</v>
      </c>
      <c r="K5289" s="187">
        <v>0</v>
      </c>
      <c r="L5289" s="187">
        <v>0</v>
      </c>
      <c r="M5289" s="187">
        <v>0</v>
      </c>
      <c r="N5289" s="187">
        <v>0</v>
      </c>
      <c r="O5289" t="s">
        <v>5730</v>
      </c>
    </row>
    <row r="5290" spans="1:15" hidden="1" x14ac:dyDescent="0.45">
      <c r="A5290" s="187">
        <v>2022</v>
      </c>
      <c r="B5290" t="s">
        <v>309</v>
      </c>
      <c r="C5290" t="s">
        <v>322</v>
      </c>
      <c r="D5290" t="s">
        <v>35</v>
      </c>
      <c r="E5290" t="s">
        <v>354</v>
      </c>
      <c r="F5290" t="s">
        <v>385</v>
      </c>
      <c r="G5290" t="s">
        <v>36</v>
      </c>
      <c r="H5290" t="s">
        <v>43</v>
      </c>
      <c r="I5290" s="187"/>
      <c r="J5290" s="187">
        <v>59.610828531408458</v>
      </c>
      <c r="K5290" s="187">
        <v>2030.3525021054286</v>
      </c>
      <c r="L5290" s="187">
        <v>0</v>
      </c>
      <c r="M5290" s="187">
        <v>2089.96337890625</v>
      </c>
      <c r="N5290" s="187">
        <v>0</v>
      </c>
      <c r="O5290" t="s">
        <v>5733</v>
      </c>
    </row>
    <row r="5291" spans="1:15" hidden="1" x14ac:dyDescent="0.45">
      <c r="A5291" s="187">
        <v>2022</v>
      </c>
      <c r="B5291" t="s">
        <v>310</v>
      </c>
      <c r="C5291" t="s">
        <v>322</v>
      </c>
      <c r="D5291" t="s">
        <v>35</v>
      </c>
      <c r="E5291" t="s">
        <v>354</v>
      </c>
      <c r="F5291" t="s">
        <v>385</v>
      </c>
      <c r="G5291" t="s">
        <v>36</v>
      </c>
      <c r="H5291" t="s">
        <v>43</v>
      </c>
      <c r="I5291" s="187"/>
      <c r="J5291" s="187">
        <v>0</v>
      </c>
      <c r="K5291" s="187">
        <v>2003.4893058323175</v>
      </c>
      <c r="L5291" s="187">
        <v>0</v>
      </c>
      <c r="M5291" s="187">
        <v>2003.4892578125</v>
      </c>
      <c r="N5291" s="187">
        <v>0</v>
      </c>
      <c r="O5291" t="s">
        <v>5735</v>
      </c>
    </row>
    <row r="5292" spans="1:15" hidden="1" x14ac:dyDescent="0.45">
      <c r="A5292" s="187">
        <v>2022</v>
      </c>
      <c r="B5292" t="s">
        <v>314</v>
      </c>
      <c r="C5292" t="s">
        <v>322</v>
      </c>
      <c r="D5292" t="s">
        <v>35</v>
      </c>
      <c r="E5292" t="s">
        <v>354</v>
      </c>
      <c r="F5292" t="s">
        <v>385</v>
      </c>
      <c r="G5292" t="s">
        <v>36</v>
      </c>
      <c r="H5292" t="s">
        <v>43</v>
      </c>
      <c r="I5292" s="187">
        <v>0</v>
      </c>
      <c r="J5292" s="187">
        <v>46.592826443955992</v>
      </c>
      <c r="K5292" s="187">
        <v>1159.0773097491592</v>
      </c>
      <c r="L5292" s="187">
        <v>0</v>
      </c>
      <c r="M5292" s="187">
        <v>1205.670166015625</v>
      </c>
      <c r="N5292" s="187">
        <v>0</v>
      </c>
      <c r="O5292" t="s">
        <v>5734</v>
      </c>
    </row>
    <row r="5293" spans="1:15" hidden="1" x14ac:dyDescent="0.45">
      <c r="A5293" s="187">
        <v>2022</v>
      </c>
      <c r="B5293" t="s">
        <v>311</v>
      </c>
      <c r="C5293" t="s">
        <v>322</v>
      </c>
      <c r="D5293" t="s">
        <v>35</v>
      </c>
      <c r="E5293" t="s">
        <v>354</v>
      </c>
      <c r="F5293" t="s">
        <v>385</v>
      </c>
      <c r="G5293" t="s">
        <v>36</v>
      </c>
      <c r="H5293" t="s">
        <v>43</v>
      </c>
      <c r="I5293" s="187"/>
      <c r="J5293" s="187">
        <v>51.011764906200156</v>
      </c>
      <c r="K5293" s="187">
        <v>1915.2214425374789</v>
      </c>
      <c r="L5293" s="187">
        <v>0</v>
      </c>
      <c r="M5293" s="187">
        <v>1966.233154296875</v>
      </c>
      <c r="N5293" s="187">
        <v>0</v>
      </c>
      <c r="O5293" t="s">
        <v>5731</v>
      </c>
    </row>
    <row r="5294" spans="1:15" hidden="1" x14ac:dyDescent="0.45">
      <c r="A5294" s="187">
        <v>2022</v>
      </c>
      <c r="B5294" t="s">
        <v>317</v>
      </c>
      <c r="C5294" t="s">
        <v>322</v>
      </c>
      <c r="D5294" t="s">
        <v>35</v>
      </c>
      <c r="E5294" t="s">
        <v>354</v>
      </c>
      <c r="F5294" t="s">
        <v>385</v>
      </c>
      <c r="G5294" t="s">
        <v>36</v>
      </c>
      <c r="H5294" t="s">
        <v>43</v>
      </c>
      <c r="I5294" s="187">
        <v>54.025454784332467</v>
      </c>
      <c r="J5294" s="187">
        <v>76.716145793752105</v>
      </c>
      <c r="K5294" s="187">
        <v>846.00984371202196</v>
      </c>
      <c r="L5294" s="187">
        <v>1467.3313519424698</v>
      </c>
      <c r="M5294" s="187">
        <v>2444.082763671875</v>
      </c>
      <c r="N5294" s="187">
        <v>1521.3568115234375</v>
      </c>
      <c r="O5294" t="s">
        <v>5738</v>
      </c>
    </row>
    <row r="5295" spans="1:15" hidden="1" x14ac:dyDescent="0.45">
      <c r="A5295" s="187">
        <v>2022</v>
      </c>
      <c r="B5295" t="s">
        <v>316</v>
      </c>
      <c r="C5295" t="s">
        <v>322</v>
      </c>
      <c r="D5295" t="s">
        <v>35</v>
      </c>
      <c r="E5295" t="s">
        <v>354</v>
      </c>
      <c r="F5295" t="s">
        <v>385</v>
      </c>
      <c r="G5295" t="s">
        <v>36</v>
      </c>
      <c r="H5295" t="s">
        <v>43</v>
      </c>
      <c r="I5295" s="187">
        <v>0</v>
      </c>
      <c r="J5295" s="187">
        <v>22.029076772714181</v>
      </c>
      <c r="K5295" s="187">
        <v>1397.163001584265</v>
      </c>
      <c r="L5295" s="187">
        <v>58.377053447692582</v>
      </c>
      <c r="M5295" s="187">
        <v>1477.5692138671875</v>
      </c>
      <c r="N5295" s="187">
        <v>58.377052307128906</v>
      </c>
      <c r="O5295" t="s">
        <v>5737</v>
      </c>
    </row>
    <row r="5296" spans="1:15" hidden="1" x14ac:dyDescent="0.45">
      <c r="A5296" s="187">
        <v>2022</v>
      </c>
      <c r="B5296" t="s">
        <v>313</v>
      </c>
      <c r="C5296" t="s">
        <v>322</v>
      </c>
      <c r="D5296" t="s">
        <v>35</v>
      </c>
      <c r="E5296" t="s">
        <v>354</v>
      </c>
      <c r="F5296" t="s">
        <v>385</v>
      </c>
      <c r="G5296" t="s">
        <v>36</v>
      </c>
      <c r="H5296" t="s">
        <v>43</v>
      </c>
      <c r="I5296" s="187">
        <v>0</v>
      </c>
      <c r="J5296" s="187">
        <v>47.915674981282514</v>
      </c>
      <c r="K5296" s="187">
        <v>1850.9399795310512</v>
      </c>
      <c r="L5296" s="187">
        <v>0</v>
      </c>
      <c r="M5296" s="187">
        <v>1898.855712890625</v>
      </c>
      <c r="N5296" s="187">
        <v>0</v>
      </c>
      <c r="O5296" t="s">
        <v>5739</v>
      </c>
    </row>
    <row r="5297" spans="1:15" hidden="1" x14ac:dyDescent="0.45">
      <c r="A5297" s="187">
        <v>2022</v>
      </c>
      <c r="B5297" t="s">
        <v>312</v>
      </c>
      <c r="C5297" t="s">
        <v>322</v>
      </c>
      <c r="D5297" t="s">
        <v>35</v>
      </c>
      <c r="E5297" t="s">
        <v>354</v>
      </c>
      <c r="F5297" t="s">
        <v>385</v>
      </c>
      <c r="G5297" t="s">
        <v>36</v>
      </c>
      <c r="H5297" t="s">
        <v>43</v>
      </c>
      <c r="I5297" s="187"/>
      <c r="J5297" s="187">
        <v>43.280098258366905</v>
      </c>
      <c r="K5297" s="187">
        <v>2252.1581717260283</v>
      </c>
      <c r="L5297" s="187">
        <v>0</v>
      </c>
      <c r="M5297" s="187">
        <v>2295.438232421875</v>
      </c>
      <c r="N5297" s="187">
        <v>0</v>
      </c>
      <c r="O5297" t="s">
        <v>5736</v>
      </c>
    </row>
    <row r="5298" spans="1:15" hidden="1" x14ac:dyDescent="0.45">
      <c r="A5298" s="187">
        <v>2022</v>
      </c>
      <c r="B5298" t="s">
        <v>315</v>
      </c>
      <c r="C5298" t="s">
        <v>322</v>
      </c>
      <c r="D5298" t="s">
        <v>35</v>
      </c>
      <c r="E5298" t="s">
        <v>354</v>
      </c>
      <c r="F5298" t="s">
        <v>385</v>
      </c>
      <c r="G5298" t="s">
        <v>36</v>
      </c>
      <c r="H5298" t="s">
        <v>43</v>
      </c>
      <c r="I5298" s="187">
        <v>0</v>
      </c>
      <c r="J5298" s="187">
        <v>45.311897447400071</v>
      </c>
      <c r="K5298" s="187">
        <v>1289.9083670152011</v>
      </c>
      <c r="L5298" s="187">
        <v>60.038264117805099</v>
      </c>
      <c r="M5298" s="187">
        <v>1395.2584228515625</v>
      </c>
      <c r="N5298" s="187">
        <v>60.038265228271484</v>
      </c>
      <c r="O5298" t="s">
        <v>5732</v>
      </c>
    </row>
    <row r="5299" spans="1:15" x14ac:dyDescent="0.45">
      <c r="A5299" s="187">
        <v>2022</v>
      </c>
      <c r="B5299" t="s">
        <v>8570</v>
      </c>
      <c r="C5299" t="s">
        <v>322</v>
      </c>
      <c r="D5299" t="s">
        <v>35</v>
      </c>
      <c r="E5299" t="s">
        <v>354</v>
      </c>
      <c r="F5299" t="s">
        <v>385</v>
      </c>
      <c r="G5299" t="s">
        <v>36</v>
      </c>
      <c r="H5299" t="s">
        <v>43</v>
      </c>
      <c r="I5299" s="187">
        <v>72.34</v>
      </c>
      <c r="J5299" s="187">
        <v>28</v>
      </c>
      <c r="K5299" s="187">
        <v>1654.9971381414121</v>
      </c>
      <c r="L5299" s="187">
        <v>446</v>
      </c>
      <c r="M5299" s="187">
        <v>2201.337158203125</v>
      </c>
      <c r="N5299" s="187">
        <v>518.3399658203125</v>
      </c>
      <c r="O5299" t="s">
        <v>8589</v>
      </c>
    </row>
    <row r="5300" spans="1:15" hidden="1" x14ac:dyDescent="0.45">
      <c r="A5300" s="187">
        <v>2022</v>
      </c>
      <c r="B5300" t="s">
        <v>312</v>
      </c>
      <c r="C5300" t="s">
        <v>322</v>
      </c>
      <c r="D5300" t="s">
        <v>35</v>
      </c>
      <c r="E5300" t="s">
        <v>354</v>
      </c>
      <c r="F5300" t="s">
        <v>385</v>
      </c>
      <c r="G5300" t="s">
        <v>37</v>
      </c>
      <c r="H5300" t="s">
        <v>43</v>
      </c>
      <c r="I5300" s="187"/>
      <c r="J5300" s="187">
        <v>39</v>
      </c>
      <c r="K5300" s="187">
        <v>2044.741039353305</v>
      </c>
      <c r="L5300" s="187">
        <v>0</v>
      </c>
      <c r="M5300" s="187">
        <v>2083.740966796875</v>
      </c>
      <c r="N5300" s="187">
        <v>0</v>
      </c>
      <c r="O5300" t="s">
        <v>5742</v>
      </c>
    </row>
    <row r="5301" spans="1:15" hidden="1" x14ac:dyDescent="0.45">
      <c r="A5301" s="187">
        <v>2022</v>
      </c>
      <c r="B5301" t="s">
        <v>311</v>
      </c>
      <c r="C5301" t="s">
        <v>322</v>
      </c>
      <c r="D5301" t="s">
        <v>35</v>
      </c>
      <c r="E5301" t="s">
        <v>354</v>
      </c>
      <c r="F5301" t="s">
        <v>385</v>
      </c>
      <c r="G5301" t="s">
        <v>37</v>
      </c>
      <c r="H5301" t="s">
        <v>43</v>
      </c>
      <c r="I5301" s="187"/>
      <c r="J5301" s="187">
        <v>46</v>
      </c>
      <c r="K5301" s="187">
        <v>1712.4904316099869</v>
      </c>
      <c r="L5301" s="187">
        <v>0</v>
      </c>
      <c r="M5301" s="187">
        <v>1758.490478515625</v>
      </c>
      <c r="N5301" s="187">
        <v>0</v>
      </c>
      <c r="O5301" t="s">
        <v>5746</v>
      </c>
    </row>
    <row r="5302" spans="1:15" x14ac:dyDescent="0.45">
      <c r="A5302" s="187">
        <v>2022</v>
      </c>
      <c r="B5302" t="s">
        <v>8570</v>
      </c>
      <c r="C5302" t="s">
        <v>322</v>
      </c>
      <c r="D5302" t="s">
        <v>35</v>
      </c>
      <c r="E5302" t="s">
        <v>354</v>
      </c>
      <c r="F5302" t="s">
        <v>385</v>
      </c>
      <c r="G5302" t="s">
        <v>37</v>
      </c>
      <c r="H5302" t="s">
        <v>43</v>
      </c>
      <c r="I5302" s="187">
        <v>72.34</v>
      </c>
      <c r="J5302" s="187">
        <v>28</v>
      </c>
      <c r="K5302" s="187">
        <v>1654.9971381414121</v>
      </c>
      <c r="L5302" s="187">
        <v>446</v>
      </c>
      <c r="M5302" s="187">
        <v>2201.337158203125</v>
      </c>
      <c r="N5302" s="187">
        <v>518.3399658203125</v>
      </c>
      <c r="O5302" t="s">
        <v>8590</v>
      </c>
    </row>
    <row r="5303" spans="1:15" hidden="1" x14ac:dyDescent="0.45">
      <c r="A5303" s="187">
        <v>2022</v>
      </c>
      <c r="B5303" t="s">
        <v>317</v>
      </c>
      <c r="C5303" t="s">
        <v>322</v>
      </c>
      <c r="D5303" t="s">
        <v>35</v>
      </c>
      <c r="E5303" t="s">
        <v>354</v>
      </c>
      <c r="F5303" t="s">
        <v>385</v>
      </c>
      <c r="G5303" t="s">
        <v>37</v>
      </c>
      <c r="H5303" t="s">
        <v>43</v>
      </c>
      <c r="I5303" s="187">
        <v>51</v>
      </c>
      <c r="J5303" s="187">
        <v>71</v>
      </c>
      <c r="K5303" s="187">
        <v>795.64412142947606</v>
      </c>
      <c r="L5303" s="187">
        <v>1384</v>
      </c>
      <c r="M5303" s="187">
        <v>2301.64404296875</v>
      </c>
      <c r="N5303" s="187">
        <v>1435</v>
      </c>
      <c r="O5303" t="s">
        <v>5744</v>
      </c>
    </row>
    <row r="5304" spans="1:15" hidden="1" x14ac:dyDescent="0.45">
      <c r="A5304" s="187">
        <v>2022</v>
      </c>
      <c r="B5304" t="s">
        <v>316</v>
      </c>
      <c r="C5304" t="s">
        <v>322</v>
      </c>
      <c r="D5304" t="s">
        <v>35</v>
      </c>
      <c r="E5304" t="s">
        <v>354</v>
      </c>
      <c r="F5304" t="s">
        <v>385</v>
      </c>
      <c r="G5304" t="s">
        <v>37</v>
      </c>
      <c r="H5304" t="s">
        <v>43</v>
      </c>
      <c r="I5304" s="187">
        <v>0</v>
      </c>
      <c r="J5304" s="187">
        <v>20</v>
      </c>
      <c r="K5304" s="187">
        <v>1303.2978297088639</v>
      </c>
      <c r="L5304" s="187">
        <v>56</v>
      </c>
      <c r="M5304" s="187">
        <v>1379.2978515625</v>
      </c>
      <c r="N5304" s="187">
        <v>56</v>
      </c>
      <c r="O5304" t="s">
        <v>5745</v>
      </c>
    </row>
    <row r="5305" spans="1:15" hidden="1" x14ac:dyDescent="0.45">
      <c r="A5305" s="187">
        <v>2022</v>
      </c>
      <c r="B5305" t="s">
        <v>314</v>
      </c>
      <c r="C5305" t="s">
        <v>322</v>
      </c>
      <c r="D5305" t="s">
        <v>35</v>
      </c>
      <c r="E5305" t="s">
        <v>354</v>
      </c>
      <c r="F5305" t="s">
        <v>385</v>
      </c>
      <c r="G5305" t="s">
        <v>37</v>
      </c>
      <c r="H5305" t="s">
        <v>43</v>
      </c>
      <c r="I5305" s="187">
        <v>0</v>
      </c>
      <c r="J5305" s="187">
        <v>43</v>
      </c>
      <c r="K5305" s="187">
        <v>1079.0812629633631</v>
      </c>
      <c r="L5305" s="187">
        <v>0</v>
      </c>
      <c r="M5305" s="187">
        <v>1122.081298828125</v>
      </c>
      <c r="N5305" s="187">
        <v>0</v>
      </c>
      <c r="O5305" t="s">
        <v>5748</v>
      </c>
    </row>
    <row r="5306" spans="1:15" hidden="1" x14ac:dyDescent="0.45">
      <c r="A5306" s="187">
        <v>2022</v>
      </c>
      <c r="B5306" t="s">
        <v>313</v>
      </c>
      <c r="C5306" t="s">
        <v>322</v>
      </c>
      <c r="D5306" t="s">
        <v>35</v>
      </c>
      <c r="E5306" t="s">
        <v>354</v>
      </c>
      <c r="F5306" t="s">
        <v>385</v>
      </c>
      <c r="G5306" t="s">
        <v>37</v>
      </c>
      <c r="H5306" t="s">
        <v>43</v>
      </c>
      <c r="I5306" s="187"/>
      <c r="J5306" s="187">
        <v>44</v>
      </c>
      <c r="K5306" s="187">
        <v>1698.3559831626001</v>
      </c>
      <c r="L5306" s="187">
        <v>0</v>
      </c>
      <c r="M5306" s="187">
        <v>1742.35595703125</v>
      </c>
      <c r="N5306" s="187">
        <v>0</v>
      </c>
      <c r="O5306" t="s">
        <v>5741</v>
      </c>
    </row>
    <row r="5307" spans="1:15" hidden="1" x14ac:dyDescent="0.45">
      <c r="A5307" s="187">
        <v>2022</v>
      </c>
      <c r="B5307" t="s">
        <v>315</v>
      </c>
      <c r="C5307" t="s">
        <v>322</v>
      </c>
      <c r="D5307" t="s">
        <v>35</v>
      </c>
      <c r="E5307" t="s">
        <v>354</v>
      </c>
      <c r="F5307" t="s">
        <v>385</v>
      </c>
      <c r="G5307" t="s">
        <v>37</v>
      </c>
      <c r="H5307" t="s">
        <v>43</v>
      </c>
      <c r="I5307" s="187">
        <v>0</v>
      </c>
      <c r="J5307" s="187">
        <v>42</v>
      </c>
      <c r="K5307" s="187">
        <v>1205.381767366785</v>
      </c>
      <c r="L5307" s="187">
        <v>56</v>
      </c>
      <c r="M5307" s="187">
        <v>1303.3817138671875</v>
      </c>
      <c r="N5307" s="187">
        <v>56</v>
      </c>
      <c r="O5307" t="s">
        <v>5743</v>
      </c>
    </row>
    <row r="5308" spans="1:15" hidden="1" x14ac:dyDescent="0.45">
      <c r="A5308" s="187">
        <v>2022</v>
      </c>
      <c r="B5308" t="s">
        <v>310</v>
      </c>
      <c r="C5308" t="s">
        <v>322</v>
      </c>
      <c r="D5308" t="s">
        <v>35</v>
      </c>
      <c r="E5308" t="s">
        <v>354</v>
      </c>
      <c r="F5308" t="s">
        <v>385</v>
      </c>
      <c r="G5308" t="s">
        <v>37</v>
      </c>
      <c r="H5308" t="s">
        <v>43</v>
      </c>
      <c r="I5308" s="187"/>
      <c r="J5308" s="187">
        <v>0</v>
      </c>
      <c r="K5308" s="187">
        <v>1802.218587401298</v>
      </c>
      <c r="L5308" s="187">
        <v>0</v>
      </c>
      <c r="M5308" s="187">
        <v>1802.2186279296875</v>
      </c>
      <c r="N5308" s="187">
        <v>0</v>
      </c>
      <c r="O5308" t="s">
        <v>5747</v>
      </c>
    </row>
    <row r="5309" spans="1:15" hidden="1" x14ac:dyDescent="0.45">
      <c r="A5309" s="187">
        <v>2022</v>
      </c>
      <c r="B5309" t="s">
        <v>309</v>
      </c>
      <c r="C5309" t="s">
        <v>322</v>
      </c>
      <c r="D5309" t="s">
        <v>35</v>
      </c>
      <c r="E5309" t="s">
        <v>354</v>
      </c>
      <c r="F5309" t="s">
        <v>385</v>
      </c>
      <c r="G5309" t="s">
        <v>37</v>
      </c>
      <c r="H5309" t="s">
        <v>43</v>
      </c>
      <c r="I5309" s="187"/>
      <c r="J5309" s="187">
        <v>53.2485</v>
      </c>
      <c r="K5309" s="187">
        <v>1871.171075589365</v>
      </c>
      <c r="L5309" s="187">
        <v>0</v>
      </c>
      <c r="M5309" s="187">
        <v>1924.4195556640625</v>
      </c>
      <c r="N5309" s="187">
        <v>0</v>
      </c>
      <c r="O5309" t="s">
        <v>5740</v>
      </c>
    </row>
    <row r="5310" spans="1:15" x14ac:dyDescent="0.45">
      <c r="A5310" s="187">
        <v>2022</v>
      </c>
      <c r="B5310" t="s">
        <v>8570</v>
      </c>
      <c r="C5310" t="s">
        <v>322</v>
      </c>
      <c r="D5310" t="s">
        <v>35</v>
      </c>
      <c r="E5310" t="s">
        <v>354</v>
      </c>
      <c r="F5310" t="s">
        <v>386</v>
      </c>
      <c r="G5310" t="s">
        <v>36</v>
      </c>
      <c r="H5310" t="s">
        <v>43</v>
      </c>
      <c r="I5310" s="187">
        <v>0</v>
      </c>
      <c r="J5310" s="187">
        <v>9</v>
      </c>
      <c r="K5310" s="187">
        <v>897.86641478923889</v>
      </c>
      <c r="L5310" s="187">
        <v>0</v>
      </c>
      <c r="M5310" s="187">
        <v>906.86639404296875</v>
      </c>
      <c r="N5310" s="187">
        <v>0</v>
      </c>
      <c r="O5310" t="s">
        <v>8591</v>
      </c>
    </row>
    <row r="5311" spans="1:15" hidden="1" x14ac:dyDescent="0.45">
      <c r="A5311" s="187">
        <v>2022</v>
      </c>
      <c r="B5311" t="s">
        <v>312</v>
      </c>
      <c r="C5311" t="s">
        <v>322</v>
      </c>
      <c r="D5311" t="s">
        <v>35</v>
      </c>
      <c r="E5311" t="s">
        <v>354</v>
      </c>
      <c r="F5311" t="s">
        <v>386</v>
      </c>
      <c r="G5311" t="s">
        <v>36</v>
      </c>
      <c r="H5311" t="s">
        <v>43</v>
      </c>
      <c r="I5311" s="187"/>
      <c r="J5311" s="187">
        <v>61.828711797667012</v>
      </c>
      <c r="K5311" s="187">
        <v>2219.1126595536798</v>
      </c>
      <c r="L5311" s="187">
        <v>169.41067032560761</v>
      </c>
      <c r="M5311" s="187">
        <v>2450.35205078125</v>
      </c>
      <c r="N5311" s="187">
        <v>169.41067504882813</v>
      </c>
      <c r="O5311" t="s">
        <v>5757</v>
      </c>
    </row>
    <row r="5312" spans="1:15" hidden="1" x14ac:dyDescent="0.45">
      <c r="A5312" s="187">
        <v>2022</v>
      </c>
      <c r="B5312" t="s">
        <v>311</v>
      </c>
      <c r="C5312" t="s">
        <v>322</v>
      </c>
      <c r="D5312" t="s">
        <v>35</v>
      </c>
      <c r="E5312" t="s">
        <v>354</v>
      </c>
      <c r="F5312" t="s">
        <v>386</v>
      </c>
      <c r="G5312" t="s">
        <v>36</v>
      </c>
      <c r="H5312" t="s">
        <v>43</v>
      </c>
      <c r="I5312" s="187"/>
      <c r="J5312" s="187">
        <v>63.764706132750199</v>
      </c>
      <c r="K5312" s="187">
        <v>2772.1872654003364</v>
      </c>
      <c r="L5312" s="187">
        <v>215.52470672869566</v>
      </c>
      <c r="M5312" s="187">
        <v>3051.4765625</v>
      </c>
      <c r="N5312" s="187">
        <v>215.52470397949219</v>
      </c>
      <c r="O5312" t="s">
        <v>5754</v>
      </c>
    </row>
    <row r="5313" spans="1:15" hidden="1" x14ac:dyDescent="0.45">
      <c r="A5313" s="187">
        <v>2022</v>
      </c>
      <c r="B5313" t="s">
        <v>309</v>
      </c>
      <c r="C5313" t="s">
        <v>322</v>
      </c>
      <c r="D5313" t="s">
        <v>35</v>
      </c>
      <c r="E5313" t="s">
        <v>354</v>
      </c>
      <c r="F5313" t="s">
        <v>386</v>
      </c>
      <c r="G5313" t="s">
        <v>36</v>
      </c>
      <c r="H5313" t="s">
        <v>43</v>
      </c>
      <c r="I5313" s="187"/>
      <c r="J5313" s="187">
        <v>72.857679316165886</v>
      </c>
      <c r="K5313" s="187">
        <v>753.54710689092667</v>
      </c>
      <c r="L5313" s="187">
        <v>390.78209815034432</v>
      </c>
      <c r="M5313" s="187">
        <v>1217.1868896484375</v>
      </c>
      <c r="N5313" s="187">
        <v>390.7821044921875</v>
      </c>
      <c r="O5313" t="s">
        <v>5753</v>
      </c>
    </row>
    <row r="5314" spans="1:15" hidden="1" x14ac:dyDescent="0.45">
      <c r="A5314" s="187">
        <v>2022</v>
      </c>
      <c r="B5314" t="s">
        <v>310</v>
      </c>
      <c r="C5314" t="s">
        <v>322</v>
      </c>
      <c r="D5314" t="s">
        <v>35</v>
      </c>
      <c r="E5314" t="s">
        <v>354</v>
      </c>
      <c r="F5314" t="s">
        <v>386</v>
      </c>
      <c r="G5314" t="s">
        <v>36</v>
      </c>
      <c r="H5314" t="s">
        <v>43</v>
      </c>
      <c r="I5314" s="187"/>
      <c r="J5314" s="187">
        <v>0</v>
      </c>
      <c r="K5314" s="187">
        <v>1858.9426817896235</v>
      </c>
      <c r="L5314" s="187">
        <v>388.39308473472869</v>
      </c>
      <c r="M5314" s="187">
        <v>2247.335693359375</v>
      </c>
      <c r="N5314" s="187">
        <v>388.39309692382813</v>
      </c>
      <c r="O5314" t="s">
        <v>5752</v>
      </c>
    </row>
    <row r="5315" spans="1:15" hidden="1" x14ac:dyDescent="0.45">
      <c r="A5315" s="187">
        <v>2022</v>
      </c>
      <c r="B5315" t="s">
        <v>317</v>
      </c>
      <c r="C5315" t="s">
        <v>322</v>
      </c>
      <c r="D5315" t="s">
        <v>35</v>
      </c>
      <c r="E5315" t="s">
        <v>354</v>
      </c>
      <c r="F5315" t="s">
        <v>386</v>
      </c>
      <c r="G5315" t="s">
        <v>36</v>
      </c>
      <c r="H5315" t="s">
        <v>43</v>
      </c>
      <c r="I5315" s="187">
        <v>54.025454784332467</v>
      </c>
      <c r="J5315" s="187">
        <v>27.012727392166234</v>
      </c>
      <c r="K5315" s="187">
        <v>2148.3941392577599</v>
      </c>
      <c r="L5315" s="187">
        <v>1450.0432064114834</v>
      </c>
      <c r="M5315" s="187">
        <v>3679.4755859375</v>
      </c>
      <c r="N5315" s="187">
        <v>1504.068603515625</v>
      </c>
      <c r="O5315" t="s">
        <v>5755</v>
      </c>
    </row>
    <row r="5316" spans="1:15" hidden="1" x14ac:dyDescent="0.45">
      <c r="A5316" s="187">
        <v>2022</v>
      </c>
      <c r="B5316" t="s">
        <v>316</v>
      </c>
      <c r="C5316" t="s">
        <v>322</v>
      </c>
      <c r="D5316" t="s">
        <v>35</v>
      </c>
      <c r="E5316" t="s">
        <v>354</v>
      </c>
      <c r="F5316" t="s">
        <v>386</v>
      </c>
      <c r="G5316" t="s">
        <v>36</v>
      </c>
      <c r="H5316" t="s">
        <v>43</v>
      </c>
      <c r="I5316" s="187">
        <v>0</v>
      </c>
      <c r="J5316" s="187">
        <v>22.029076772714181</v>
      </c>
      <c r="K5316" s="187">
        <v>1412.9359644987335</v>
      </c>
      <c r="L5316" s="187">
        <v>1067.3087696380021</v>
      </c>
      <c r="M5316" s="187">
        <v>2502.27392578125</v>
      </c>
      <c r="N5316" s="187">
        <v>1067.3087158203125</v>
      </c>
      <c r="O5316" t="s">
        <v>5751</v>
      </c>
    </row>
    <row r="5317" spans="1:15" hidden="1" x14ac:dyDescent="0.45">
      <c r="A5317" s="187">
        <v>2022</v>
      </c>
      <c r="B5317" t="s">
        <v>313</v>
      </c>
      <c r="C5317" t="s">
        <v>322</v>
      </c>
      <c r="D5317" t="s">
        <v>35</v>
      </c>
      <c r="E5317" t="s">
        <v>354</v>
      </c>
      <c r="F5317" t="s">
        <v>386</v>
      </c>
      <c r="G5317" t="s">
        <v>36</v>
      </c>
      <c r="H5317" t="s">
        <v>43</v>
      </c>
      <c r="I5317" s="187">
        <v>0</v>
      </c>
      <c r="J5317" s="187">
        <v>59.894593726603141</v>
      </c>
      <c r="K5317" s="187">
        <v>3113.4119062441846</v>
      </c>
      <c r="L5317" s="187">
        <v>166.50697055995673</v>
      </c>
      <c r="M5317" s="187">
        <v>3339.8134765625</v>
      </c>
      <c r="N5317" s="187">
        <v>166.50697326660156</v>
      </c>
      <c r="O5317" t="s">
        <v>5749</v>
      </c>
    </row>
    <row r="5318" spans="1:15" hidden="1" x14ac:dyDescent="0.45">
      <c r="A5318" s="187">
        <v>2022</v>
      </c>
      <c r="B5318" t="s">
        <v>314</v>
      </c>
      <c r="C5318" t="s">
        <v>322</v>
      </c>
      <c r="D5318" t="s">
        <v>35</v>
      </c>
      <c r="E5318" t="s">
        <v>354</v>
      </c>
      <c r="F5318" t="s">
        <v>386</v>
      </c>
      <c r="G5318" t="s">
        <v>36</v>
      </c>
      <c r="H5318" t="s">
        <v>43</v>
      </c>
      <c r="I5318" s="187">
        <v>0</v>
      </c>
      <c r="J5318" s="187">
        <v>58.241033054944985</v>
      </c>
      <c r="K5318" s="187">
        <v>2875.2951721365171</v>
      </c>
      <c r="L5318" s="187">
        <v>159.58043057054925</v>
      </c>
      <c r="M5318" s="187">
        <v>3093.116455078125</v>
      </c>
      <c r="N5318" s="187">
        <v>159.58042907714844</v>
      </c>
      <c r="O5318" t="s">
        <v>5750</v>
      </c>
    </row>
    <row r="5319" spans="1:15" hidden="1" x14ac:dyDescent="0.45">
      <c r="A5319" s="187">
        <v>2022</v>
      </c>
      <c r="B5319" t="s">
        <v>315</v>
      </c>
      <c r="C5319" t="s">
        <v>322</v>
      </c>
      <c r="D5319" t="s">
        <v>35</v>
      </c>
      <c r="E5319" t="s">
        <v>354</v>
      </c>
      <c r="F5319" t="s">
        <v>386</v>
      </c>
      <c r="G5319" t="s">
        <v>36</v>
      </c>
      <c r="H5319" t="s">
        <v>43</v>
      </c>
      <c r="I5319" s="187">
        <v>0</v>
      </c>
      <c r="J5319" s="187">
        <v>56.639871809250089</v>
      </c>
      <c r="K5319" s="187">
        <v>2288.0913820916849</v>
      </c>
      <c r="L5319" s="187">
        <v>2253.1341005719687</v>
      </c>
      <c r="M5319" s="187">
        <v>4597.865234375</v>
      </c>
      <c r="N5319" s="187">
        <v>2253.134033203125</v>
      </c>
      <c r="O5319" t="s">
        <v>5756</v>
      </c>
    </row>
    <row r="5320" spans="1:15" x14ac:dyDescent="0.45">
      <c r="A5320" s="187">
        <v>2022</v>
      </c>
      <c r="B5320" t="s">
        <v>8570</v>
      </c>
      <c r="C5320" t="s">
        <v>322</v>
      </c>
      <c r="D5320" t="s">
        <v>35</v>
      </c>
      <c r="E5320" t="s">
        <v>354</v>
      </c>
      <c r="F5320" t="s">
        <v>386</v>
      </c>
      <c r="G5320" t="s">
        <v>37</v>
      </c>
      <c r="H5320" t="s">
        <v>43</v>
      </c>
      <c r="I5320" s="187">
        <v>0</v>
      </c>
      <c r="J5320" s="187">
        <v>9</v>
      </c>
      <c r="K5320" s="187">
        <v>897.86641478923889</v>
      </c>
      <c r="L5320" s="187">
        <v>0</v>
      </c>
      <c r="M5320" s="187">
        <v>906.86639404296875</v>
      </c>
      <c r="N5320" s="187">
        <v>0</v>
      </c>
      <c r="O5320" t="s">
        <v>8592</v>
      </c>
    </row>
    <row r="5321" spans="1:15" hidden="1" x14ac:dyDescent="0.45">
      <c r="A5321" s="187">
        <v>2022</v>
      </c>
      <c r="B5321" t="s">
        <v>313</v>
      </c>
      <c r="C5321" t="s">
        <v>322</v>
      </c>
      <c r="D5321" t="s">
        <v>35</v>
      </c>
      <c r="E5321" t="s">
        <v>354</v>
      </c>
      <c r="F5321" t="s">
        <v>386</v>
      </c>
      <c r="G5321" t="s">
        <v>37</v>
      </c>
      <c r="H5321" t="s">
        <v>43</v>
      </c>
      <c r="I5321" s="187"/>
      <c r="J5321" s="187">
        <v>55</v>
      </c>
      <c r="K5321" s="187">
        <v>2856.754836728504</v>
      </c>
      <c r="L5321" s="187">
        <v>154.00932149772399</v>
      </c>
      <c r="M5321" s="187">
        <v>3065.76416015625</v>
      </c>
      <c r="N5321" s="187">
        <v>154.00932312011719</v>
      </c>
      <c r="O5321" t="s">
        <v>5759</v>
      </c>
    </row>
    <row r="5322" spans="1:15" hidden="1" x14ac:dyDescent="0.45">
      <c r="A5322" s="187">
        <v>2022</v>
      </c>
      <c r="B5322" t="s">
        <v>309</v>
      </c>
      <c r="C5322" t="s">
        <v>322</v>
      </c>
      <c r="D5322" t="s">
        <v>35</v>
      </c>
      <c r="E5322" t="s">
        <v>354</v>
      </c>
      <c r="F5322" t="s">
        <v>386</v>
      </c>
      <c r="G5322" t="s">
        <v>37</v>
      </c>
      <c r="H5322" t="s">
        <v>43</v>
      </c>
      <c r="I5322" s="187"/>
      <c r="J5322" s="187">
        <v>65.081500000000005</v>
      </c>
      <c r="K5322" s="187">
        <v>694.46834923797508</v>
      </c>
      <c r="L5322" s="187">
        <v>377</v>
      </c>
      <c r="M5322" s="187">
        <v>1136.5498046875</v>
      </c>
      <c r="N5322" s="187">
        <v>377</v>
      </c>
      <c r="O5322" t="s">
        <v>5758</v>
      </c>
    </row>
    <row r="5323" spans="1:15" hidden="1" x14ac:dyDescent="0.45">
      <c r="A5323" s="187">
        <v>2022</v>
      </c>
      <c r="B5323" t="s">
        <v>312</v>
      </c>
      <c r="C5323" t="s">
        <v>322</v>
      </c>
      <c r="D5323" t="s">
        <v>35</v>
      </c>
      <c r="E5323" t="s">
        <v>354</v>
      </c>
      <c r="F5323" t="s">
        <v>386</v>
      </c>
      <c r="G5323" t="s">
        <v>37</v>
      </c>
      <c r="H5323" t="s">
        <v>43</v>
      </c>
      <c r="I5323" s="187"/>
      <c r="J5323" s="187">
        <v>56</v>
      </c>
      <c r="K5323" s="187">
        <v>2014.738921494298</v>
      </c>
      <c r="L5323" s="187">
        <v>154</v>
      </c>
      <c r="M5323" s="187">
        <v>2224.739013671875</v>
      </c>
      <c r="N5323" s="187">
        <v>154</v>
      </c>
      <c r="O5323" t="s">
        <v>5760</v>
      </c>
    </row>
    <row r="5324" spans="1:15" hidden="1" x14ac:dyDescent="0.45">
      <c r="A5324" s="187">
        <v>2022</v>
      </c>
      <c r="B5324" t="s">
        <v>310</v>
      </c>
      <c r="C5324" t="s">
        <v>322</v>
      </c>
      <c r="D5324" t="s">
        <v>35</v>
      </c>
      <c r="E5324" t="s">
        <v>354</v>
      </c>
      <c r="F5324" t="s">
        <v>386</v>
      </c>
      <c r="G5324" t="s">
        <v>37</v>
      </c>
      <c r="H5324" t="s">
        <v>43</v>
      </c>
      <c r="I5324" s="187"/>
      <c r="J5324" s="187">
        <v>0</v>
      </c>
      <c r="K5324" s="187">
        <v>1672.193130396111</v>
      </c>
      <c r="L5324" s="187">
        <v>365</v>
      </c>
      <c r="M5324" s="187">
        <v>2037.193115234375</v>
      </c>
      <c r="N5324" s="187">
        <v>365</v>
      </c>
      <c r="O5324" t="s">
        <v>5763</v>
      </c>
    </row>
    <row r="5325" spans="1:15" hidden="1" x14ac:dyDescent="0.45">
      <c r="A5325" s="187">
        <v>2022</v>
      </c>
      <c r="B5325" t="s">
        <v>317</v>
      </c>
      <c r="C5325" t="s">
        <v>322</v>
      </c>
      <c r="D5325" t="s">
        <v>35</v>
      </c>
      <c r="E5325" t="s">
        <v>354</v>
      </c>
      <c r="F5325" t="s">
        <v>386</v>
      </c>
      <c r="G5325" t="s">
        <v>37</v>
      </c>
      <c r="H5325" t="s">
        <v>43</v>
      </c>
      <c r="I5325" s="187">
        <v>51</v>
      </c>
      <c r="J5325" s="187">
        <v>25</v>
      </c>
      <c r="K5325" s="187">
        <v>2020.493236714434</v>
      </c>
      <c r="L5325" s="187">
        <v>1368</v>
      </c>
      <c r="M5325" s="187">
        <v>3464.4931640625</v>
      </c>
      <c r="N5325" s="187">
        <v>1419</v>
      </c>
      <c r="O5325" t="s">
        <v>5765</v>
      </c>
    </row>
    <row r="5326" spans="1:15" hidden="1" x14ac:dyDescent="0.45">
      <c r="A5326" s="187">
        <v>2022</v>
      </c>
      <c r="B5326" t="s">
        <v>316</v>
      </c>
      <c r="C5326" t="s">
        <v>322</v>
      </c>
      <c r="D5326" t="s">
        <v>35</v>
      </c>
      <c r="E5326" t="s">
        <v>354</v>
      </c>
      <c r="F5326" t="s">
        <v>386</v>
      </c>
      <c r="G5326" t="s">
        <v>37</v>
      </c>
      <c r="H5326" t="s">
        <v>43</v>
      </c>
      <c r="I5326" s="187">
        <v>0</v>
      </c>
      <c r="J5326" s="187">
        <v>20</v>
      </c>
      <c r="K5326" s="187">
        <v>1318.0111225109181</v>
      </c>
      <c r="L5326" s="187">
        <v>1022</v>
      </c>
      <c r="M5326" s="187">
        <v>2360.01123046875</v>
      </c>
      <c r="N5326" s="187">
        <v>1022</v>
      </c>
      <c r="O5326" t="s">
        <v>5764</v>
      </c>
    </row>
    <row r="5327" spans="1:15" hidden="1" x14ac:dyDescent="0.45">
      <c r="A5327" s="187">
        <v>2022</v>
      </c>
      <c r="B5327" t="s">
        <v>314</v>
      </c>
      <c r="C5327" t="s">
        <v>322</v>
      </c>
      <c r="D5327" t="s">
        <v>35</v>
      </c>
      <c r="E5327" t="s">
        <v>354</v>
      </c>
      <c r="F5327" t="s">
        <v>386</v>
      </c>
      <c r="G5327" t="s">
        <v>37</v>
      </c>
      <c r="H5327" t="s">
        <v>43</v>
      </c>
      <c r="I5327" s="187">
        <v>0</v>
      </c>
      <c r="J5327" s="187">
        <v>54</v>
      </c>
      <c r="K5327" s="187">
        <v>2676.850905150578</v>
      </c>
      <c r="L5327" s="187">
        <v>156</v>
      </c>
      <c r="M5327" s="187">
        <v>2886.850830078125</v>
      </c>
      <c r="N5327" s="187">
        <v>156</v>
      </c>
      <c r="O5327" t="s">
        <v>5766</v>
      </c>
    </row>
    <row r="5328" spans="1:15" hidden="1" x14ac:dyDescent="0.45">
      <c r="A5328" s="187">
        <v>2022</v>
      </c>
      <c r="B5328" t="s">
        <v>311</v>
      </c>
      <c r="C5328" t="s">
        <v>322</v>
      </c>
      <c r="D5328" t="s">
        <v>35</v>
      </c>
      <c r="E5328" t="s">
        <v>354</v>
      </c>
      <c r="F5328" t="s">
        <v>386</v>
      </c>
      <c r="G5328" t="s">
        <v>37</v>
      </c>
      <c r="H5328" t="s">
        <v>43</v>
      </c>
      <c r="I5328" s="187"/>
      <c r="J5328" s="187">
        <v>57</v>
      </c>
      <c r="K5328" s="187">
        <v>2478.744264861285</v>
      </c>
      <c r="L5328" s="187">
        <v>204</v>
      </c>
      <c r="M5328" s="187">
        <v>2739.744384765625</v>
      </c>
      <c r="N5328" s="187">
        <v>204</v>
      </c>
      <c r="O5328" t="s">
        <v>5761</v>
      </c>
    </row>
    <row r="5329" spans="1:15" hidden="1" x14ac:dyDescent="0.45">
      <c r="A5329" s="187">
        <v>2022</v>
      </c>
      <c r="B5329" t="s">
        <v>315</v>
      </c>
      <c r="C5329" t="s">
        <v>322</v>
      </c>
      <c r="D5329" t="s">
        <v>35</v>
      </c>
      <c r="E5329" t="s">
        <v>354</v>
      </c>
      <c r="F5329" t="s">
        <v>386</v>
      </c>
      <c r="G5329" t="s">
        <v>37</v>
      </c>
      <c r="H5329" t="s">
        <v>43</v>
      </c>
      <c r="I5329" s="187">
        <v>0</v>
      </c>
      <c r="J5329" s="187">
        <v>52</v>
      </c>
      <c r="K5329" s="187">
        <v>2138.1546973172581</v>
      </c>
      <c r="L5329" s="187">
        <v>2111</v>
      </c>
      <c r="M5329" s="187">
        <v>4301.15478515625</v>
      </c>
      <c r="N5329" s="187">
        <v>2111</v>
      </c>
      <c r="O5329" t="s">
        <v>5762</v>
      </c>
    </row>
    <row r="5330" spans="1:15" hidden="1" x14ac:dyDescent="0.45">
      <c r="A5330" s="187">
        <v>2022</v>
      </c>
      <c r="B5330" t="s">
        <v>311</v>
      </c>
      <c r="C5330" t="s">
        <v>322</v>
      </c>
      <c r="D5330" t="s">
        <v>35</v>
      </c>
      <c r="E5330" t="s">
        <v>354</v>
      </c>
      <c r="F5330" t="s">
        <v>387</v>
      </c>
      <c r="G5330" t="s">
        <v>36</v>
      </c>
      <c r="H5330" t="s">
        <v>43</v>
      </c>
      <c r="I5330" s="187"/>
      <c r="J5330" s="187">
        <v>114.77647103895036</v>
      </c>
      <c r="K5330" s="187">
        <v>4687.4087079378151</v>
      </c>
      <c r="L5330" s="187">
        <v>215.52470672869566</v>
      </c>
      <c r="M5330" s="187">
        <v>5017.7099609375</v>
      </c>
      <c r="N5330" s="187">
        <v>215.52470397949219</v>
      </c>
      <c r="O5330" t="s">
        <v>5768</v>
      </c>
    </row>
    <row r="5331" spans="1:15" hidden="1" x14ac:dyDescent="0.45">
      <c r="A5331" s="187">
        <v>2022</v>
      </c>
      <c r="B5331" t="s">
        <v>313</v>
      </c>
      <c r="C5331" t="s">
        <v>322</v>
      </c>
      <c r="D5331" t="s">
        <v>35</v>
      </c>
      <c r="E5331" t="s">
        <v>354</v>
      </c>
      <c r="F5331" t="s">
        <v>387</v>
      </c>
      <c r="G5331" t="s">
        <v>36</v>
      </c>
      <c r="H5331" t="s">
        <v>43</v>
      </c>
      <c r="I5331" s="187">
        <v>0</v>
      </c>
      <c r="J5331" s="187">
        <v>107.81026870788565</v>
      </c>
      <c r="K5331" s="187">
        <v>4964.351885775236</v>
      </c>
      <c r="L5331" s="187">
        <v>166.50697055995673</v>
      </c>
      <c r="M5331" s="187">
        <v>5238.6689453125</v>
      </c>
      <c r="N5331" s="187">
        <v>166.50697326660156</v>
      </c>
      <c r="O5331" t="s">
        <v>5769</v>
      </c>
    </row>
    <row r="5332" spans="1:15" hidden="1" x14ac:dyDescent="0.45">
      <c r="A5332" s="187">
        <v>2022</v>
      </c>
      <c r="B5332" t="s">
        <v>315</v>
      </c>
      <c r="C5332" t="s">
        <v>322</v>
      </c>
      <c r="D5332" t="s">
        <v>35</v>
      </c>
      <c r="E5332" t="s">
        <v>354</v>
      </c>
      <c r="F5332" t="s">
        <v>387</v>
      </c>
      <c r="G5332" t="s">
        <v>36</v>
      </c>
      <c r="H5332" t="s">
        <v>43</v>
      </c>
      <c r="I5332" s="187">
        <v>0</v>
      </c>
      <c r="J5332" s="187">
        <v>101.95176925665017</v>
      </c>
      <c r="K5332" s="187">
        <v>3577.9997491068857</v>
      </c>
      <c r="L5332" s="187">
        <v>2313.1723646897735</v>
      </c>
      <c r="M5332" s="187">
        <v>5993.1240234375</v>
      </c>
      <c r="N5332" s="187">
        <v>2313.17236328125</v>
      </c>
      <c r="O5332" t="s">
        <v>5772</v>
      </c>
    </row>
    <row r="5333" spans="1:15" hidden="1" x14ac:dyDescent="0.45">
      <c r="A5333" s="187">
        <v>2022</v>
      </c>
      <c r="B5333" t="s">
        <v>309</v>
      </c>
      <c r="C5333" t="s">
        <v>322</v>
      </c>
      <c r="D5333" t="s">
        <v>35</v>
      </c>
      <c r="E5333" t="s">
        <v>354</v>
      </c>
      <c r="F5333" t="s">
        <v>387</v>
      </c>
      <c r="G5333" t="s">
        <v>36</v>
      </c>
      <c r="H5333" t="s">
        <v>43</v>
      </c>
      <c r="I5333" s="187"/>
      <c r="J5333" s="187">
        <v>132.46850784757436</v>
      </c>
      <c r="K5333" s="187">
        <v>2783.8996089963557</v>
      </c>
      <c r="L5333" s="187">
        <v>390.78209815034432</v>
      </c>
      <c r="M5333" s="187">
        <v>3307.150146484375</v>
      </c>
      <c r="N5333" s="187">
        <v>390.7821044921875</v>
      </c>
      <c r="O5333" t="s">
        <v>5775</v>
      </c>
    </row>
    <row r="5334" spans="1:15" hidden="1" x14ac:dyDescent="0.45">
      <c r="A5334" s="187">
        <v>2022</v>
      </c>
      <c r="B5334" t="s">
        <v>314</v>
      </c>
      <c r="C5334" t="s">
        <v>322</v>
      </c>
      <c r="D5334" t="s">
        <v>35</v>
      </c>
      <c r="E5334" t="s">
        <v>354</v>
      </c>
      <c r="F5334" t="s">
        <v>387</v>
      </c>
      <c r="G5334" t="s">
        <v>36</v>
      </c>
      <c r="H5334" t="s">
        <v>43</v>
      </c>
      <c r="I5334" s="187">
        <v>0</v>
      </c>
      <c r="J5334" s="187">
        <v>104.83385949890098</v>
      </c>
      <c r="K5334" s="187">
        <v>4034.3724818856763</v>
      </c>
      <c r="L5334" s="187">
        <v>159.58043057054925</v>
      </c>
      <c r="M5334" s="187">
        <v>4298.787109375</v>
      </c>
      <c r="N5334" s="187">
        <v>159.58042907714844</v>
      </c>
      <c r="O5334" t="s">
        <v>5773</v>
      </c>
    </row>
    <row r="5335" spans="1:15" hidden="1" x14ac:dyDescent="0.45">
      <c r="A5335" s="187">
        <v>2022</v>
      </c>
      <c r="B5335" t="s">
        <v>316</v>
      </c>
      <c r="C5335" t="s">
        <v>322</v>
      </c>
      <c r="D5335" t="s">
        <v>35</v>
      </c>
      <c r="E5335" t="s">
        <v>354</v>
      </c>
      <c r="F5335" t="s">
        <v>387</v>
      </c>
      <c r="G5335" t="s">
        <v>36</v>
      </c>
      <c r="H5335" t="s">
        <v>43</v>
      </c>
      <c r="I5335" s="187">
        <v>0</v>
      </c>
      <c r="J5335" s="187">
        <v>88.116307090856722</v>
      </c>
      <c r="K5335" s="187">
        <v>2810.0989660829996</v>
      </c>
      <c r="L5335" s="187">
        <v>1125.6858230856947</v>
      </c>
      <c r="M5335" s="187">
        <v>4023.901123046875</v>
      </c>
      <c r="N5335" s="187">
        <v>1125.685791015625</v>
      </c>
      <c r="O5335" t="s">
        <v>5767</v>
      </c>
    </row>
    <row r="5336" spans="1:15" x14ac:dyDescent="0.45">
      <c r="A5336" s="187">
        <v>2022</v>
      </c>
      <c r="B5336" t="s">
        <v>8570</v>
      </c>
      <c r="C5336" t="s">
        <v>322</v>
      </c>
      <c r="D5336" t="s">
        <v>35</v>
      </c>
      <c r="E5336" t="s">
        <v>354</v>
      </c>
      <c r="F5336" t="s">
        <v>387</v>
      </c>
      <c r="G5336" t="s">
        <v>36</v>
      </c>
      <c r="H5336" t="s">
        <v>43</v>
      </c>
      <c r="I5336" s="187">
        <v>72.34</v>
      </c>
      <c r="J5336" s="187">
        <v>37</v>
      </c>
      <c r="K5336" s="187">
        <v>2552.8635529306512</v>
      </c>
      <c r="L5336" s="187">
        <v>446</v>
      </c>
      <c r="M5336" s="187">
        <v>3108.20361328125</v>
      </c>
      <c r="N5336" s="187">
        <v>518.3399658203125</v>
      </c>
      <c r="O5336" t="s">
        <v>8593</v>
      </c>
    </row>
    <row r="5337" spans="1:15" hidden="1" x14ac:dyDescent="0.45">
      <c r="A5337" s="187">
        <v>2022</v>
      </c>
      <c r="B5337" t="s">
        <v>312</v>
      </c>
      <c r="C5337" t="s">
        <v>322</v>
      </c>
      <c r="D5337" t="s">
        <v>35</v>
      </c>
      <c r="E5337" t="s">
        <v>354</v>
      </c>
      <c r="F5337" t="s">
        <v>387</v>
      </c>
      <c r="G5337" t="s">
        <v>36</v>
      </c>
      <c r="H5337" t="s">
        <v>43</v>
      </c>
      <c r="I5337" s="187">
        <v>0</v>
      </c>
      <c r="J5337" s="187">
        <v>105.10881005603392</v>
      </c>
      <c r="K5337" s="187">
        <v>4471.2708312797095</v>
      </c>
      <c r="L5337" s="187">
        <v>169.41067032560761</v>
      </c>
      <c r="M5337" s="187">
        <v>4745.79052734375</v>
      </c>
      <c r="N5337" s="187">
        <v>169.41067504882813</v>
      </c>
      <c r="O5337" t="s">
        <v>5770</v>
      </c>
    </row>
    <row r="5338" spans="1:15" hidden="1" x14ac:dyDescent="0.45">
      <c r="A5338" s="187">
        <v>2022</v>
      </c>
      <c r="B5338" t="s">
        <v>310</v>
      </c>
      <c r="C5338" t="s">
        <v>322</v>
      </c>
      <c r="D5338" t="s">
        <v>35</v>
      </c>
      <c r="E5338" t="s">
        <v>354</v>
      </c>
      <c r="F5338" t="s">
        <v>387</v>
      </c>
      <c r="G5338" t="s">
        <v>36</v>
      </c>
      <c r="H5338" t="s">
        <v>43</v>
      </c>
      <c r="I5338" s="187"/>
      <c r="J5338" s="187">
        <v>0</v>
      </c>
      <c r="K5338" s="187">
        <v>3862.4319876219406</v>
      </c>
      <c r="L5338" s="187">
        <v>388.39308473472869</v>
      </c>
      <c r="M5338" s="187">
        <v>4250.8251953125</v>
      </c>
      <c r="N5338" s="187">
        <v>388.39309692382813</v>
      </c>
      <c r="O5338" t="s">
        <v>5771</v>
      </c>
    </row>
    <row r="5339" spans="1:15" hidden="1" x14ac:dyDescent="0.45">
      <c r="A5339" s="187">
        <v>2022</v>
      </c>
      <c r="B5339" t="s">
        <v>317</v>
      </c>
      <c r="C5339" t="s">
        <v>322</v>
      </c>
      <c r="D5339" t="s">
        <v>35</v>
      </c>
      <c r="E5339" t="s">
        <v>354</v>
      </c>
      <c r="F5339" t="s">
        <v>387</v>
      </c>
      <c r="G5339" t="s">
        <v>36</v>
      </c>
      <c r="H5339" t="s">
        <v>43</v>
      </c>
      <c r="I5339" s="187">
        <v>108.05090956866493</v>
      </c>
      <c r="J5339" s="187">
        <v>103.72887318591833</v>
      </c>
      <c r="K5339" s="187">
        <v>2994.4039829697813</v>
      </c>
      <c r="L5339" s="187">
        <v>2917.374558353953</v>
      </c>
      <c r="M5339" s="187">
        <v>6123.55859375</v>
      </c>
      <c r="N5339" s="187">
        <v>3025.425537109375</v>
      </c>
      <c r="O5339" t="s">
        <v>5774</v>
      </c>
    </row>
    <row r="5340" spans="1:15" hidden="1" x14ac:dyDescent="0.45">
      <c r="A5340" s="187">
        <v>2022</v>
      </c>
      <c r="B5340" t="s">
        <v>314</v>
      </c>
      <c r="C5340" t="s">
        <v>322</v>
      </c>
      <c r="D5340" t="s">
        <v>35</v>
      </c>
      <c r="E5340" t="s">
        <v>354</v>
      </c>
      <c r="F5340" t="s">
        <v>387</v>
      </c>
      <c r="G5340" t="s">
        <v>37</v>
      </c>
      <c r="H5340" t="s">
        <v>43</v>
      </c>
      <c r="I5340" s="187">
        <v>0</v>
      </c>
      <c r="J5340" s="187">
        <v>97</v>
      </c>
      <c r="K5340" s="187">
        <v>3755.9321681139422</v>
      </c>
      <c r="L5340" s="187">
        <v>156</v>
      </c>
      <c r="M5340" s="187">
        <v>4008.93212890625</v>
      </c>
      <c r="N5340" s="187">
        <v>156</v>
      </c>
      <c r="O5340" t="s">
        <v>5783</v>
      </c>
    </row>
    <row r="5341" spans="1:15" hidden="1" x14ac:dyDescent="0.45">
      <c r="A5341" s="187">
        <v>2022</v>
      </c>
      <c r="B5341" t="s">
        <v>311</v>
      </c>
      <c r="C5341" t="s">
        <v>322</v>
      </c>
      <c r="D5341" t="s">
        <v>35</v>
      </c>
      <c r="E5341" t="s">
        <v>354</v>
      </c>
      <c r="F5341" t="s">
        <v>387</v>
      </c>
      <c r="G5341" t="s">
        <v>37</v>
      </c>
      <c r="H5341" t="s">
        <v>43</v>
      </c>
      <c r="I5341" s="187"/>
      <c r="J5341" s="187">
        <v>103</v>
      </c>
      <c r="K5341" s="187">
        <v>4191.2346964712724</v>
      </c>
      <c r="L5341" s="187">
        <v>204</v>
      </c>
      <c r="M5341" s="187">
        <v>4498.23486328125</v>
      </c>
      <c r="N5341" s="187">
        <v>204</v>
      </c>
      <c r="O5341" t="s">
        <v>5781</v>
      </c>
    </row>
    <row r="5342" spans="1:15" hidden="1" x14ac:dyDescent="0.45">
      <c r="A5342" s="187">
        <v>2022</v>
      </c>
      <c r="B5342" t="s">
        <v>316</v>
      </c>
      <c r="C5342" t="s">
        <v>322</v>
      </c>
      <c r="D5342" t="s">
        <v>35</v>
      </c>
      <c r="E5342" t="s">
        <v>354</v>
      </c>
      <c r="F5342" t="s">
        <v>387</v>
      </c>
      <c r="G5342" t="s">
        <v>37</v>
      </c>
      <c r="H5342" t="s">
        <v>43</v>
      </c>
      <c r="I5342" s="187">
        <v>0</v>
      </c>
      <c r="J5342" s="187">
        <v>80</v>
      </c>
      <c r="K5342" s="187">
        <v>2621.308952219782</v>
      </c>
      <c r="L5342" s="187">
        <v>1078</v>
      </c>
      <c r="M5342" s="187">
        <v>3779.308837890625</v>
      </c>
      <c r="N5342" s="187">
        <v>1078</v>
      </c>
      <c r="O5342" t="s">
        <v>5779</v>
      </c>
    </row>
    <row r="5343" spans="1:15" hidden="1" x14ac:dyDescent="0.45">
      <c r="A5343" s="187">
        <v>2022</v>
      </c>
      <c r="B5343" t="s">
        <v>313</v>
      </c>
      <c r="C5343" t="s">
        <v>322</v>
      </c>
      <c r="D5343" t="s">
        <v>35</v>
      </c>
      <c r="E5343" t="s">
        <v>354</v>
      </c>
      <c r="F5343" t="s">
        <v>387</v>
      </c>
      <c r="G5343" t="s">
        <v>37</v>
      </c>
      <c r="H5343" t="s">
        <v>43</v>
      </c>
      <c r="I5343" s="187">
        <v>0</v>
      </c>
      <c r="J5343" s="187">
        <v>99</v>
      </c>
      <c r="K5343" s="187">
        <v>4555.1108198911043</v>
      </c>
      <c r="L5343" s="187">
        <v>154.00932149772399</v>
      </c>
      <c r="M5343" s="187">
        <v>4808.1201171875</v>
      </c>
      <c r="N5343" s="187">
        <v>154.00932312011719</v>
      </c>
      <c r="O5343" t="s">
        <v>5777</v>
      </c>
    </row>
    <row r="5344" spans="1:15" hidden="1" x14ac:dyDescent="0.45">
      <c r="A5344" s="187">
        <v>2022</v>
      </c>
      <c r="B5344" t="s">
        <v>315</v>
      </c>
      <c r="C5344" t="s">
        <v>322</v>
      </c>
      <c r="D5344" t="s">
        <v>35</v>
      </c>
      <c r="E5344" t="s">
        <v>354</v>
      </c>
      <c r="F5344" t="s">
        <v>387</v>
      </c>
      <c r="G5344" t="s">
        <v>37</v>
      </c>
      <c r="H5344" t="s">
        <v>43</v>
      </c>
      <c r="I5344" s="187">
        <v>0</v>
      </c>
      <c r="J5344" s="187">
        <v>94</v>
      </c>
      <c r="K5344" s="187">
        <v>3343.536464684043</v>
      </c>
      <c r="L5344" s="187">
        <v>2167</v>
      </c>
      <c r="M5344" s="187">
        <v>5604.5361328125</v>
      </c>
      <c r="N5344" s="187">
        <v>2167</v>
      </c>
      <c r="O5344" t="s">
        <v>5780</v>
      </c>
    </row>
    <row r="5345" spans="1:15" hidden="1" x14ac:dyDescent="0.45">
      <c r="A5345" s="187">
        <v>2022</v>
      </c>
      <c r="B5345" t="s">
        <v>312</v>
      </c>
      <c r="C5345" t="s">
        <v>322</v>
      </c>
      <c r="D5345" t="s">
        <v>35</v>
      </c>
      <c r="E5345" t="s">
        <v>354</v>
      </c>
      <c r="F5345" t="s">
        <v>387</v>
      </c>
      <c r="G5345" t="s">
        <v>37</v>
      </c>
      <c r="H5345" t="s">
        <v>43</v>
      </c>
      <c r="I5345" s="187">
        <v>0</v>
      </c>
      <c r="J5345" s="187">
        <v>95</v>
      </c>
      <c r="K5345" s="187">
        <v>4059.4799608476042</v>
      </c>
      <c r="L5345" s="187">
        <v>154</v>
      </c>
      <c r="M5345" s="187">
        <v>4308.47998046875</v>
      </c>
      <c r="N5345" s="187">
        <v>154</v>
      </c>
      <c r="O5345" t="s">
        <v>5782</v>
      </c>
    </row>
    <row r="5346" spans="1:15" x14ac:dyDescent="0.45">
      <c r="A5346" s="187">
        <v>2022</v>
      </c>
      <c r="B5346" t="s">
        <v>8570</v>
      </c>
      <c r="C5346" t="s">
        <v>322</v>
      </c>
      <c r="D5346" t="s">
        <v>35</v>
      </c>
      <c r="E5346" t="s">
        <v>354</v>
      </c>
      <c r="F5346" t="s">
        <v>387</v>
      </c>
      <c r="G5346" t="s">
        <v>37</v>
      </c>
      <c r="H5346" t="s">
        <v>43</v>
      </c>
      <c r="I5346" s="187">
        <v>72.34</v>
      </c>
      <c r="J5346" s="187">
        <v>37</v>
      </c>
      <c r="K5346" s="187">
        <v>2552.8635529306512</v>
      </c>
      <c r="L5346" s="187">
        <v>446</v>
      </c>
      <c r="M5346" s="187">
        <v>3108.20361328125</v>
      </c>
      <c r="N5346" s="187">
        <v>518.3399658203125</v>
      </c>
      <c r="O5346" t="s">
        <v>8594</v>
      </c>
    </row>
    <row r="5347" spans="1:15" hidden="1" x14ac:dyDescent="0.45">
      <c r="A5347" s="187">
        <v>2022</v>
      </c>
      <c r="B5347" t="s">
        <v>317</v>
      </c>
      <c r="C5347" t="s">
        <v>322</v>
      </c>
      <c r="D5347" t="s">
        <v>35</v>
      </c>
      <c r="E5347" t="s">
        <v>354</v>
      </c>
      <c r="F5347" t="s">
        <v>387</v>
      </c>
      <c r="G5347" t="s">
        <v>37</v>
      </c>
      <c r="H5347" t="s">
        <v>43</v>
      </c>
      <c r="I5347" s="187">
        <v>102</v>
      </c>
      <c r="J5347" s="187">
        <v>96</v>
      </c>
      <c r="K5347" s="187">
        <v>2816.1373581439102</v>
      </c>
      <c r="L5347" s="187">
        <v>2752</v>
      </c>
      <c r="M5347" s="187">
        <v>5766.1376953125</v>
      </c>
      <c r="N5347" s="187">
        <v>2854</v>
      </c>
      <c r="O5347" t="s">
        <v>5784</v>
      </c>
    </row>
    <row r="5348" spans="1:15" hidden="1" x14ac:dyDescent="0.45">
      <c r="A5348" s="187">
        <v>2022</v>
      </c>
      <c r="B5348" t="s">
        <v>309</v>
      </c>
      <c r="C5348" t="s">
        <v>322</v>
      </c>
      <c r="D5348" t="s">
        <v>35</v>
      </c>
      <c r="E5348" t="s">
        <v>354</v>
      </c>
      <c r="F5348" t="s">
        <v>387</v>
      </c>
      <c r="G5348" t="s">
        <v>37</v>
      </c>
      <c r="H5348" t="s">
        <v>43</v>
      </c>
      <c r="I5348" s="187"/>
      <c r="J5348" s="187">
        <v>118.33</v>
      </c>
      <c r="K5348" s="187">
        <v>2565.63942482734</v>
      </c>
      <c r="L5348" s="187">
        <v>377</v>
      </c>
      <c r="M5348" s="187">
        <v>3060.969482421875</v>
      </c>
      <c r="N5348" s="187">
        <v>377</v>
      </c>
      <c r="O5348" t="s">
        <v>5778</v>
      </c>
    </row>
    <row r="5349" spans="1:15" hidden="1" x14ac:dyDescent="0.45">
      <c r="A5349" s="187">
        <v>2022</v>
      </c>
      <c r="B5349" t="s">
        <v>310</v>
      </c>
      <c r="C5349" t="s">
        <v>322</v>
      </c>
      <c r="D5349" t="s">
        <v>35</v>
      </c>
      <c r="E5349" t="s">
        <v>354</v>
      </c>
      <c r="F5349" t="s">
        <v>387</v>
      </c>
      <c r="G5349" t="s">
        <v>37</v>
      </c>
      <c r="H5349" t="s">
        <v>43</v>
      </c>
      <c r="I5349" s="187"/>
      <c r="J5349" s="187">
        <v>0</v>
      </c>
      <c r="K5349" s="187">
        <v>3474.411717797409</v>
      </c>
      <c r="L5349" s="187">
        <v>365</v>
      </c>
      <c r="M5349" s="187">
        <v>3839.41162109375</v>
      </c>
      <c r="N5349" s="187">
        <v>365</v>
      </c>
      <c r="O5349" t="s">
        <v>5776</v>
      </c>
    </row>
    <row r="5350" spans="1:15" hidden="1" x14ac:dyDescent="0.45">
      <c r="A5350" s="187">
        <v>2022</v>
      </c>
      <c r="B5350" t="s">
        <v>317</v>
      </c>
      <c r="C5350" t="s">
        <v>322</v>
      </c>
      <c r="D5350" t="s">
        <v>35</v>
      </c>
      <c r="E5350" t="s">
        <v>17</v>
      </c>
      <c r="F5350" t="s">
        <v>17</v>
      </c>
      <c r="G5350" t="s">
        <v>36</v>
      </c>
      <c r="H5350" t="s">
        <v>43</v>
      </c>
      <c r="I5350" s="187">
        <v>5076.2604997854532</v>
      </c>
      <c r="J5350" s="187">
        <v>105.88989137729163</v>
      </c>
      <c r="K5350" s="187">
        <v>1896.7066018142148</v>
      </c>
      <c r="L5350" s="187">
        <v>2209.6411006791977</v>
      </c>
      <c r="M5350" s="187">
        <v>9288.498046875</v>
      </c>
      <c r="N5350" s="187">
        <v>7285.90185546875</v>
      </c>
      <c r="O5350" t="s">
        <v>5788</v>
      </c>
    </row>
    <row r="5351" spans="1:15" hidden="1" x14ac:dyDescent="0.45">
      <c r="A5351" s="187">
        <v>2022</v>
      </c>
      <c r="B5351" t="s">
        <v>315</v>
      </c>
      <c r="C5351" t="s">
        <v>322</v>
      </c>
      <c r="D5351" t="s">
        <v>35</v>
      </c>
      <c r="E5351" t="s">
        <v>17</v>
      </c>
      <c r="F5351" t="s">
        <v>17</v>
      </c>
      <c r="G5351" t="s">
        <v>36</v>
      </c>
      <c r="H5351" t="s">
        <v>43</v>
      </c>
      <c r="I5351" s="187">
        <v>4916.3408730429082</v>
      </c>
      <c r="J5351" s="187">
        <v>79.295820532950131</v>
      </c>
      <c r="K5351" s="187">
        <v>1929.8008640659946</v>
      </c>
      <c r="L5351" s="187">
        <v>5610.7457014243137</v>
      </c>
      <c r="M5351" s="187">
        <v>12536.18359375</v>
      </c>
      <c r="N5351" s="187">
        <v>10527.0869140625</v>
      </c>
      <c r="O5351" t="s">
        <v>5787</v>
      </c>
    </row>
    <row r="5352" spans="1:15" hidden="1" x14ac:dyDescent="0.45">
      <c r="A5352" s="187">
        <v>2022</v>
      </c>
      <c r="B5352" t="s">
        <v>316</v>
      </c>
      <c r="C5352" t="s">
        <v>322</v>
      </c>
      <c r="D5352" t="s">
        <v>35</v>
      </c>
      <c r="E5352" t="s">
        <v>17</v>
      </c>
      <c r="F5352" t="s">
        <v>17</v>
      </c>
      <c r="G5352" t="s">
        <v>36</v>
      </c>
      <c r="H5352" t="s">
        <v>43</v>
      </c>
      <c r="I5352" s="187">
        <v>4876.3938838385247</v>
      </c>
      <c r="J5352" s="187">
        <v>165.21807579535636</v>
      </c>
      <c r="K5352" s="187">
        <v>2319.1859996490325</v>
      </c>
      <c r="L5352" s="187">
        <v>1630.1516811808494</v>
      </c>
      <c r="M5352" s="187">
        <v>8990.9501953125</v>
      </c>
      <c r="N5352" s="187">
        <v>6506.5458984375</v>
      </c>
      <c r="O5352" t="s">
        <v>5789</v>
      </c>
    </row>
    <row r="5353" spans="1:15" hidden="1" x14ac:dyDescent="0.45">
      <c r="A5353" s="187">
        <v>2022</v>
      </c>
      <c r="B5353" t="s">
        <v>310</v>
      </c>
      <c r="C5353" t="s">
        <v>322</v>
      </c>
      <c r="D5353" t="s">
        <v>35</v>
      </c>
      <c r="E5353" t="s">
        <v>17</v>
      </c>
      <c r="F5353" t="s">
        <v>17</v>
      </c>
      <c r="G5353" t="s">
        <v>36</v>
      </c>
      <c r="H5353" t="s">
        <v>43</v>
      </c>
      <c r="I5353" s="187"/>
      <c r="J5353" s="187">
        <v>52.308832960906223</v>
      </c>
      <c r="K5353" s="187">
        <v>2432.4772902413938</v>
      </c>
      <c r="L5353" s="187">
        <v>8309.2581158399535</v>
      </c>
      <c r="M5353" s="187">
        <v>10794.0439453125</v>
      </c>
      <c r="N5353" s="187">
        <v>8309.2578125</v>
      </c>
      <c r="O5353" t="s">
        <v>5793</v>
      </c>
    </row>
    <row r="5354" spans="1:15" hidden="1" x14ac:dyDescent="0.45">
      <c r="A5354" s="187">
        <v>2022</v>
      </c>
      <c r="B5354" t="s">
        <v>312</v>
      </c>
      <c r="C5354" t="s">
        <v>322</v>
      </c>
      <c r="D5354" t="s">
        <v>35</v>
      </c>
      <c r="E5354" t="s">
        <v>17</v>
      </c>
      <c r="F5354" t="s">
        <v>17</v>
      </c>
      <c r="G5354" t="s">
        <v>36</v>
      </c>
      <c r="H5354" t="s">
        <v>43</v>
      </c>
      <c r="I5354" s="187">
        <v>4995.7599132514943</v>
      </c>
      <c r="J5354" s="187">
        <v>80.377325336967118</v>
      </c>
      <c r="K5354" s="187">
        <v>2308.019612796415</v>
      </c>
      <c r="L5354" s="187">
        <v>555.22183194304978</v>
      </c>
      <c r="M5354" s="187">
        <v>7939.37841796875</v>
      </c>
      <c r="N5354" s="187">
        <v>5550.9814453125</v>
      </c>
      <c r="O5354" t="s">
        <v>5785</v>
      </c>
    </row>
    <row r="5355" spans="1:15" x14ac:dyDescent="0.45">
      <c r="A5355" s="187">
        <v>2022</v>
      </c>
      <c r="B5355" t="s">
        <v>8570</v>
      </c>
      <c r="C5355" t="s">
        <v>322</v>
      </c>
      <c r="D5355" t="s">
        <v>35</v>
      </c>
      <c r="E5355" t="s">
        <v>17</v>
      </c>
      <c r="F5355" t="s">
        <v>17</v>
      </c>
      <c r="G5355" t="s">
        <v>36</v>
      </c>
      <c r="H5355" t="s">
        <v>43</v>
      </c>
      <c r="I5355" s="187">
        <v>4020.1579999999999</v>
      </c>
      <c r="J5355" s="187">
        <v>122</v>
      </c>
      <c r="K5355" s="187">
        <v>1633.984603332264</v>
      </c>
      <c r="L5355" s="187">
        <v>1800</v>
      </c>
      <c r="M5355" s="187">
        <v>7576.142578125</v>
      </c>
      <c r="N5355" s="187">
        <v>5820.158203125</v>
      </c>
      <c r="O5355" t="s">
        <v>8595</v>
      </c>
    </row>
    <row r="5356" spans="1:15" hidden="1" x14ac:dyDescent="0.45">
      <c r="A5356" s="187">
        <v>2022</v>
      </c>
      <c r="B5356" t="s">
        <v>313</v>
      </c>
      <c r="C5356" t="s">
        <v>322</v>
      </c>
      <c r="D5356" t="s">
        <v>35</v>
      </c>
      <c r="E5356" t="s">
        <v>17</v>
      </c>
      <c r="F5356" t="s">
        <v>17</v>
      </c>
      <c r="G5356" t="s">
        <v>36</v>
      </c>
      <c r="H5356" t="s">
        <v>43</v>
      </c>
      <c r="I5356" s="187">
        <v>2803.0669864050269</v>
      </c>
      <c r="J5356" s="187">
        <v>77.862971844584081</v>
      </c>
      <c r="K5356" s="187">
        <v>1666.5371853406489</v>
      </c>
      <c r="L5356" s="187">
        <v>428.84529108247847</v>
      </c>
      <c r="M5356" s="187">
        <v>4976.3125</v>
      </c>
      <c r="N5356" s="187">
        <v>3231.912109375</v>
      </c>
      <c r="O5356" t="s">
        <v>5791</v>
      </c>
    </row>
    <row r="5357" spans="1:15" hidden="1" x14ac:dyDescent="0.45">
      <c r="A5357" s="187">
        <v>2022</v>
      </c>
      <c r="B5357" t="s">
        <v>309</v>
      </c>
      <c r="C5357" t="s">
        <v>322</v>
      </c>
      <c r="D5357" t="s">
        <v>35</v>
      </c>
      <c r="E5357" t="s">
        <v>17</v>
      </c>
      <c r="F5357" t="s">
        <v>17</v>
      </c>
      <c r="G5357" t="s">
        <v>36</v>
      </c>
      <c r="H5357" t="s">
        <v>43</v>
      </c>
      <c r="I5357" s="187"/>
      <c r="J5357" s="187">
        <v>45.039292668175278</v>
      </c>
      <c r="K5357" s="187">
        <v>4037.9575269857201</v>
      </c>
      <c r="L5357" s="187">
        <v>8361.4122153388926</v>
      </c>
      <c r="M5357" s="187">
        <v>12444.4091796875</v>
      </c>
      <c r="N5357" s="187">
        <v>8361.412109375</v>
      </c>
      <c r="O5357" t="s">
        <v>5786</v>
      </c>
    </row>
    <row r="5358" spans="1:15" hidden="1" x14ac:dyDescent="0.45">
      <c r="A5358" s="187">
        <v>2022</v>
      </c>
      <c r="B5358" t="s">
        <v>314</v>
      </c>
      <c r="C5358" t="s">
        <v>322</v>
      </c>
      <c r="D5358" t="s">
        <v>35</v>
      </c>
      <c r="E5358" t="s">
        <v>17</v>
      </c>
      <c r="F5358" t="s">
        <v>17</v>
      </c>
      <c r="G5358" t="s">
        <v>36</v>
      </c>
      <c r="H5358" t="s">
        <v>43</v>
      </c>
      <c r="I5358" s="187">
        <v>4263.2436196219733</v>
      </c>
      <c r="J5358" s="187">
        <v>81.537446276922978</v>
      </c>
      <c r="K5358" s="187">
        <v>1481.6732306759509</v>
      </c>
      <c r="L5358" s="187">
        <v>5983.6837360650479</v>
      </c>
      <c r="M5358" s="187">
        <v>11810.138671875</v>
      </c>
      <c r="N5358" s="187">
        <v>10246.927734375</v>
      </c>
      <c r="O5358" t="s">
        <v>5792</v>
      </c>
    </row>
    <row r="5359" spans="1:15" hidden="1" x14ac:dyDescent="0.45">
      <c r="A5359" s="187">
        <v>2022</v>
      </c>
      <c r="B5359" t="s">
        <v>311</v>
      </c>
      <c r="C5359" t="s">
        <v>322</v>
      </c>
      <c r="D5359" t="s">
        <v>35</v>
      </c>
      <c r="E5359" t="s">
        <v>17</v>
      </c>
      <c r="F5359" t="s">
        <v>17</v>
      </c>
      <c r="G5359" t="s">
        <v>36</v>
      </c>
      <c r="H5359" t="s">
        <v>43</v>
      </c>
      <c r="I5359" s="187"/>
      <c r="J5359" s="187">
        <v>57.388235519475181</v>
      </c>
      <c r="K5359" s="187">
        <v>1763.8802106042924</v>
      </c>
      <c r="L5359" s="187">
        <v>7744.8612068838393</v>
      </c>
      <c r="M5359" s="187">
        <v>9566.1298828125</v>
      </c>
      <c r="N5359" s="187">
        <v>7744.861328125</v>
      </c>
      <c r="O5359" t="s">
        <v>5790</v>
      </c>
    </row>
    <row r="5360" spans="1:15" hidden="1" x14ac:dyDescent="0.45">
      <c r="A5360" s="187">
        <v>2022</v>
      </c>
      <c r="B5360" t="s">
        <v>310</v>
      </c>
      <c r="C5360" t="s">
        <v>322</v>
      </c>
      <c r="D5360" t="s">
        <v>35</v>
      </c>
      <c r="E5360" t="s">
        <v>17</v>
      </c>
      <c r="F5360" t="s">
        <v>17</v>
      </c>
      <c r="G5360" t="s">
        <v>37</v>
      </c>
      <c r="H5360" t="s">
        <v>43</v>
      </c>
      <c r="I5360" s="187"/>
      <c r="J5360" s="187">
        <v>47</v>
      </c>
      <c r="K5360" s="187">
        <v>2188.1103997624668</v>
      </c>
      <c r="L5360" s="187">
        <v>7822</v>
      </c>
      <c r="M5360" s="187">
        <v>10057.1103515625</v>
      </c>
      <c r="N5360" s="187">
        <v>7822</v>
      </c>
      <c r="O5360" t="s">
        <v>5800</v>
      </c>
    </row>
    <row r="5361" spans="1:15" hidden="1" x14ac:dyDescent="0.45">
      <c r="A5361" s="187">
        <v>2022</v>
      </c>
      <c r="B5361" t="s">
        <v>317</v>
      </c>
      <c r="C5361" t="s">
        <v>322</v>
      </c>
      <c r="D5361" t="s">
        <v>35</v>
      </c>
      <c r="E5361" t="s">
        <v>17</v>
      </c>
      <c r="F5361" t="s">
        <v>17</v>
      </c>
      <c r="G5361" t="s">
        <v>37</v>
      </c>
      <c r="H5361" t="s">
        <v>43</v>
      </c>
      <c r="I5361" s="187">
        <v>4791.9871572119882</v>
      </c>
      <c r="J5361" s="187">
        <v>98</v>
      </c>
      <c r="K5361" s="187">
        <v>1783.7894783688239</v>
      </c>
      <c r="L5361" s="187">
        <v>2085</v>
      </c>
      <c r="M5361" s="187">
        <v>8758.77734375</v>
      </c>
      <c r="N5361" s="187">
        <v>6876.9873046875</v>
      </c>
      <c r="O5361" t="s">
        <v>5799</v>
      </c>
    </row>
    <row r="5362" spans="1:15" x14ac:dyDescent="0.45">
      <c r="A5362" s="187">
        <v>2022</v>
      </c>
      <c r="B5362" t="s">
        <v>8570</v>
      </c>
      <c r="C5362" t="s">
        <v>322</v>
      </c>
      <c r="D5362" t="s">
        <v>35</v>
      </c>
      <c r="E5362" t="s">
        <v>17</v>
      </c>
      <c r="F5362" t="s">
        <v>17</v>
      </c>
      <c r="G5362" t="s">
        <v>37</v>
      </c>
      <c r="H5362" t="s">
        <v>43</v>
      </c>
      <c r="I5362" s="187">
        <v>4020.1579999999999</v>
      </c>
      <c r="J5362" s="187">
        <v>122</v>
      </c>
      <c r="K5362" s="187">
        <v>1633.984603332264</v>
      </c>
      <c r="L5362" s="187">
        <v>1800</v>
      </c>
      <c r="M5362" s="187">
        <v>7576.142578125</v>
      </c>
      <c r="N5362" s="187">
        <v>5820.158203125</v>
      </c>
      <c r="O5362" t="s">
        <v>8596</v>
      </c>
    </row>
    <row r="5363" spans="1:15" hidden="1" x14ac:dyDescent="0.45">
      <c r="A5363" s="187">
        <v>2022</v>
      </c>
      <c r="B5363" t="s">
        <v>313</v>
      </c>
      <c r="C5363" t="s">
        <v>322</v>
      </c>
      <c r="D5363" t="s">
        <v>35</v>
      </c>
      <c r="E5363" t="s">
        <v>17</v>
      </c>
      <c r="F5363" t="s">
        <v>17</v>
      </c>
      <c r="G5363" t="s">
        <v>37</v>
      </c>
      <c r="H5363" t="s">
        <v>43</v>
      </c>
      <c r="I5363" s="187">
        <v>2578.2269530490939</v>
      </c>
      <c r="J5363" s="187">
        <v>72</v>
      </c>
      <c r="K5363" s="187">
        <v>1529.154608569936</v>
      </c>
      <c r="L5363" s="187">
        <v>397</v>
      </c>
      <c r="M5363" s="187">
        <v>4576.3818359375</v>
      </c>
      <c r="N5363" s="187">
        <v>2975.22705078125</v>
      </c>
      <c r="O5363" t="s">
        <v>5796</v>
      </c>
    </row>
    <row r="5364" spans="1:15" hidden="1" x14ac:dyDescent="0.45">
      <c r="A5364" s="187">
        <v>2022</v>
      </c>
      <c r="B5364" t="s">
        <v>315</v>
      </c>
      <c r="C5364" t="s">
        <v>322</v>
      </c>
      <c r="D5364" t="s">
        <v>35</v>
      </c>
      <c r="E5364" t="s">
        <v>17</v>
      </c>
      <c r="F5364" t="s">
        <v>17</v>
      </c>
      <c r="G5364" t="s">
        <v>37</v>
      </c>
      <c r="H5364" t="s">
        <v>43</v>
      </c>
      <c r="I5364" s="187">
        <v>4606.545831468</v>
      </c>
      <c r="J5364" s="187">
        <v>73</v>
      </c>
      <c r="K5364" s="187">
        <v>1803.3426526075129</v>
      </c>
      <c r="L5364" s="187">
        <v>5256</v>
      </c>
      <c r="M5364" s="187">
        <v>11738.888671875</v>
      </c>
      <c r="N5364" s="187">
        <v>9862.5458984375</v>
      </c>
      <c r="O5364" t="s">
        <v>5795</v>
      </c>
    </row>
    <row r="5365" spans="1:15" hidden="1" x14ac:dyDescent="0.45">
      <c r="A5365" s="187">
        <v>2022</v>
      </c>
      <c r="B5365" t="s">
        <v>311</v>
      </c>
      <c r="C5365" t="s">
        <v>322</v>
      </c>
      <c r="D5365" t="s">
        <v>35</v>
      </c>
      <c r="E5365" t="s">
        <v>17</v>
      </c>
      <c r="F5365" t="s">
        <v>17</v>
      </c>
      <c r="G5365" t="s">
        <v>37</v>
      </c>
      <c r="H5365" t="s">
        <v>43</v>
      </c>
      <c r="I5365" s="187"/>
      <c r="J5365" s="187">
        <v>52</v>
      </c>
      <c r="K5365" s="187">
        <v>1577.1690500520019</v>
      </c>
      <c r="L5365" s="187">
        <v>7301</v>
      </c>
      <c r="M5365" s="187">
        <v>8930.1689453125</v>
      </c>
      <c r="N5365" s="187">
        <v>7301</v>
      </c>
      <c r="O5365" t="s">
        <v>5798</v>
      </c>
    </row>
    <row r="5366" spans="1:15" hidden="1" x14ac:dyDescent="0.45">
      <c r="A5366" s="187">
        <v>2022</v>
      </c>
      <c r="B5366" t="s">
        <v>314</v>
      </c>
      <c r="C5366" t="s">
        <v>322</v>
      </c>
      <c r="D5366" t="s">
        <v>35</v>
      </c>
      <c r="E5366" t="s">
        <v>17</v>
      </c>
      <c r="F5366" t="s">
        <v>17</v>
      </c>
      <c r="G5366" t="s">
        <v>37</v>
      </c>
      <c r="H5366" t="s">
        <v>43</v>
      </c>
      <c r="I5366" s="187">
        <v>3963.643982801681</v>
      </c>
      <c r="J5366" s="187">
        <v>76</v>
      </c>
      <c r="K5366" s="187">
        <v>1379.4125789614709</v>
      </c>
      <c r="L5366" s="187">
        <v>5848</v>
      </c>
      <c r="M5366" s="187">
        <v>11267.056640625</v>
      </c>
      <c r="N5366" s="187">
        <v>9811.64453125</v>
      </c>
      <c r="O5366" t="s">
        <v>5794</v>
      </c>
    </row>
    <row r="5367" spans="1:15" hidden="1" x14ac:dyDescent="0.45">
      <c r="A5367" s="187">
        <v>2022</v>
      </c>
      <c r="B5367" t="s">
        <v>316</v>
      </c>
      <c r="C5367" t="s">
        <v>322</v>
      </c>
      <c r="D5367" t="s">
        <v>35</v>
      </c>
      <c r="E5367" t="s">
        <v>17</v>
      </c>
      <c r="F5367" t="s">
        <v>17</v>
      </c>
      <c r="G5367" t="s">
        <v>37</v>
      </c>
      <c r="H5367" t="s">
        <v>43</v>
      </c>
      <c r="I5367" s="187">
        <v>4607</v>
      </c>
      <c r="J5367" s="187">
        <v>150</v>
      </c>
      <c r="K5367" s="187">
        <v>2163.3768405020769</v>
      </c>
      <c r="L5367" s="187">
        <v>1561</v>
      </c>
      <c r="M5367" s="187">
        <v>8481.376953125</v>
      </c>
      <c r="N5367" s="187">
        <v>6168</v>
      </c>
      <c r="O5367" t="s">
        <v>5802</v>
      </c>
    </row>
    <row r="5368" spans="1:15" hidden="1" x14ac:dyDescent="0.45">
      <c r="A5368" s="187">
        <v>2022</v>
      </c>
      <c r="B5368" t="s">
        <v>312</v>
      </c>
      <c r="C5368" t="s">
        <v>322</v>
      </c>
      <c r="D5368" t="s">
        <v>35</v>
      </c>
      <c r="E5368" t="s">
        <v>17</v>
      </c>
      <c r="F5368" t="s">
        <v>17</v>
      </c>
      <c r="G5368" t="s">
        <v>37</v>
      </c>
      <c r="H5368" t="s">
        <v>43</v>
      </c>
      <c r="I5368" s="187">
        <v>4473.5543054572354</v>
      </c>
      <c r="J5368" s="187">
        <v>73</v>
      </c>
      <c r="K5368" s="187">
        <v>2095.4578062784708</v>
      </c>
      <c r="L5368" s="187">
        <v>505</v>
      </c>
      <c r="M5368" s="187">
        <v>7147.01220703125</v>
      </c>
      <c r="N5368" s="187">
        <v>4978.55419921875</v>
      </c>
      <c r="O5368" t="s">
        <v>5797</v>
      </c>
    </row>
    <row r="5369" spans="1:15" hidden="1" x14ac:dyDescent="0.45">
      <c r="A5369" s="187">
        <v>2022</v>
      </c>
      <c r="B5369" t="s">
        <v>309</v>
      </c>
      <c r="C5369" t="s">
        <v>322</v>
      </c>
      <c r="D5369" t="s">
        <v>35</v>
      </c>
      <c r="E5369" t="s">
        <v>17</v>
      </c>
      <c r="F5369" t="s">
        <v>17</v>
      </c>
      <c r="G5369" t="s">
        <v>37</v>
      </c>
      <c r="H5369" t="s">
        <v>43</v>
      </c>
      <c r="I5369" s="187"/>
      <c r="J5369" s="187">
        <v>40.232199999999999</v>
      </c>
      <c r="K5369" s="187">
        <v>3721.3780962266128</v>
      </c>
      <c r="L5369" s="187">
        <v>8084</v>
      </c>
      <c r="M5369" s="187">
        <v>11845.6103515625</v>
      </c>
      <c r="N5369" s="187">
        <v>8084</v>
      </c>
      <c r="O5369" t="s">
        <v>5801</v>
      </c>
    </row>
    <row r="5370" spans="1:15" hidden="1" x14ac:dyDescent="0.45">
      <c r="A5370" s="187">
        <v>2022</v>
      </c>
      <c r="B5370" t="s">
        <v>309</v>
      </c>
      <c r="C5370" t="s">
        <v>322</v>
      </c>
      <c r="D5370" t="s">
        <v>35</v>
      </c>
      <c r="E5370" t="s">
        <v>45</v>
      </c>
      <c r="F5370" t="s">
        <v>45</v>
      </c>
      <c r="G5370" t="s">
        <v>37</v>
      </c>
      <c r="H5370" t="s">
        <v>43</v>
      </c>
      <c r="I5370" s="187"/>
      <c r="J5370" s="187">
        <v>0</v>
      </c>
      <c r="K5370" s="187">
        <v>736.92214493181655</v>
      </c>
      <c r="L5370" s="187">
        <v>4928</v>
      </c>
      <c r="M5370" s="187">
        <v>5664.921875</v>
      </c>
      <c r="N5370" s="187">
        <v>4928</v>
      </c>
      <c r="O5370" t="s">
        <v>5803</v>
      </c>
    </row>
    <row r="5371" spans="1:15" hidden="1" x14ac:dyDescent="0.45">
      <c r="A5371" s="187">
        <v>2022</v>
      </c>
      <c r="B5371" t="s">
        <v>310</v>
      </c>
      <c r="C5371" t="s">
        <v>322</v>
      </c>
      <c r="D5371" t="s">
        <v>35</v>
      </c>
      <c r="E5371" t="s">
        <v>45</v>
      </c>
      <c r="F5371" t="s">
        <v>45</v>
      </c>
      <c r="G5371" t="s">
        <v>37</v>
      </c>
      <c r="H5371" t="s">
        <v>43</v>
      </c>
      <c r="I5371" s="187"/>
      <c r="J5371" s="187">
        <v>0</v>
      </c>
      <c r="K5371" s="187">
        <v>707.29525547400385</v>
      </c>
      <c r="L5371" s="187">
        <v>6693</v>
      </c>
      <c r="M5371" s="187">
        <v>7400.29541015625</v>
      </c>
      <c r="N5371" s="187">
        <v>6693</v>
      </c>
      <c r="O5371" t="s">
        <v>5811</v>
      </c>
    </row>
    <row r="5372" spans="1:15" hidden="1" x14ac:dyDescent="0.45">
      <c r="A5372" s="187">
        <v>2022</v>
      </c>
      <c r="B5372" t="s">
        <v>317</v>
      </c>
      <c r="C5372" t="s">
        <v>322</v>
      </c>
      <c r="D5372" t="s">
        <v>35</v>
      </c>
      <c r="E5372" t="s">
        <v>45</v>
      </c>
      <c r="F5372" t="s">
        <v>45</v>
      </c>
      <c r="G5372" t="s">
        <v>37</v>
      </c>
      <c r="H5372" t="s">
        <v>43</v>
      </c>
      <c r="I5372" s="187">
        <v>1230.3991739999999</v>
      </c>
      <c r="J5372" s="187"/>
      <c r="K5372" s="187">
        <v>907.63545502718716</v>
      </c>
      <c r="L5372" s="187">
        <v>21634</v>
      </c>
      <c r="M5372" s="187">
        <v>23772.03515625</v>
      </c>
      <c r="N5372" s="187">
        <v>22864.3984375</v>
      </c>
      <c r="O5372" t="s">
        <v>5806</v>
      </c>
    </row>
    <row r="5373" spans="1:15" hidden="1" x14ac:dyDescent="0.45">
      <c r="A5373" s="187">
        <v>2022</v>
      </c>
      <c r="B5373" t="s">
        <v>316</v>
      </c>
      <c r="C5373" t="s">
        <v>322</v>
      </c>
      <c r="D5373" t="s">
        <v>35</v>
      </c>
      <c r="E5373" t="s">
        <v>45</v>
      </c>
      <c r="F5373" t="s">
        <v>45</v>
      </c>
      <c r="G5373" t="s">
        <v>37</v>
      </c>
      <c r="H5373" t="s">
        <v>43</v>
      </c>
      <c r="I5373" s="187">
        <v>1577</v>
      </c>
      <c r="J5373" s="187"/>
      <c r="K5373" s="187">
        <v>924.65137484055026</v>
      </c>
      <c r="L5373" s="187">
        <v>7598</v>
      </c>
      <c r="M5373" s="187">
        <v>10099.6513671875</v>
      </c>
      <c r="N5373" s="187">
        <v>9175</v>
      </c>
      <c r="O5373" t="s">
        <v>5808</v>
      </c>
    </row>
    <row r="5374" spans="1:15" hidden="1" x14ac:dyDescent="0.45">
      <c r="A5374" s="187">
        <v>2022</v>
      </c>
      <c r="B5374" t="s">
        <v>315</v>
      </c>
      <c r="C5374" t="s">
        <v>322</v>
      </c>
      <c r="D5374" t="s">
        <v>35</v>
      </c>
      <c r="E5374" t="s">
        <v>45</v>
      </c>
      <c r="F5374" t="s">
        <v>45</v>
      </c>
      <c r="G5374" t="s">
        <v>37</v>
      </c>
      <c r="H5374" t="s">
        <v>43</v>
      </c>
      <c r="I5374" s="187">
        <v>1679.589627224537</v>
      </c>
      <c r="J5374" s="187">
        <v>0</v>
      </c>
      <c r="K5374" s="187">
        <v>885.29899829075214</v>
      </c>
      <c r="L5374" s="187">
        <v>6749</v>
      </c>
      <c r="M5374" s="187">
        <v>9313.888671875</v>
      </c>
      <c r="N5374" s="187">
        <v>8428.58984375</v>
      </c>
      <c r="O5374" t="s">
        <v>5810</v>
      </c>
    </row>
    <row r="5375" spans="1:15" hidden="1" x14ac:dyDescent="0.45">
      <c r="A5375" s="187">
        <v>2022</v>
      </c>
      <c r="B5375" t="s">
        <v>312</v>
      </c>
      <c r="C5375" t="s">
        <v>322</v>
      </c>
      <c r="D5375" t="s">
        <v>35</v>
      </c>
      <c r="E5375" t="s">
        <v>45</v>
      </c>
      <c r="F5375" t="s">
        <v>45</v>
      </c>
      <c r="G5375" t="s">
        <v>37</v>
      </c>
      <c r="H5375" t="s">
        <v>43</v>
      </c>
      <c r="I5375" s="187">
        <v>1102.582502469417</v>
      </c>
      <c r="J5375" s="187">
        <v>0</v>
      </c>
      <c r="K5375" s="187">
        <v>776.83568466928386</v>
      </c>
      <c r="L5375" s="187">
        <v>3616</v>
      </c>
      <c r="M5375" s="187">
        <v>5495.41796875</v>
      </c>
      <c r="N5375" s="187">
        <v>4718.58251953125</v>
      </c>
      <c r="O5375" t="s">
        <v>5809</v>
      </c>
    </row>
    <row r="5376" spans="1:15" hidden="1" x14ac:dyDescent="0.45">
      <c r="A5376" s="187">
        <v>2022</v>
      </c>
      <c r="B5376" t="s">
        <v>313</v>
      </c>
      <c r="C5376" t="s">
        <v>322</v>
      </c>
      <c r="D5376" t="s">
        <v>35</v>
      </c>
      <c r="E5376" t="s">
        <v>45</v>
      </c>
      <c r="F5376" t="s">
        <v>45</v>
      </c>
      <c r="G5376" t="s">
        <v>37</v>
      </c>
      <c r="H5376" t="s">
        <v>43</v>
      </c>
      <c r="I5376" s="187">
        <v>1224.4492087125279</v>
      </c>
      <c r="J5376" s="187">
        <v>0</v>
      </c>
      <c r="K5376" s="187">
        <v>344.18510403234689</v>
      </c>
      <c r="L5376" s="187">
        <v>4714</v>
      </c>
      <c r="M5376" s="187">
        <v>6282.63427734375</v>
      </c>
      <c r="N5376" s="187">
        <v>5938.44921875</v>
      </c>
      <c r="O5376" t="s">
        <v>5804</v>
      </c>
    </row>
    <row r="5377" spans="1:15" hidden="1" x14ac:dyDescent="0.45">
      <c r="A5377" s="187">
        <v>2022</v>
      </c>
      <c r="B5377" t="s">
        <v>314</v>
      </c>
      <c r="C5377" t="s">
        <v>322</v>
      </c>
      <c r="D5377" t="s">
        <v>35</v>
      </c>
      <c r="E5377" t="s">
        <v>45</v>
      </c>
      <c r="F5377" t="s">
        <v>45</v>
      </c>
      <c r="G5377" t="s">
        <v>37</v>
      </c>
      <c r="H5377" t="s">
        <v>43</v>
      </c>
      <c r="I5377" s="187">
        <v>1582.404528</v>
      </c>
      <c r="J5377" s="187">
        <v>0</v>
      </c>
      <c r="K5377" s="187">
        <v>348.05567134543082</v>
      </c>
      <c r="L5377" s="187">
        <v>8091</v>
      </c>
      <c r="M5377" s="187">
        <v>10021.4599609375</v>
      </c>
      <c r="N5377" s="187">
        <v>9673.404296875</v>
      </c>
      <c r="O5377" t="s">
        <v>5805</v>
      </c>
    </row>
    <row r="5378" spans="1:15" x14ac:dyDescent="0.45">
      <c r="A5378" s="187">
        <v>2022</v>
      </c>
      <c r="B5378" t="s">
        <v>8570</v>
      </c>
      <c r="C5378" t="s">
        <v>322</v>
      </c>
      <c r="D5378" t="s">
        <v>35</v>
      </c>
      <c r="E5378" t="s">
        <v>45</v>
      </c>
      <c r="F5378" t="s">
        <v>45</v>
      </c>
      <c r="G5378" t="s">
        <v>37</v>
      </c>
      <c r="H5378" t="s">
        <v>43</v>
      </c>
      <c r="I5378" s="187">
        <v>1102.982120333789</v>
      </c>
      <c r="J5378" s="187"/>
      <c r="K5378" s="187">
        <v>633.264960054276</v>
      </c>
      <c r="L5378" s="187">
        <v>15570</v>
      </c>
      <c r="M5378" s="187">
        <v>17306.248046875</v>
      </c>
      <c r="N5378" s="187">
        <v>16672.982421875</v>
      </c>
      <c r="O5378" t="s">
        <v>8597</v>
      </c>
    </row>
    <row r="5379" spans="1:15" hidden="1" x14ac:dyDescent="0.45">
      <c r="A5379" s="187">
        <v>2022</v>
      </c>
      <c r="B5379" t="s">
        <v>311</v>
      </c>
      <c r="C5379" t="s">
        <v>322</v>
      </c>
      <c r="D5379" t="s">
        <v>35</v>
      </c>
      <c r="E5379" t="s">
        <v>45</v>
      </c>
      <c r="F5379" t="s">
        <v>45</v>
      </c>
      <c r="G5379" t="s">
        <v>37</v>
      </c>
      <c r="H5379" t="s">
        <v>43</v>
      </c>
      <c r="I5379" s="187"/>
      <c r="J5379" s="187">
        <v>0</v>
      </c>
      <c r="K5379" s="187">
        <v>705.2278360499871</v>
      </c>
      <c r="L5379" s="187">
        <v>7848</v>
      </c>
      <c r="M5379" s="187">
        <v>8553.2275390625</v>
      </c>
      <c r="N5379" s="187">
        <v>7848</v>
      </c>
      <c r="O5379" t="s">
        <v>5807</v>
      </c>
    </row>
    <row r="5380" spans="1:15" x14ac:dyDescent="0.45">
      <c r="A5380" s="187">
        <v>2022</v>
      </c>
      <c r="B5380" t="s">
        <v>8570</v>
      </c>
      <c r="C5380" t="s">
        <v>322</v>
      </c>
      <c r="D5380" t="s">
        <v>35</v>
      </c>
      <c r="E5380" t="s">
        <v>355</v>
      </c>
      <c r="F5380" t="s">
        <v>355</v>
      </c>
      <c r="G5380" t="s">
        <v>37</v>
      </c>
      <c r="H5380" t="s">
        <v>43</v>
      </c>
      <c r="I5380" s="187">
        <v>14605</v>
      </c>
      <c r="J5380" s="187"/>
      <c r="K5380" s="187"/>
      <c r="L5380" s="187"/>
      <c r="M5380" s="187">
        <v>14605</v>
      </c>
      <c r="N5380" s="187">
        <v>14605</v>
      </c>
      <c r="O5380" t="s">
        <v>8598</v>
      </c>
    </row>
    <row r="5381" spans="1:15" hidden="1" x14ac:dyDescent="0.45">
      <c r="A5381" s="187">
        <v>2022</v>
      </c>
      <c r="B5381" t="s">
        <v>310</v>
      </c>
      <c r="C5381" t="s">
        <v>322</v>
      </c>
      <c r="D5381" t="s">
        <v>35</v>
      </c>
      <c r="E5381" t="s">
        <v>355</v>
      </c>
      <c r="F5381" t="s">
        <v>355</v>
      </c>
      <c r="G5381" t="s">
        <v>37</v>
      </c>
      <c r="H5381" t="s">
        <v>43</v>
      </c>
      <c r="I5381" s="187"/>
      <c r="J5381" s="187">
        <v>858</v>
      </c>
      <c r="K5381" s="187">
        <v>14548.47987177402</v>
      </c>
      <c r="L5381" s="187">
        <v>29146</v>
      </c>
      <c r="M5381" s="187">
        <v>44552.48046875</v>
      </c>
      <c r="N5381" s="187">
        <v>29146</v>
      </c>
      <c r="O5381" t="s">
        <v>5813</v>
      </c>
    </row>
    <row r="5382" spans="1:15" hidden="1" x14ac:dyDescent="0.45">
      <c r="A5382" s="187">
        <v>2022</v>
      </c>
      <c r="B5382" t="s">
        <v>309</v>
      </c>
      <c r="C5382" t="s">
        <v>322</v>
      </c>
      <c r="D5382" t="s">
        <v>35</v>
      </c>
      <c r="E5382" t="s">
        <v>355</v>
      </c>
      <c r="F5382" t="s">
        <v>355</v>
      </c>
      <c r="G5382" t="s">
        <v>37</v>
      </c>
      <c r="H5382" t="s">
        <v>43</v>
      </c>
      <c r="I5382" s="187"/>
      <c r="J5382" s="187">
        <v>951.3732</v>
      </c>
      <c r="K5382" s="187">
        <v>14376.91252646576</v>
      </c>
      <c r="L5382" s="187">
        <v>23445</v>
      </c>
      <c r="M5382" s="187">
        <v>38773.28515625</v>
      </c>
      <c r="N5382" s="187">
        <v>23445</v>
      </c>
      <c r="O5382" t="s">
        <v>5812</v>
      </c>
    </row>
    <row r="5383" spans="1:15" hidden="1" x14ac:dyDescent="0.45">
      <c r="A5383" s="187">
        <v>2022</v>
      </c>
      <c r="B5383" t="s">
        <v>313</v>
      </c>
      <c r="C5383" t="s">
        <v>322</v>
      </c>
      <c r="D5383" t="s">
        <v>35</v>
      </c>
      <c r="E5383" t="s">
        <v>355</v>
      </c>
      <c r="F5383" t="s">
        <v>355</v>
      </c>
      <c r="G5383" t="s">
        <v>37</v>
      </c>
      <c r="H5383" t="s">
        <v>43</v>
      </c>
      <c r="I5383" s="187"/>
      <c r="J5383" s="187"/>
      <c r="K5383" s="187"/>
      <c r="L5383" s="187">
        <v>18483</v>
      </c>
      <c r="M5383" s="187">
        <v>18483</v>
      </c>
      <c r="N5383" s="187">
        <v>18483</v>
      </c>
      <c r="O5383" t="s">
        <v>5814</v>
      </c>
    </row>
    <row r="5384" spans="1:15" hidden="1" x14ac:dyDescent="0.45">
      <c r="A5384" s="187">
        <v>2022</v>
      </c>
      <c r="B5384" t="s">
        <v>316</v>
      </c>
      <c r="C5384" t="s">
        <v>322</v>
      </c>
      <c r="D5384" t="s">
        <v>35</v>
      </c>
      <c r="E5384" t="s">
        <v>356</v>
      </c>
      <c r="F5384" t="s">
        <v>356</v>
      </c>
      <c r="G5384" t="s">
        <v>37</v>
      </c>
      <c r="H5384" t="s">
        <v>43</v>
      </c>
      <c r="I5384" s="187"/>
      <c r="J5384" s="187"/>
      <c r="K5384" s="187">
        <v>0</v>
      </c>
      <c r="L5384" s="187">
        <v>0</v>
      </c>
      <c r="M5384" s="187">
        <v>0</v>
      </c>
      <c r="N5384" s="187">
        <v>0</v>
      </c>
      <c r="O5384" t="s">
        <v>5818</v>
      </c>
    </row>
    <row r="5385" spans="1:15" hidden="1" x14ac:dyDescent="0.45">
      <c r="A5385" s="187">
        <v>2022</v>
      </c>
      <c r="B5385" t="s">
        <v>310</v>
      </c>
      <c r="C5385" t="s">
        <v>322</v>
      </c>
      <c r="D5385" t="s">
        <v>35</v>
      </c>
      <c r="E5385" t="s">
        <v>356</v>
      </c>
      <c r="F5385" t="s">
        <v>356</v>
      </c>
      <c r="G5385" t="s">
        <v>37</v>
      </c>
      <c r="H5385" t="s">
        <v>43</v>
      </c>
      <c r="I5385" s="187"/>
      <c r="J5385" s="187">
        <v>0</v>
      </c>
      <c r="K5385" s="187">
        <v>0</v>
      </c>
      <c r="L5385" s="187">
        <v>0</v>
      </c>
      <c r="M5385" s="187">
        <v>0</v>
      </c>
      <c r="N5385" s="187">
        <v>0</v>
      </c>
      <c r="O5385" t="s">
        <v>5820</v>
      </c>
    </row>
    <row r="5386" spans="1:15" hidden="1" x14ac:dyDescent="0.45">
      <c r="A5386" s="187">
        <v>2022</v>
      </c>
      <c r="B5386" t="s">
        <v>314</v>
      </c>
      <c r="C5386" t="s">
        <v>322</v>
      </c>
      <c r="D5386" t="s">
        <v>35</v>
      </c>
      <c r="E5386" t="s">
        <v>356</v>
      </c>
      <c r="F5386" t="s">
        <v>356</v>
      </c>
      <c r="G5386" t="s">
        <v>37</v>
      </c>
      <c r="H5386" t="s">
        <v>43</v>
      </c>
      <c r="I5386" s="187"/>
      <c r="J5386" s="187">
        <v>0</v>
      </c>
      <c r="K5386" s="187">
        <v>0</v>
      </c>
      <c r="L5386" s="187">
        <v>0</v>
      </c>
      <c r="M5386" s="187">
        <v>0</v>
      </c>
      <c r="N5386" s="187">
        <v>0</v>
      </c>
      <c r="O5386" t="s">
        <v>5815</v>
      </c>
    </row>
    <row r="5387" spans="1:15" hidden="1" x14ac:dyDescent="0.45">
      <c r="A5387" s="187">
        <v>2022</v>
      </c>
      <c r="B5387" t="s">
        <v>317</v>
      </c>
      <c r="C5387" t="s">
        <v>322</v>
      </c>
      <c r="D5387" t="s">
        <v>35</v>
      </c>
      <c r="E5387" t="s">
        <v>356</v>
      </c>
      <c r="F5387" t="s">
        <v>356</v>
      </c>
      <c r="G5387" t="s">
        <v>37</v>
      </c>
      <c r="H5387" t="s">
        <v>43</v>
      </c>
      <c r="I5387" s="187"/>
      <c r="J5387" s="187"/>
      <c r="K5387" s="187">
        <v>0</v>
      </c>
      <c r="L5387" s="187">
        <v>0</v>
      </c>
      <c r="M5387" s="187">
        <v>0</v>
      </c>
      <c r="N5387" s="187">
        <v>0</v>
      </c>
      <c r="O5387" t="s">
        <v>5823</v>
      </c>
    </row>
    <row r="5388" spans="1:15" hidden="1" x14ac:dyDescent="0.45">
      <c r="A5388" s="187">
        <v>2022</v>
      </c>
      <c r="B5388" t="s">
        <v>315</v>
      </c>
      <c r="C5388" t="s">
        <v>322</v>
      </c>
      <c r="D5388" t="s">
        <v>35</v>
      </c>
      <c r="E5388" t="s">
        <v>356</v>
      </c>
      <c r="F5388" t="s">
        <v>356</v>
      </c>
      <c r="G5388" t="s">
        <v>37</v>
      </c>
      <c r="H5388" t="s">
        <v>43</v>
      </c>
      <c r="I5388" s="187"/>
      <c r="J5388" s="187">
        <v>0</v>
      </c>
      <c r="K5388" s="187">
        <v>0</v>
      </c>
      <c r="L5388" s="187">
        <v>0</v>
      </c>
      <c r="M5388" s="187">
        <v>0</v>
      </c>
      <c r="N5388" s="187">
        <v>0</v>
      </c>
      <c r="O5388" t="s">
        <v>5819</v>
      </c>
    </row>
    <row r="5389" spans="1:15" hidden="1" x14ac:dyDescent="0.45">
      <c r="A5389" s="187">
        <v>2022</v>
      </c>
      <c r="B5389" t="s">
        <v>313</v>
      </c>
      <c r="C5389" t="s">
        <v>322</v>
      </c>
      <c r="D5389" t="s">
        <v>35</v>
      </c>
      <c r="E5389" t="s">
        <v>356</v>
      </c>
      <c r="F5389" t="s">
        <v>356</v>
      </c>
      <c r="G5389" t="s">
        <v>37</v>
      </c>
      <c r="H5389" t="s">
        <v>43</v>
      </c>
      <c r="I5389" s="187"/>
      <c r="J5389" s="187">
        <v>0</v>
      </c>
      <c r="K5389" s="187">
        <v>0</v>
      </c>
      <c r="L5389" s="187">
        <v>0</v>
      </c>
      <c r="M5389" s="187">
        <v>0</v>
      </c>
      <c r="N5389" s="187">
        <v>0</v>
      </c>
      <c r="O5389" t="s">
        <v>5817</v>
      </c>
    </row>
    <row r="5390" spans="1:15" hidden="1" x14ac:dyDescent="0.45">
      <c r="A5390" s="187">
        <v>2022</v>
      </c>
      <c r="B5390" t="s">
        <v>312</v>
      </c>
      <c r="C5390" t="s">
        <v>322</v>
      </c>
      <c r="D5390" t="s">
        <v>35</v>
      </c>
      <c r="E5390" t="s">
        <v>356</v>
      </c>
      <c r="F5390" t="s">
        <v>356</v>
      </c>
      <c r="G5390" t="s">
        <v>37</v>
      </c>
      <c r="H5390" t="s">
        <v>43</v>
      </c>
      <c r="I5390" s="187">
        <v>0</v>
      </c>
      <c r="J5390" s="187">
        <v>0</v>
      </c>
      <c r="K5390" s="187">
        <v>0</v>
      </c>
      <c r="L5390" s="187">
        <v>0</v>
      </c>
      <c r="M5390" s="187">
        <v>0</v>
      </c>
      <c r="N5390" s="187">
        <v>0</v>
      </c>
      <c r="O5390" t="s">
        <v>5821</v>
      </c>
    </row>
    <row r="5391" spans="1:15" hidden="1" x14ac:dyDescent="0.45">
      <c r="A5391" s="187">
        <v>2022</v>
      </c>
      <c r="B5391" t="s">
        <v>309</v>
      </c>
      <c r="C5391" t="s">
        <v>322</v>
      </c>
      <c r="D5391" t="s">
        <v>35</v>
      </c>
      <c r="E5391" t="s">
        <v>356</v>
      </c>
      <c r="F5391" t="s">
        <v>356</v>
      </c>
      <c r="G5391" t="s">
        <v>37</v>
      </c>
      <c r="H5391" t="s">
        <v>43</v>
      </c>
      <c r="I5391" s="187"/>
      <c r="J5391" s="187">
        <v>0</v>
      </c>
      <c r="K5391" s="187">
        <v>0</v>
      </c>
      <c r="L5391" s="187">
        <v>0</v>
      </c>
      <c r="M5391" s="187">
        <v>0</v>
      </c>
      <c r="N5391" s="187">
        <v>0</v>
      </c>
      <c r="O5391" t="s">
        <v>5822</v>
      </c>
    </row>
    <row r="5392" spans="1:15" hidden="1" x14ac:dyDescent="0.45">
      <c r="A5392" s="187">
        <v>2022</v>
      </c>
      <c r="B5392" t="s">
        <v>311</v>
      </c>
      <c r="C5392" t="s">
        <v>322</v>
      </c>
      <c r="D5392" t="s">
        <v>35</v>
      </c>
      <c r="E5392" t="s">
        <v>356</v>
      </c>
      <c r="F5392" t="s">
        <v>356</v>
      </c>
      <c r="G5392" t="s">
        <v>37</v>
      </c>
      <c r="H5392" t="s">
        <v>43</v>
      </c>
      <c r="I5392" s="187"/>
      <c r="J5392" s="187">
        <v>0</v>
      </c>
      <c r="K5392" s="187">
        <v>0</v>
      </c>
      <c r="L5392" s="187">
        <v>0</v>
      </c>
      <c r="M5392" s="187">
        <v>0</v>
      </c>
      <c r="N5392" s="187">
        <v>0</v>
      </c>
      <c r="O5392" t="s">
        <v>5816</v>
      </c>
    </row>
    <row r="5393" spans="1:15" x14ac:dyDescent="0.45">
      <c r="A5393" s="187">
        <v>2022</v>
      </c>
      <c r="B5393" t="s">
        <v>8570</v>
      </c>
      <c r="C5393" t="s">
        <v>322</v>
      </c>
      <c r="D5393" t="s">
        <v>35</v>
      </c>
      <c r="E5393" t="s">
        <v>356</v>
      </c>
      <c r="F5393" t="s">
        <v>356</v>
      </c>
      <c r="G5393" t="s">
        <v>37</v>
      </c>
      <c r="H5393" t="s">
        <v>43</v>
      </c>
      <c r="I5393" s="187">
        <v>0</v>
      </c>
      <c r="J5393" s="187"/>
      <c r="K5393" s="187">
        <v>0</v>
      </c>
      <c r="L5393" s="187">
        <v>0</v>
      </c>
      <c r="M5393" s="187">
        <v>0</v>
      </c>
      <c r="N5393" s="187">
        <v>0</v>
      </c>
      <c r="O5393" t="s">
        <v>8599</v>
      </c>
    </row>
    <row r="5394" spans="1:15" hidden="1" x14ac:dyDescent="0.45">
      <c r="A5394" s="187">
        <v>2022</v>
      </c>
      <c r="B5394" t="s">
        <v>316</v>
      </c>
      <c r="C5394" t="s">
        <v>323</v>
      </c>
      <c r="D5394" t="s">
        <v>35</v>
      </c>
      <c r="E5394" t="s">
        <v>349</v>
      </c>
      <c r="F5394" t="s">
        <v>388</v>
      </c>
      <c r="G5394" t="s">
        <v>36</v>
      </c>
      <c r="H5394" t="s">
        <v>43</v>
      </c>
      <c r="I5394" s="187">
        <v>4493.9294587260156</v>
      </c>
      <c r="J5394" s="187">
        <v>545.21965012467604</v>
      </c>
      <c r="K5394" s="187">
        <v>3815.9160972305963</v>
      </c>
      <c r="L5394" s="187">
        <v>3277.9266237798702</v>
      </c>
      <c r="M5394" s="187">
        <v>12132.9921875</v>
      </c>
      <c r="N5394" s="187">
        <v>7771.8564453125</v>
      </c>
      <c r="O5394" t="s">
        <v>5825</v>
      </c>
    </row>
    <row r="5395" spans="1:15" hidden="1" x14ac:dyDescent="0.45">
      <c r="A5395" s="187">
        <v>2022</v>
      </c>
      <c r="B5395" t="s">
        <v>315</v>
      </c>
      <c r="C5395" t="s">
        <v>323</v>
      </c>
      <c r="D5395" t="s">
        <v>35</v>
      </c>
      <c r="E5395" t="s">
        <v>349</v>
      </c>
      <c r="F5395" t="s">
        <v>388</v>
      </c>
      <c r="G5395" t="s">
        <v>36</v>
      </c>
      <c r="H5395" t="s">
        <v>43</v>
      </c>
      <c r="I5395" s="187">
        <v>4440.5659498452069</v>
      </c>
      <c r="J5395" s="187">
        <v>464.44694883585072</v>
      </c>
      <c r="K5395" s="187">
        <v>4021.7534154829195</v>
      </c>
      <c r="L5395" s="187">
        <v>3161.63764439234</v>
      </c>
      <c r="M5395" s="187">
        <v>12088.4033203125</v>
      </c>
      <c r="N5395" s="187">
        <v>7602.20361328125</v>
      </c>
      <c r="O5395" t="s">
        <v>5827</v>
      </c>
    </row>
    <row r="5396" spans="1:15" x14ac:dyDescent="0.45">
      <c r="A5396" s="187">
        <v>2022</v>
      </c>
      <c r="B5396" t="s">
        <v>8570</v>
      </c>
      <c r="C5396" t="s">
        <v>323</v>
      </c>
      <c r="D5396" t="s">
        <v>35</v>
      </c>
      <c r="E5396" t="s">
        <v>349</v>
      </c>
      <c r="F5396" t="s">
        <v>388</v>
      </c>
      <c r="G5396" t="s">
        <v>36</v>
      </c>
      <c r="H5396" t="s">
        <v>43</v>
      </c>
      <c r="I5396" s="187">
        <v>5462.1459999999988</v>
      </c>
      <c r="J5396" s="187">
        <v>373</v>
      </c>
      <c r="K5396" s="187">
        <v>6024.8596397085357</v>
      </c>
      <c r="L5396" s="187">
        <v>4670</v>
      </c>
      <c r="M5396" s="187">
        <v>16530.005859375</v>
      </c>
      <c r="N5396" s="187">
        <v>10132.146484375</v>
      </c>
      <c r="O5396" t="s">
        <v>8600</v>
      </c>
    </row>
    <row r="5397" spans="1:15" hidden="1" x14ac:dyDescent="0.45">
      <c r="A5397" s="187">
        <v>2022</v>
      </c>
      <c r="B5397" t="s">
        <v>314</v>
      </c>
      <c r="C5397" t="s">
        <v>323</v>
      </c>
      <c r="D5397" t="s">
        <v>35</v>
      </c>
      <c r="E5397" t="s">
        <v>349</v>
      </c>
      <c r="F5397" t="s">
        <v>388</v>
      </c>
      <c r="G5397" t="s">
        <v>36</v>
      </c>
      <c r="H5397" t="s">
        <v>43</v>
      </c>
      <c r="I5397" s="187">
        <v>4566.0969915076867</v>
      </c>
      <c r="J5397" s="187">
        <v>506.69698757802138</v>
      </c>
      <c r="K5397" s="187">
        <v>3467.8425540740959</v>
      </c>
      <c r="L5397" s="187">
        <v>2316.8282949257118</v>
      </c>
      <c r="M5397" s="187">
        <v>10857.46484375</v>
      </c>
      <c r="N5397" s="187">
        <v>6882.92529296875</v>
      </c>
      <c r="O5397" t="s">
        <v>5824</v>
      </c>
    </row>
    <row r="5398" spans="1:15" hidden="1" x14ac:dyDescent="0.45">
      <c r="A5398" s="187">
        <v>2022</v>
      </c>
      <c r="B5398" t="s">
        <v>317</v>
      </c>
      <c r="C5398" t="s">
        <v>323</v>
      </c>
      <c r="D5398" t="s">
        <v>35</v>
      </c>
      <c r="E5398" t="s">
        <v>349</v>
      </c>
      <c r="F5398" t="s">
        <v>388</v>
      </c>
      <c r="G5398" t="s">
        <v>36</v>
      </c>
      <c r="H5398" t="s">
        <v>43</v>
      </c>
      <c r="I5398" s="187">
        <v>5294.4945688645812</v>
      </c>
      <c r="J5398" s="187">
        <v>364.67181979424413</v>
      </c>
      <c r="K5398" s="187">
        <v>4396.6864704432955</v>
      </c>
      <c r="L5398" s="187">
        <v>5389.5793692850066</v>
      </c>
      <c r="M5398" s="187">
        <v>15445.431640625</v>
      </c>
      <c r="N5398" s="187">
        <v>10684.07421875</v>
      </c>
      <c r="O5398" t="s">
        <v>5828</v>
      </c>
    </row>
    <row r="5399" spans="1:15" hidden="1" x14ac:dyDescent="0.45">
      <c r="A5399" s="187">
        <v>2022</v>
      </c>
      <c r="B5399" t="s">
        <v>313</v>
      </c>
      <c r="C5399" t="s">
        <v>323</v>
      </c>
      <c r="D5399" t="s">
        <v>35</v>
      </c>
      <c r="E5399" t="s">
        <v>349</v>
      </c>
      <c r="F5399" t="s">
        <v>388</v>
      </c>
      <c r="G5399" t="s">
        <v>36</v>
      </c>
      <c r="H5399" t="s">
        <v>43</v>
      </c>
      <c r="I5399" s="187">
        <v>4432.1999357686327</v>
      </c>
      <c r="J5399" s="187">
        <v>539.05134353942822</v>
      </c>
      <c r="K5399" s="187">
        <v>2368.1856759330058</v>
      </c>
      <c r="L5399" s="187">
        <v>2267.6093184891947</v>
      </c>
      <c r="M5399" s="187">
        <v>9607.0458984375</v>
      </c>
      <c r="N5399" s="187">
        <v>6699.80908203125</v>
      </c>
      <c r="O5399" t="s">
        <v>5826</v>
      </c>
    </row>
    <row r="5400" spans="1:15" hidden="1" x14ac:dyDescent="0.45">
      <c r="A5400" s="187">
        <v>2022</v>
      </c>
      <c r="B5400" t="s">
        <v>313</v>
      </c>
      <c r="C5400" t="s">
        <v>323</v>
      </c>
      <c r="D5400" t="s">
        <v>35</v>
      </c>
      <c r="E5400" t="s">
        <v>349</v>
      </c>
      <c r="F5400" t="s">
        <v>389</v>
      </c>
      <c r="G5400" t="s">
        <v>36</v>
      </c>
      <c r="H5400" t="s">
        <v>43</v>
      </c>
      <c r="I5400" s="187"/>
      <c r="J5400" s="187">
        <v>0</v>
      </c>
      <c r="K5400" s="187">
        <v>0</v>
      </c>
      <c r="L5400" s="187"/>
      <c r="M5400" s="187">
        <v>0</v>
      </c>
      <c r="N5400" s="187">
        <v>0</v>
      </c>
      <c r="O5400" t="s">
        <v>5831</v>
      </c>
    </row>
    <row r="5401" spans="1:15" hidden="1" x14ac:dyDescent="0.45">
      <c r="A5401" s="187">
        <v>2022</v>
      </c>
      <c r="B5401" t="s">
        <v>314</v>
      </c>
      <c r="C5401" t="s">
        <v>323</v>
      </c>
      <c r="D5401" t="s">
        <v>35</v>
      </c>
      <c r="E5401" t="s">
        <v>349</v>
      </c>
      <c r="F5401" t="s">
        <v>389</v>
      </c>
      <c r="G5401" t="s">
        <v>36</v>
      </c>
      <c r="H5401" t="s">
        <v>43</v>
      </c>
      <c r="I5401" s="187">
        <v>0</v>
      </c>
      <c r="J5401" s="187">
        <v>0</v>
      </c>
      <c r="K5401" s="187">
        <v>0</v>
      </c>
      <c r="L5401" s="187"/>
      <c r="M5401" s="187">
        <v>0</v>
      </c>
      <c r="N5401" s="187">
        <v>0</v>
      </c>
      <c r="O5401" t="s">
        <v>5829</v>
      </c>
    </row>
    <row r="5402" spans="1:15" hidden="1" x14ac:dyDescent="0.45">
      <c r="A5402" s="187">
        <v>2022</v>
      </c>
      <c r="B5402" t="s">
        <v>317</v>
      </c>
      <c r="C5402" t="s">
        <v>323</v>
      </c>
      <c r="D5402" t="s">
        <v>35</v>
      </c>
      <c r="E5402" t="s">
        <v>349</v>
      </c>
      <c r="F5402" t="s">
        <v>389</v>
      </c>
      <c r="G5402" t="s">
        <v>36</v>
      </c>
      <c r="H5402" t="s">
        <v>43</v>
      </c>
      <c r="I5402" s="187">
        <v>0</v>
      </c>
      <c r="J5402" s="187"/>
      <c r="K5402" s="187">
        <v>0</v>
      </c>
      <c r="L5402" s="187">
        <v>0</v>
      </c>
      <c r="M5402" s="187">
        <v>0</v>
      </c>
      <c r="N5402" s="187">
        <v>0</v>
      </c>
      <c r="O5402" t="s">
        <v>5833</v>
      </c>
    </row>
    <row r="5403" spans="1:15" hidden="1" x14ac:dyDescent="0.45">
      <c r="A5403" s="187">
        <v>2022</v>
      </c>
      <c r="B5403" t="s">
        <v>315</v>
      </c>
      <c r="C5403" t="s">
        <v>323</v>
      </c>
      <c r="D5403" t="s">
        <v>35</v>
      </c>
      <c r="E5403" t="s">
        <v>349</v>
      </c>
      <c r="F5403" t="s">
        <v>389</v>
      </c>
      <c r="G5403" t="s">
        <v>36</v>
      </c>
      <c r="H5403" t="s">
        <v>43</v>
      </c>
      <c r="I5403" s="187">
        <v>0</v>
      </c>
      <c r="J5403" s="187">
        <v>0</v>
      </c>
      <c r="K5403" s="187">
        <v>0</v>
      </c>
      <c r="L5403" s="187"/>
      <c r="M5403" s="187">
        <v>0</v>
      </c>
      <c r="N5403" s="187">
        <v>0</v>
      </c>
      <c r="O5403" t="s">
        <v>5832</v>
      </c>
    </row>
    <row r="5404" spans="1:15" x14ac:dyDescent="0.45">
      <c r="A5404" s="187">
        <v>2022</v>
      </c>
      <c r="B5404" t="s">
        <v>8570</v>
      </c>
      <c r="C5404" t="s">
        <v>323</v>
      </c>
      <c r="D5404" t="s">
        <v>35</v>
      </c>
      <c r="E5404" t="s">
        <v>349</v>
      </c>
      <c r="F5404" t="s">
        <v>389</v>
      </c>
      <c r="G5404" t="s">
        <v>36</v>
      </c>
      <c r="H5404" t="s">
        <v>43</v>
      </c>
      <c r="I5404" s="187">
        <v>0</v>
      </c>
      <c r="J5404" s="187"/>
      <c r="K5404" s="187">
        <v>0</v>
      </c>
      <c r="L5404" s="187">
        <v>0</v>
      </c>
      <c r="M5404" s="187">
        <v>0</v>
      </c>
      <c r="N5404" s="187">
        <v>0</v>
      </c>
      <c r="O5404" t="s">
        <v>8601</v>
      </c>
    </row>
    <row r="5405" spans="1:15" hidden="1" x14ac:dyDescent="0.45">
      <c r="A5405" s="187">
        <v>2022</v>
      </c>
      <c r="B5405" t="s">
        <v>316</v>
      </c>
      <c r="C5405" t="s">
        <v>323</v>
      </c>
      <c r="D5405" t="s">
        <v>35</v>
      </c>
      <c r="E5405" t="s">
        <v>349</v>
      </c>
      <c r="F5405" t="s">
        <v>389</v>
      </c>
      <c r="G5405" t="s">
        <v>36</v>
      </c>
      <c r="H5405" t="s">
        <v>43</v>
      </c>
      <c r="I5405" s="187">
        <v>0</v>
      </c>
      <c r="J5405" s="187"/>
      <c r="K5405" s="187">
        <v>0</v>
      </c>
      <c r="L5405" s="187"/>
      <c r="M5405" s="187">
        <v>0</v>
      </c>
      <c r="N5405" s="187">
        <v>0</v>
      </c>
      <c r="O5405" t="s">
        <v>5830</v>
      </c>
    </row>
    <row r="5406" spans="1:15" x14ac:dyDescent="0.45">
      <c r="A5406" s="187">
        <v>2022</v>
      </c>
      <c r="B5406" t="s">
        <v>8570</v>
      </c>
      <c r="C5406" t="s">
        <v>323</v>
      </c>
      <c r="D5406" t="s">
        <v>35</v>
      </c>
      <c r="E5406" t="s">
        <v>349</v>
      </c>
      <c r="F5406" t="s">
        <v>390</v>
      </c>
      <c r="G5406" t="s">
        <v>36</v>
      </c>
      <c r="H5406" t="s">
        <v>43</v>
      </c>
      <c r="I5406" s="187">
        <v>5462.1459999999988</v>
      </c>
      <c r="J5406" s="187">
        <v>373</v>
      </c>
      <c r="K5406" s="187">
        <v>6024.8596397085357</v>
      </c>
      <c r="L5406" s="187">
        <v>4670</v>
      </c>
      <c r="M5406" s="187">
        <v>16530.005859375</v>
      </c>
      <c r="N5406" s="187">
        <v>10132.146484375</v>
      </c>
      <c r="O5406" t="s">
        <v>8602</v>
      </c>
    </row>
    <row r="5407" spans="1:15" hidden="1" x14ac:dyDescent="0.45">
      <c r="A5407" s="187">
        <v>2022</v>
      </c>
      <c r="B5407" t="s">
        <v>317</v>
      </c>
      <c r="C5407" t="s">
        <v>323</v>
      </c>
      <c r="D5407" t="s">
        <v>35</v>
      </c>
      <c r="E5407" t="s">
        <v>349</v>
      </c>
      <c r="F5407" t="s">
        <v>390</v>
      </c>
      <c r="G5407" t="s">
        <v>36</v>
      </c>
      <c r="H5407" t="s">
        <v>43</v>
      </c>
      <c r="I5407" s="187">
        <v>5294.4945688645812</v>
      </c>
      <c r="J5407" s="187">
        <v>364.67181979424413</v>
      </c>
      <c r="K5407" s="187">
        <v>4396.6864704432955</v>
      </c>
      <c r="L5407" s="187">
        <v>5389.5793692850066</v>
      </c>
      <c r="M5407" s="187">
        <v>15445.431640625</v>
      </c>
      <c r="N5407" s="187">
        <v>10684.07421875</v>
      </c>
      <c r="O5407" t="s">
        <v>5836</v>
      </c>
    </row>
    <row r="5408" spans="1:15" hidden="1" x14ac:dyDescent="0.45">
      <c r="A5408" s="187">
        <v>2022</v>
      </c>
      <c r="B5408" t="s">
        <v>316</v>
      </c>
      <c r="C5408" t="s">
        <v>323</v>
      </c>
      <c r="D5408" t="s">
        <v>35</v>
      </c>
      <c r="E5408" t="s">
        <v>349</v>
      </c>
      <c r="F5408" t="s">
        <v>390</v>
      </c>
      <c r="G5408" t="s">
        <v>36</v>
      </c>
      <c r="H5408" t="s">
        <v>43</v>
      </c>
      <c r="I5408" s="187">
        <v>4493.9294587260156</v>
      </c>
      <c r="J5408" s="187">
        <v>545.21965012467604</v>
      </c>
      <c r="K5408" s="187">
        <v>3815.9160972305963</v>
      </c>
      <c r="L5408" s="187">
        <v>3277.9266237798702</v>
      </c>
      <c r="M5408" s="187">
        <v>12132.9921875</v>
      </c>
      <c r="N5408" s="187">
        <v>7771.8564453125</v>
      </c>
      <c r="O5408" t="s">
        <v>5838</v>
      </c>
    </row>
    <row r="5409" spans="1:15" hidden="1" x14ac:dyDescent="0.45">
      <c r="A5409" s="187">
        <v>2022</v>
      </c>
      <c r="B5409" t="s">
        <v>313</v>
      </c>
      <c r="C5409" t="s">
        <v>323</v>
      </c>
      <c r="D5409" t="s">
        <v>35</v>
      </c>
      <c r="E5409" t="s">
        <v>349</v>
      </c>
      <c r="F5409" t="s">
        <v>390</v>
      </c>
      <c r="G5409" t="s">
        <v>36</v>
      </c>
      <c r="H5409" t="s">
        <v>43</v>
      </c>
      <c r="I5409" s="187">
        <v>4432.1999357686327</v>
      </c>
      <c r="J5409" s="187">
        <v>539.05134353942822</v>
      </c>
      <c r="K5409" s="187">
        <v>2368.1856759330058</v>
      </c>
      <c r="L5409" s="187">
        <v>2267.6093184891947</v>
      </c>
      <c r="M5409" s="187">
        <v>9607.0458984375</v>
      </c>
      <c r="N5409" s="187">
        <v>6699.80908203125</v>
      </c>
      <c r="O5409" t="s">
        <v>5835</v>
      </c>
    </row>
    <row r="5410" spans="1:15" hidden="1" x14ac:dyDescent="0.45">
      <c r="A5410" s="187">
        <v>2022</v>
      </c>
      <c r="B5410" t="s">
        <v>314</v>
      </c>
      <c r="C5410" t="s">
        <v>323</v>
      </c>
      <c r="D5410" t="s">
        <v>35</v>
      </c>
      <c r="E5410" t="s">
        <v>349</v>
      </c>
      <c r="F5410" t="s">
        <v>390</v>
      </c>
      <c r="G5410" t="s">
        <v>36</v>
      </c>
      <c r="H5410" t="s">
        <v>43</v>
      </c>
      <c r="I5410" s="187">
        <v>4566.0969915076867</v>
      </c>
      <c r="J5410" s="187">
        <v>506.69698757802138</v>
      </c>
      <c r="K5410" s="187">
        <v>3467.8425540740959</v>
      </c>
      <c r="L5410" s="187">
        <v>2316.8282949257118</v>
      </c>
      <c r="M5410" s="187">
        <v>10857.46484375</v>
      </c>
      <c r="N5410" s="187">
        <v>6882.92529296875</v>
      </c>
      <c r="O5410" t="s">
        <v>5837</v>
      </c>
    </row>
    <row r="5411" spans="1:15" hidden="1" x14ac:dyDescent="0.45">
      <c r="A5411" s="187">
        <v>2022</v>
      </c>
      <c r="B5411" t="s">
        <v>315</v>
      </c>
      <c r="C5411" t="s">
        <v>323</v>
      </c>
      <c r="D5411" t="s">
        <v>35</v>
      </c>
      <c r="E5411" t="s">
        <v>349</v>
      </c>
      <c r="F5411" t="s">
        <v>390</v>
      </c>
      <c r="G5411" t="s">
        <v>36</v>
      </c>
      <c r="H5411" t="s">
        <v>43</v>
      </c>
      <c r="I5411" s="187">
        <v>4440.5659498452069</v>
      </c>
      <c r="J5411" s="187">
        <v>464.44694883585072</v>
      </c>
      <c r="K5411" s="187">
        <v>4021.7534154829195</v>
      </c>
      <c r="L5411" s="187">
        <v>3161.63764439234</v>
      </c>
      <c r="M5411" s="187">
        <v>12088.4033203125</v>
      </c>
      <c r="N5411" s="187">
        <v>7602.20361328125</v>
      </c>
      <c r="O5411" t="s">
        <v>5834</v>
      </c>
    </row>
    <row r="5412" spans="1:15" hidden="1" x14ac:dyDescent="0.45">
      <c r="A5412" s="187">
        <v>2022</v>
      </c>
      <c r="B5412" t="s">
        <v>316</v>
      </c>
      <c r="C5412" t="s">
        <v>323</v>
      </c>
      <c r="D5412" t="s">
        <v>35</v>
      </c>
      <c r="E5412" t="s">
        <v>349</v>
      </c>
      <c r="F5412" t="s">
        <v>391</v>
      </c>
      <c r="G5412" t="s">
        <v>36</v>
      </c>
      <c r="H5412" t="s">
        <v>43</v>
      </c>
      <c r="I5412" s="187">
        <v>302.92734197078585</v>
      </c>
      <c r="J5412" s="187">
        <v>11.01453838635709</v>
      </c>
      <c r="K5412" s="187">
        <v>952.41923048040042</v>
      </c>
      <c r="L5412" s="187">
        <v>1112.4683770220661</v>
      </c>
      <c r="M5412" s="187">
        <v>2378.829345703125</v>
      </c>
      <c r="N5412" s="187">
        <v>1415.395751953125</v>
      </c>
      <c r="O5412" t="s">
        <v>5842</v>
      </c>
    </row>
    <row r="5413" spans="1:15" hidden="1" x14ac:dyDescent="0.45">
      <c r="A5413" s="187">
        <v>2022</v>
      </c>
      <c r="B5413" t="s">
        <v>315</v>
      </c>
      <c r="C5413" t="s">
        <v>323</v>
      </c>
      <c r="D5413" t="s">
        <v>35</v>
      </c>
      <c r="E5413" t="s">
        <v>349</v>
      </c>
      <c r="F5413" t="s">
        <v>391</v>
      </c>
      <c r="G5413" t="s">
        <v>36</v>
      </c>
      <c r="H5413" t="s">
        <v>43</v>
      </c>
      <c r="I5413" s="187">
        <v>305.85530776995051</v>
      </c>
      <c r="J5413" s="187">
        <v>5.6639871809250089</v>
      </c>
      <c r="K5413" s="187">
        <v>926.09238898390288</v>
      </c>
      <c r="L5413" s="187">
        <v>1020.6504900026866</v>
      </c>
      <c r="M5413" s="187">
        <v>2258.26220703125</v>
      </c>
      <c r="N5413" s="187">
        <v>1326.505859375</v>
      </c>
      <c r="O5413" t="s">
        <v>5841</v>
      </c>
    </row>
    <row r="5414" spans="1:15" hidden="1" x14ac:dyDescent="0.45">
      <c r="A5414" s="187">
        <v>2022</v>
      </c>
      <c r="B5414" t="s">
        <v>317</v>
      </c>
      <c r="C5414" t="s">
        <v>323</v>
      </c>
      <c r="D5414" t="s">
        <v>35</v>
      </c>
      <c r="E5414" t="s">
        <v>349</v>
      </c>
      <c r="F5414" t="s">
        <v>391</v>
      </c>
      <c r="G5414" t="s">
        <v>36</v>
      </c>
      <c r="H5414" t="s">
        <v>43</v>
      </c>
      <c r="I5414" s="187">
        <v>324.15272870599478</v>
      </c>
      <c r="J5414" s="187">
        <v>3.7817818349032728</v>
      </c>
      <c r="K5414" s="187">
        <v>1583.5298807769263</v>
      </c>
      <c r="L5414" s="187">
        <v>2193.433464243898</v>
      </c>
      <c r="M5414" s="187">
        <v>4104.89794921875</v>
      </c>
      <c r="N5414" s="187">
        <v>2517.586181640625</v>
      </c>
      <c r="O5414" t="s">
        <v>5843</v>
      </c>
    </row>
    <row r="5415" spans="1:15" hidden="1" x14ac:dyDescent="0.45">
      <c r="A5415" s="187">
        <v>2022</v>
      </c>
      <c r="B5415" t="s">
        <v>314</v>
      </c>
      <c r="C5415" t="s">
        <v>323</v>
      </c>
      <c r="D5415" t="s">
        <v>35</v>
      </c>
      <c r="E5415" t="s">
        <v>349</v>
      </c>
      <c r="F5415" t="s">
        <v>391</v>
      </c>
      <c r="G5415" t="s">
        <v>36</v>
      </c>
      <c r="H5415" t="s">
        <v>43</v>
      </c>
      <c r="I5415" s="187">
        <v>314.50157849670296</v>
      </c>
      <c r="J5415" s="187">
        <v>0</v>
      </c>
      <c r="K5415" s="187">
        <v>511.70298743457448</v>
      </c>
      <c r="L5415" s="187">
        <v>654.62921153758168</v>
      </c>
      <c r="M5415" s="187">
        <v>1480.8338623046875</v>
      </c>
      <c r="N5415" s="187">
        <v>969.13079833984375</v>
      </c>
      <c r="O5415" t="s">
        <v>5839</v>
      </c>
    </row>
    <row r="5416" spans="1:15" x14ac:dyDescent="0.45">
      <c r="A5416" s="187">
        <v>2022</v>
      </c>
      <c r="B5416" t="s">
        <v>8570</v>
      </c>
      <c r="C5416" t="s">
        <v>323</v>
      </c>
      <c r="D5416" t="s">
        <v>35</v>
      </c>
      <c r="E5416" t="s">
        <v>349</v>
      </c>
      <c r="F5416" t="s">
        <v>391</v>
      </c>
      <c r="G5416" t="s">
        <v>36</v>
      </c>
      <c r="H5416" t="s">
        <v>43</v>
      </c>
      <c r="I5416" s="187">
        <v>333.39100000000002</v>
      </c>
      <c r="J5416" s="187">
        <v>4</v>
      </c>
      <c r="K5416" s="187">
        <v>1979.661475485796</v>
      </c>
      <c r="L5416" s="187">
        <v>1456</v>
      </c>
      <c r="M5416" s="187">
        <v>3773.052490234375</v>
      </c>
      <c r="N5416" s="187">
        <v>1789.3909912109375</v>
      </c>
      <c r="O5416" t="s">
        <v>8603</v>
      </c>
    </row>
    <row r="5417" spans="1:15" hidden="1" x14ac:dyDescent="0.45">
      <c r="A5417" s="187">
        <v>2022</v>
      </c>
      <c r="B5417" t="s">
        <v>313</v>
      </c>
      <c r="C5417" t="s">
        <v>323</v>
      </c>
      <c r="D5417" t="s">
        <v>35</v>
      </c>
      <c r="E5417" t="s">
        <v>349</v>
      </c>
      <c r="F5417" t="s">
        <v>391</v>
      </c>
      <c r="G5417" t="s">
        <v>36</v>
      </c>
      <c r="H5417" t="s">
        <v>43</v>
      </c>
      <c r="I5417" s="187">
        <v>467.17783106750448</v>
      </c>
      <c r="J5417" s="187">
        <v>0</v>
      </c>
      <c r="K5417" s="187">
        <v>166.1003569603069</v>
      </c>
      <c r="L5417" s="187">
        <v>660.03842286716656</v>
      </c>
      <c r="M5417" s="187">
        <v>1293.316650390625</v>
      </c>
      <c r="N5417" s="187">
        <v>1127.21630859375</v>
      </c>
      <c r="O5417" t="s">
        <v>5840</v>
      </c>
    </row>
    <row r="5418" spans="1:15" hidden="1" x14ac:dyDescent="0.45">
      <c r="A5418" s="187">
        <v>2022</v>
      </c>
      <c r="B5418" t="s">
        <v>315</v>
      </c>
      <c r="C5418" t="s">
        <v>323</v>
      </c>
      <c r="D5418" t="s">
        <v>35</v>
      </c>
      <c r="E5418" t="s">
        <v>349</v>
      </c>
      <c r="F5418" t="s">
        <v>392</v>
      </c>
      <c r="G5418" t="s">
        <v>36</v>
      </c>
      <c r="H5418" t="s">
        <v>43</v>
      </c>
      <c r="I5418" s="187">
        <v>113.27974361850018</v>
      </c>
      <c r="J5418" s="187">
        <v>0</v>
      </c>
      <c r="K5418" s="187">
        <v>0.35604869030001163</v>
      </c>
      <c r="L5418" s="187">
        <v>0</v>
      </c>
      <c r="M5418" s="187">
        <v>113.63579559326172</v>
      </c>
      <c r="N5418" s="187">
        <v>113.27974700927734</v>
      </c>
      <c r="O5418" t="s">
        <v>5847</v>
      </c>
    </row>
    <row r="5419" spans="1:15" hidden="1" x14ac:dyDescent="0.45">
      <c r="A5419" s="187">
        <v>2022</v>
      </c>
      <c r="B5419" t="s">
        <v>314</v>
      </c>
      <c r="C5419" t="s">
        <v>323</v>
      </c>
      <c r="D5419" t="s">
        <v>35</v>
      </c>
      <c r="E5419" t="s">
        <v>349</v>
      </c>
      <c r="F5419" t="s">
        <v>392</v>
      </c>
      <c r="G5419" t="s">
        <v>36</v>
      </c>
      <c r="H5419" t="s">
        <v>43</v>
      </c>
      <c r="I5419" s="187">
        <v>116.48206610988997</v>
      </c>
      <c r="J5419" s="187">
        <v>0</v>
      </c>
      <c r="K5419" s="187">
        <v>0.51564441154675367</v>
      </c>
      <c r="L5419" s="187">
        <v>0</v>
      </c>
      <c r="M5419" s="187">
        <v>116.99771118164063</v>
      </c>
      <c r="N5419" s="187">
        <v>116.48206329345703</v>
      </c>
      <c r="O5419" t="s">
        <v>5845</v>
      </c>
    </row>
    <row r="5420" spans="1:15" hidden="1" x14ac:dyDescent="0.45">
      <c r="A5420" s="187">
        <v>2022</v>
      </c>
      <c r="B5420" t="s">
        <v>313</v>
      </c>
      <c r="C5420" t="s">
        <v>323</v>
      </c>
      <c r="D5420" t="s">
        <v>35</v>
      </c>
      <c r="E5420" t="s">
        <v>349</v>
      </c>
      <c r="F5420" t="s">
        <v>392</v>
      </c>
      <c r="G5420" t="s">
        <v>36</v>
      </c>
      <c r="H5420" t="s">
        <v>43</v>
      </c>
      <c r="I5420" s="187">
        <v>119.78918745320628</v>
      </c>
      <c r="J5420" s="187">
        <v>0</v>
      </c>
      <c r="K5420" s="187">
        <v>0.3019424805985314</v>
      </c>
      <c r="L5420" s="187">
        <v>0</v>
      </c>
      <c r="M5420" s="187">
        <v>120.09112548828125</v>
      </c>
      <c r="N5420" s="187">
        <v>119.7891845703125</v>
      </c>
      <c r="O5420" t="s">
        <v>5844</v>
      </c>
    </row>
    <row r="5421" spans="1:15" hidden="1" x14ac:dyDescent="0.45">
      <c r="A5421" s="187">
        <v>2022</v>
      </c>
      <c r="B5421" t="s">
        <v>316</v>
      </c>
      <c r="C5421" t="s">
        <v>323</v>
      </c>
      <c r="D5421" t="s">
        <v>35</v>
      </c>
      <c r="E5421" t="s">
        <v>349</v>
      </c>
      <c r="F5421" t="s">
        <v>392</v>
      </c>
      <c r="G5421" t="s">
        <v>36</v>
      </c>
      <c r="H5421" t="s">
        <v>43</v>
      </c>
      <c r="I5421" s="187">
        <v>112.35930607922869</v>
      </c>
      <c r="J5421" s="187"/>
      <c r="K5421" s="187">
        <v>173.74944203203751</v>
      </c>
      <c r="L5421" s="187">
        <v>0</v>
      </c>
      <c r="M5421" s="187">
        <v>286.10873413085938</v>
      </c>
      <c r="N5421" s="187">
        <v>112.35930633544922</v>
      </c>
      <c r="O5421" t="s">
        <v>5846</v>
      </c>
    </row>
    <row r="5422" spans="1:15" x14ac:dyDescent="0.45">
      <c r="A5422" s="187">
        <v>2022</v>
      </c>
      <c r="B5422" t="s">
        <v>8570</v>
      </c>
      <c r="C5422" t="s">
        <v>323</v>
      </c>
      <c r="D5422" t="s">
        <v>35</v>
      </c>
      <c r="E5422" t="s">
        <v>349</v>
      </c>
      <c r="F5422" t="s">
        <v>392</v>
      </c>
      <c r="G5422" t="s">
        <v>36</v>
      </c>
      <c r="H5422" t="s">
        <v>43</v>
      </c>
      <c r="I5422" s="187">
        <v>0</v>
      </c>
      <c r="J5422" s="187"/>
      <c r="K5422" s="187">
        <v>698.37192862592781</v>
      </c>
      <c r="L5422" s="187">
        <v>531</v>
      </c>
      <c r="M5422" s="187">
        <v>1229.3719482421875</v>
      </c>
      <c r="N5422" s="187">
        <v>531</v>
      </c>
      <c r="O5422" t="s">
        <v>8604</v>
      </c>
    </row>
    <row r="5423" spans="1:15" hidden="1" x14ac:dyDescent="0.45">
      <c r="A5423" s="187">
        <v>2022</v>
      </c>
      <c r="B5423" t="s">
        <v>317</v>
      </c>
      <c r="C5423" t="s">
        <v>323</v>
      </c>
      <c r="D5423" t="s">
        <v>35</v>
      </c>
      <c r="E5423" t="s">
        <v>349</v>
      </c>
      <c r="F5423" t="s">
        <v>392</v>
      </c>
      <c r="G5423" t="s">
        <v>36</v>
      </c>
      <c r="H5423" t="s">
        <v>43</v>
      </c>
      <c r="I5423" s="187">
        <v>86.440727654931948</v>
      </c>
      <c r="J5423" s="187">
        <v>3.7817818349032728</v>
      </c>
      <c r="K5423" s="187">
        <v>631.97016696365165</v>
      </c>
      <c r="L5423" s="187">
        <v>0</v>
      </c>
      <c r="M5423" s="187">
        <v>722.19268798828125</v>
      </c>
      <c r="N5423" s="187">
        <v>86.440727233886719</v>
      </c>
      <c r="O5423" t="s">
        <v>5848</v>
      </c>
    </row>
    <row r="5424" spans="1:15" x14ac:dyDescent="0.45">
      <c r="A5424" s="187">
        <v>2022</v>
      </c>
      <c r="B5424" t="s">
        <v>8570</v>
      </c>
      <c r="C5424" t="s">
        <v>323</v>
      </c>
      <c r="D5424" t="s">
        <v>35</v>
      </c>
      <c r="E5424" t="s">
        <v>349</v>
      </c>
      <c r="F5424" t="s">
        <v>393</v>
      </c>
      <c r="G5424" t="s">
        <v>36</v>
      </c>
      <c r="H5424" t="s">
        <v>43</v>
      </c>
      <c r="I5424" s="187">
        <v>0</v>
      </c>
      <c r="J5424" s="187"/>
      <c r="K5424" s="187">
        <v>33.314598508782417</v>
      </c>
      <c r="L5424" s="187">
        <v>0</v>
      </c>
      <c r="M5424" s="187">
        <v>33.314598083496094</v>
      </c>
      <c r="N5424" s="187">
        <v>0</v>
      </c>
      <c r="O5424" t="s">
        <v>8605</v>
      </c>
    </row>
    <row r="5425" spans="1:15" hidden="1" x14ac:dyDescent="0.45">
      <c r="A5425" s="187">
        <v>2022</v>
      </c>
      <c r="B5425" t="s">
        <v>316</v>
      </c>
      <c r="C5425" t="s">
        <v>323</v>
      </c>
      <c r="D5425" t="s">
        <v>35</v>
      </c>
      <c r="E5425" t="s">
        <v>349</v>
      </c>
      <c r="F5425" t="s">
        <v>393</v>
      </c>
      <c r="G5425" t="s">
        <v>36</v>
      </c>
      <c r="H5425" t="s">
        <v>43</v>
      </c>
      <c r="I5425" s="187">
        <v>22.029076772714181</v>
      </c>
      <c r="J5425" s="187"/>
      <c r="K5425" s="187">
        <v>0.61307856370505076</v>
      </c>
      <c r="L5425" s="187">
        <v>0</v>
      </c>
      <c r="M5425" s="187">
        <v>22.642156600952148</v>
      </c>
      <c r="N5425" s="187">
        <v>22.029077529907227</v>
      </c>
      <c r="O5425" t="s">
        <v>5853</v>
      </c>
    </row>
    <row r="5426" spans="1:15" hidden="1" x14ac:dyDescent="0.45">
      <c r="A5426" s="187">
        <v>2022</v>
      </c>
      <c r="B5426" t="s">
        <v>315</v>
      </c>
      <c r="C5426" t="s">
        <v>323</v>
      </c>
      <c r="D5426" t="s">
        <v>35</v>
      </c>
      <c r="E5426" t="s">
        <v>349</v>
      </c>
      <c r="F5426" t="s">
        <v>393</v>
      </c>
      <c r="G5426" t="s">
        <v>36</v>
      </c>
      <c r="H5426" t="s">
        <v>43</v>
      </c>
      <c r="I5426" s="187">
        <v>22.655948723700035</v>
      </c>
      <c r="J5426" s="187">
        <v>0</v>
      </c>
      <c r="K5426" s="187">
        <v>24.661839381443805</v>
      </c>
      <c r="L5426" s="187">
        <v>0</v>
      </c>
      <c r="M5426" s="187">
        <v>47.317787170410156</v>
      </c>
      <c r="N5426" s="187">
        <v>22.655948638916016</v>
      </c>
      <c r="O5426" t="s">
        <v>5852</v>
      </c>
    </row>
    <row r="5427" spans="1:15" hidden="1" x14ac:dyDescent="0.45">
      <c r="A5427" s="187">
        <v>2022</v>
      </c>
      <c r="B5427" t="s">
        <v>317</v>
      </c>
      <c r="C5427" t="s">
        <v>323</v>
      </c>
      <c r="D5427" t="s">
        <v>35</v>
      </c>
      <c r="E5427" t="s">
        <v>349</v>
      </c>
      <c r="F5427" t="s">
        <v>393</v>
      </c>
      <c r="G5427" t="s">
        <v>36</v>
      </c>
      <c r="H5427" t="s">
        <v>43</v>
      </c>
      <c r="I5427" s="187">
        <v>21.610181913732987</v>
      </c>
      <c r="J5427" s="187"/>
      <c r="K5427" s="187">
        <v>18.347938523631839</v>
      </c>
      <c r="L5427" s="187">
        <v>0</v>
      </c>
      <c r="M5427" s="187">
        <v>39.958118438720703</v>
      </c>
      <c r="N5427" s="187">
        <v>21.61018180847168</v>
      </c>
      <c r="O5427" t="s">
        <v>5850</v>
      </c>
    </row>
    <row r="5428" spans="1:15" hidden="1" x14ac:dyDescent="0.45">
      <c r="A5428" s="187">
        <v>2022</v>
      </c>
      <c r="B5428" t="s">
        <v>314</v>
      </c>
      <c r="C5428" t="s">
        <v>323</v>
      </c>
      <c r="D5428" t="s">
        <v>35</v>
      </c>
      <c r="E5428" t="s">
        <v>349</v>
      </c>
      <c r="F5428" t="s">
        <v>393</v>
      </c>
      <c r="G5428" t="s">
        <v>36</v>
      </c>
      <c r="H5428" t="s">
        <v>43</v>
      </c>
      <c r="I5428" s="187">
        <v>23.296413221977996</v>
      </c>
      <c r="J5428" s="187">
        <v>0</v>
      </c>
      <c r="K5428" s="187">
        <v>38.902409964890445</v>
      </c>
      <c r="L5428" s="187">
        <v>0</v>
      </c>
      <c r="M5428" s="187">
        <v>62.198822021484375</v>
      </c>
      <c r="N5428" s="187">
        <v>23.296413421630859</v>
      </c>
      <c r="O5428" t="s">
        <v>5851</v>
      </c>
    </row>
    <row r="5429" spans="1:15" hidden="1" x14ac:dyDescent="0.45">
      <c r="A5429" s="187">
        <v>2022</v>
      </c>
      <c r="B5429" t="s">
        <v>313</v>
      </c>
      <c r="C5429" t="s">
        <v>323</v>
      </c>
      <c r="D5429" t="s">
        <v>35</v>
      </c>
      <c r="E5429" t="s">
        <v>349</v>
      </c>
      <c r="F5429" t="s">
        <v>393</v>
      </c>
      <c r="G5429" t="s">
        <v>36</v>
      </c>
      <c r="H5429" t="s">
        <v>43</v>
      </c>
      <c r="I5429" s="187">
        <v>23.957837490641257</v>
      </c>
      <c r="J5429" s="187">
        <v>0</v>
      </c>
      <c r="K5429" s="187">
        <v>22.779826374584911</v>
      </c>
      <c r="L5429" s="187">
        <v>0</v>
      </c>
      <c r="M5429" s="187">
        <v>46.737663269042969</v>
      </c>
      <c r="N5429" s="187">
        <v>23.95783805847168</v>
      </c>
      <c r="O5429" t="s">
        <v>5849</v>
      </c>
    </row>
    <row r="5430" spans="1:15" hidden="1" x14ac:dyDescent="0.45">
      <c r="A5430" s="187">
        <v>2022</v>
      </c>
      <c r="B5430" t="s">
        <v>314</v>
      </c>
      <c r="C5430" t="s">
        <v>323</v>
      </c>
      <c r="D5430" t="s">
        <v>35</v>
      </c>
      <c r="E5430" t="s">
        <v>349</v>
      </c>
      <c r="F5430" t="s">
        <v>394</v>
      </c>
      <c r="G5430" t="s">
        <v>36</v>
      </c>
      <c r="H5430" t="s">
        <v>43</v>
      </c>
      <c r="I5430" s="187">
        <v>0</v>
      </c>
      <c r="J5430" s="187">
        <v>0</v>
      </c>
      <c r="K5430" s="187">
        <v>16.751863627909263</v>
      </c>
      <c r="L5430" s="187">
        <v>0</v>
      </c>
      <c r="M5430" s="187">
        <v>16.751863479614258</v>
      </c>
      <c r="N5430" s="187">
        <v>0</v>
      </c>
      <c r="O5430" t="s">
        <v>5857</v>
      </c>
    </row>
    <row r="5431" spans="1:15" hidden="1" x14ac:dyDescent="0.45">
      <c r="A5431" s="187">
        <v>2022</v>
      </c>
      <c r="B5431" t="s">
        <v>313</v>
      </c>
      <c r="C5431" t="s">
        <v>323</v>
      </c>
      <c r="D5431" t="s">
        <v>35</v>
      </c>
      <c r="E5431" t="s">
        <v>349</v>
      </c>
      <c r="F5431" t="s">
        <v>394</v>
      </c>
      <c r="G5431" t="s">
        <v>36</v>
      </c>
      <c r="H5431" t="s">
        <v>43</v>
      </c>
      <c r="I5431" s="187">
        <v>0</v>
      </c>
      <c r="J5431" s="187">
        <v>0</v>
      </c>
      <c r="K5431" s="187">
        <v>9.8092777603982935</v>
      </c>
      <c r="L5431" s="187">
        <v>0</v>
      </c>
      <c r="M5431" s="187">
        <v>9.8092775344848633</v>
      </c>
      <c r="N5431" s="187">
        <v>0</v>
      </c>
      <c r="O5431" t="s">
        <v>5855</v>
      </c>
    </row>
    <row r="5432" spans="1:15" x14ac:dyDescent="0.45">
      <c r="A5432" s="187">
        <v>2022</v>
      </c>
      <c r="B5432" t="s">
        <v>8570</v>
      </c>
      <c r="C5432" t="s">
        <v>323</v>
      </c>
      <c r="D5432" t="s">
        <v>35</v>
      </c>
      <c r="E5432" t="s">
        <v>349</v>
      </c>
      <c r="F5432" t="s">
        <v>394</v>
      </c>
      <c r="G5432" t="s">
        <v>36</v>
      </c>
      <c r="H5432" t="s">
        <v>43</v>
      </c>
      <c r="I5432" s="187">
        <v>0</v>
      </c>
      <c r="J5432" s="187"/>
      <c r="K5432" s="187">
        <v>16.150087119661119</v>
      </c>
      <c r="L5432" s="187">
        <v>0</v>
      </c>
      <c r="M5432" s="187">
        <v>16.150087356567383</v>
      </c>
      <c r="N5432" s="187">
        <v>0</v>
      </c>
      <c r="O5432" t="s">
        <v>8606</v>
      </c>
    </row>
    <row r="5433" spans="1:15" hidden="1" x14ac:dyDescent="0.45">
      <c r="A5433" s="187">
        <v>2022</v>
      </c>
      <c r="B5433" t="s">
        <v>317</v>
      </c>
      <c r="C5433" t="s">
        <v>323</v>
      </c>
      <c r="D5433" t="s">
        <v>35</v>
      </c>
      <c r="E5433" t="s">
        <v>349</v>
      </c>
      <c r="F5433" t="s">
        <v>394</v>
      </c>
      <c r="G5433" t="s">
        <v>36</v>
      </c>
      <c r="H5433" t="s">
        <v>43</v>
      </c>
      <c r="I5433" s="187">
        <v>0</v>
      </c>
      <c r="J5433" s="187"/>
      <c r="K5433" s="187">
        <v>8.6483066388494407</v>
      </c>
      <c r="L5433" s="187">
        <v>0</v>
      </c>
      <c r="M5433" s="187">
        <v>8.6483068466186523</v>
      </c>
      <c r="N5433" s="187">
        <v>0</v>
      </c>
      <c r="O5433" t="s">
        <v>5856</v>
      </c>
    </row>
    <row r="5434" spans="1:15" hidden="1" x14ac:dyDescent="0.45">
      <c r="A5434" s="187">
        <v>2022</v>
      </c>
      <c r="B5434" t="s">
        <v>315</v>
      </c>
      <c r="C5434" t="s">
        <v>323</v>
      </c>
      <c r="D5434" t="s">
        <v>35</v>
      </c>
      <c r="E5434" t="s">
        <v>349</v>
      </c>
      <c r="F5434" t="s">
        <v>394</v>
      </c>
      <c r="G5434" t="s">
        <v>36</v>
      </c>
      <c r="H5434" t="s">
        <v>43</v>
      </c>
      <c r="I5434" s="187">
        <v>0</v>
      </c>
      <c r="J5434" s="187">
        <v>0</v>
      </c>
      <c r="K5434" s="187">
        <v>11.236091838362036</v>
      </c>
      <c r="L5434" s="187">
        <v>0</v>
      </c>
      <c r="M5434" s="187">
        <v>11.236091613769531</v>
      </c>
      <c r="N5434" s="187">
        <v>0</v>
      </c>
      <c r="O5434" t="s">
        <v>5854</v>
      </c>
    </row>
    <row r="5435" spans="1:15" hidden="1" x14ac:dyDescent="0.45">
      <c r="A5435" s="187">
        <v>2022</v>
      </c>
      <c r="B5435" t="s">
        <v>316</v>
      </c>
      <c r="C5435" t="s">
        <v>323</v>
      </c>
      <c r="D5435" t="s">
        <v>35</v>
      </c>
      <c r="E5435" t="s">
        <v>349</v>
      </c>
      <c r="F5435" t="s">
        <v>394</v>
      </c>
      <c r="G5435" t="s">
        <v>36</v>
      </c>
      <c r="H5435" t="s">
        <v>43</v>
      </c>
      <c r="I5435" s="187">
        <v>0</v>
      </c>
      <c r="J5435" s="187"/>
      <c r="K5435" s="187">
        <v>0.28348505009861669</v>
      </c>
      <c r="L5435" s="187">
        <v>0</v>
      </c>
      <c r="M5435" s="187">
        <v>0.2834850549697876</v>
      </c>
      <c r="N5435" s="187">
        <v>0</v>
      </c>
      <c r="O5435" t="s">
        <v>5858</v>
      </c>
    </row>
    <row r="5436" spans="1:15" hidden="1" x14ac:dyDescent="0.45">
      <c r="A5436" s="187">
        <v>2022</v>
      </c>
      <c r="B5436" t="s">
        <v>315</v>
      </c>
      <c r="C5436" t="s">
        <v>323</v>
      </c>
      <c r="D5436" t="s">
        <v>35</v>
      </c>
      <c r="E5436" t="s">
        <v>349</v>
      </c>
      <c r="F5436" t="s">
        <v>395</v>
      </c>
      <c r="G5436" t="s">
        <v>36</v>
      </c>
      <c r="H5436" t="s">
        <v>43</v>
      </c>
      <c r="I5436" s="187">
        <v>0</v>
      </c>
      <c r="J5436" s="187">
        <v>0</v>
      </c>
      <c r="K5436" s="187">
        <v>6.5829641142692505E-2</v>
      </c>
      <c r="L5436" s="187">
        <v>512.02444115562082</v>
      </c>
      <c r="M5436" s="187">
        <v>512.09027099609375</v>
      </c>
      <c r="N5436" s="187">
        <v>512.0244140625</v>
      </c>
      <c r="O5436" t="s">
        <v>5862</v>
      </c>
    </row>
    <row r="5437" spans="1:15" hidden="1" x14ac:dyDescent="0.45">
      <c r="A5437" s="187">
        <v>2022</v>
      </c>
      <c r="B5437" t="s">
        <v>317</v>
      </c>
      <c r="C5437" t="s">
        <v>323</v>
      </c>
      <c r="D5437" t="s">
        <v>35</v>
      </c>
      <c r="E5437" t="s">
        <v>349</v>
      </c>
      <c r="F5437" t="s">
        <v>395</v>
      </c>
      <c r="G5437" t="s">
        <v>36</v>
      </c>
      <c r="H5437" t="s">
        <v>43</v>
      </c>
      <c r="I5437" s="187">
        <v>0</v>
      </c>
      <c r="J5437" s="187"/>
      <c r="K5437" s="187">
        <v>7.2051888491448501E-2</v>
      </c>
      <c r="L5437" s="187">
        <v>1266.3566601447531</v>
      </c>
      <c r="M5437" s="187">
        <v>1266.4287109375</v>
      </c>
      <c r="N5437" s="187">
        <v>1266.356689453125</v>
      </c>
      <c r="O5437" t="s">
        <v>5861</v>
      </c>
    </row>
    <row r="5438" spans="1:15" hidden="1" x14ac:dyDescent="0.45">
      <c r="A5438" s="187">
        <v>2022</v>
      </c>
      <c r="B5438" t="s">
        <v>316</v>
      </c>
      <c r="C5438" t="s">
        <v>323</v>
      </c>
      <c r="D5438" t="s">
        <v>35</v>
      </c>
      <c r="E5438" t="s">
        <v>349</v>
      </c>
      <c r="F5438" t="s">
        <v>395</v>
      </c>
      <c r="G5438" t="s">
        <v>36</v>
      </c>
      <c r="H5438" t="s">
        <v>43</v>
      </c>
      <c r="I5438" s="187">
        <v>0</v>
      </c>
      <c r="J5438" s="187"/>
      <c r="K5438" s="187">
        <v>257.80824241833648</v>
      </c>
      <c r="L5438" s="187">
        <v>505.56731193379045</v>
      </c>
      <c r="M5438" s="187">
        <v>763.37554931640625</v>
      </c>
      <c r="N5438" s="187">
        <v>505.56732177734375</v>
      </c>
      <c r="O5438" t="s">
        <v>5860</v>
      </c>
    </row>
    <row r="5439" spans="1:15" hidden="1" x14ac:dyDescent="0.45">
      <c r="A5439" s="187">
        <v>2022</v>
      </c>
      <c r="B5439" t="s">
        <v>314</v>
      </c>
      <c r="C5439" t="s">
        <v>323</v>
      </c>
      <c r="D5439" t="s">
        <v>35</v>
      </c>
      <c r="E5439" t="s">
        <v>349</v>
      </c>
      <c r="F5439" t="s">
        <v>395</v>
      </c>
      <c r="G5439" t="s">
        <v>36</v>
      </c>
      <c r="H5439" t="s">
        <v>43</v>
      </c>
      <c r="I5439" s="187">
        <v>0</v>
      </c>
      <c r="J5439" s="187">
        <v>0</v>
      </c>
      <c r="K5439" s="187">
        <v>8.2246842002924134E-2</v>
      </c>
      <c r="L5439" s="187">
        <v>292.36998593582382</v>
      </c>
      <c r="M5439" s="187">
        <v>292.45223999023438</v>
      </c>
      <c r="N5439" s="187">
        <v>292.3699951171875</v>
      </c>
      <c r="O5439" t="s">
        <v>5859</v>
      </c>
    </row>
    <row r="5440" spans="1:15" hidden="1" x14ac:dyDescent="0.45">
      <c r="A5440" s="187">
        <v>2022</v>
      </c>
      <c r="B5440" t="s">
        <v>313</v>
      </c>
      <c r="C5440" t="s">
        <v>323</v>
      </c>
      <c r="D5440" t="s">
        <v>35</v>
      </c>
      <c r="E5440" t="s">
        <v>349</v>
      </c>
      <c r="F5440" t="s">
        <v>395</v>
      </c>
      <c r="G5440" t="s">
        <v>36</v>
      </c>
      <c r="H5440" t="s">
        <v>43</v>
      </c>
      <c r="I5440" s="187">
        <v>59.894593726603141</v>
      </c>
      <c r="J5440" s="187">
        <v>0</v>
      </c>
      <c r="K5440" s="187">
        <v>4.8160738174715327E-2</v>
      </c>
      <c r="L5440" s="187">
        <v>294.68140113488744</v>
      </c>
      <c r="M5440" s="187">
        <v>354.6241455078125</v>
      </c>
      <c r="N5440" s="187">
        <v>354.57598876953125</v>
      </c>
      <c r="O5440" t="s">
        <v>5863</v>
      </c>
    </row>
    <row r="5441" spans="1:15" x14ac:dyDescent="0.45">
      <c r="A5441" s="187">
        <v>2022</v>
      </c>
      <c r="B5441" t="s">
        <v>8570</v>
      </c>
      <c r="C5441" t="s">
        <v>323</v>
      </c>
      <c r="D5441" t="s">
        <v>35</v>
      </c>
      <c r="E5441" t="s">
        <v>349</v>
      </c>
      <c r="F5441" t="s">
        <v>395</v>
      </c>
      <c r="G5441" t="s">
        <v>36</v>
      </c>
      <c r="H5441" t="s">
        <v>43</v>
      </c>
      <c r="I5441" s="187">
        <v>0</v>
      </c>
      <c r="J5441" s="187"/>
      <c r="K5441" s="187">
        <v>325.22339143408732</v>
      </c>
      <c r="L5441" s="187">
        <v>488</v>
      </c>
      <c r="M5441" s="187">
        <v>813.223388671875</v>
      </c>
      <c r="N5441" s="187">
        <v>488</v>
      </c>
      <c r="O5441" t="s">
        <v>8607</v>
      </c>
    </row>
    <row r="5442" spans="1:15" hidden="1" x14ac:dyDescent="0.45">
      <c r="A5442" s="187">
        <v>2022</v>
      </c>
      <c r="B5442" t="s">
        <v>317</v>
      </c>
      <c r="C5442" t="s">
        <v>323</v>
      </c>
      <c r="D5442" t="s">
        <v>35</v>
      </c>
      <c r="E5442" t="s">
        <v>349</v>
      </c>
      <c r="F5442" t="s">
        <v>396</v>
      </c>
      <c r="G5442" t="s">
        <v>36</v>
      </c>
      <c r="H5442" t="s">
        <v>43</v>
      </c>
      <c r="I5442" s="187">
        <v>216.10181913732987</v>
      </c>
      <c r="J5442" s="187"/>
      <c r="K5442" s="187">
        <v>924.49141676230136</v>
      </c>
      <c r="L5442" s="187">
        <v>927.07680409914508</v>
      </c>
      <c r="M5442" s="187">
        <v>2067.670166015625</v>
      </c>
      <c r="N5442" s="187">
        <v>1143.1785888671875</v>
      </c>
      <c r="O5442" t="s">
        <v>5868</v>
      </c>
    </row>
    <row r="5443" spans="1:15" hidden="1" x14ac:dyDescent="0.45">
      <c r="A5443" s="187">
        <v>2022</v>
      </c>
      <c r="B5443" t="s">
        <v>316</v>
      </c>
      <c r="C5443" t="s">
        <v>323</v>
      </c>
      <c r="D5443" t="s">
        <v>35</v>
      </c>
      <c r="E5443" t="s">
        <v>349</v>
      </c>
      <c r="F5443" t="s">
        <v>396</v>
      </c>
      <c r="G5443" t="s">
        <v>36</v>
      </c>
      <c r="H5443" t="s">
        <v>43</v>
      </c>
      <c r="I5443" s="187">
        <v>168.538959118843</v>
      </c>
      <c r="J5443" s="187">
        <v>11.01453838635709</v>
      </c>
      <c r="K5443" s="187">
        <v>519.96498241622282</v>
      </c>
      <c r="L5443" s="187">
        <v>606.90106508827569</v>
      </c>
      <c r="M5443" s="187">
        <v>1306.4195556640625</v>
      </c>
      <c r="N5443" s="187">
        <v>775.44000244140625</v>
      </c>
      <c r="O5443" t="s">
        <v>5864</v>
      </c>
    </row>
    <row r="5444" spans="1:15" hidden="1" x14ac:dyDescent="0.45">
      <c r="A5444" s="187">
        <v>2022</v>
      </c>
      <c r="B5444" t="s">
        <v>314</v>
      </c>
      <c r="C5444" t="s">
        <v>323</v>
      </c>
      <c r="D5444" t="s">
        <v>35</v>
      </c>
      <c r="E5444" t="s">
        <v>349</v>
      </c>
      <c r="F5444" t="s">
        <v>396</v>
      </c>
      <c r="G5444" t="s">
        <v>36</v>
      </c>
      <c r="H5444" t="s">
        <v>43</v>
      </c>
      <c r="I5444" s="187">
        <v>174.72309916483496</v>
      </c>
      <c r="J5444" s="187">
        <v>0</v>
      </c>
      <c r="K5444" s="187">
        <v>455.45082258822509</v>
      </c>
      <c r="L5444" s="187">
        <v>362.25922560175781</v>
      </c>
      <c r="M5444" s="187">
        <v>992.43316650390625</v>
      </c>
      <c r="N5444" s="187">
        <v>536.9822998046875</v>
      </c>
      <c r="O5444" t="s">
        <v>5866</v>
      </c>
    </row>
    <row r="5445" spans="1:15" hidden="1" x14ac:dyDescent="0.45">
      <c r="A5445" s="187">
        <v>2022</v>
      </c>
      <c r="B5445" t="s">
        <v>315</v>
      </c>
      <c r="C5445" t="s">
        <v>323</v>
      </c>
      <c r="D5445" t="s">
        <v>35</v>
      </c>
      <c r="E5445" t="s">
        <v>349</v>
      </c>
      <c r="F5445" t="s">
        <v>396</v>
      </c>
      <c r="G5445" t="s">
        <v>36</v>
      </c>
      <c r="H5445" t="s">
        <v>43</v>
      </c>
      <c r="I5445" s="187">
        <v>169.91961542775027</v>
      </c>
      <c r="J5445" s="187">
        <v>5.6639871809250089</v>
      </c>
      <c r="K5445" s="187">
        <v>889.77257943265431</v>
      </c>
      <c r="L5445" s="187">
        <v>508.62604884706582</v>
      </c>
      <c r="M5445" s="187">
        <v>1573.9822998046875</v>
      </c>
      <c r="N5445" s="187">
        <v>678.545654296875</v>
      </c>
      <c r="O5445" t="s">
        <v>5865</v>
      </c>
    </row>
    <row r="5446" spans="1:15" x14ac:dyDescent="0.45">
      <c r="A5446" s="187">
        <v>2022</v>
      </c>
      <c r="B5446" t="s">
        <v>8570</v>
      </c>
      <c r="C5446" t="s">
        <v>323</v>
      </c>
      <c r="D5446" t="s">
        <v>35</v>
      </c>
      <c r="E5446" t="s">
        <v>349</v>
      </c>
      <c r="F5446" t="s">
        <v>396</v>
      </c>
      <c r="G5446" t="s">
        <v>36</v>
      </c>
      <c r="H5446" t="s">
        <v>43</v>
      </c>
      <c r="I5446" s="187">
        <v>333.39100000000002</v>
      </c>
      <c r="J5446" s="187">
        <v>4</v>
      </c>
      <c r="K5446" s="187">
        <v>906.60146979733759</v>
      </c>
      <c r="L5446" s="187">
        <v>437</v>
      </c>
      <c r="M5446" s="187">
        <v>1680.992431640625</v>
      </c>
      <c r="N5446" s="187">
        <v>770.3909912109375</v>
      </c>
      <c r="O5446" t="s">
        <v>8608</v>
      </c>
    </row>
    <row r="5447" spans="1:15" hidden="1" x14ac:dyDescent="0.45">
      <c r="A5447" s="187">
        <v>2022</v>
      </c>
      <c r="B5447" t="s">
        <v>313</v>
      </c>
      <c r="C5447" t="s">
        <v>323</v>
      </c>
      <c r="D5447" t="s">
        <v>35</v>
      </c>
      <c r="E5447" t="s">
        <v>349</v>
      </c>
      <c r="F5447" t="s">
        <v>396</v>
      </c>
      <c r="G5447" t="s">
        <v>36</v>
      </c>
      <c r="H5447" t="s">
        <v>43</v>
      </c>
      <c r="I5447" s="187">
        <v>263.53621239705382</v>
      </c>
      <c r="J5447" s="187">
        <v>0</v>
      </c>
      <c r="K5447" s="187">
        <v>133.16114960655048</v>
      </c>
      <c r="L5447" s="187">
        <v>365.35702173227912</v>
      </c>
      <c r="M5447" s="187">
        <v>762.05438232421875</v>
      </c>
      <c r="N5447" s="187">
        <v>628.89324951171875</v>
      </c>
      <c r="O5447" t="s">
        <v>5867</v>
      </c>
    </row>
    <row r="5448" spans="1:15" hidden="1" x14ac:dyDescent="0.45">
      <c r="A5448" s="187">
        <v>2022</v>
      </c>
      <c r="B5448" t="s">
        <v>313</v>
      </c>
      <c r="C5448" t="s">
        <v>323</v>
      </c>
      <c r="D5448" t="s">
        <v>35</v>
      </c>
      <c r="E5448" t="s">
        <v>349</v>
      </c>
      <c r="F5448" t="s">
        <v>397</v>
      </c>
      <c r="G5448" t="s">
        <v>36</v>
      </c>
      <c r="H5448" t="s">
        <v>43</v>
      </c>
      <c r="I5448" s="187">
        <v>0</v>
      </c>
      <c r="J5448" s="187">
        <v>0</v>
      </c>
      <c r="K5448" s="187">
        <v>6.0644713771566786E-2</v>
      </c>
      <c r="L5448" s="187">
        <v>0</v>
      </c>
      <c r="M5448" s="187">
        <v>6.0644712299108505E-2</v>
      </c>
      <c r="N5448" s="187">
        <v>0</v>
      </c>
      <c r="O5448" t="s">
        <v>5871</v>
      </c>
    </row>
    <row r="5449" spans="1:15" hidden="1" x14ac:dyDescent="0.45">
      <c r="A5449" s="187">
        <v>2022</v>
      </c>
      <c r="B5449" t="s">
        <v>314</v>
      </c>
      <c r="C5449" t="s">
        <v>323</v>
      </c>
      <c r="D5449" t="s">
        <v>35</v>
      </c>
      <c r="E5449" t="s">
        <v>349</v>
      </c>
      <c r="F5449" t="s">
        <v>397</v>
      </c>
      <c r="G5449" t="s">
        <v>36</v>
      </c>
      <c r="H5449" t="s">
        <v>43</v>
      </c>
      <c r="I5449" s="187">
        <v>0</v>
      </c>
      <c r="J5449" s="187">
        <v>0</v>
      </c>
      <c r="K5449" s="187">
        <v>0.10356643982050182</v>
      </c>
      <c r="L5449" s="187"/>
      <c r="M5449" s="187">
        <v>0.10356643795967102</v>
      </c>
      <c r="N5449" s="187">
        <v>0</v>
      </c>
      <c r="O5449" t="s">
        <v>5872</v>
      </c>
    </row>
    <row r="5450" spans="1:15" x14ac:dyDescent="0.45">
      <c r="A5450" s="187">
        <v>2022</v>
      </c>
      <c r="B5450" t="s">
        <v>8570</v>
      </c>
      <c r="C5450" t="s">
        <v>323</v>
      </c>
      <c r="D5450" t="s">
        <v>35</v>
      </c>
      <c r="E5450" t="s">
        <v>349</v>
      </c>
      <c r="F5450" t="s">
        <v>397</v>
      </c>
      <c r="G5450" t="s">
        <v>36</v>
      </c>
      <c r="H5450" t="s">
        <v>43</v>
      </c>
      <c r="I5450" s="187">
        <v>0</v>
      </c>
      <c r="J5450" s="187"/>
      <c r="K5450" s="187">
        <v>2.7389179457250001E-2</v>
      </c>
      <c r="L5450" s="187">
        <v>0</v>
      </c>
      <c r="M5450" s="187">
        <v>2.7389179915189743E-2</v>
      </c>
      <c r="N5450" s="187">
        <v>0</v>
      </c>
      <c r="O5450" t="s">
        <v>8609</v>
      </c>
    </row>
    <row r="5451" spans="1:15" hidden="1" x14ac:dyDescent="0.45">
      <c r="A5451" s="187">
        <v>2022</v>
      </c>
      <c r="B5451" t="s">
        <v>315</v>
      </c>
      <c r="C5451" t="s">
        <v>323</v>
      </c>
      <c r="D5451" t="s">
        <v>35</v>
      </c>
      <c r="E5451" t="s">
        <v>349</v>
      </c>
      <c r="F5451" t="s">
        <v>397</v>
      </c>
      <c r="G5451" t="s">
        <v>36</v>
      </c>
      <c r="H5451" t="s">
        <v>43</v>
      </c>
      <c r="I5451" s="187">
        <v>0</v>
      </c>
      <c r="J5451" s="187">
        <v>0</v>
      </c>
      <c r="K5451" s="187">
        <v>6.1217248668864514E-2</v>
      </c>
      <c r="L5451" s="187">
        <v>0</v>
      </c>
      <c r="M5451" s="187">
        <v>6.1217248439788818E-2</v>
      </c>
      <c r="N5451" s="187">
        <v>0</v>
      </c>
      <c r="O5451" t="s">
        <v>5873</v>
      </c>
    </row>
    <row r="5452" spans="1:15" hidden="1" x14ac:dyDescent="0.45">
      <c r="A5452" s="187">
        <v>2022</v>
      </c>
      <c r="B5452" t="s">
        <v>316</v>
      </c>
      <c r="C5452" t="s">
        <v>323</v>
      </c>
      <c r="D5452" t="s">
        <v>35</v>
      </c>
      <c r="E5452" t="s">
        <v>349</v>
      </c>
      <c r="F5452" t="s">
        <v>397</v>
      </c>
      <c r="G5452" t="s">
        <v>36</v>
      </c>
      <c r="H5452" t="s">
        <v>43</v>
      </c>
      <c r="I5452" s="187">
        <v>0</v>
      </c>
      <c r="J5452" s="187"/>
      <c r="K5452" s="187">
        <v>1.0531939312659266E-3</v>
      </c>
      <c r="L5452" s="187">
        <v>0</v>
      </c>
      <c r="M5452" s="187">
        <v>1.0531939333304763E-3</v>
      </c>
      <c r="N5452" s="187">
        <v>0</v>
      </c>
      <c r="O5452" t="s">
        <v>5869</v>
      </c>
    </row>
    <row r="5453" spans="1:15" hidden="1" x14ac:dyDescent="0.45">
      <c r="A5453" s="187">
        <v>2022</v>
      </c>
      <c r="B5453" t="s">
        <v>317</v>
      </c>
      <c r="C5453" t="s">
        <v>323</v>
      </c>
      <c r="D5453" t="s">
        <v>35</v>
      </c>
      <c r="E5453" t="s">
        <v>349</v>
      </c>
      <c r="F5453" t="s">
        <v>397</v>
      </c>
      <c r="G5453" t="s">
        <v>36</v>
      </c>
      <c r="H5453" t="s">
        <v>43</v>
      </c>
      <c r="I5453" s="187">
        <v>0</v>
      </c>
      <c r="J5453" s="187"/>
      <c r="K5453" s="187">
        <v>2.1487011583563073E-2</v>
      </c>
      <c r="L5453" s="187">
        <v>0</v>
      </c>
      <c r="M5453" s="187">
        <v>2.1487012505531311E-2</v>
      </c>
      <c r="N5453" s="187">
        <v>0</v>
      </c>
      <c r="O5453" t="s">
        <v>5870</v>
      </c>
    </row>
    <row r="5454" spans="1:15" hidden="1" x14ac:dyDescent="0.45">
      <c r="A5454" s="187">
        <v>2022</v>
      </c>
      <c r="B5454" t="s">
        <v>313</v>
      </c>
      <c r="C5454" t="s">
        <v>323</v>
      </c>
      <c r="D5454" t="s">
        <v>35</v>
      </c>
      <c r="E5454" t="s">
        <v>349</v>
      </c>
      <c r="F5454" t="s">
        <v>398</v>
      </c>
      <c r="G5454" t="s">
        <v>36</v>
      </c>
      <c r="H5454" t="s">
        <v>43</v>
      </c>
      <c r="I5454" s="187">
        <v>0</v>
      </c>
      <c r="J5454" s="187">
        <v>539.05134353942822</v>
      </c>
      <c r="K5454" s="187">
        <v>6.615792510782474</v>
      </c>
      <c r="L5454" s="187">
        <v>0</v>
      </c>
      <c r="M5454" s="187">
        <v>545.6671142578125</v>
      </c>
      <c r="N5454" s="187">
        <v>0</v>
      </c>
      <c r="O5454" t="s">
        <v>5877</v>
      </c>
    </row>
    <row r="5455" spans="1:15" hidden="1" x14ac:dyDescent="0.45">
      <c r="A5455" s="187">
        <v>2022</v>
      </c>
      <c r="B5455" t="s">
        <v>316</v>
      </c>
      <c r="C5455" t="s">
        <v>323</v>
      </c>
      <c r="D5455" t="s">
        <v>35</v>
      </c>
      <c r="E5455" t="s">
        <v>349</v>
      </c>
      <c r="F5455" t="s">
        <v>398</v>
      </c>
      <c r="G5455" t="s">
        <v>36</v>
      </c>
      <c r="H5455" t="s">
        <v>43</v>
      </c>
      <c r="I5455" s="187">
        <v>0</v>
      </c>
      <c r="J5455" s="187">
        <v>523.1905733519618</v>
      </c>
      <c r="K5455" s="187">
        <v>9.8407389383046745E-2</v>
      </c>
      <c r="L5455" s="187">
        <v>0</v>
      </c>
      <c r="M5455" s="187">
        <v>523.2889404296875</v>
      </c>
      <c r="N5455" s="187">
        <v>0</v>
      </c>
      <c r="O5455" t="s">
        <v>5878</v>
      </c>
    </row>
    <row r="5456" spans="1:15" hidden="1" x14ac:dyDescent="0.45">
      <c r="A5456" s="187">
        <v>2022</v>
      </c>
      <c r="B5456" t="s">
        <v>315</v>
      </c>
      <c r="C5456" t="s">
        <v>323</v>
      </c>
      <c r="D5456" t="s">
        <v>35</v>
      </c>
      <c r="E5456" t="s">
        <v>349</v>
      </c>
      <c r="F5456" t="s">
        <v>398</v>
      </c>
      <c r="G5456" t="s">
        <v>36</v>
      </c>
      <c r="H5456" t="s">
        <v>43</v>
      </c>
      <c r="I5456" s="187">
        <v>0</v>
      </c>
      <c r="J5456" s="187">
        <v>458.78296165492571</v>
      </c>
      <c r="K5456" s="187">
        <v>6.2446481997479522</v>
      </c>
      <c r="L5456" s="187">
        <v>0</v>
      </c>
      <c r="M5456" s="187">
        <v>465.02761840820313</v>
      </c>
      <c r="N5456" s="187">
        <v>0</v>
      </c>
      <c r="O5456" t="s">
        <v>5876</v>
      </c>
    </row>
    <row r="5457" spans="1:15" x14ac:dyDescent="0.45">
      <c r="A5457" s="187">
        <v>2022</v>
      </c>
      <c r="B5457" t="s">
        <v>8570</v>
      </c>
      <c r="C5457" t="s">
        <v>323</v>
      </c>
      <c r="D5457" t="s">
        <v>35</v>
      </c>
      <c r="E5457" t="s">
        <v>349</v>
      </c>
      <c r="F5457" t="s">
        <v>398</v>
      </c>
      <c r="G5457" t="s">
        <v>36</v>
      </c>
      <c r="H5457" t="s">
        <v>43</v>
      </c>
      <c r="I5457" s="187">
        <v>0</v>
      </c>
      <c r="J5457" s="187">
        <v>237</v>
      </c>
      <c r="K5457" s="187">
        <v>1.9609769893852489</v>
      </c>
      <c r="L5457" s="187">
        <v>0</v>
      </c>
      <c r="M5457" s="187">
        <v>238.96098327636719</v>
      </c>
      <c r="N5457" s="187">
        <v>0</v>
      </c>
      <c r="O5457" t="s">
        <v>8610</v>
      </c>
    </row>
    <row r="5458" spans="1:15" hidden="1" x14ac:dyDescent="0.45">
      <c r="A5458" s="187">
        <v>2022</v>
      </c>
      <c r="B5458" t="s">
        <v>317</v>
      </c>
      <c r="C5458" t="s">
        <v>323</v>
      </c>
      <c r="D5458" t="s">
        <v>35</v>
      </c>
      <c r="E5458" t="s">
        <v>349</v>
      </c>
      <c r="F5458" t="s">
        <v>398</v>
      </c>
      <c r="G5458" t="s">
        <v>36</v>
      </c>
      <c r="H5458" t="s">
        <v>43</v>
      </c>
      <c r="I5458" s="187">
        <v>0</v>
      </c>
      <c r="J5458" s="187">
        <v>306.86458317500842</v>
      </c>
      <c r="K5458" s="187">
        <v>2.0001227001093627</v>
      </c>
      <c r="L5458" s="187">
        <v>0</v>
      </c>
      <c r="M5458" s="187">
        <v>308.86471557617188</v>
      </c>
      <c r="N5458" s="187">
        <v>0</v>
      </c>
      <c r="O5458" t="s">
        <v>5875</v>
      </c>
    </row>
    <row r="5459" spans="1:15" hidden="1" x14ac:dyDescent="0.45">
      <c r="A5459" s="187">
        <v>2022</v>
      </c>
      <c r="B5459" t="s">
        <v>314</v>
      </c>
      <c r="C5459" t="s">
        <v>323</v>
      </c>
      <c r="D5459" t="s">
        <v>35</v>
      </c>
      <c r="E5459" t="s">
        <v>349</v>
      </c>
      <c r="F5459" t="s">
        <v>398</v>
      </c>
      <c r="G5459" t="s">
        <v>36</v>
      </c>
      <c r="H5459" t="s">
        <v>43</v>
      </c>
      <c r="I5459" s="187">
        <v>0</v>
      </c>
      <c r="J5459" s="187">
        <v>506.69698757802138</v>
      </c>
      <c r="K5459" s="187">
        <v>11.298166556012724</v>
      </c>
      <c r="L5459" s="187">
        <v>0</v>
      </c>
      <c r="M5459" s="187">
        <v>517.99517822265625</v>
      </c>
      <c r="N5459" s="187">
        <v>0</v>
      </c>
      <c r="O5459" t="s">
        <v>5874</v>
      </c>
    </row>
    <row r="5460" spans="1:15" hidden="1" x14ac:dyDescent="0.45">
      <c r="A5460" s="187">
        <v>2022</v>
      </c>
      <c r="B5460" t="s">
        <v>316</v>
      </c>
      <c r="C5460" t="s">
        <v>323</v>
      </c>
      <c r="D5460" t="s">
        <v>35</v>
      </c>
      <c r="E5460" t="s">
        <v>349</v>
      </c>
      <c r="F5460" t="s">
        <v>399</v>
      </c>
      <c r="G5460" t="s">
        <v>36</v>
      </c>
      <c r="H5460" t="s">
        <v>43</v>
      </c>
      <c r="I5460" s="187">
        <v>0</v>
      </c>
      <c r="J5460" s="187">
        <v>468.11788142017633</v>
      </c>
      <c r="K5460" s="187">
        <v>6.6398679823689355E-2</v>
      </c>
      <c r="L5460" s="187">
        <v>0</v>
      </c>
      <c r="M5460" s="187">
        <v>468.18429565429688</v>
      </c>
      <c r="N5460" s="187">
        <v>0</v>
      </c>
      <c r="O5460" t="s">
        <v>5883</v>
      </c>
    </row>
    <row r="5461" spans="1:15" hidden="1" x14ac:dyDescent="0.45">
      <c r="A5461" s="187">
        <v>2022</v>
      </c>
      <c r="B5461" t="s">
        <v>315</v>
      </c>
      <c r="C5461" t="s">
        <v>323</v>
      </c>
      <c r="D5461" t="s">
        <v>35</v>
      </c>
      <c r="E5461" t="s">
        <v>349</v>
      </c>
      <c r="F5461" t="s">
        <v>399</v>
      </c>
      <c r="G5461" t="s">
        <v>36</v>
      </c>
      <c r="H5461" t="s">
        <v>43</v>
      </c>
      <c r="I5461" s="187">
        <v>0</v>
      </c>
      <c r="J5461" s="187">
        <v>322.84726931272553</v>
      </c>
      <c r="K5461" s="187">
        <v>4.2402345386338096</v>
      </c>
      <c r="L5461" s="187">
        <v>0</v>
      </c>
      <c r="M5461" s="187">
        <v>327.08749389648438</v>
      </c>
      <c r="N5461" s="187">
        <v>0</v>
      </c>
      <c r="O5461" t="s">
        <v>5880</v>
      </c>
    </row>
    <row r="5462" spans="1:15" hidden="1" x14ac:dyDescent="0.45">
      <c r="A5462" s="187">
        <v>2022</v>
      </c>
      <c r="B5462" t="s">
        <v>314</v>
      </c>
      <c r="C5462" t="s">
        <v>323</v>
      </c>
      <c r="D5462" t="s">
        <v>35</v>
      </c>
      <c r="E5462" t="s">
        <v>349</v>
      </c>
      <c r="F5462" t="s">
        <v>399</v>
      </c>
      <c r="G5462" t="s">
        <v>36</v>
      </c>
      <c r="H5462" t="s">
        <v>43</v>
      </c>
      <c r="I5462" s="187">
        <v>0</v>
      </c>
      <c r="J5462" s="187">
        <v>349.44619832966993</v>
      </c>
      <c r="K5462" s="187">
        <v>7.8134931946916062</v>
      </c>
      <c r="L5462" s="187"/>
      <c r="M5462" s="187">
        <v>357.25970458984375</v>
      </c>
      <c r="N5462" s="187">
        <v>0</v>
      </c>
      <c r="O5462" t="s">
        <v>5881</v>
      </c>
    </row>
    <row r="5463" spans="1:15" hidden="1" x14ac:dyDescent="0.45">
      <c r="A5463" s="187">
        <v>2022</v>
      </c>
      <c r="B5463" t="s">
        <v>317</v>
      </c>
      <c r="C5463" t="s">
        <v>323</v>
      </c>
      <c r="D5463" t="s">
        <v>35</v>
      </c>
      <c r="E5463" t="s">
        <v>349</v>
      </c>
      <c r="F5463" t="s">
        <v>399</v>
      </c>
      <c r="G5463" t="s">
        <v>36</v>
      </c>
      <c r="H5463" t="s">
        <v>43</v>
      </c>
      <c r="I5463" s="187">
        <v>0</v>
      </c>
      <c r="J5463" s="187">
        <v>216.10181913732987</v>
      </c>
      <c r="K5463" s="187">
        <v>1.3411957872846942</v>
      </c>
      <c r="L5463" s="187">
        <v>0</v>
      </c>
      <c r="M5463" s="187">
        <v>217.44302368164063</v>
      </c>
      <c r="N5463" s="187">
        <v>0</v>
      </c>
      <c r="O5463" t="s">
        <v>5882</v>
      </c>
    </row>
    <row r="5464" spans="1:15" x14ac:dyDescent="0.45">
      <c r="A5464" s="187">
        <v>2022</v>
      </c>
      <c r="B5464" t="s">
        <v>8570</v>
      </c>
      <c r="C5464" t="s">
        <v>323</v>
      </c>
      <c r="D5464" t="s">
        <v>35</v>
      </c>
      <c r="E5464" t="s">
        <v>349</v>
      </c>
      <c r="F5464" t="s">
        <v>399</v>
      </c>
      <c r="G5464" t="s">
        <v>36</v>
      </c>
      <c r="H5464" t="s">
        <v>43</v>
      </c>
      <c r="I5464" s="187">
        <v>0</v>
      </c>
      <c r="J5464" s="187">
        <v>237</v>
      </c>
      <c r="K5464" s="187">
        <v>1.2988798255479901</v>
      </c>
      <c r="L5464" s="187">
        <v>0</v>
      </c>
      <c r="M5464" s="187">
        <v>238.29887390136719</v>
      </c>
      <c r="N5464" s="187">
        <v>0</v>
      </c>
      <c r="O5464" t="s">
        <v>8611</v>
      </c>
    </row>
    <row r="5465" spans="1:15" hidden="1" x14ac:dyDescent="0.45">
      <c r="A5465" s="187">
        <v>2022</v>
      </c>
      <c r="B5465" t="s">
        <v>313</v>
      </c>
      <c r="C5465" t="s">
        <v>323</v>
      </c>
      <c r="D5465" t="s">
        <v>35</v>
      </c>
      <c r="E5465" t="s">
        <v>349</v>
      </c>
      <c r="F5465" t="s">
        <v>399</v>
      </c>
      <c r="G5465" t="s">
        <v>36</v>
      </c>
      <c r="H5465" t="s">
        <v>43</v>
      </c>
      <c r="I5465" s="187">
        <v>0</v>
      </c>
      <c r="J5465" s="187">
        <v>359.36756235961883</v>
      </c>
      <c r="K5465" s="187">
        <v>4.5752954255202205</v>
      </c>
      <c r="L5465" s="187">
        <v>0</v>
      </c>
      <c r="M5465" s="187">
        <v>363.94284057617188</v>
      </c>
      <c r="N5465" s="187">
        <v>0</v>
      </c>
      <c r="O5465" t="s">
        <v>5879</v>
      </c>
    </row>
    <row r="5466" spans="1:15" hidden="1" x14ac:dyDescent="0.45">
      <c r="A5466" s="187">
        <v>2022</v>
      </c>
      <c r="B5466" t="s">
        <v>313</v>
      </c>
      <c r="C5466" t="s">
        <v>323</v>
      </c>
      <c r="D5466" t="s">
        <v>35</v>
      </c>
      <c r="E5466" t="s">
        <v>349</v>
      </c>
      <c r="F5466" t="s">
        <v>400</v>
      </c>
      <c r="G5466" t="s">
        <v>36</v>
      </c>
      <c r="H5466" t="s">
        <v>43</v>
      </c>
      <c r="I5466" s="187">
        <v>0</v>
      </c>
      <c r="J5466" s="187">
        <v>179.68378117980942</v>
      </c>
      <c r="K5466" s="187">
        <v>1.9701793563659393</v>
      </c>
      <c r="L5466" s="187">
        <v>0</v>
      </c>
      <c r="M5466" s="187">
        <v>181.65396118164063</v>
      </c>
      <c r="N5466" s="187">
        <v>0</v>
      </c>
      <c r="O5466" t="s">
        <v>5886</v>
      </c>
    </row>
    <row r="5467" spans="1:15" x14ac:dyDescent="0.45">
      <c r="A5467" s="187">
        <v>2022</v>
      </c>
      <c r="B5467" t="s">
        <v>8570</v>
      </c>
      <c r="C5467" t="s">
        <v>323</v>
      </c>
      <c r="D5467" t="s">
        <v>35</v>
      </c>
      <c r="E5467" t="s">
        <v>349</v>
      </c>
      <c r="F5467" t="s">
        <v>400</v>
      </c>
      <c r="G5467" t="s">
        <v>36</v>
      </c>
      <c r="H5467" t="s">
        <v>43</v>
      </c>
      <c r="I5467" s="187">
        <v>0</v>
      </c>
      <c r="J5467" s="187"/>
      <c r="K5467" s="187">
        <v>0.62966456987438402</v>
      </c>
      <c r="L5467" s="187">
        <v>0</v>
      </c>
      <c r="M5467" s="187">
        <v>0.62966454029083252</v>
      </c>
      <c r="N5467" s="187">
        <v>0</v>
      </c>
      <c r="O5467" t="s">
        <v>8612</v>
      </c>
    </row>
    <row r="5468" spans="1:15" hidden="1" x14ac:dyDescent="0.45">
      <c r="A5468" s="187">
        <v>2022</v>
      </c>
      <c r="B5468" t="s">
        <v>314</v>
      </c>
      <c r="C5468" t="s">
        <v>323</v>
      </c>
      <c r="D5468" t="s">
        <v>35</v>
      </c>
      <c r="E5468" t="s">
        <v>349</v>
      </c>
      <c r="F5468" t="s">
        <v>400</v>
      </c>
      <c r="G5468" t="s">
        <v>36</v>
      </c>
      <c r="H5468" t="s">
        <v>43</v>
      </c>
      <c r="I5468" s="187">
        <v>0</v>
      </c>
      <c r="J5468" s="187">
        <v>157.25078924835148</v>
      </c>
      <c r="K5468" s="187">
        <v>3.3645877613546307</v>
      </c>
      <c r="L5468" s="187"/>
      <c r="M5468" s="187">
        <v>160.61538696289063</v>
      </c>
      <c r="N5468" s="187">
        <v>0</v>
      </c>
      <c r="O5468" t="s">
        <v>5887</v>
      </c>
    </row>
    <row r="5469" spans="1:15" hidden="1" x14ac:dyDescent="0.45">
      <c r="A5469" s="187">
        <v>2022</v>
      </c>
      <c r="B5469" t="s">
        <v>317</v>
      </c>
      <c r="C5469" t="s">
        <v>323</v>
      </c>
      <c r="D5469" t="s">
        <v>35</v>
      </c>
      <c r="E5469" t="s">
        <v>349</v>
      </c>
      <c r="F5469" t="s">
        <v>400</v>
      </c>
      <c r="G5469" t="s">
        <v>36</v>
      </c>
      <c r="H5469" t="s">
        <v>43</v>
      </c>
      <c r="I5469" s="187">
        <v>0</v>
      </c>
      <c r="J5469" s="187">
        <v>90.762764037678537</v>
      </c>
      <c r="K5469" s="187">
        <v>0.63217305945470159</v>
      </c>
      <c r="L5469" s="187">
        <v>0</v>
      </c>
      <c r="M5469" s="187">
        <v>91.394935607910156</v>
      </c>
      <c r="N5469" s="187">
        <v>0</v>
      </c>
      <c r="O5469" t="s">
        <v>5884</v>
      </c>
    </row>
    <row r="5470" spans="1:15" hidden="1" x14ac:dyDescent="0.45">
      <c r="A5470" s="187">
        <v>2022</v>
      </c>
      <c r="B5470" t="s">
        <v>315</v>
      </c>
      <c r="C5470" t="s">
        <v>323</v>
      </c>
      <c r="D5470" t="s">
        <v>35</v>
      </c>
      <c r="E5470" t="s">
        <v>349</v>
      </c>
      <c r="F5470" t="s">
        <v>400</v>
      </c>
      <c r="G5470" t="s">
        <v>36</v>
      </c>
      <c r="H5470" t="s">
        <v>43</v>
      </c>
      <c r="I5470" s="187">
        <v>0</v>
      </c>
      <c r="J5470" s="187">
        <v>135.93569234220021</v>
      </c>
      <c r="K5470" s="187">
        <v>1.931877989933406</v>
      </c>
      <c r="L5470" s="187">
        <v>0</v>
      </c>
      <c r="M5470" s="187">
        <v>137.86758422851563</v>
      </c>
      <c r="N5470" s="187">
        <v>0</v>
      </c>
      <c r="O5470" t="s">
        <v>5888</v>
      </c>
    </row>
    <row r="5471" spans="1:15" hidden="1" x14ac:dyDescent="0.45">
      <c r="A5471" s="187">
        <v>2022</v>
      </c>
      <c r="B5471" t="s">
        <v>316</v>
      </c>
      <c r="C5471" t="s">
        <v>323</v>
      </c>
      <c r="D5471" t="s">
        <v>35</v>
      </c>
      <c r="E5471" t="s">
        <v>349</v>
      </c>
      <c r="F5471" t="s">
        <v>400</v>
      </c>
      <c r="G5471" t="s">
        <v>36</v>
      </c>
      <c r="H5471" t="s">
        <v>43</v>
      </c>
      <c r="I5471" s="187">
        <v>0</v>
      </c>
      <c r="J5471" s="187">
        <v>55.07269193178545</v>
      </c>
      <c r="K5471" s="187">
        <v>3.0702481200037886E-2</v>
      </c>
      <c r="L5471" s="187">
        <v>0</v>
      </c>
      <c r="M5471" s="187">
        <v>55.1033935546875</v>
      </c>
      <c r="N5471" s="187">
        <v>0</v>
      </c>
      <c r="O5471" t="s">
        <v>5885</v>
      </c>
    </row>
    <row r="5472" spans="1:15" hidden="1" x14ac:dyDescent="0.45">
      <c r="A5472" s="187">
        <v>2022</v>
      </c>
      <c r="B5472" t="s">
        <v>314</v>
      </c>
      <c r="C5472" t="s">
        <v>323</v>
      </c>
      <c r="D5472" t="s">
        <v>35</v>
      </c>
      <c r="E5472" t="s">
        <v>349</v>
      </c>
      <c r="F5472" t="s">
        <v>401</v>
      </c>
      <c r="G5472" t="s">
        <v>36</v>
      </c>
      <c r="H5472" t="s">
        <v>43</v>
      </c>
      <c r="I5472" s="187">
        <v>0</v>
      </c>
      <c r="J5472" s="187">
        <v>0</v>
      </c>
      <c r="K5472" s="187">
        <v>1.6519160145983324E-2</v>
      </c>
      <c r="L5472" s="187"/>
      <c r="M5472" s="187">
        <v>1.6519160941243172E-2</v>
      </c>
      <c r="N5472" s="187">
        <v>0</v>
      </c>
      <c r="O5472" t="s">
        <v>5891</v>
      </c>
    </row>
    <row r="5473" spans="1:15" hidden="1" x14ac:dyDescent="0.45">
      <c r="A5473" s="187">
        <v>2022</v>
      </c>
      <c r="B5473" t="s">
        <v>317</v>
      </c>
      <c r="C5473" t="s">
        <v>323</v>
      </c>
      <c r="D5473" t="s">
        <v>35</v>
      </c>
      <c r="E5473" t="s">
        <v>349</v>
      </c>
      <c r="F5473" t="s">
        <v>401</v>
      </c>
      <c r="G5473" t="s">
        <v>36</v>
      </c>
      <c r="H5473" t="s">
        <v>43</v>
      </c>
      <c r="I5473" s="187">
        <v>0</v>
      </c>
      <c r="J5473" s="187"/>
      <c r="K5473" s="187">
        <v>5.2668417864040638E-3</v>
      </c>
      <c r="L5473" s="187">
        <v>0</v>
      </c>
      <c r="M5473" s="187">
        <v>5.2668419666588306E-3</v>
      </c>
      <c r="N5473" s="187">
        <v>0</v>
      </c>
      <c r="O5473" t="s">
        <v>5893</v>
      </c>
    </row>
    <row r="5474" spans="1:15" hidden="1" x14ac:dyDescent="0.45">
      <c r="A5474" s="187">
        <v>2022</v>
      </c>
      <c r="B5474" t="s">
        <v>316</v>
      </c>
      <c r="C5474" t="s">
        <v>323</v>
      </c>
      <c r="D5474" t="s">
        <v>35</v>
      </c>
      <c r="E5474" t="s">
        <v>349</v>
      </c>
      <c r="F5474" t="s">
        <v>401</v>
      </c>
      <c r="G5474" t="s">
        <v>36</v>
      </c>
      <c r="H5474" t="s">
        <v>43</v>
      </c>
      <c r="I5474" s="187">
        <v>0</v>
      </c>
      <c r="J5474" s="187"/>
      <c r="K5474" s="187">
        <v>2.5303442805368773E-4</v>
      </c>
      <c r="L5474" s="187">
        <v>0</v>
      </c>
      <c r="M5474" s="187">
        <v>2.530344354454428E-4</v>
      </c>
      <c r="N5474" s="187">
        <v>0</v>
      </c>
      <c r="O5474" t="s">
        <v>5890</v>
      </c>
    </row>
    <row r="5475" spans="1:15" hidden="1" x14ac:dyDescent="0.45">
      <c r="A5475" s="187">
        <v>2022</v>
      </c>
      <c r="B5475" t="s">
        <v>313</v>
      </c>
      <c r="C5475" t="s">
        <v>323</v>
      </c>
      <c r="D5475" t="s">
        <v>35</v>
      </c>
      <c r="E5475" t="s">
        <v>349</v>
      </c>
      <c r="F5475" t="s">
        <v>401</v>
      </c>
      <c r="G5475" t="s">
        <v>36</v>
      </c>
      <c r="H5475" t="s">
        <v>43</v>
      </c>
      <c r="I5475" s="187">
        <v>0</v>
      </c>
      <c r="J5475" s="187">
        <v>0</v>
      </c>
      <c r="K5475" s="187">
        <v>9.6730151247462256E-3</v>
      </c>
      <c r="L5475" s="187">
        <v>0</v>
      </c>
      <c r="M5475" s="187">
        <v>9.6730152145028114E-3</v>
      </c>
      <c r="N5475" s="187">
        <v>0</v>
      </c>
      <c r="O5475" t="s">
        <v>5889</v>
      </c>
    </row>
    <row r="5476" spans="1:15" hidden="1" x14ac:dyDescent="0.45">
      <c r="A5476" s="187">
        <v>2022</v>
      </c>
      <c r="B5476" t="s">
        <v>315</v>
      </c>
      <c r="C5476" t="s">
        <v>323</v>
      </c>
      <c r="D5476" t="s">
        <v>35</v>
      </c>
      <c r="E5476" t="s">
        <v>349</v>
      </c>
      <c r="F5476" t="s">
        <v>401</v>
      </c>
      <c r="G5476" t="s">
        <v>36</v>
      </c>
      <c r="H5476" t="s">
        <v>43</v>
      </c>
      <c r="I5476" s="187">
        <v>0</v>
      </c>
      <c r="J5476" s="187">
        <v>0</v>
      </c>
      <c r="K5476" s="187">
        <v>1.1318422511872385E-2</v>
      </c>
      <c r="L5476" s="187">
        <v>0</v>
      </c>
      <c r="M5476" s="187">
        <v>1.1318422853946686E-2</v>
      </c>
      <c r="N5476" s="187">
        <v>0</v>
      </c>
      <c r="O5476" t="s">
        <v>5892</v>
      </c>
    </row>
    <row r="5477" spans="1:15" x14ac:dyDescent="0.45">
      <c r="A5477" s="187">
        <v>2022</v>
      </c>
      <c r="B5477" t="s">
        <v>8570</v>
      </c>
      <c r="C5477" t="s">
        <v>323</v>
      </c>
      <c r="D5477" t="s">
        <v>35</v>
      </c>
      <c r="E5477" t="s">
        <v>349</v>
      </c>
      <c r="F5477" t="s">
        <v>401</v>
      </c>
      <c r="G5477" t="s">
        <v>36</v>
      </c>
      <c r="H5477" t="s">
        <v>43</v>
      </c>
      <c r="I5477" s="187">
        <v>0</v>
      </c>
      <c r="J5477" s="187"/>
      <c r="K5477" s="187">
        <v>5.0434145056245999E-3</v>
      </c>
      <c r="L5477" s="187">
        <v>0</v>
      </c>
      <c r="M5477" s="187">
        <v>5.0434144213795662E-3</v>
      </c>
      <c r="N5477" s="187">
        <v>0</v>
      </c>
      <c r="O5477" t="s">
        <v>8613</v>
      </c>
    </row>
    <row r="5478" spans="1:15" x14ac:dyDescent="0.45">
      <c r="A5478" s="187">
        <v>2022</v>
      </c>
      <c r="B5478" t="s">
        <v>8570</v>
      </c>
      <c r="C5478" t="s">
        <v>323</v>
      </c>
      <c r="D5478" t="s">
        <v>35</v>
      </c>
      <c r="E5478" t="s">
        <v>349</v>
      </c>
      <c r="F5478" t="s">
        <v>402</v>
      </c>
      <c r="G5478" t="s">
        <v>36</v>
      </c>
      <c r="H5478" t="s">
        <v>43</v>
      </c>
      <c r="I5478" s="187">
        <v>0</v>
      </c>
      <c r="J5478" s="187"/>
      <c r="K5478" s="187">
        <v>10.70003944129898</v>
      </c>
      <c r="L5478" s="187">
        <v>0</v>
      </c>
      <c r="M5478" s="187">
        <v>10.700039863586426</v>
      </c>
      <c r="N5478" s="187">
        <v>0</v>
      </c>
      <c r="O5478" t="s">
        <v>8614</v>
      </c>
    </row>
    <row r="5479" spans="1:15" hidden="1" x14ac:dyDescent="0.45">
      <c r="A5479" s="187">
        <v>2022</v>
      </c>
      <c r="B5479" t="s">
        <v>317</v>
      </c>
      <c r="C5479" t="s">
        <v>323</v>
      </c>
      <c r="D5479" t="s">
        <v>35</v>
      </c>
      <c r="E5479" t="s">
        <v>349</v>
      </c>
      <c r="F5479" t="s">
        <v>402</v>
      </c>
      <c r="G5479" t="s">
        <v>36</v>
      </c>
      <c r="H5479" t="s">
        <v>43</v>
      </c>
      <c r="I5479" s="187">
        <v>0</v>
      </c>
      <c r="J5479" s="187"/>
      <c r="K5479" s="187">
        <v>6.142717722182506</v>
      </c>
      <c r="L5479" s="187">
        <v>0</v>
      </c>
      <c r="M5479" s="187">
        <v>6.1427178382873535</v>
      </c>
      <c r="N5479" s="187">
        <v>0</v>
      </c>
      <c r="O5479" t="s">
        <v>5898</v>
      </c>
    </row>
    <row r="5480" spans="1:15" hidden="1" x14ac:dyDescent="0.45">
      <c r="A5480" s="187">
        <v>2022</v>
      </c>
      <c r="B5480" t="s">
        <v>315</v>
      </c>
      <c r="C5480" t="s">
        <v>323</v>
      </c>
      <c r="D5480" t="s">
        <v>35</v>
      </c>
      <c r="E5480" t="s">
        <v>349</v>
      </c>
      <c r="F5480" t="s">
        <v>402</v>
      </c>
      <c r="G5480" t="s">
        <v>36</v>
      </c>
      <c r="H5480" t="s">
        <v>43</v>
      </c>
      <c r="I5480" s="187">
        <v>0</v>
      </c>
      <c r="J5480" s="187">
        <v>0</v>
      </c>
      <c r="K5480" s="187">
        <v>7.2536928891060981</v>
      </c>
      <c r="L5480" s="187">
        <v>0</v>
      </c>
      <c r="M5480" s="187">
        <v>7.2536931037902832</v>
      </c>
      <c r="N5480" s="187">
        <v>0</v>
      </c>
      <c r="O5480" t="s">
        <v>5894</v>
      </c>
    </row>
    <row r="5481" spans="1:15" hidden="1" x14ac:dyDescent="0.45">
      <c r="A5481" s="187">
        <v>2022</v>
      </c>
      <c r="B5481" t="s">
        <v>314</v>
      </c>
      <c r="C5481" t="s">
        <v>323</v>
      </c>
      <c r="D5481" t="s">
        <v>35</v>
      </c>
      <c r="E5481" t="s">
        <v>349</v>
      </c>
      <c r="F5481" t="s">
        <v>402</v>
      </c>
      <c r="G5481" t="s">
        <v>36</v>
      </c>
      <c r="H5481" t="s">
        <v>43</v>
      </c>
      <c r="I5481" s="187">
        <v>0</v>
      </c>
      <c r="J5481" s="187">
        <v>0</v>
      </c>
      <c r="K5481" s="187">
        <v>10.324736886498512</v>
      </c>
      <c r="L5481" s="187">
        <v>0</v>
      </c>
      <c r="M5481" s="187">
        <v>10.324736595153809</v>
      </c>
      <c r="N5481" s="187">
        <v>0</v>
      </c>
      <c r="O5481" t="s">
        <v>5896</v>
      </c>
    </row>
    <row r="5482" spans="1:15" hidden="1" x14ac:dyDescent="0.45">
      <c r="A5482" s="187">
        <v>2022</v>
      </c>
      <c r="B5482" t="s">
        <v>316</v>
      </c>
      <c r="C5482" t="s">
        <v>323</v>
      </c>
      <c r="D5482" t="s">
        <v>35</v>
      </c>
      <c r="E5482" t="s">
        <v>349</v>
      </c>
      <c r="F5482" t="s">
        <v>402</v>
      </c>
      <c r="G5482" t="s">
        <v>36</v>
      </c>
      <c r="H5482" t="s">
        <v>43</v>
      </c>
      <c r="I5482" s="187">
        <v>0</v>
      </c>
      <c r="J5482" s="187"/>
      <c r="K5482" s="187">
        <v>185.8850209731516</v>
      </c>
      <c r="L5482" s="187">
        <v>0</v>
      </c>
      <c r="M5482" s="187">
        <v>185.88502502441406</v>
      </c>
      <c r="N5482" s="187">
        <v>0</v>
      </c>
      <c r="O5482" t="s">
        <v>5897</v>
      </c>
    </row>
    <row r="5483" spans="1:15" hidden="1" x14ac:dyDescent="0.45">
      <c r="A5483" s="187">
        <v>2022</v>
      </c>
      <c r="B5483" t="s">
        <v>313</v>
      </c>
      <c r="C5483" t="s">
        <v>323</v>
      </c>
      <c r="D5483" t="s">
        <v>35</v>
      </c>
      <c r="E5483" t="s">
        <v>349</v>
      </c>
      <c r="F5483" t="s">
        <v>402</v>
      </c>
      <c r="G5483" t="s">
        <v>36</v>
      </c>
      <c r="H5483" t="s">
        <v>43</v>
      </c>
      <c r="I5483" s="187">
        <v>0</v>
      </c>
      <c r="J5483" s="187">
        <v>0</v>
      </c>
      <c r="K5483" s="187">
        <v>6.0457877506810833</v>
      </c>
      <c r="L5483" s="187">
        <v>0</v>
      </c>
      <c r="M5483" s="187">
        <v>6.0457878112792969</v>
      </c>
      <c r="N5483" s="187">
        <v>0</v>
      </c>
      <c r="O5483" t="s">
        <v>5895</v>
      </c>
    </row>
    <row r="5484" spans="1:15" hidden="1" x14ac:dyDescent="0.45">
      <c r="A5484" s="187">
        <v>2022</v>
      </c>
      <c r="B5484" t="s">
        <v>315</v>
      </c>
      <c r="C5484" t="s">
        <v>323</v>
      </c>
      <c r="D5484" t="s">
        <v>35</v>
      </c>
      <c r="E5484" t="s">
        <v>349</v>
      </c>
      <c r="F5484" t="s">
        <v>403</v>
      </c>
      <c r="G5484" t="s">
        <v>36</v>
      </c>
      <c r="H5484" t="s">
        <v>43</v>
      </c>
      <c r="I5484" s="187">
        <v>3947.7990651047312</v>
      </c>
      <c r="J5484" s="187">
        <v>0</v>
      </c>
      <c r="K5484" s="187">
        <v>1812.2998786109747</v>
      </c>
      <c r="L5484" s="187">
        <v>1532.6749311583073</v>
      </c>
      <c r="M5484" s="187">
        <v>7292.77392578125</v>
      </c>
      <c r="N5484" s="187">
        <v>5480.47412109375</v>
      </c>
      <c r="O5484" t="s">
        <v>5899</v>
      </c>
    </row>
    <row r="5485" spans="1:15" hidden="1" x14ac:dyDescent="0.45">
      <c r="A5485" s="187">
        <v>2022</v>
      </c>
      <c r="B5485" t="s">
        <v>313</v>
      </c>
      <c r="C5485" t="s">
        <v>323</v>
      </c>
      <c r="D5485" t="s">
        <v>35</v>
      </c>
      <c r="E5485" t="s">
        <v>349</v>
      </c>
      <c r="F5485" t="s">
        <v>403</v>
      </c>
      <c r="G5485" t="s">
        <v>36</v>
      </c>
      <c r="H5485" t="s">
        <v>43</v>
      </c>
      <c r="I5485" s="187">
        <v>3665.5491360681121</v>
      </c>
      <c r="J5485" s="187">
        <v>0</v>
      </c>
      <c r="K5485" s="187">
        <v>1430.5881242639725</v>
      </c>
      <c r="L5485" s="187">
        <v>1296.119008243692</v>
      </c>
      <c r="M5485" s="187">
        <v>6392.25634765625</v>
      </c>
      <c r="N5485" s="187">
        <v>4961.66796875</v>
      </c>
      <c r="O5485" t="s">
        <v>5902</v>
      </c>
    </row>
    <row r="5486" spans="1:15" hidden="1" x14ac:dyDescent="0.45">
      <c r="A5486" s="187">
        <v>2022</v>
      </c>
      <c r="B5486" t="s">
        <v>316</v>
      </c>
      <c r="C5486" t="s">
        <v>323</v>
      </c>
      <c r="D5486" t="s">
        <v>35</v>
      </c>
      <c r="E5486" t="s">
        <v>349</v>
      </c>
      <c r="F5486" t="s">
        <v>403</v>
      </c>
      <c r="G5486" t="s">
        <v>36</v>
      </c>
      <c r="H5486" t="s">
        <v>43</v>
      </c>
      <c r="I5486" s="187">
        <v>3915.7218168611194</v>
      </c>
      <c r="J5486" s="187"/>
      <c r="K5486" s="187">
        <v>1532.5148443304113</v>
      </c>
      <c r="L5486" s="187">
        <v>1513.3975742854643</v>
      </c>
      <c r="M5486" s="187">
        <v>6961.63427734375</v>
      </c>
      <c r="N5486" s="187">
        <v>5429.11962890625</v>
      </c>
      <c r="O5486" t="s">
        <v>5901</v>
      </c>
    </row>
    <row r="5487" spans="1:15" x14ac:dyDescent="0.45">
      <c r="A5487" s="187">
        <v>2022</v>
      </c>
      <c r="B5487" t="s">
        <v>8570</v>
      </c>
      <c r="C5487" t="s">
        <v>323</v>
      </c>
      <c r="D5487" t="s">
        <v>35</v>
      </c>
      <c r="E5487" t="s">
        <v>349</v>
      </c>
      <c r="F5487" t="s">
        <v>403</v>
      </c>
      <c r="G5487" t="s">
        <v>36</v>
      </c>
      <c r="H5487" t="s">
        <v>43</v>
      </c>
      <c r="I5487" s="187">
        <v>5009.5829999999996</v>
      </c>
      <c r="J5487" s="187">
        <v>132</v>
      </c>
      <c r="K5487" s="187">
        <v>2363.615263384439</v>
      </c>
      <c r="L5487" s="187">
        <v>2362</v>
      </c>
      <c r="M5487" s="187">
        <v>9867.1982421875</v>
      </c>
      <c r="N5487" s="187">
        <v>7371.5830078125</v>
      </c>
      <c r="O5487" t="s">
        <v>8615</v>
      </c>
    </row>
    <row r="5488" spans="1:15" hidden="1" x14ac:dyDescent="0.45">
      <c r="A5488" s="187">
        <v>2022</v>
      </c>
      <c r="B5488" t="s">
        <v>314</v>
      </c>
      <c r="C5488" t="s">
        <v>323</v>
      </c>
      <c r="D5488" t="s">
        <v>35</v>
      </c>
      <c r="E5488" t="s">
        <v>349</v>
      </c>
      <c r="F5488" t="s">
        <v>403</v>
      </c>
      <c r="G5488" t="s">
        <v>36</v>
      </c>
      <c r="H5488" t="s">
        <v>43</v>
      </c>
      <c r="I5488" s="187">
        <v>4059.4000039296657</v>
      </c>
      <c r="J5488" s="187">
        <v>0</v>
      </c>
      <c r="K5488" s="187">
        <v>1690.695658546744</v>
      </c>
      <c r="L5488" s="187">
        <v>1283.6323685309876</v>
      </c>
      <c r="M5488" s="187">
        <v>7033.72802734375</v>
      </c>
      <c r="N5488" s="187">
        <v>5343.0322265625</v>
      </c>
      <c r="O5488" t="s">
        <v>5900</v>
      </c>
    </row>
    <row r="5489" spans="1:15" hidden="1" x14ac:dyDescent="0.45">
      <c r="A5489" s="187">
        <v>2022</v>
      </c>
      <c r="B5489" t="s">
        <v>317</v>
      </c>
      <c r="C5489" t="s">
        <v>323</v>
      </c>
      <c r="D5489" t="s">
        <v>35</v>
      </c>
      <c r="E5489" t="s">
        <v>349</v>
      </c>
      <c r="F5489" t="s">
        <v>403</v>
      </c>
      <c r="G5489" t="s">
        <v>36</v>
      </c>
      <c r="H5489" t="s">
        <v>43</v>
      </c>
      <c r="I5489" s="187">
        <v>4740.1934027773304</v>
      </c>
      <c r="J5489" s="187">
        <v>32.41527287059948</v>
      </c>
      <c r="K5489" s="187">
        <v>1740.2897117282546</v>
      </c>
      <c r="L5489" s="187">
        <v>2252.8614645066637</v>
      </c>
      <c r="M5489" s="187">
        <v>8765.759765625</v>
      </c>
      <c r="N5489" s="187">
        <v>6993.0546875</v>
      </c>
      <c r="O5489" t="s">
        <v>5903</v>
      </c>
    </row>
    <row r="5490" spans="1:15" x14ac:dyDescent="0.45">
      <c r="A5490" s="187">
        <v>2022</v>
      </c>
      <c r="B5490" t="s">
        <v>8570</v>
      </c>
      <c r="C5490" t="s">
        <v>323</v>
      </c>
      <c r="D5490" t="s">
        <v>35</v>
      </c>
      <c r="E5490" t="s">
        <v>349</v>
      </c>
      <c r="F5490" t="s">
        <v>404</v>
      </c>
      <c r="G5490" t="s">
        <v>36</v>
      </c>
      <c r="H5490" t="s">
        <v>43</v>
      </c>
      <c r="I5490" s="187">
        <v>5009.5829999999996</v>
      </c>
      <c r="J5490" s="187">
        <v>132</v>
      </c>
      <c r="K5490" s="187">
        <v>3610.871881652291</v>
      </c>
      <c r="L5490" s="187">
        <v>3136</v>
      </c>
      <c r="M5490" s="187">
        <v>11888.455078125</v>
      </c>
      <c r="N5490" s="187">
        <v>8145.5830078125</v>
      </c>
      <c r="O5490" t="s">
        <v>8616</v>
      </c>
    </row>
    <row r="5491" spans="1:15" hidden="1" x14ac:dyDescent="0.45">
      <c r="A5491" s="187">
        <v>2022</v>
      </c>
      <c r="B5491" t="s">
        <v>317</v>
      </c>
      <c r="C5491" t="s">
        <v>323</v>
      </c>
      <c r="D5491" t="s">
        <v>35</v>
      </c>
      <c r="E5491" t="s">
        <v>349</v>
      </c>
      <c r="F5491" t="s">
        <v>404</v>
      </c>
      <c r="G5491" t="s">
        <v>36</v>
      </c>
      <c r="H5491" t="s">
        <v>43</v>
      </c>
      <c r="I5491" s="187">
        <v>4740.1934027773304</v>
      </c>
      <c r="J5491" s="187">
        <v>54.025454784332467</v>
      </c>
      <c r="K5491" s="187">
        <v>2568.2242240817709</v>
      </c>
      <c r="L5491" s="187">
        <v>2851.4635035170677</v>
      </c>
      <c r="M5491" s="187">
        <v>10213.90625</v>
      </c>
      <c r="N5491" s="187">
        <v>7591.65673828125</v>
      </c>
      <c r="O5491" t="s">
        <v>5904</v>
      </c>
    </row>
    <row r="5492" spans="1:15" hidden="1" x14ac:dyDescent="0.45">
      <c r="A5492" s="187">
        <v>2022</v>
      </c>
      <c r="B5492" t="s">
        <v>316</v>
      </c>
      <c r="C5492" t="s">
        <v>323</v>
      </c>
      <c r="D5492" t="s">
        <v>35</v>
      </c>
      <c r="E5492" t="s">
        <v>349</v>
      </c>
      <c r="F5492" t="s">
        <v>404</v>
      </c>
      <c r="G5492" t="s">
        <v>36</v>
      </c>
      <c r="H5492" t="s">
        <v>43</v>
      </c>
      <c r="I5492" s="187">
        <v>3915.7218168611194</v>
      </c>
      <c r="J5492" s="187">
        <v>11.01453838635709</v>
      </c>
      <c r="K5492" s="187">
        <v>2494.070535652841</v>
      </c>
      <c r="L5492" s="187">
        <v>1843.8337258761769</v>
      </c>
      <c r="M5492" s="187">
        <v>8264.640625</v>
      </c>
      <c r="N5492" s="187">
        <v>5759.5556640625</v>
      </c>
      <c r="O5492" t="s">
        <v>5905</v>
      </c>
    </row>
    <row r="5493" spans="1:15" hidden="1" x14ac:dyDescent="0.45">
      <c r="A5493" s="187">
        <v>2022</v>
      </c>
      <c r="B5493" t="s">
        <v>315</v>
      </c>
      <c r="C5493" t="s">
        <v>323</v>
      </c>
      <c r="D5493" t="s">
        <v>35</v>
      </c>
      <c r="E5493" t="s">
        <v>349</v>
      </c>
      <c r="F5493" t="s">
        <v>404</v>
      </c>
      <c r="G5493" t="s">
        <v>36</v>
      </c>
      <c r="H5493" t="s">
        <v>43</v>
      </c>
      <c r="I5493" s="187">
        <v>3947.7990651047312</v>
      </c>
      <c r="J5493" s="187">
        <v>0</v>
      </c>
      <c r="K5493" s="187">
        <v>2958.0105274550037</v>
      </c>
      <c r="L5493" s="187">
        <v>1815.8742902045578</v>
      </c>
      <c r="M5493" s="187">
        <v>8721.68359375</v>
      </c>
      <c r="N5493" s="187">
        <v>5763.67333984375</v>
      </c>
      <c r="O5493" t="s">
        <v>5907</v>
      </c>
    </row>
    <row r="5494" spans="1:15" hidden="1" x14ac:dyDescent="0.45">
      <c r="A5494" s="187">
        <v>2022</v>
      </c>
      <c r="B5494" t="s">
        <v>313</v>
      </c>
      <c r="C5494" t="s">
        <v>323</v>
      </c>
      <c r="D5494" t="s">
        <v>35</v>
      </c>
      <c r="E5494" t="s">
        <v>349</v>
      </c>
      <c r="F5494" t="s">
        <v>404</v>
      </c>
      <c r="G5494" t="s">
        <v>36</v>
      </c>
      <c r="H5494" t="s">
        <v>43</v>
      </c>
      <c r="I5494" s="187">
        <v>3665.5491360681121</v>
      </c>
      <c r="J5494" s="187">
        <v>0</v>
      </c>
      <c r="K5494" s="187">
        <v>2195.4695264619172</v>
      </c>
      <c r="L5494" s="187">
        <v>1413.5124119478342</v>
      </c>
      <c r="M5494" s="187">
        <v>7274.53076171875</v>
      </c>
      <c r="N5494" s="187">
        <v>5079.0615234375</v>
      </c>
      <c r="O5494" t="s">
        <v>5906</v>
      </c>
    </row>
    <row r="5495" spans="1:15" hidden="1" x14ac:dyDescent="0.45">
      <c r="A5495" s="187">
        <v>2022</v>
      </c>
      <c r="B5495" t="s">
        <v>314</v>
      </c>
      <c r="C5495" t="s">
        <v>323</v>
      </c>
      <c r="D5495" t="s">
        <v>35</v>
      </c>
      <c r="E5495" t="s">
        <v>349</v>
      </c>
      <c r="F5495" t="s">
        <v>404</v>
      </c>
      <c r="G5495" t="s">
        <v>36</v>
      </c>
      <c r="H5495" t="s">
        <v>43</v>
      </c>
      <c r="I5495" s="187">
        <v>4059.4000039296657</v>
      </c>
      <c r="J5495" s="187">
        <v>0</v>
      </c>
      <c r="K5495" s="187">
        <v>2750.2715625222359</v>
      </c>
      <c r="L5495" s="187">
        <v>1400.1144346408776</v>
      </c>
      <c r="M5495" s="187">
        <v>8209.7861328125</v>
      </c>
      <c r="N5495" s="187">
        <v>5459.51416015625</v>
      </c>
      <c r="O5495" t="s">
        <v>5908</v>
      </c>
    </row>
    <row r="5496" spans="1:15" x14ac:dyDescent="0.45">
      <c r="A5496" s="187">
        <v>2022</v>
      </c>
      <c r="B5496" t="s">
        <v>8570</v>
      </c>
      <c r="C5496" t="s">
        <v>323</v>
      </c>
      <c r="D5496" t="s">
        <v>35</v>
      </c>
      <c r="E5496" t="s">
        <v>349</v>
      </c>
      <c r="F5496" t="s">
        <v>405</v>
      </c>
      <c r="G5496" t="s">
        <v>36</v>
      </c>
      <c r="H5496" t="s">
        <v>43</v>
      </c>
      <c r="I5496" s="187">
        <v>0</v>
      </c>
      <c r="J5496" s="187"/>
      <c r="K5496" s="187">
        <v>1177.0067124973359</v>
      </c>
      <c r="L5496" s="187">
        <v>488</v>
      </c>
      <c r="M5496" s="187">
        <v>1665.0067138671875</v>
      </c>
      <c r="N5496" s="187">
        <v>488</v>
      </c>
      <c r="O5496" t="s">
        <v>8617</v>
      </c>
    </row>
    <row r="5497" spans="1:15" hidden="1" x14ac:dyDescent="0.45">
      <c r="A5497" s="187">
        <v>2022</v>
      </c>
      <c r="B5497" t="s">
        <v>314</v>
      </c>
      <c r="C5497" t="s">
        <v>323</v>
      </c>
      <c r="D5497" t="s">
        <v>35</v>
      </c>
      <c r="E5497" t="s">
        <v>349</v>
      </c>
      <c r="F5497" t="s">
        <v>405</v>
      </c>
      <c r="G5497" t="s">
        <v>36</v>
      </c>
      <c r="H5497" t="s">
        <v>43</v>
      </c>
      <c r="I5497" s="187">
        <v>0</v>
      </c>
      <c r="J5497" s="187">
        <v>0</v>
      </c>
      <c r="K5497" s="187">
        <v>1047.6043403525634</v>
      </c>
      <c r="L5497" s="187">
        <v>0</v>
      </c>
      <c r="M5497" s="187">
        <v>1047.6043701171875</v>
      </c>
      <c r="N5497" s="187">
        <v>0</v>
      </c>
      <c r="O5497" t="s">
        <v>5909</v>
      </c>
    </row>
    <row r="5498" spans="1:15" hidden="1" x14ac:dyDescent="0.45">
      <c r="A5498" s="187">
        <v>2022</v>
      </c>
      <c r="B5498" t="s">
        <v>317</v>
      </c>
      <c r="C5498" t="s">
        <v>323</v>
      </c>
      <c r="D5498" t="s">
        <v>35</v>
      </c>
      <c r="E5498" t="s">
        <v>349</v>
      </c>
      <c r="F5498" t="s">
        <v>405</v>
      </c>
      <c r="G5498" t="s">
        <v>36</v>
      </c>
      <c r="H5498" t="s">
        <v>43</v>
      </c>
      <c r="I5498" s="187">
        <v>0</v>
      </c>
      <c r="J5498" s="187">
        <v>10.805090956866493</v>
      </c>
      <c r="K5498" s="187">
        <v>820.28610724174678</v>
      </c>
      <c r="L5498" s="187">
        <v>265.80523753891572</v>
      </c>
      <c r="M5498" s="187">
        <v>1096.896484375</v>
      </c>
      <c r="N5498" s="187">
        <v>265.80523681640625</v>
      </c>
      <c r="O5498" t="s">
        <v>5912</v>
      </c>
    </row>
    <row r="5499" spans="1:15" hidden="1" x14ac:dyDescent="0.45">
      <c r="A5499" s="187">
        <v>2022</v>
      </c>
      <c r="B5499" t="s">
        <v>313</v>
      </c>
      <c r="C5499" t="s">
        <v>323</v>
      </c>
      <c r="D5499" t="s">
        <v>35</v>
      </c>
      <c r="E5499" t="s">
        <v>349</v>
      </c>
      <c r="F5499" t="s">
        <v>405</v>
      </c>
      <c r="G5499" t="s">
        <v>36</v>
      </c>
      <c r="H5499" t="s">
        <v>43</v>
      </c>
      <c r="I5499" s="187">
        <v>0</v>
      </c>
      <c r="J5499" s="187">
        <v>0</v>
      </c>
      <c r="K5499" s="187">
        <v>757.87129302967696</v>
      </c>
      <c r="L5499" s="187">
        <v>0</v>
      </c>
      <c r="M5499" s="187">
        <v>757.87127685546875</v>
      </c>
      <c r="N5499" s="187">
        <v>0</v>
      </c>
      <c r="O5499" t="s">
        <v>5910</v>
      </c>
    </row>
    <row r="5500" spans="1:15" hidden="1" x14ac:dyDescent="0.45">
      <c r="A5500" s="187">
        <v>2022</v>
      </c>
      <c r="B5500" t="s">
        <v>315</v>
      </c>
      <c r="C5500" t="s">
        <v>323</v>
      </c>
      <c r="D5500" t="s">
        <v>35</v>
      </c>
      <c r="E5500" t="s">
        <v>349</v>
      </c>
      <c r="F5500" t="s">
        <v>405</v>
      </c>
      <c r="G5500" t="s">
        <v>36</v>
      </c>
      <c r="H5500" t="s">
        <v>43</v>
      </c>
      <c r="I5500" s="187">
        <v>0</v>
      </c>
      <c r="J5500" s="187">
        <v>0</v>
      </c>
      <c r="K5500" s="187">
        <v>1137.1158247757951</v>
      </c>
      <c r="L5500" s="187">
        <v>0</v>
      </c>
      <c r="M5500" s="187">
        <v>1137.1158447265625</v>
      </c>
      <c r="N5500" s="187">
        <v>0</v>
      </c>
      <c r="O5500" t="s">
        <v>5913</v>
      </c>
    </row>
    <row r="5501" spans="1:15" hidden="1" x14ac:dyDescent="0.45">
      <c r="A5501" s="187">
        <v>2022</v>
      </c>
      <c r="B5501" t="s">
        <v>316</v>
      </c>
      <c r="C5501" t="s">
        <v>323</v>
      </c>
      <c r="D5501" t="s">
        <v>35</v>
      </c>
      <c r="E5501" t="s">
        <v>349</v>
      </c>
      <c r="F5501" t="s">
        <v>405</v>
      </c>
      <c r="G5501" t="s">
        <v>36</v>
      </c>
      <c r="H5501" t="s">
        <v>43</v>
      </c>
      <c r="I5501" s="187">
        <v>0</v>
      </c>
      <c r="J5501" s="187"/>
      <c r="K5501" s="187">
        <v>708.62867035568058</v>
      </c>
      <c r="L5501" s="187">
        <v>0</v>
      </c>
      <c r="M5501" s="187">
        <v>708.628662109375</v>
      </c>
      <c r="N5501" s="187">
        <v>0</v>
      </c>
      <c r="O5501" t="s">
        <v>5911</v>
      </c>
    </row>
    <row r="5502" spans="1:15" hidden="1" x14ac:dyDescent="0.45">
      <c r="A5502" s="187">
        <v>2022</v>
      </c>
      <c r="B5502" t="s">
        <v>316</v>
      </c>
      <c r="C5502" t="s">
        <v>323</v>
      </c>
      <c r="D5502" t="s">
        <v>35</v>
      </c>
      <c r="E5502" t="s">
        <v>349</v>
      </c>
      <c r="F5502" t="s">
        <v>406</v>
      </c>
      <c r="G5502" t="s">
        <v>36</v>
      </c>
      <c r="H5502" t="s">
        <v>43</v>
      </c>
      <c r="I5502" s="187">
        <v>0</v>
      </c>
      <c r="J5502" s="187"/>
      <c r="K5502" s="187">
        <v>48.385089949436164</v>
      </c>
      <c r="L5502" s="187">
        <v>0</v>
      </c>
      <c r="M5502" s="187">
        <v>48.385089874267578</v>
      </c>
      <c r="N5502" s="187">
        <v>0</v>
      </c>
      <c r="O5502" t="s">
        <v>5918</v>
      </c>
    </row>
    <row r="5503" spans="1:15" hidden="1" x14ac:dyDescent="0.45">
      <c r="A5503" s="187">
        <v>2022</v>
      </c>
      <c r="B5503" t="s">
        <v>315</v>
      </c>
      <c r="C5503" t="s">
        <v>323</v>
      </c>
      <c r="D5503" t="s">
        <v>35</v>
      </c>
      <c r="E5503" t="s">
        <v>349</v>
      </c>
      <c r="F5503" t="s">
        <v>406</v>
      </c>
      <c r="G5503" t="s">
        <v>36</v>
      </c>
      <c r="H5503" t="s">
        <v>43</v>
      </c>
      <c r="I5503" s="187"/>
      <c r="J5503" s="187">
        <v>0</v>
      </c>
      <c r="K5503" s="187">
        <v>1.3411311791283393</v>
      </c>
      <c r="L5503" s="187">
        <v>0</v>
      </c>
      <c r="M5503" s="187">
        <v>1.3411312103271484</v>
      </c>
      <c r="N5503" s="187">
        <v>0</v>
      </c>
      <c r="O5503" t="s">
        <v>5915</v>
      </c>
    </row>
    <row r="5504" spans="1:15" hidden="1" x14ac:dyDescent="0.45">
      <c r="A5504" s="187">
        <v>2022</v>
      </c>
      <c r="B5504" t="s">
        <v>313</v>
      </c>
      <c r="C5504" t="s">
        <v>323</v>
      </c>
      <c r="D5504" t="s">
        <v>35</v>
      </c>
      <c r="E5504" t="s">
        <v>349</v>
      </c>
      <c r="F5504" t="s">
        <v>406</v>
      </c>
      <c r="G5504" t="s">
        <v>36</v>
      </c>
      <c r="H5504" t="s">
        <v>43</v>
      </c>
      <c r="I5504" s="187">
        <v>0</v>
      </c>
      <c r="J5504" s="187">
        <v>0</v>
      </c>
      <c r="K5504" s="187">
        <v>0.96432141758680823</v>
      </c>
      <c r="L5504" s="187">
        <v>0</v>
      </c>
      <c r="M5504" s="187">
        <v>0.96432143449783325</v>
      </c>
      <c r="N5504" s="187">
        <v>0</v>
      </c>
      <c r="O5504" t="s">
        <v>5917</v>
      </c>
    </row>
    <row r="5505" spans="1:15" x14ac:dyDescent="0.45">
      <c r="A5505" s="187">
        <v>2022</v>
      </c>
      <c r="B5505" t="s">
        <v>8570</v>
      </c>
      <c r="C5505" t="s">
        <v>323</v>
      </c>
      <c r="D5505" t="s">
        <v>35</v>
      </c>
      <c r="E5505" t="s">
        <v>349</v>
      </c>
      <c r="F5505" t="s">
        <v>406</v>
      </c>
      <c r="G5505" t="s">
        <v>36</v>
      </c>
      <c r="H5505" t="s">
        <v>43</v>
      </c>
      <c r="I5505" s="187">
        <v>0</v>
      </c>
      <c r="J5505" s="187"/>
      <c r="K5505" s="187">
        <v>59.549866329217089</v>
      </c>
      <c r="L5505" s="187">
        <v>0</v>
      </c>
      <c r="M5505" s="187">
        <v>59.54986572265625</v>
      </c>
      <c r="N5505" s="187">
        <v>0</v>
      </c>
      <c r="O5505" t="s">
        <v>8618</v>
      </c>
    </row>
    <row r="5506" spans="1:15" hidden="1" x14ac:dyDescent="0.45">
      <c r="A5506" s="187">
        <v>2022</v>
      </c>
      <c r="B5506" t="s">
        <v>317</v>
      </c>
      <c r="C5506" t="s">
        <v>323</v>
      </c>
      <c r="D5506" t="s">
        <v>35</v>
      </c>
      <c r="E5506" t="s">
        <v>349</v>
      </c>
      <c r="F5506" t="s">
        <v>406</v>
      </c>
      <c r="G5506" t="s">
        <v>36</v>
      </c>
      <c r="H5506" t="s">
        <v>43</v>
      </c>
      <c r="I5506" s="187">
        <v>0</v>
      </c>
      <c r="J5506" s="187"/>
      <c r="K5506" s="187">
        <v>1.5056873895867675</v>
      </c>
      <c r="L5506" s="187">
        <v>0</v>
      </c>
      <c r="M5506" s="187">
        <v>1.5056873559951782</v>
      </c>
      <c r="N5506" s="187">
        <v>0</v>
      </c>
      <c r="O5506" t="s">
        <v>5914</v>
      </c>
    </row>
    <row r="5507" spans="1:15" hidden="1" x14ac:dyDescent="0.45">
      <c r="A5507" s="187">
        <v>2022</v>
      </c>
      <c r="B5507" t="s">
        <v>314</v>
      </c>
      <c r="C5507" t="s">
        <v>323</v>
      </c>
      <c r="D5507" t="s">
        <v>35</v>
      </c>
      <c r="E5507" t="s">
        <v>349</v>
      </c>
      <c r="F5507" t="s">
        <v>406</v>
      </c>
      <c r="G5507" t="s">
        <v>36</v>
      </c>
      <c r="H5507" t="s">
        <v>43</v>
      </c>
      <c r="I5507" s="187">
        <v>0</v>
      </c>
      <c r="J5507" s="187">
        <v>0</v>
      </c>
      <c r="K5507" s="187">
        <v>1.6468267364294134</v>
      </c>
      <c r="L5507" s="187">
        <v>0</v>
      </c>
      <c r="M5507" s="187">
        <v>1.6468267440795898</v>
      </c>
      <c r="N5507" s="187">
        <v>0</v>
      </c>
      <c r="O5507" t="s">
        <v>5916</v>
      </c>
    </row>
    <row r="5508" spans="1:15" hidden="1" x14ac:dyDescent="0.45">
      <c r="A5508" s="187">
        <v>2022</v>
      </c>
      <c r="B5508" t="s">
        <v>316</v>
      </c>
      <c r="C5508" t="s">
        <v>323</v>
      </c>
      <c r="D5508" t="s">
        <v>35</v>
      </c>
      <c r="E5508" t="s">
        <v>349</v>
      </c>
      <c r="F5508" t="s">
        <v>407</v>
      </c>
      <c r="G5508" t="s">
        <v>36</v>
      </c>
      <c r="H5508" t="s">
        <v>43</v>
      </c>
      <c r="I5508" s="187">
        <v>0</v>
      </c>
      <c r="J5508" s="187">
        <v>11.01453838635709</v>
      </c>
      <c r="K5508" s="187">
        <v>18.656910044161492</v>
      </c>
      <c r="L5508" s="187">
        <v>330.43615159071271</v>
      </c>
      <c r="M5508" s="187">
        <v>360.10760498046875</v>
      </c>
      <c r="N5508" s="187">
        <v>330.4361572265625</v>
      </c>
      <c r="O5508" t="s">
        <v>5923</v>
      </c>
    </row>
    <row r="5509" spans="1:15" x14ac:dyDescent="0.45">
      <c r="A5509" s="187">
        <v>2022</v>
      </c>
      <c r="B5509" t="s">
        <v>8570</v>
      </c>
      <c r="C5509" t="s">
        <v>323</v>
      </c>
      <c r="D5509" t="s">
        <v>35</v>
      </c>
      <c r="E5509" t="s">
        <v>349</v>
      </c>
      <c r="F5509" t="s">
        <v>407</v>
      </c>
      <c r="G5509" t="s">
        <v>36</v>
      </c>
      <c r="H5509" t="s">
        <v>43</v>
      </c>
      <c r="I5509" s="187">
        <v>0</v>
      </c>
      <c r="J5509" s="187"/>
      <c r="K5509" s="187">
        <v>0</v>
      </c>
      <c r="L5509" s="187">
        <v>286</v>
      </c>
      <c r="M5509" s="187">
        <v>286</v>
      </c>
      <c r="N5509" s="187">
        <v>286</v>
      </c>
      <c r="O5509" t="s">
        <v>8619</v>
      </c>
    </row>
    <row r="5510" spans="1:15" hidden="1" x14ac:dyDescent="0.45">
      <c r="A5510" s="187">
        <v>2022</v>
      </c>
      <c r="B5510" t="s">
        <v>314</v>
      </c>
      <c r="C5510" t="s">
        <v>323</v>
      </c>
      <c r="D5510" t="s">
        <v>35</v>
      </c>
      <c r="E5510" t="s">
        <v>349</v>
      </c>
      <c r="F5510" t="s">
        <v>407</v>
      </c>
      <c r="G5510" t="s">
        <v>36</v>
      </c>
      <c r="H5510" t="s">
        <v>43</v>
      </c>
      <c r="I5510" s="187">
        <v>0</v>
      </c>
      <c r="J5510" s="187">
        <v>0</v>
      </c>
      <c r="K5510" s="187">
        <v>0</v>
      </c>
      <c r="L5510" s="187">
        <v>116.48206610988997</v>
      </c>
      <c r="M5510" s="187">
        <v>116.48206329345703</v>
      </c>
      <c r="N5510" s="187">
        <v>116.48206329345703</v>
      </c>
      <c r="O5510" t="s">
        <v>5919</v>
      </c>
    </row>
    <row r="5511" spans="1:15" hidden="1" x14ac:dyDescent="0.45">
      <c r="A5511" s="187">
        <v>2022</v>
      </c>
      <c r="B5511" t="s">
        <v>313</v>
      </c>
      <c r="C5511" t="s">
        <v>323</v>
      </c>
      <c r="D5511" t="s">
        <v>35</v>
      </c>
      <c r="E5511" t="s">
        <v>349</v>
      </c>
      <c r="F5511" t="s">
        <v>407</v>
      </c>
      <c r="G5511" t="s">
        <v>36</v>
      </c>
      <c r="H5511" t="s">
        <v>43</v>
      </c>
      <c r="I5511" s="187">
        <v>0</v>
      </c>
      <c r="J5511" s="187">
        <v>0</v>
      </c>
      <c r="K5511" s="187">
        <v>0</v>
      </c>
      <c r="L5511" s="187">
        <v>117.39340370414216</v>
      </c>
      <c r="M5511" s="187">
        <v>117.39340209960938</v>
      </c>
      <c r="N5511" s="187">
        <v>117.39340209960938</v>
      </c>
      <c r="O5511" t="s">
        <v>5922</v>
      </c>
    </row>
    <row r="5512" spans="1:15" hidden="1" x14ac:dyDescent="0.45">
      <c r="A5512" s="187">
        <v>2022</v>
      </c>
      <c r="B5512" t="s">
        <v>317</v>
      </c>
      <c r="C5512" t="s">
        <v>323</v>
      </c>
      <c r="D5512" t="s">
        <v>35</v>
      </c>
      <c r="E5512" t="s">
        <v>349</v>
      </c>
      <c r="F5512" t="s">
        <v>407</v>
      </c>
      <c r="G5512" t="s">
        <v>36</v>
      </c>
      <c r="H5512" t="s">
        <v>43</v>
      </c>
      <c r="I5512" s="187">
        <v>0</v>
      </c>
      <c r="J5512" s="187">
        <v>10.805090956866493</v>
      </c>
      <c r="K5512" s="187">
        <v>0</v>
      </c>
      <c r="L5512" s="187">
        <v>332.79680147148798</v>
      </c>
      <c r="M5512" s="187">
        <v>343.60189819335938</v>
      </c>
      <c r="N5512" s="187">
        <v>332.79681396484375</v>
      </c>
      <c r="O5512" t="s">
        <v>5921</v>
      </c>
    </row>
    <row r="5513" spans="1:15" hidden="1" x14ac:dyDescent="0.45">
      <c r="A5513" s="187">
        <v>2022</v>
      </c>
      <c r="B5513" t="s">
        <v>315</v>
      </c>
      <c r="C5513" t="s">
        <v>323</v>
      </c>
      <c r="D5513" t="s">
        <v>35</v>
      </c>
      <c r="E5513" t="s">
        <v>349</v>
      </c>
      <c r="F5513" t="s">
        <v>407</v>
      </c>
      <c r="G5513" t="s">
        <v>36</v>
      </c>
      <c r="H5513" t="s">
        <v>43</v>
      </c>
      <c r="I5513" s="187">
        <v>0</v>
      </c>
      <c r="J5513" s="187">
        <v>0</v>
      </c>
      <c r="K5513" s="187">
        <v>0</v>
      </c>
      <c r="L5513" s="187">
        <v>283.19935904625044</v>
      </c>
      <c r="M5513" s="187">
        <v>283.19937133789063</v>
      </c>
      <c r="N5513" s="187">
        <v>283.19937133789063</v>
      </c>
      <c r="O5513" t="s">
        <v>5920</v>
      </c>
    </row>
    <row r="5514" spans="1:15" hidden="1" x14ac:dyDescent="0.45">
      <c r="A5514" s="187">
        <v>2022</v>
      </c>
      <c r="B5514" t="s">
        <v>313</v>
      </c>
      <c r="C5514" t="s">
        <v>323</v>
      </c>
      <c r="D5514" t="s">
        <v>35</v>
      </c>
      <c r="E5514" t="s">
        <v>349</v>
      </c>
      <c r="F5514" t="s">
        <v>408</v>
      </c>
      <c r="G5514" t="s">
        <v>36</v>
      </c>
      <c r="H5514" t="s">
        <v>43</v>
      </c>
      <c r="I5514" s="187"/>
      <c r="J5514" s="187"/>
      <c r="K5514" s="187"/>
      <c r="L5514" s="187">
        <v>82.654539342712326</v>
      </c>
      <c r="M5514" s="187">
        <v>82.654541015625</v>
      </c>
      <c r="N5514" s="187">
        <v>82.654541015625</v>
      </c>
      <c r="O5514" t="s">
        <v>5924</v>
      </c>
    </row>
    <row r="5515" spans="1:15" x14ac:dyDescent="0.45">
      <c r="A5515" s="187">
        <v>2022</v>
      </c>
      <c r="B5515" t="s">
        <v>8570</v>
      </c>
      <c r="C5515" t="s">
        <v>323</v>
      </c>
      <c r="D5515" t="s">
        <v>35</v>
      </c>
      <c r="E5515" t="s">
        <v>349</v>
      </c>
      <c r="F5515" t="s">
        <v>408</v>
      </c>
      <c r="G5515" t="s">
        <v>36</v>
      </c>
      <c r="H5515" t="s">
        <v>43</v>
      </c>
      <c r="I5515" s="187">
        <v>45.72</v>
      </c>
      <c r="J5515" s="187"/>
      <c r="K5515" s="187"/>
      <c r="L5515" s="187"/>
      <c r="M5515" s="187">
        <v>45.720001220703125</v>
      </c>
      <c r="N5515" s="187">
        <v>45.720001220703125</v>
      </c>
      <c r="O5515" t="s">
        <v>8620</v>
      </c>
    </row>
    <row r="5516" spans="1:15" hidden="1" x14ac:dyDescent="0.45">
      <c r="A5516" s="187">
        <v>2022</v>
      </c>
      <c r="B5516" t="s">
        <v>313</v>
      </c>
      <c r="C5516" t="s">
        <v>323</v>
      </c>
      <c r="D5516" t="s">
        <v>35</v>
      </c>
      <c r="E5516" t="s">
        <v>349</v>
      </c>
      <c r="F5516" t="s">
        <v>409</v>
      </c>
      <c r="G5516" t="s">
        <v>36</v>
      </c>
      <c r="H5516" t="s">
        <v>43</v>
      </c>
      <c r="I5516" s="187"/>
      <c r="J5516" s="187"/>
      <c r="K5516" s="187"/>
      <c r="L5516" s="187">
        <v>0</v>
      </c>
      <c r="M5516" s="187">
        <v>0</v>
      </c>
      <c r="N5516" s="187">
        <v>0</v>
      </c>
      <c r="O5516" t="s">
        <v>5925</v>
      </c>
    </row>
    <row r="5517" spans="1:15" x14ac:dyDescent="0.45">
      <c r="A5517" s="187">
        <v>2022</v>
      </c>
      <c r="B5517" t="s">
        <v>8570</v>
      </c>
      <c r="C5517" t="s">
        <v>323</v>
      </c>
      <c r="D5517" t="s">
        <v>35</v>
      </c>
      <c r="E5517" t="s">
        <v>349</v>
      </c>
      <c r="F5517" t="s">
        <v>409</v>
      </c>
      <c r="G5517" t="s">
        <v>36</v>
      </c>
      <c r="H5517" t="s">
        <v>43</v>
      </c>
      <c r="I5517" s="187">
        <v>27.248000000000001</v>
      </c>
      <c r="J5517" s="187"/>
      <c r="K5517" s="187"/>
      <c r="L5517" s="187"/>
      <c r="M5517" s="187">
        <v>27.24799919128418</v>
      </c>
      <c r="N5517" s="187">
        <v>27.24799919128418</v>
      </c>
      <c r="O5517" t="s">
        <v>8621</v>
      </c>
    </row>
    <row r="5518" spans="1:15" hidden="1" x14ac:dyDescent="0.45">
      <c r="A5518" s="187">
        <v>2022</v>
      </c>
      <c r="B5518" t="s">
        <v>313</v>
      </c>
      <c r="C5518" t="s">
        <v>323</v>
      </c>
      <c r="D5518" t="s">
        <v>35</v>
      </c>
      <c r="E5518" t="s">
        <v>349</v>
      </c>
      <c r="F5518" t="s">
        <v>410</v>
      </c>
      <c r="G5518" t="s">
        <v>36</v>
      </c>
      <c r="H5518" t="s">
        <v>43</v>
      </c>
      <c r="I5518" s="187"/>
      <c r="J5518" s="187"/>
      <c r="K5518" s="187"/>
      <c r="L5518" s="187">
        <v>111.40394433148184</v>
      </c>
      <c r="M5518" s="187">
        <v>111.40394592285156</v>
      </c>
      <c r="N5518" s="187">
        <v>111.40394592285156</v>
      </c>
      <c r="O5518" t="s">
        <v>5926</v>
      </c>
    </row>
    <row r="5519" spans="1:15" x14ac:dyDescent="0.45">
      <c r="A5519" s="187">
        <v>2022</v>
      </c>
      <c r="B5519" t="s">
        <v>8570</v>
      </c>
      <c r="C5519" t="s">
        <v>323</v>
      </c>
      <c r="D5519" t="s">
        <v>35</v>
      </c>
      <c r="E5519" t="s">
        <v>349</v>
      </c>
      <c r="F5519" t="s">
        <v>410</v>
      </c>
      <c r="G5519" t="s">
        <v>36</v>
      </c>
      <c r="H5519" t="s">
        <v>43</v>
      </c>
      <c r="I5519" s="187">
        <v>46.204000000000001</v>
      </c>
      <c r="J5519" s="187"/>
      <c r="K5519" s="187"/>
      <c r="L5519" s="187"/>
      <c r="M5519" s="187">
        <v>46.203998565673828</v>
      </c>
      <c r="N5519" s="187">
        <v>46.203998565673828</v>
      </c>
      <c r="O5519" t="s">
        <v>8622</v>
      </c>
    </row>
    <row r="5520" spans="1:15" hidden="1" x14ac:dyDescent="0.45">
      <c r="A5520" s="187">
        <v>2022</v>
      </c>
      <c r="B5520" t="s">
        <v>313</v>
      </c>
      <c r="C5520" t="s">
        <v>323</v>
      </c>
      <c r="D5520" t="s">
        <v>35</v>
      </c>
      <c r="E5520" t="s">
        <v>349</v>
      </c>
      <c r="F5520" t="s">
        <v>411</v>
      </c>
      <c r="G5520" t="s">
        <v>36</v>
      </c>
      <c r="H5520" t="s">
        <v>43</v>
      </c>
      <c r="I5520" s="187"/>
      <c r="J5520" s="187"/>
      <c r="K5520" s="187"/>
      <c r="L5520" s="187">
        <v>194.05848367419418</v>
      </c>
      <c r="M5520" s="187">
        <v>194.05848693847656</v>
      </c>
      <c r="N5520" s="187">
        <v>194.05848693847656</v>
      </c>
      <c r="O5520" t="s">
        <v>5927</v>
      </c>
    </row>
    <row r="5521" spans="1:15" x14ac:dyDescent="0.45">
      <c r="A5521" s="187">
        <v>2022</v>
      </c>
      <c r="B5521" t="s">
        <v>8570</v>
      </c>
      <c r="C5521" t="s">
        <v>323</v>
      </c>
      <c r="D5521" t="s">
        <v>35</v>
      </c>
      <c r="E5521" t="s">
        <v>349</v>
      </c>
      <c r="F5521" t="s">
        <v>411</v>
      </c>
      <c r="G5521" t="s">
        <v>36</v>
      </c>
      <c r="H5521" t="s">
        <v>43</v>
      </c>
      <c r="I5521" s="187">
        <v>119.172</v>
      </c>
      <c r="J5521" s="187"/>
      <c r="K5521" s="187"/>
      <c r="L5521" s="187"/>
      <c r="M5521" s="187">
        <v>119.1719970703125</v>
      </c>
      <c r="N5521" s="187">
        <v>119.1719970703125</v>
      </c>
      <c r="O5521" t="s">
        <v>8623</v>
      </c>
    </row>
    <row r="5522" spans="1:15" hidden="1" x14ac:dyDescent="0.45">
      <c r="A5522" s="187">
        <v>2022</v>
      </c>
      <c r="B5522" t="s">
        <v>314</v>
      </c>
      <c r="C5522" t="s">
        <v>323</v>
      </c>
      <c r="D5522" t="s">
        <v>35</v>
      </c>
      <c r="E5522" t="s">
        <v>349</v>
      </c>
      <c r="F5522" t="s">
        <v>423</v>
      </c>
      <c r="G5522" t="s">
        <v>36</v>
      </c>
      <c r="H5522" t="s">
        <v>43</v>
      </c>
      <c r="I5522" s="187">
        <v>58.241033054944985</v>
      </c>
      <c r="J5522" s="187">
        <v>0</v>
      </c>
      <c r="K5522" s="187">
        <v>194.56983756127383</v>
      </c>
      <c r="L5522" s="187">
        <v>81.537446276922978</v>
      </c>
      <c r="M5522" s="187">
        <v>334.34832763671875</v>
      </c>
      <c r="N5522" s="187">
        <v>139.77847290039063</v>
      </c>
      <c r="O5522" t="s">
        <v>5930</v>
      </c>
    </row>
    <row r="5523" spans="1:15" x14ac:dyDescent="0.45">
      <c r="A5523" s="187">
        <v>2022</v>
      </c>
      <c r="B5523" t="s">
        <v>8570</v>
      </c>
      <c r="C5523" t="s">
        <v>323</v>
      </c>
      <c r="D5523" t="s">
        <v>35</v>
      </c>
      <c r="E5523" t="s">
        <v>349</v>
      </c>
      <c r="F5523" t="s">
        <v>423</v>
      </c>
      <c r="G5523" t="s">
        <v>36</v>
      </c>
      <c r="H5523" t="s">
        <v>43</v>
      </c>
      <c r="I5523" s="187"/>
      <c r="J5523" s="187"/>
      <c r="K5523" s="187">
        <v>432.36530558106358</v>
      </c>
      <c r="L5523" s="187">
        <v>22</v>
      </c>
      <c r="M5523" s="187">
        <v>454.36529541015625</v>
      </c>
      <c r="N5523" s="187">
        <v>22</v>
      </c>
      <c r="O5523" t="s">
        <v>8624</v>
      </c>
    </row>
    <row r="5524" spans="1:15" hidden="1" x14ac:dyDescent="0.45">
      <c r="A5524" s="187">
        <v>2022</v>
      </c>
      <c r="B5524" t="s">
        <v>315</v>
      </c>
      <c r="C5524" t="s">
        <v>323</v>
      </c>
      <c r="D5524" t="s">
        <v>35</v>
      </c>
      <c r="E5524" t="s">
        <v>349</v>
      </c>
      <c r="F5524" t="s">
        <v>423</v>
      </c>
      <c r="G5524" t="s">
        <v>36</v>
      </c>
      <c r="H5524" t="s">
        <v>43</v>
      </c>
      <c r="I5524" s="187">
        <v>56.639871809250089</v>
      </c>
      <c r="J5524" s="187">
        <v>0</v>
      </c>
      <c r="K5524" s="187">
        <v>131.40585084426422</v>
      </c>
      <c r="L5524" s="187">
        <v>140.46688208694022</v>
      </c>
      <c r="M5524" s="187">
        <v>328.51260375976563</v>
      </c>
      <c r="N5524" s="187">
        <v>197.10675048828125</v>
      </c>
      <c r="O5524" t="s">
        <v>5932</v>
      </c>
    </row>
    <row r="5525" spans="1:15" hidden="1" x14ac:dyDescent="0.45">
      <c r="A5525" s="187">
        <v>2022</v>
      </c>
      <c r="B5525" t="s">
        <v>317</v>
      </c>
      <c r="C5525" t="s">
        <v>323</v>
      </c>
      <c r="D5525" t="s">
        <v>35</v>
      </c>
      <c r="E5525" t="s">
        <v>349</v>
      </c>
      <c r="F5525" t="s">
        <v>423</v>
      </c>
      <c r="G5525" t="s">
        <v>36</v>
      </c>
      <c r="H5525" t="s">
        <v>43</v>
      </c>
      <c r="I5525" s="187">
        <v>55.105963880019118</v>
      </c>
      <c r="J5525" s="187"/>
      <c r="K5525" s="187">
        <v>242.93224288448948</v>
      </c>
      <c r="L5525" s="187">
        <v>211.77978275458327</v>
      </c>
      <c r="M5525" s="187">
        <v>509.8179931640625</v>
      </c>
      <c r="N5525" s="187">
        <v>266.8857421875</v>
      </c>
      <c r="O5525" t="s">
        <v>5929</v>
      </c>
    </row>
    <row r="5526" spans="1:15" hidden="1" x14ac:dyDescent="0.45">
      <c r="A5526" s="187">
        <v>2022</v>
      </c>
      <c r="B5526" t="s">
        <v>316</v>
      </c>
      <c r="C5526" t="s">
        <v>323</v>
      </c>
      <c r="D5526" t="s">
        <v>35</v>
      </c>
      <c r="E5526" t="s">
        <v>349</v>
      </c>
      <c r="F5526" t="s">
        <v>423</v>
      </c>
      <c r="G5526" t="s">
        <v>36</v>
      </c>
      <c r="H5526" t="s">
        <v>43</v>
      </c>
      <c r="I5526" s="187">
        <v>56.179653039614344</v>
      </c>
      <c r="J5526" s="187"/>
      <c r="K5526" s="187">
        <v>257.63810526218879</v>
      </c>
      <c r="L5526" s="187">
        <v>138.78318366809935</v>
      </c>
      <c r="M5526" s="187">
        <v>452.60092163085938</v>
      </c>
      <c r="N5526" s="187">
        <v>194.96282958984375</v>
      </c>
      <c r="O5526" t="s">
        <v>5928</v>
      </c>
    </row>
    <row r="5527" spans="1:15" hidden="1" x14ac:dyDescent="0.45">
      <c r="A5527" s="187">
        <v>2022</v>
      </c>
      <c r="B5527" t="s">
        <v>313</v>
      </c>
      <c r="C5527" t="s">
        <v>323</v>
      </c>
      <c r="D5527" t="s">
        <v>35</v>
      </c>
      <c r="E5527" t="s">
        <v>349</v>
      </c>
      <c r="F5527" t="s">
        <v>423</v>
      </c>
      <c r="G5527" t="s">
        <v>36</v>
      </c>
      <c r="H5527" t="s">
        <v>43</v>
      </c>
      <c r="I5527" s="187">
        <v>59.894593726603141</v>
      </c>
      <c r="J5527" s="187">
        <v>0</v>
      </c>
      <c r="K5527" s="187">
        <v>0</v>
      </c>
      <c r="L5527" s="187"/>
      <c r="M5527" s="187">
        <v>59.89459228515625</v>
      </c>
      <c r="N5527" s="187">
        <v>59.89459228515625</v>
      </c>
      <c r="O5527" t="s">
        <v>5931</v>
      </c>
    </row>
    <row r="5528" spans="1:15" hidden="1" x14ac:dyDescent="0.45">
      <c r="A5528" s="187">
        <v>2022</v>
      </c>
      <c r="B5528" t="s">
        <v>315</v>
      </c>
      <c r="C5528" t="s">
        <v>323</v>
      </c>
      <c r="D5528" t="s">
        <v>35</v>
      </c>
      <c r="E5528" t="s">
        <v>349</v>
      </c>
      <c r="F5528" t="s">
        <v>424</v>
      </c>
      <c r="G5528" t="s">
        <v>36</v>
      </c>
      <c r="H5528" t="s">
        <v>43</v>
      </c>
      <c r="I5528" s="187">
        <v>0</v>
      </c>
      <c r="J5528" s="187">
        <v>0</v>
      </c>
      <c r="K5528" s="187">
        <v>0</v>
      </c>
      <c r="L5528" s="187">
        <v>71.366238479655109</v>
      </c>
      <c r="M5528" s="187">
        <v>71.366241455078125</v>
      </c>
      <c r="N5528" s="187">
        <v>71.366241455078125</v>
      </c>
      <c r="O5528" t="s">
        <v>5934</v>
      </c>
    </row>
    <row r="5529" spans="1:15" x14ac:dyDescent="0.45">
      <c r="A5529" s="187">
        <v>2022</v>
      </c>
      <c r="B5529" t="s">
        <v>8570</v>
      </c>
      <c r="C5529" t="s">
        <v>323</v>
      </c>
      <c r="D5529" t="s">
        <v>35</v>
      </c>
      <c r="E5529" t="s">
        <v>349</v>
      </c>
      <c r="F5529" t="s">
        <v>424</v>
      </c>
      <c r="G5529" t="s">
        <v>36</v>
      </c>
      <c r="H5529" t="s">
        <v>43</v>
      </c>
      <c r="I5529" s="187"/>
      <c r="J5529" s="187"/>
      <c r="K5529" s="187">
        <v>0</v>
      </c>
      <c r="L5529" s="187">
        <v>56</v>
      </c>
      <c r="M5529" s="187">
        <v>56</v>
      </c>
      <c r="N5529" s="187">
        <v>56</v>
      </c>
      <c r="O5529" t="s">
        <v>8625</v>
      </c>
    </row>
    <row r="5530" spans="1:15" hidden="1" x14ac:dyDescent="0.45">
      <c r="A5530" s="187">
        <v>2022</v>
      </c>
      <c r="B5530" t="s">
        <v>316</v>
      </c>
      <c r="C5530" t="s">
        <v>323</v>
      </c>
      <c r="D5530" t="s">
        <v>35</v>
      </c>
      <c r="E5530" t="s">
        <v>349</v>
      </c>
      <c r="F5530" t="s">
        <v>424</v>
      </c>
      <c r="G5530" t="s">
        <v>36</v>
      </c>
      <c r="H5530" t="s">
        <v>43</v>
      </c>
      <c r="I5530" s="187">
        <v>89.887444863382953</v>
      </c>
      <c r="J5530" s="187"/>
      <c r="K5530" s="187">
        <v>0</v>
      </c>
      <c r="L5530" s="187">
        <v>70.493045672685383</v>
      </c>
      <c r="M5530" s="187">
        <v>160.3804931640625</v>
      </c>
      <c r="N5530" s="187">
        <v>160.3804931640625</v>
      </c>
      <c r="O5530" t="s">
        <v>5933</v>
      </c>
    </row>
    <row r="5531" spans="1:15" hidden="1" x14ac:dyDescent="0.45">
      <c r="A5531" s="187">
        <v>2022</v>
      </c>
      <c r="B5531" t="s">
        <v>314</v>
      </c>
      <c r="C5531" t="s">
        <v>323</v>
      </c>
      <c r="D5531" t="s">
        <v>35</v>
      </c>
      <c r="E5531" t="s">
        <v>349</v>
      </c>
      <c r="F5531" t="s">
        <v>424</v>
      </c>
      <c r="G5531" t="s">
        <v>36</v>
      </c>
      <c r="H5531" t="s">
        <v>43</v>
      </c>
      <c r="I5531" s="187">
        <v>0</v>
      </c>
      <c r="J5531" s="187">
        <v>0</v>
      </c>
      <c r="K5531" s="187">
        <v>0</v>
      </c>
      <c r="L5531" s="187">
        <v>69.889239665933985</v>
      </c>
      <c r="M5531" s="187">
        <v>69.889236450195313</v>
      </c>
      <c r="N5531" s="187">
        <v>69.889236450195313</v>
      </c>
      <c r="O5531" t="s">
        <v>5935</v>
      </c>
    </row>
    <row r="5532" spans="1:15" hidden="1" x14ac:dyDescent="0.45">
      <c r="A5532" s="187">
        <v>2022</v>
      </c>
      <c r="B5532" t="s">
        <v>313</v>
      </c>
      <c r="C5532" t="s">
        <v>323</v>
      </c>
      <c r="D5532" t="s">
        <v>35</v>
      </c>
      <c r="E5532" t="s">
        <v>349</v>
      </c>
      <c r="F5532" t="s">
        <v>424</v>
      </c>
      <c r="G5532" t="s">
        <v>36</v>
      </c>
      <c r="H5532" t="s">
        <v>43</v>
      </c>
      <c r="I5532" s="187">
        <v>119.78918745320628</v>
      </c>
      <c r="J5532" s="187">
        <v>0</v>
      </c>
      <c r="K5532" s="187">
        <v>0</v>
      </c>
      <c r="L5532" s="187"/>
      <c r="M5532" s="187">
        <v>119.7891845703125</v>
      </c>
      <c r="N5532" s="187">
        <v>119.7891845703125</v>
      </c>
      <c r="O5532" t="s">
        <v>5937</v>
      </c>
    </row>
    <row r="5533" spans="1:15" hidden="1" x14ac:dyDescent="0.45">
      <c r="A5533" s="187">
        <v>2022</v>
      </c>
      <c r="B5533" t="s">
        <v>317</v>
      </c>
      <c r="C5533" t="s">
        <v>323</v>
      </c>
      <c r="D5533" t="s">
        <v>35</v>
      </c>
      <c r="E5533" t="s">
        <v>349</v>
      </c>
      <c r="F5533" t="s">
        <v>424</v>
      </c>
      <c r="G5533" t="s">
        <v>36</v>
      </c>
      <c r="H5533" t="s">
        <v>43</v>
      </c>
      <c r="I5533" s="187">
        <v>88.601745846305249</v>
      </c>
      <c r="J5533" s="187"/>
      <c r="K5533" s="187">
        <v>0</v>
      </c>
      <c r="L5533" s="187">
        <v>109.13141866435159</v>
      </c>
      <c r="M5533" s="187">
        <v>197.73316955566406</v>
      </c>
      <c r="N5533" s="187">
        <v>197.73316955566406</v>
      </c>
      <c r="O5533" t="s">
        <v>5936</v>
      </c>
    </row>
    <row r="5534" spans="1:15" x14ac:dyDescent="0.45">
      <c r="A5534" s="187">
        <v>2022</v>
      </c>
      <c r="B5534" t="s">
        <v>8570</v>
      </c>
      <c r="C5534" t="s">
        <v>323</v>
      </c>
      <c r="D5534" t="s">
        <v>35</v>
      </c>
      <c r="E5534" t="s">
        <v>349</v>
      </c>
      <c r="F5534" t="s">
        <v>446</v>
      </c>
      <c r="G5534" t="s">
        <v>36</v>
      </c>
      <c r="H5534" t="s">
        <v>43</v>
      </c>
      <c r="I5534" s="187"/>
      <c r="J5534" s="187"/>
      <c r="K5534" s="187">
        <v>0</v>
      </c>
      <c r="L5534" s="187">
        <v>0</v>
      </c>
      <c r="M5534" s="187">
        <v>0</v>
      </c>
      <c r="N5534" s="187">
        <v>0</v>
      </c>
      <c r="O5534" t="s">
        <v>8626</v>
      </c>
    </row>
    <row r="5535" spans="1:15" hidden="1" x14ac:dyDescent="0.45">
      <c r="A5535" s="187">
        <v>2022</v>
      </c>
      <c r="B5535" t="s">
        <v>314</v>
      </c>
      <c r="C5535" t="s">
        <v>323</v>
      </c>
      <c r="D5535" t="s">
        <v>35</v>
      </c>
      <c r="E5535" t="s">
        <v>349</v>
      </c>
      <c r="F5535" t="s">
        <v>446</v>
      </c>
      <c r="G5535" t="s">
        <v>36</v>
      </c>
      <c r="H5535" t="s">
        <v>43</v>
      </c>
      <c r="I5535" s="187">
        <v>133.95437602637347</v>
      </c>
      <c r="J5535" s="187">
        <v>0</v>
      </c>
      <c r="K5535" s="187">
        <v>0</v>
      </c>
      <c r="L5535" s="187">
        <v>110.65796280439548</v>
      </c>
      <c r="M5535" s="187">
        <v>244.61233520507813</v>
      </c>
      <c r="N5535" s="187">
        <v>244.61233520507813</v>
      </c>
      <c r="O5535" t="s">
        <v>5938</v>
      </c>
    </row>
    <row r="5536" spans="1:15" hidden="1" x14ac:dyDescent="0.45">
      <c r="A5536" s="187">
        <v>2022</v>
      </c>
      <c r="B5536" t="s">
        <v>317</v>
      </c>
      <c r="C5536" t="s">
        <v>323</v>
      </c>
      <c r="D5536" t="s">
        <v>35</v>
      </c>
      <c r="E5536" t="s">
        <v>349</v>
      </c>
      <c r="F5536" t="s">
        <v>446</v>
      </c>
      <c r="G5536" t="s">
        <v>36</v>
      </c>
      <c r="H5536" t="s">
        <v>43</v>
      </c>
      <c r="I5536" s="187">
        <v>86.440727654931948</v>
      </c>
      <c r="J5536" s="187"/>
      <c r="K5536" s="187">
        <v>0</v>
      </c>
      <c r="L5536" s="187">
        <v>23.771200105106285</v>
      </c>
      <c r="M5536" s="187">
        <v>110.21192932128906</v>
      </c>
      <c r="N5536" s="187">
        <v>110.21192932128906</v>
      </c>
      <c r="O5536" t="s">
        <v>5940</v>
      </c>
    </row>
    <row r="5537" spans="1:15" hidden="1" x14ac:dyDescent="0.45">
      <c r="A5537" s="187">
        <v>2022</v>
      </c>
      <c r="B5537" t="s">
        <v>315</v>
      </c>
      <c r="C5537" t="s">
        <v>323</v>
      </c>
      <c r="D5537" t="s">
        <v>35</v>
      </c>
      <c r="E5537" t="s">
        <v>349</v>
      </c>
      <c r="F5537" t="s">
        <v>446</v>
      </c>
      <c r="G5537" t="s">
        <v>36</v>
      </c>
      <c r="H5537" t="s">
        <v>43</v>
      </c>
      <c r="I5537" s="187">
        <v>130.27170516127521</v>
      </c>
      <c r="J5537" s="187">
        <v>0</v>
      </c>
      <c r="K5537" s="187">
        <v>0</v>
      </c>
      <c r="L5537" s="187">
        <v>113.27974361850018</v>
      </c>
      <c r="M5537" s="187">
        <v>243.55143737792969</v>
      </c>
      <c r="N5537" s="187">
        <v>243.55143737792969</v>
      </c>
      <c r="O5537" t="s">
        <v>5941</v>
      </c>
    </row>
    <row r="5538" spans="1:15" hidden="1" x14ac:dyDescent="0.45">
      <c r="A5538" s="187">
        <v>2022</v>
      </c>
      <c r="B5538" t="s">
        <v>316</v>
      </c>
      <c r="C5538" t="s">
        <v>323</v>
      </c>
      <c r="D5538" t="s">
        <v>35</v>
      </c>
      <c r="E5538" t="s">
        <v>349</v>
      </c>
      <c r="F5538" t="s">
        <v>446</v>
      </c>
      <c r="G5538" t="s">
        <v>36</v>
      </c>
      <c r="H5538" t="s">
        <v>43</v>
      </c>
      <c r="I5538" s="187">
        <v>129.21320199111298</v>
      </c>
      <c r="J5538" s="187"/>
      <c r="K5538" s="187">
        <v>111.68981844578273</v>
      </c>
      <c r="L5538" s="187">
        <v>112.34829154084233</v>
      </c>
      <c r="M5538" s="187">
        <v>353.25131225585938</v>
      </c>
      <c r="N5538" s="187">
        <v>241.56149291992188</v>
      </c>
      <c r="O5538" t="s">
        <v>5939</v>
      </c>
    </row>
    <row r="5539" spans="1:15" hidden="1" x14ac:dyDescent="0.45">
      <c r="A5539" s="187">
        <v>2022</v>
      </c>
      <c r="B5539" t="s">
        <v>313</v>
      </c>
      <c r="C5539" t="s">
        <v>323</v>
      </c>
      <c r="D5539" t="s">
        <v>35</v>
      </c>
      <c r="E5539" t="s">
        <v>349</v>
      </c>
      <c r="F5539" t="s">
        <v>446</v>
      </c>
      <c r="G5539" t="s">
        <v>36</v>
      </c>
      <c r="H5539" t="s">
        <v>43</v>
      </c>
      <c r="I5539" s="187">
        <v>119.78918745320628</v>
      </c>
      <c r="J5539" s="187">
        <v>0</v>
      </c>
      <c r="K5539" s="187">
        <v>0</v>
      </c>
      <c r="L5539" s="187"/>
      <c r="M5539" s="187">
        <v>119.7891845703125</v>
      </c>
      <c r="N5539" s="187">
        <v>119.7891845703125</v>
      </c>
      <c r="O5539" t="s">
        <v>5942</v>
      </c>
    </row>
    <row r="5540" spans="1:15" x14ac:dyDescent="0.45">
      <c r="A5540" s="187">
        <v>2022</v>
      </c>
      <c r="B5540" t="s">
        <v>8570</v>
      </c>
      <c r="C5540" t="s">
        <v>323</v>
      </c>
      <c r="D5540" t="s">
        <v>35</v>
      </c>
      <c r="E5540" t="s">
        <v>349</v>
      </c>
      <c r="F5540" t="s">
        <v>447</v>
      </c>
      <c r="G5540" t="s">
        <v>36</v>
      </c>
      <c r="H5540" t="s">
        <v>43</v>
      </c>
      <c r="I5540" s="187"/>
      <c r="J5540" s="187">
        <v>0</v>
      </c>
      <c r="K5540" s="187">
        <v>432.36530558106358</v>
      </c>
      <c r="L5540" s="187">
        <v>78</v>
      </c>
      <c r="M5540" s="187">
        <v>510.36529541015625</v>
      </c>
      <c r="N5540" s="187">
        <v>78</v>
      </c>
      <c r="O5540" t="s">
        <v>8627</v>
      </c>
    </row>
    <row r="5541" spans="1:15" hidden="1" x14ac:dyDescent="0.45">
      <c r="A5541" s="187">
        <v>2022</v>
      </c>
      <c r="B5541" t="s">
        <v>313</v>
      </c>
      <c r="C5541" t="s">
        <v>323</v>
      </c>
      <c r="D5541" t="s">
        <v>35</v>
      </c>
      <c r="E5541" t="s">
        <v>349</v>
      </c>
      <c r="F5541" t="s">
        <v>447</v>
      </c>
      <c r="G5541" t="s">
        <v>36</v>
      </c>
      <c r="H5541" t="s">
        <v>43</v>
      </c>
      <c r="I5541" s="187">
        <v>299.47296863301568</v>
      </c>
      <c r="J5541" s="187">
        <v>0</v>
      </c>
      <c r="K5541" s="187">
        <v>0</v>
      </c>
      <c r="L5541" s="187"/>
      <c r="M5541" s="187">
        <v>299.47296142578125</v>
      </c>
      <c r="N5541" s="187">
        <v>299.47296142578125</v>
      </c>
      <c r="O5541" t="s">
        <v>5944</v>
      </c>
    </row>
    <row r="5542" spans="1:15" hidden="1" x14ac:dyDescent="0.45">
      <c r="A5542" s="187">
        <v>2022</v>
      </c>
      <c r="B5542" t="s">
        <v>316</v>
      </c>
      <c r="C5542" t="s">
        <v>323</v>
      </c>
      <c r="D5542" t="s">
        <v>35</v>
      </c>
      <c r="E5542" t="s">
        <v>349</v>
      </c>
      <c r="F5542" t="s">
        <v>447</v>
      </c>
      <c r="G5542" t="s">
        <v>36</v>
      </c>
      <c r="H5542" t="s">
        <v>43</v>
      </c>
      <c r="I5542" s="187">
        <v>275.28029989411027</v>
      </c>
      <c r="J5542" s="187">
        <v>0</v>
      </c>
      <c r="K5542" s="187">
        <v>369.32792370797154</v>
      </c>
      <c r="L5542" s="187">
        <v>321.62452088162706</v>
      </c>
      <c r="M5542" s="187">
        <v>966.23272705078125</v>
      </c>
      <c r="N5542" s="187">
        <v>596.90484619140625</v>
      </c>
      <c r="O5542" t="s">
        <v>5945</v>
      </c>
    </row>
    <row r="5543" spans="1:15" hidden="1" x14ac:dyDescent="0.45">
      <c r="A5543" s="187">
        <v>2022</v>
      </c>
      <c r="B5543" t="s">
        <v>317</v>
      </c>
      <c r="C5543" t="s">
        <v>323</v>
      </c>
      <c r="D5543" t="s">
        <v>35</v>
      </c>
      <c r="E5543" t="s">
        <v>349</v>
      </c>
      <c r="F5543" t="s">
        <v>447</v>
      </c>
      <c r="G5543" t="s">
        <v>36</v>
      </c>
      <c r="H5543" t="s">
        <v>43</v>
      </c>
      <c r="I5543" s="187">
        <v>230.14843738125631</v>
      </c>
      <c r="J5543" s="187">
        <v>0</v>
      </c>
      <c r="K5543" s="187">
        <v>242.93224288448948</v>
      </c>
      <c r="L5543" s="187">
        <v>344.68240152404115</v>
      </c>
      <c r="M5543" s="187">
        <v>817.7630615234375</v>
      </c>
      <c r="N5543" s="187">
        <v>574.830810546875</v>
      </c>
      <c r="O5543" t="s">
        <v>5946</v>
      </c>
    </row>
    <row r="5544" spans="1:15" hidden="1" x14ac:dyDescent="0.45">
      <c r="A5544" s="187">
        <v>2022</v>
      </c>
      <c r="B5544" t="s">
        <v>315</v>
      </c>
      <c r="C5544" t="s">
        <v>323</v>
      </c>
      <c r="D5544" t="s">
        <v>35</v>
      </c>
      <c r="E5544" t="s">
        <v>349</v>
      </c>
      <c r="F5544" t="s">
        <v>447</v>
      </c>
      <c r="G5544" t="s">
        <v>36</v>
      </c>
      <c r="H5544" t="s">
        <v>43</v>
      </c>
      <c r="I5544" s="187">
        <v>186.91157697052529</v>
      </c>
      <c r="J5544" s="187">
        <v>0</v>
      </c>
      <c r="K5544" s="187">
        <v>131.40585084426422</v>
      </c>
      <c r="L5544" s="187">
        <v>325.11286418509553</v>
      </c>
      <c r="M5544" s="187">
        <v>643.4302978515625</v>
      </c>
      <c r="N5544" s="187">
        <v>512.0244140625</v>
      </c>
      <c r="O5544" t="s">
        <v>5947</v>
      </c>
    </row>
    <row r="5545" spans="1:15" hidden="1" x14ac:dyDescent="0.45">
      <c r="A5545" s="187">
        <v>2022</v>
      </c>
      <c r="B5545" t="s">
        <v>314</v>
      </c>
      <c r="C5545" t="s">
        <v>323</v>
      </c>
      <c r="D5545" t="s">
        <v>35</v>
      </c>
      <c r="E5545" t="s">
        <v>349</v>
      </c>
      <c r="F5545" t="s">
        <v>447</v>
      </c>
      <c r="G5545" t="s">
        <v>36</v>
      </c>
      <c r="H5545" t="s">
        <v>43</v>
      </c>
      <c r="I5545" s="187">
        <v>192.19540908131847</v>
      </c>
      <c r="J5545" s="187">
        <v>0</v>
      </c>
      <c r="K5545" s="187">
        <v>194.56983756127383</v>
      </c>
      <c r="L5545" s="187">
        <v>262.08464874725246</v>
      </c>
      <c r="M5545" s="187">
        <v>648.849853515625</v>
      </c>
      <c r="N5545" s="187">
        <v>454.28005981445313</v>
      </c>
      <c r="O5545" t="s">
        <v>5943</v>
      </c>
    </row>
    <row r="5546" spans="1:15" x14ac:dyDescent="0.45">
      <c r="A5546" s="187">
        <v>2022</v>
      </c>
      <c r="B5546" t="s">
        <v>34</v>
      </c>
      <c r="C5546" t="s">
        <v>324</v>
      </c>
      <c r="D5546" t="s">
        <v>35</v>
      </c>
      <c r="E5546" t="s">
        <v>348</v>
      </c>
      <c r="F5546" t="s">
        <v>382</v>
      </c>
      <c r="G5546" t="s">
        <v>36</v>
      </c>
      <c r="H5546" t="s">
        <v>43</v>
      </c>
      <c r="I5546" s="187">
        <v>13205.7822265625</v>
      </c>
      <c r="J5546" s="187">
        <v>1093.7574462890625</v>
      </c>
      <c r="K5546" s="187">
        <v>19792.1171875</v>
      </c>
      <c r="L5546" s="187">
        <v>27376</v>
      </c>
      <c r="M5546" s="187">
        <v>61467.65625</v>
      </c>
      <c r="N5546" s="187">
        <v>40581.78125</v>
      </c>
      <c r="O5546" t="s">
        <v>8628</v>
      </c>
    </row>
    <row r="5547" spans="1:15" x14ac:dyDescent="0.45">
      <c r="A5547" s="187">
        <v>2022</v>
      </c>
      <c r="B5547" t="s">
        <v>34</v>
      </c>
      <c r="C5547" t="s">
        <v>324</v>
      </c>
      <c r="D5547" t="s">
        <v>35</v>
      </c>
      <c r="E5547" t="s">
        <v>348</v>
      </c>
      <c r="F5547" t="s">
        <v>382</v>
      </c>
      <c r="G5547" t="s">
        <v>37</v>
      </c>
      <c r="H5547" t="s">
        <v>43</v>
      </c>
      <c r="I5547" s="187">
        <v>13205.782125600001</v>
      </c>
      <c r="J5547" s="187">
        <v>1093.75746</v>
      </c>
      <c r="K5547" s="187">
        <v>19792.117333878668</v>
      </c>
      <c r="L5547" s="187">
        <v>27376</v>
      </c>
      <c r="M5547" s="187">
        <v>61467.65625</v>
      </c>
      <c r="N5547" s="187">
        <v>40581.78125</v>
      </c>
      <c r="O5547" t="s">
        <v>8629</v>
      </c>
    </row>
    <row r="5548" spans="1:15" x14ac:dyDescent="0.45">
      <c r="A5548" s="187">
        <v>2022</v>
      </c>
      <c r="B5548" t="s">
        <v>34</v>
      </c>
      <c r="C5548" t="s">
        <v>324</v>
      </c>
      <c r="D5548" t="s">
        <v>35</v>
      </c>
      <c r="E5548" t="s">
        <v>19</v>
      </c>
      <c r="F5548" t="s">
        <v>19</v>
      </c>
      <c r="G5548" t="s">
        <v>36</v>
      </c>
      <c r="H5548" t="s">
        <v>43</v>
      </c>
      <c r="I5548" s="187">
        <v>744.9183349609375</v>
      </c>
      <c r="J5548" s="187">
        <v>52.963001251220703</v>
      </c>
      <c r="K5548" s="187">
        <v>88.931106567382813</v>
      </c>
      <c r="L5548" s="187">
        <v>3244</v>
      </c>
      <c r="M5548" s="187">
        <v>4130.8125</v>
      </c>
      <c r="N5548" s="187">
        <v>3988.91845703125</v>
      </c>
      <c r="O5548" t="s">
        <v>8630</v>
      </c>
    </row>
    <row r="5549" spans="1:15" x14ac:dyDescent="0.45">
      <c r="A5549" s="187">
        <v>2022</v>
      </c>
      <c r="B5549" t="s">
        <v>34</v>
      </c>
      <c r="C5549" t="s">
        <v>324</v>
      </c>
      <c r="D5549" t="s">
        <v>35</v>
      </c>
      <c r="E5549" t="s">
        <v>19</v>
      </c>
      <c r="F5549" t="s">
        <v>19</v>
      </c>
      <c r="G5549" t="s">
        <v>37</v>
      </c>
      <c r="H5549" t="s">
        <v>43</v>
      </c>
      <c r="I5549" s="187">
        <v>744.91830999999991</v>
      </c>
      <c r="J5549" s="187">
        <v>52.963000000000001</v>
      </c>
      <c r="K5549" s="187">
        <v>88.931110000000018</v>
      </c>
      <c r="L5549" s="187">
        <v>3244</v>
      </c>
      <c r="M5549" s="187">
        <v>4130.8125</v>
      </c>
      <c r="N5549" s="187">
        <v>3988.91845703125</v>
      </c>
      <c r="O5549" t="s">
        <v>8631</v>
      </c>
    </row>
    <row r="5550" spans="1:15" x14ac:dyDescent="0.45">
      <c r="A5550" s="187">
        <v>2022</v>
      </c>
      <c r="B5550" t="s">
        <v>34</v>
      </c>
      <c r="C5550" t="s">
        <v>324</v>
      </c>
      <c r="D5550" t="s">
        <v>35</v>
      </c>
      <c r="E5550" t="s">
        <v>349</v>
      </c>
      <c r="F5550" t="s">
        <v>349</v>
      </c>
      <c r="G5550" t="s">
        <v>36</v>
      </c>
      <c r="H5550" t="s">
        <v>43</v>
      </c>
      <c r="I5550" s="187">
        <v>4482.9658203125</v>
      </c>
      <c r="J5550" s="187">
        <v>416.5780029296875</v>
      </c>
      <c r="K5550" s="187">
        <v>5300.4287109375</v>
      </c>
      <c r="L5550" s="187">
        <v>4220</v>
      </c>
      <c r="M5550" s="187">
        <v>14419.97265625</v>
      </c>
      <c r="N5550" s="187">
        <v>8702.9658203125</v>
      </c>
      <c r="O5550" t="s">
        <v>8632</v>
      </c>
    </row>
    <row r="5551" spans="1:15" x14ac:dyDescent="0.45">
      <c r="A5551" s="187">
        <v>2022</v>
      </c>
      <c r="B5551" t="s">
        <v>34</v>
      </c>
      <c r="C5551" t="s">
        <v>324</v>
      </c>
      <c r="D5551" t="s">
        <v>35</v>
      </c>
      <c r="E5551" t="s">
        <v>349</v>
      </c>
      <c r="F5551" t="s">
        <v>349</v>
      </c>
      <c r="G5551" t="s">
        <v>37</v>
      </c>
      <c r="H5551" t="s">
        <v>43</v>
      </c>
      <c r="I5551" s="187">
        <v>4482.9659799999981</v>
      </c>
      <c r="J5551" s="187">
        <v>416.57799999999997</v>
      </c>
      <c r="K5551" s="187">
        <v>5300.4288999999999</v>
      </c>
      <c r="L5551" s="187">
        <v>4220</v>
      </c>
      <c r="M5551" s="187">
        <v>14419.97265625</v>
      </c>
      <c r="N5551" s="187">
        <v>8702.9658203125</v>
      </c>
      <c r="O5551" t="s">
        <v>8633</v>
      </c>
    </row>
    <row r="5552" spans="1:15" x14ac:dyDescent="0.45">
      <c r="A5552" s="187">
        <v>2022</v>
      </c>
      <c r="B5552" t="s">
        <v>34</v>
      </c>
      <c r="C5552" t="s">
        <v>324</v>
      </c>
      <c r="D5552" t="s">
        <v>35</v>
      </c>
      <c r="E5552" t="s">
        <v>14</v>
      </c>
      <c r="F5552" t="s">
        <v>14</v>
      </c>
      <c r="G5552" t="s">
        <v>36</v>
      </c>
      <c r="H5552" t="s">
        <v>43</v>
      </c>
      <c r="I5552" s="187">
        <v>12499.4296875</v>
      </c>
      <c r="J5552" s="187">
        <v>1079.00048828125</v>
      </c>
      <c r="K5552" s="187">
        <v>19571.953125</v>
      </c>
      <c r="L5552" s="187">
        <v>12072.0302734375</v>
      </c>
      <c r="M5552" s="187">
        <v>45222.4140625</v>
      </c>
      <c r="N5552" s="187">
        <v>24571.4609375</v>
      </c>
      <c r="O5552" t="s">
        <v>8634</v>
      </c>
    </row>
    <row r="5553" spans="1:15" x14ac:dyDescent="0.45">
      <c r="A5553" s="187">
        <v>2022</v>
      </c>
      <c r="B5553" t="s">
        <v>34</v>
      </c>
      <c r="C5553" t="s">
        <v>324</v>
      </c>
      <c r="D5553" t="s">
        <v>35</v>
      </c>
      <c r="E5553" t="s">
        <v>14</v>
      </c>
      <c r="F5553" t="s">
        <v>14</v>
      </c>
      <c r="G5553" t="s">
        <v>37</v>
      </c>
      <c r="H5553" t="s">
        <v>43</v>
      </c>
      <c r="I5553" s="187">
        <v>12499.429237593549</v>
      </c>
      <c r="J5553" s="187">
        <v>1079.00046</v>
      </c>
      <c r="K5553" s="187">
        <v>19571.95378101767</v>
      </c>
      <c r="L5553" s="187">
        <v>12072.03</v>
      </c>
      <c r="M5553" s="187">
        <v>45222.4140625</v>
      </c>
      <c r="N5553" s="187">
        <v>24571.458984375</v>
      </c>
      <c r="O5553" t="s">
        <v>8635</v>
      </c>
    </row>
    <row r="5554" spans="1:15" x14ac:dyDescent="0.45">
      <c r="A5554" s="187">
        <v>2022</v>
      </c>
      <c r="B5554" t="s">
        <v>34</v>
      </c>
      <c r="C5554" t="s">
        <v>324</v>
      </c>
      <c r="D5554" t="s">
        <v>35</v>
      </c>
      <c r="E5554" t="s">
        <v>16</v>
      </c>
      <c r="F5554" t="s">
        <v>16</v>
      </c>
      <c r="G5554" t="s">
        <v>36</v>
      </c>
      <c r="H5554" t="s">
        <v>43</v>
      </c>
      <c r="I5554" s="187">
        <v>4844.59326171875</v>
      </c>
      <c r="J5554" s="187">
        <v>173.36799621582031</v>
      </c>
      <c r="K5554" s="187">
        <v>6730.93701171875</v>
      </c>
      <c r="L5554" s="187">
        <v>15895</v>
      </c>
      <c r="M5554" s="187">
        <v>27643.8984375</v>
      </c>
      <c r="N5554" s="187">
        <v>20739.59375</v>
      </c>
      <c r="O5554" t="s">
        <v>8636</v>
      </c>
    </row>
    <row r="5555" spans="1:15" x14ac:dyDescent="0.45">
      <c r="A5555" s="187">
        <v>2022</v>
      </c>
      <c r="B5555" t="s">
        <v>34</v>
      </c>
      <c r="C5555" t="s">
        <v>324</v>
      </c>
      <c r="D5555" t="s">
        <v>35</v>
      </c>
      <c r="E5555" t="s">
        <v>16</v>
      </c>
      <c r="F5555" t="s">
        <v>16</v>
      </c>
      <c r="G5555" t="s">
        <v>37</v>
      </c>
      <c r="H5555" t="s">
        <v>43</v>
      </c>
      <c r="I5555" s="187">
        <v>4844.5933900000009</v>
      </c>
      <c r="J5555" s="187">
        <v>173.36799999999999</v>
      </c>
      <c r="K5555" s="187">
        <v>6730.9367700000003</v>
      </c>
      <c r="L5555" s="187">
        <v>15895</v>
      </c>
      <c r="M5555" s="187">
        <v>27643.8984375</v>
      </c>
      <c r="N5555" s="187">
        <v>20739.59375</v>
      </c>
      <c r="O5555" t="s">
        <v>8637</v>
      </c>
    </row>
    <row r="5556" spans="1:15" x14ac:dyDescent="0.45">
      <c r="A5556" s="187">
        <v>2022</v>
      </c>
      <c r="B5556" t="s">
        <v>34</v>
      </c>
      <c r="C5556" t="s">
        <v>324</v>
      </c>
      <c r="D5556" t="s">
        <v>35</v>
      </c>
      <c r="E5556" t="s">
        <v>351</v>
      </c>
      <c r="F5556" t="s">
        <v>351</v>
      </c>
      <c r="G5556" t="s">
        <v>36</v>
      </c>
      <c r="H5556" t="s">
        <v>43</v>
      </c>
      <c r="I5556" s="187">
        <v>57.685771942138672</v>
      </c>
      <c r="J5556" s="187">
        <v>0</v>
      </c>
      <c r="K5556" s="187">
        <v>94.158866882324219</v>
      </c>
      <c r="L5556" s="187">
        <v>-99</v>
      </c>
      <c r="M5556" s="187">
        <v>52.844635009765625</v>
      </c>
      <c r="N5556" s="187">
        <v>-41.314228057861328</v>
      </c>
      <c r="O5556" t="s">
        <v>8638</v>
      </c>
    </row>
    <row r="5557" spans="1:15" x14ac:dyDescent="0.45">
      <c r="A5557" s="187">
        <v>2022</v>
      </c>
      <c r="B5557" t="s">
        <v>34</v>
      </c>
      <c r="C5557" t="s">
        <v>324</v>
      </c>
      <c r="D5557" t="s">
        <v>35</v>
      </c>
      <c r="E5557" t="s">
        <v>351</v>
      </c>
      <c r="F5557" t="s">
        <v>351</v>
      </c>
      <c r="G5557" t="s">
        <v>37</v>
      </c>
      <c r="H5557" t="s">
        <v>43</v>
      </c>
      <c r="I5557" s="187">
        <v>57.685771993555512</v>
      </c>
      <c r="J5557" s="187">
        <v>0</v>
      </c>
      <c r="K5557" s="187">
        <v>94.158867138999994</v>
      </c>
      <c r="L5557" s="187">
        <v>-99</v>
      </c>
      <c r="M5557" s="187">
        <v>52.844635009765625</v>
      </c>
      <c r="N5557" s="187">
        <v>-41.314228057861328</v>
      </c>
      <c r="O5557" t="s">
        <v>8639</v>
      </c>
    </row>
    <row r="5558" spans="1:15" x14ac:dyDescent="0.45">
      <c r="A5558" s="187">
        <v>2022</v>
      </c>
      <c r="B5558" t="s">
        <v>34</v>
      </c>
      <c r="C5558" t="s">
        <v>324</v>
      </c>
      <c r="D5558" t="s">
        <v>35</v>
      </c>
      <c r="E5558" t="s">
        <v>353</v>
      </c>
      <c r="F5558" t="s">
        <v>383</v>
      </c>
      <c r="G5558" t="s">
        <v>36</v>
      </c>
      <c r="H5558" t="s">
        <v>43</v>
      </c>
      <c r="I5558" s="187">
        <v>13102.51171875</v>
      </c>
      <c r="J5558" s="187">
        <v>833.7574462890625</v>
      </c>
      <c r="K5558" s="187">
        <v>17167.6328125</v>
      </c>
      <c r="L5558" s="187">
        <v>25549</v>
      </c>
      <c r="M5558" s="187">
        <v>56652.90234375</v>
      </c>
      <c r="N5558" s="187">
        <v>38651.51171875</v>
      </c>
      <c r="O5558" t="s">
        <v>8640</v>
      </c>
    </row>
    <row r="5559" spans="1:15" x14ac:dyDescent="0.45">
      <c r="A5559" s="187">
        <v>2022</v>
      </c>
      <c r="B5559" t="s">
        <v>34</v>
      </c>
      <c r="C5559" t="s">
        <v>324</v>
      </c>
      <c r="D5559" t="s">
        <v>35</v>
      </c>
      <c r="E5559" t="s">
        <v>353</v>
      </c>
      <c r="F5559" t="s">
        <v>383</v>
      </c>
      <c r="G5559" t="s">
        <v>37</v>
      </c>
      <c r="H5559" t="s">
        <v>43</v>
      </c>
      <c r="I5559" s="187">
        <v>13102.511710000001</v>
      </c>
      <c r="J5559" s="187">
        <v>833.75745999999992</v>
      </c>
      <c r="K5559" s="187">
        <v>17167.63212999962</v>
      </c>
      <c r="L5559" s="187">
        <v>25549</v>
      </c>
      <c r="M5559" s="187">
        <v>56652.90234375</v>
      </c>
      <c r="N5559" s="187">
        <v>38651.51171875</v>
      </c>
      <c r="O5559" t="s">
        <v>8641</v>
      </c>
    </row>
    <row r="5560" spans="1:15" x14ac:dyDescent="0.45">
      <c r="A5560" s="187">
        <v>2022</v>
      </c>
      <c r="B5560" t="s">
        <v>34</v>
      </c>
      <c r="C5560" t="s">
        <v>324</v>
      </c>
      <c r="D5560" t="s">
        <v>35</v>
      </c>
      <c r="E5560" t="s">
        <v>38</v>
      </c>
      <c r="F5560" t="s">
        <v>38</v>
      </c>
      <c r="G5560" t="s">
        <v>36</v>
      </c>
      <c r="H5560" t="s">
        <v>43</v>
      </c>
      <c r="I5560" s="187">
        <v>103.27041625976563</v>
      </c>
      <c r="J5560" s="187">
        <v>260</v>
      </c>
      <c r="K5560" s="187">
        <v>2624.485107421875</v>
      </c>
      <c r="L5560" s="187">
        <v>1827</v>
      </c>
      <c r="M5560" s="187">
        <v>4814.755859375</v>
      </c>
      <c r="N5560" s="187">
        <v>1930.2703857421875</v>
      </c>
      <c r="O5560" t="s">
        <v>8642</v>
      </c>
    </row>
    <row r="5561" spans="1:15" x14ac:dyDescent="0.45">
      <c r="A5561" s="187">
        <v>2022</v>
      </c>
      <c r="B5561" t="s">
        <v>34</v>
      </c>
      <c r="C5561" t="s">
        <v>324</v>
      </c>
      <c r="D5561" t="s">
        <v>35</v>
      </c>
      <c r="E5561" t="s">
        <v>38</v>
      </c>
      <c r="F5561" t="s">
        <v>38</v>
      </c>
      <c r="G5561" t="s">
        <v>37</v>
      </c>
      <c r="H5561" t="s">
        <v>43</v>
      </c>
      <c r="I5561" s="187">
        <v>103.27041560000001</v>
      </c>
      <c r="J5561" s="187">
        <v>260</v>
      </c>
      <c r="K5561" s="187">
        <v>2624.4852038790518</v>
      </c>
      <c r="L5561" s="187">
        <v>1827</v>
      </c>
      <c r="M5561" s="187">
        <v>4814.755859375</v>
      </c>
      <c r="N5561" s="187">
        <v>1930.2703857421875</v>
      </c>
      <c r="O5561" t="s">
        <v>8643</v>
      </c>
    </row>
    <row r="5562" spans="1:15" x14ac:dyDescent="0.45">
      <c r="A5562" s="187">
        <v>2022</v>
      </c>
      <c r="B5562" t="s">
        <v>34</v>
      </c>
      <c r="C5562" t="s">
        <v>324</v>
      </c>
      <c r="D5562" t="s">
        <v>35</v>
      </c>
      <c r="E5562" t="s">
        <v>354</v>
      </c>
      <c r="F5562" t="s">
        <v>384</v>
      </c>
      <c r="G5562" t="s">
        <v>36</v>
      </c>
      <c r="H5562" t="s">
        <v>43</v>
      </c>
      <c r="I5562" s="187">
        <v>0</v>
      </c>
      <c r="J5562" s="187">
        <v>0</v>
      </c>
      <c r="K5562" s="187">
        <v>0</v>
      </c>
      <c r="L5562" s="187">
        <v>0</v>
      </c>
      <c r="M5562" s="187">
        <v>0</v>
      </c>
      <c r="N5562" s="187">
        <v>0</v>
      </c>
      <c r="O5562" t="s">
        <v>8644</v>
      </c>
    </row>
    <row r="5563" spans="1:15" x14ac:dyDescent="0.45">
      <c r="A5563" s="187">
        <v>2022</v>
      </c>
      <c r="B5563" t="s">
        <v>34</v>
      </c>
      <c r="C5563" t="s">
        <v>324</v>
      </c>
      <c r="D5563" t="s">
        <v>35</v>
      </c>
      <c r="E5563" t="s">
        <v>354</v>
      </c>
      <c r="F5563" t="s">
        <v>384</v>
      </c>
      <c r="G5563" t="s">
        <v>37</v>
      </c>
      <c r="H5563" t="s">
        <v>43</v>
      </c>
      <c r="I5563" s="187">
        <v>0</v>
      </c>
      <c r="J5563" s="187">
        <v>0</v>
      </c>
      <c r="K5563" s="187">
        <v>0</v>
      </c>
      <c r="L5563" s="187">
        <v>0</v>
      </c>
      <c r="M5563" s="187">
        <v>0</v>
      </c>
      <c r="N5563" s="187">
        <v>0</v>
      </c>
      <c r="O5563" t="s">
        <v>8645</v>
      </c>
    </row>
    <row r="5564" spans="1:15" x14ac:dyDescent="0.45">
      <c r="A5564" s="187">
        <v>2022</v>
      </c>
      <c r="B5564" t="s">
        <v>34</v>
      </c>
      <c r="C5564" t="s">
        <v>324</v>
      </c>
      <c r="D5564" t="s">
        <v>35</v>
      </c>
      <c r="E5564" t="s">
        <v>354</v>
      </c>
      <c r="F5564" t="s">
        <v>385</v>
      </c>
      <c r="G5564" t="s">
        <v>36</v>
      </c>
      <c r="H5564" t="s">
        <v>43</v>
      </c>
      <c r="I5564" s="187">
        <v>293.31259155273438</v>
      </c>
      <c r="J5564" s="187">
        <v>28.278459548950195</v>
      </c>
      <c r="K5564" s="187">
        <v>1502.4803466796875</v>
      </c>
      <c r="L5564" s="187">
        <v>436</v>
      </c>
      <c r="M5564" s="187">
        <v>2260.0712890625</v>
      </c>
      <c r="N5564" s="187">
        <v>729.3126220703125</v>
      </c>
      <c r="O5564" t="s">
        <v>8646</v>
      </c>
    </row>
    <row r="5565" spans="1:15" x14ac:dyDescent="0.45">
      <c r="A5565" s="187">
        <v>2022</v>
      </c>
      <c r="B5565" t="s">
        <v>34</v>
      </c>
      <c r="C5565" t="s">
        <v>324</v>
      </c>
      <c r="D5565" t="s">
        <v>35</v>
      </c>
      <c r="E5565" t="s">
        <v>354</v>
      </c>
      <c r="F5565" t="s">
        <v>385</v>
      </c>
      <c r="G5565" t="s">
        <v>37</v>
      </c>
      <c r="H5565" t="s">
        <v>43</v>
      </c>
      <c r="I5565" s="187">
        <v>293.31259999999997</v>
      </c>
      <c r="J5565" s="187">
        <v>28.278459999999999</v>
      </c>
      <c r="K5565" s="187">
        <v>1502.4803999999999</v>
      </c>
      <c r="L5565" s="187">
        <v>436</v>
      </c>
      <c r="M5565" s="187">
        <v>2260.0712890625</v>
      </c>
      <c r="N5565" s="187">
        <v>729.3126220703125</v>
      </c>
      <c r="O5565" t="s">
        <v>8647</v>
      </c>
    </row>
    <row r="5566" spans="1:15" x14ac:dyDescent="0.45">
      <c r="A5566" s="187">
        <v>2022</v>
      </c>
      <c r="B5566" t="s">
        <v>34</v>
      </c>
      <c r="C5566" t="s">
        <v>324</v>
      </c>
      <c r="D5566" t="s">
        <v>35</v>
      </c>
      <c r="E5566" t="s">
        <v>354</v>
      </c>
      <c r="F5566" t="s">
        <v>386</v>
      </c>
      <c r="G5566" t="s">
        <v>36</v>
      </c>
      <c r="H5566" t="s">
        <v>43</v>
      </c>
      <c r="I5566" s="187">
        <v>21.842300415039063</v>
      </c>
      <c r="J5566" s="187">
        <v>26.056999206542969</v>
      </c>
      <c r="K5566" s="187">
        <v>430.37777709960938</v>
      </c>
      <c r="L5566" s="187">
        <v>564</v>
      </c>
      <c r="M5566" s="187">
        <v>1042.277099609375</v>
      </c>
      <c r="N5566" s="187">
        <v>585.84228515625</v>
      </c>
      <c r="O5566" t="s">
        <v>8648</v>
      </c>
    </row>
    <row r="5567" spans="1:15" x14ac:dyDescent="0.45">
      <c r="A5567" s="187">
        <v>2022</v>
      </c>
      <c r="B5567" t="s">
        <v>34</v>
      </c>
      <c r="C5567" t="s">
        <v>324</v>
      </c>
      <c r="D5567" t="s">
        <v>35</v>
      </c>
      <c r="E5567" t="s">
        <v>354</v>
      </c>
      <c r="F5567" t="s">
        <v>386</v>
      </c>
      <c r="G5567" t="s">
        <v>37</v>
      </c>
      <c r="H5567" t="s">
        <v>43</v>
      </c>
      <c r="I5567" s="187">
        <v>21.842300000000009</v>
      </c>
      <c r="J5567" s="187">
        <v>26.056999999999999</v>
      </c>
      <c r="K5567" s="187">
        <v>430.37777000000011</v>
      </c>
      <c r="L5567" s="187">
        <v>564</v>
      </c>
      <c r="M5567" s="187">
        <v>1042.277099609375</v>
      </c>
      <c r="N5567" s="187">
        <v>585.84228515625</v>
      </c>
      <c r="O5567" t="s">
        <v>8649</v>
      </c>
    </row>
    <row r="5568" spans="1:15" x14ac:dyDescent="0.45">
      <c r="A5568" s="187">
        <v>2022</v>
      </c>
      <c r="B5568" t="s">
        <v>34</v>
      </c>
      <c r="C5568" t="s">
        <v>324</v>
      </c>
      <c r="D5568" t="s">
        <v>35</v>
      </c>
      <c r="E5568" t="s">
        <v>354</v>
      </c>
      <c r="F5568" t="s">
        <v>387</v>
      </c>
      <c r="G5568" t="s">
        <v>36</v>
      </c>
      <c r="H5568" t="s">
        <v>43</v>
      </c>
      <c r="I5568" s="187">
        <v>315.1549072265625</v>
      </c>
      <c r="J5568" s="187">
        <v>54.335460662841797</v>
      </c>
      <c r="K5568" s="187">
        <v>1932.858154296875</v>
      </c>
      <c r="L5568" s="187">
        <v>1000</v>
      </c>
      <c r="M5568" s="187">
        <v>3302.3486328125</v>
      </c>
      <c r="N5568" s="187">
        <v>1315.1549072265625</v>
      </c>
      <c r="O5568" t="s">
        <v>8650</v>
      </c>
    </row>
    <row r="5569" spans="1:15" x14ac:dyDescent="0.45">
      <c r="A5569" s="187">
        <v>2022</v>
      </c>
      <c r="B5569" t="s">
        <v>34</v>
      </c>
      <c r="C5569" t="s">
        <v>324</v>
      </c>
      <c r="D5569" t="s">
        <v>35</v>
      </c>
      <c r="E5569" t="s">
        <v>354</v>
      </c>
      <c r="F5569" t="s">
        <v>387</v>
      </c>
      <c r="G5569" t="s">
        <v>37</v>
      </c>
      <c r="H5569" t="s">
        <v>43</v>
      </c>
      <c r="I5569" s="187">
        <v>315.1549</v>
      </c>
      <c r="J5569" s="187">
        <v>54.335459999999998</v>
      </c>
      <c r="K5569" s="187">
        <v>1932.85817</v>
      </c>
      <c r="L5569" s="187">
        <v>1000</v>
      </c>
      <c r="M5569" s="187">
        <v>3302.3486328125</v>
      </c>
      <c r="N5569" s="187">
        <v>1315.1549072265625</v>
      </c>
      <c r="O5569" t="s">
        <v>8651</v>
      </c>
    </row>
    <row r="5570" spans="1:15" x14ac:dyDescent="0.45">
      <c r="A5570" s="187">
        <v>2022</v>
      </c>
      <c r="B5570" t="s">
        <v>34</v>
      </c>
      <c r="C5570" t="s">
        <v>324</v>
      </c>
      <c r="D5570" t="s">
        <v>35</v>
      </c>
      <c r="E5570" t="s">
        <v>17</v>
      </c>
      <c r="F5570" t="s">
        <v>17</v>
      </c>
      <c r="G5570" t="s">
        <v>36</v>
      </c>
      <c r="H5570" t="s">
        <v>43</v>
      </c>
      <c r="I5570" s="187">
        <v>2714.879150390625</v>
      </c>
      <c r="J5570" s="187">
        <v>136.51300048828125</v>
      </c>
      <c r="K5570" s="187">
        <v>3114.477294921875</v>
      </c>
      <c r="L5570" s="187">
        <v>1190</v>
      </c>
      <c r="M5570" s="187">
        <v>7155.869140625</v>
      </c>
      <c r="N5570" s="187">
        <v>3904.879150390625</v>
      </c>
      <c r="O5570" t="s">
        <v>8652</v>
      </c>
    </row>
    <row r="5571" spans="1:15" x14ac:dyDescent="0.45">
      <c r="A5571" s="187">
        <v>2022</v>
      </c>
      <c r="B5571" t="s">
        <v>34</v>
      </c>
      <c r="C5571" t="s">
        <v>324</v>
      </c>
      <c r="D5571" t="s">
        <v>35</v>
      </c>
      <c r="E5571" t="s">
        <v>17</v>
      </c>
      <c r="F5571" t="s">
        <v>17</v>
      </c>
      <c r="G5571" t="s">
        <v>37</v>
      </c>
      <c r="H5571" t="s">
        <v>43</v>
      </c>
      <c r="I5571" s="187">
        <v>2714.8791299999998</v>
      </c>
      <c r="J5571" s="187">
        <v>136.51300000000001</v>
      </c>
      <c r="K5571" s="187">
        <v>3114.4771799996161</v>
      </c>
      <c r="L5571" s="187">
        <v>1190</v>
      </c>
      <c r="M5571" s="187">
        <v>7155.869140625</v>
      </c>
      <c r="N5571" s="187">
        <v>3904.879150390625</v>
      </c>
      <c r="O5571" t="s">
        <v>8653</v>
      </c>
    </row>
    <row r="5572" spans="1:15" x14ac:dyDescent="0.45">
      <c r="A5572" s="187">
        <v>2022</v>
      </c>
      <c r="B5572" t="s">
        <v>34</v>
      </c>
      <c r="C5572" t="s">
        <v>324</v>
      </c>
      <c r="D5572" t="s">
        <v>35</v>
      </c>
      <c r="E5572" t="s">
        <v>45</v>
      </c>
      <c r="F5572" t="s">
        <v>45</v>
      </c>
      <c r="G5572" t="s">
        <v>36</v>
      </c>
      <c r="H5572" t="s">
        <v>43</v>
      </c>
      <c r="I5572" s="187">
        <v>764.03863525390625</v>
      </c>
      <c r="J5572" s="187">
        <v>14.756999969482422</v>
      </c>
      <c r="K5572" s="187">
        <v>314.32241821289063</v>
      </c>
      <c r="L5572" s="187">
        <v>15204.9697265625</v>
      </c>
      <c r="M5572" s="187">
        <v>16298.087890625</v>
      </c>
      <c r="N5572" s="187">
        <v>15969.0087890625</v>
      </c>
      <c r="O5572" t="s">
        <v>8654</v>
      </c>
    </row>
    <row r="5573" spans="1:15" x14ac:dyDescent="0.45">
      <c r="A5573" s="187">
        <v>2022</v>
      </c>
      <c r="B5573" t="s">
        <v>34</v>
      </c>
      <c r="C5573" t="s">
        <v>324</v>
      </c>
      <c r="D5573" t="s">
        <v>35</v>
      </c>
      <c r="E5573" t="s">
        <v>45</v>
      </c>
      <c r="F5573" t="s">
        <v>45</v>
      </c>
      <c r="G5573" t="s">
        <v>37</v>
      </c>
      <c r="H5573" t="s">
        <v>43</v>
      </c>
      <c r="I5573" s="187">
        <v>764.03866000000016</v>
      </c>
      <c r="J5573" s="187">
        <v>14.757</v>
      </c>
      <c r="K5573" s="187">
        <v>314.32242000000002</v>
      </c>
      <c r="L5573" s="187">
        <v>15204.97</v>
      </c>
      <c r="M5573" s="187">
        <v>16298.087890625</v>
      </c>
      <c r="N5573" s="187">
        <v>15969.0087890625</v>
      </c>
      <c r="O5573" t="s">
        <v>8655</v>
      </c>
    </row>
    <row r="5574" spans="1:15" x14ac:dyDescent="0.45">
      <c r="A5574" s="187">
        <v>2022</v>
      </c>
      <c r="B5574" t="s">
        <v>34</v>
      </c>
      <c r="C5574" t="s">
        <v>324</v>
      </c>
      <c r="D5574" t="s">
        <v>35</v>
      </c>
      <c r="E5574" t="s">
        <v>356</v>
      </c>
      <c r="F5574" t="s">
        <v>356</v>
      </c>
      <c r="G5574" t="s">
        <v>36</v>
      </c>
      <c r="H5574" t="s">
        <v>43</v>
      </c>
      <c r="I5574" s="187">
        <v>0</v>
      </c>
      <c r="J5574" s="187">
        <v>0</v>
      </c>
      <c r="K5574" s="187">
        <v>0</v>
      </c>
      <c r="L5574" s="187">
        <v>0</v>
      </c>
      <c r="M5574" s="187">
        <v>0</v>
      </c>
      <c r="N5574" s="187">
        <v>0</v>
      </c>
      <c r="O5574" t="s">
        <v>8656</v>
      </c>
    </row>
    <row r="5575" spans="1:15" x14ac:dyDescent="0.45">
      <c r="A5575" s="187">
        <v>2022</v>
      </c>
      <c r="B5575" t="s">
        <v>34</v>
      </c>
      <c r="C5575" t="s">
        <v>324</v>
      </c>
      <c r="D5575" t="s">
        <v>35</v>
      </c>
      <c r="E5575" t="s">
        <v>356</v>
      </c>
      <c r="F5575" t="s">
        <v>356</v>
      </c>
      <c r="G5575" t="s">
        <v>37</v>
      </c>
      <c r="H5575" t="s">
        <v>43</v>
      </c>
      <c r="I5575" s="187">
        <v>0</v>
      </c>
      <c r="J5575" s="187">
        <v>0</v>
      </c>
      <c r="K5575" s="187">
        <v>0</v>
      </c>
      <c r="L5575" s="187">
        <v>0</v>
      </c>
      <c r="M5575" s="187">
        <v>0</v>
      </c>
      <c r="N5575" s="187">
        <v>0</v>
      </c>
      <c r="O5575" t="s">
        <v>8657</v>
      </c>
    </row>
    <row r="5576" spans="1:15" x14ac:dyDescent="0.45">
      <c r="A5576" s="187">
        <v>2022</v>
      </c>
      <c r="B5576" t="s">
        <v>34</v>
      </c>
      <c r="C5576" t="s">
        <v>325</v>
      </c>
      <c r="D5576" t="s">
        <v>35</v>
      </c>
      <c r="E5576" t="s">
        <v>357</v>
      </c>
      <c r="F5576" t="s">
        <v>412</v>
      </c>
      <c r="G5576" t="s">
        <v>36</v>
      </c>
      <c r="H5576" t="s">
        <v>43</v>
      </c>
      <c r="I5576" s="187">
        <v>4482.9658203125</v>
      </c>
      <c r="J5576" s="187">
        <v>416.5780029296875</v>
      </c>
      <c r="K5576" s="187">
        <v>5300.4287109375</v>
      </c>
      <c r="L5576" s="187">
        <v>4220</v>
      </c>
      <c r="M5576" s="187">
        <v>14419.97265625</v>
      </c>
      <c r="N5576" s="187">
        <v>8702.9658203125</v>
      </c>
      <c r="O5576" t="s">
        <v>8658</v>
      </c>
    </row>
    <row r="5577" spans="1:15" x14ac:dyDescent="0.45">
      <c r="A5577" s="187">
        <v>2022</v>
      </c>
      <c r="B5577" t="s">
        <v>34</v>
      </c>
      <c r="C5577" t="s">
        <v>325</v>
      </c>
      <c r="D5577" t="s">
        <v>35</v>
      </c>
      <c r="E5577" t="s">
        <v>357</v>
      </c>
      <c r="F5577" t="s">
        <v>412</v>
      </c>
      <c r="G5577" t="s">
        <v>37</v>
      </c>
      <c r="H5577" t="s">
        <v>43</v>
      </c>
      <c r="I5577" s="187">
        <v>4482.9659799999981</v>
      </c>
      <c r="J5577" s="187">
        <v>416.57799999999997</v>
      </c>
      <c r="K5577" s="187">
        <v>5300.4288999999999</v>
      </c>
      <c r="L5577" s="187">
        <v>4220</v>
      </c>
      <c r="M5577" s="187">
        <v>14419.97265625</v>
      </c>
      <c r="N5577" s="187">
        <v>8702.9658203125</v>
      </c>
      <c r="O5577" t="s">
        <v>8659</v>
      </c>
    </row>
    <row r="5578" spans="1:15" x14ac:dyDescent="0.45">
      <c r="A5578" s="187">
        <v>2022</v>
      </c>
      <c r="B5578" t="s">
        <v>34</v>
      </c>
      <c r="C5578" t="s">
        <v>325</v>
      </c>
      <c r="D5578" t="s">
        <v>35</v>
      </c>
      <c r="E5578" t="s">
        <v>357</v>
      </c>
      <c r="F5578" t="s">
        <v>413</v>
      </c>
      <c r="G5578" t="s">
        <v>36</v>
      </c>
      <c r="H5578" t="s">
        <v>43</v>
      </c>
      <c r="I5578" s="187">
        <v>4482.9658203125</v>
      </c>
      <c r="J5578" s="187">
        <v>416.5780029296875</v>
      </c>
      <c r="K5578" s="187">
        <v>5299.353515625</v>
      </c>
      <c r="L5578" s="187">
        <v>4220</v>
      </c>
      <c r="M5578" s="187">
        <v>14418.8974609375</v>
      </c>
      <c r="N5578" s="187">
        <v>8702.9658203125</v>
      </c>
      <c r="O5578" t="s">
        <v>8660</v>
      </c>
    </row>
    <row r="5579" spans="1:15" x14ac:dyDescent="0.45">
      <c r="A5579" s="187">
        <v>2022</v>
      </c>
      <c r="B5579" t="s">
        <v>34</v>
      </c>
      <c r="C5579" t="s">
        <v>325</v>
      </c>
      <c r="D5579" t="s">
        <v>35</v>
      </c>
      <c r="E5579" t="s">
        <v>357</v>
      </c>
      <c r="F5579" t="s">
        <v>413</v>
      </c>
      <c r="G5579" t="s">
        <v>37</v>
      </c>
      <c r="H5579" t="s">
        <v>43</v>
      </c>
      <c r="I5579" s="187">
        <v>4482.9659799999981</v>
      </c>
      <c r="J5579" s="187">
        <v>416.57799999999997</v>
      </c>
      <c r="K5579" s="187">
        <v>5299.3536100000001</v>
      </c>
      <c r="L5579" s="187">
        <v>4220</v>
      </c>
      <c r="M5579" s="187">
        <v>14418.8974609375</v>
      </c>
      <c r="N5579" s="187">
        <v>8702.9658203125</v>
      </c>
      <c r="O5579" t="s">
        <v>8661</v>
      </c>
    </row>
    <row r="5580" spans="1:15" x14ac:dyDescent="0.45">
      <c r="A5580" s="187">
        <v>2022</v>
      </c>
      <c r="B5580" t="s">
        <v>34</v>
      </c>
      <c r="C5580" t="s">
        <v>325</v>
      </c>
      <c r="D5580" t="s">
        <v>35</v>
      </c>
      <c r="E5580" t="s">
        <v>357</v>
      </c>
      <c r="F5580" t="s">
        <v>414</v>
      </c>
      <c r="G5580" t="s">
        <v>36</v>
      </c>
      <c r="H5580" t="s">
        <v>43</v>
      </c>
      <c r="I5580" s="187">
        <v>0</v>
      </c>
      <c r="J5580" s="187"/>
      <c r="K5580" s="187">
        <v>1.0752899646759033</v>
      </c>
      <c r="L5580" s="187"/>
      <c r="M5580" s="187">
        <v>1.0752899646759033</v>
      </c>
      <c r="N5580" s="187">
        <v>0</v>
      </c>
      <c r="O5580" t="s">
        <v>8662</v>
      </c>
    </row>
    <row r="5581" spans="1:15" x14ac:dyDescent="0.45">
      <c r="A5581" s="187">
        <v>2022</v>
      </c>
      <c r="B5581" t="s">
        <v>34</v>
      </c>
      <c r="C5581" t="s">
        <v>325</v>
      </c>
      <c r="D5581" t="s">
        <v>35</v>
      </c>
      <c r="E5581" t="s">
        <v>357</v>
      </c>
      <c r="F5581" t="s">
        <v>414</v>
      </c>
      <c r="G5581" t="s">
        <v>37</v>
      </c>
      <c r="H5581" t="s">
        <v>43</v>
      </c>
      <c r="I5581" s="187">
        <v>0</v>
      </c>
      <c r="J5581" s="187"/>
      <c r="K5581" s="187">
        <v>1.0752900000000001</v>
      </c>
      <c r="L5581" s="187"/>
      <c r="M5581" s="187">
        <v>1.0752899646759033</v>
      </c>
      <c r="N5581" s="187">
        <v>0</v>
      </c>
      <c r="O5581" t="s">
        <v>8663</v>
      </c>
    </row>
    <row r="5582" spans="1:15" x14ac:dyDescent="0.45">
      <c r="A5582" s="187">
        <v>2022</v>
      </c>
      <c r="B5582" t="s">
        <v>34</v>
      </c>
      <c r="C5582" t="s">
        <v>325</v>
      </c>
      <c r="D5582" t="s">
        <v>35</v>
      </c>
      <c r="E5582" t="s">
        <v>357</v>
      </c>
      <c r="F5582" t="s">
        <v>392</v>
      </c>
      <c r="G5582" t="s">
        <v>36</v>
      </c>
      <c r="H5582" t="s">
        <v>43</v>
      </c>
      <c r="I5582" s="187">
        <v>160.43461608886719</v>
      </c>
      <c r="J5582" s="187">
        <v>3.625</v>
      </c>
      <c r="K5582" s="187">
        <v>440.3836669921875</v>
      </c>
      <c r="L5582" s="187">
        <v>369</v>
      </c>
      <c r="M5582" s="187">
        <v>973.44329833984375</v>
      </c>
      <c r="N5582" s="187">
        <v>529.43463134765625</v>
      </c>
      <c r="O5582" t="s">
        <v>8664</v>
      </c>
    </row>
    <row r="5583" spans="1:15" x14ac:dyDescent="0.45">
      <c r="A5583" s="187">
        <v>2022</v>
      </c>
      <c r="B5583" t="s">
        <v>34</v>
      </c>
      <c r="C5583" t="s">
        <v>325</v>
      </c>
      <c r="D5583" t="s">
        <v>35</v>
      </c>
      <c r="E5583" t="s">
        <v>357</v>
      </c>
      <c r="F5583" t="s">
        <v>392</v>
      </c>
      <c r="G5583" t="s">
        <v>37</v>
      </c>
      <c r="H5583" t="s">
        <v>43</v>
      </c>
      <c r="I5583" s="187">
        <v>160.43462</v>
      </c>
      <c r="J5583" s="187">
        <v>3.625</v>
      </c>
      <c r="K5583" s="187">
        <v>440.38368000000003</v>
      </c>
      <c r="L5583" s="187">
        <v>369</v>
      </c>
      <c r="M5583" s="187">
        <v>973.44329833984375</v>
      </c>
      <c r="N5583" s="187">
        <v>529.43463134765625</v>
      </c>
      <c r="O5583" t="s">
        <v>8665</v>
      </c>
    </row>
    <row r="5584" spans="1:15" x14ac:dyDescent="0.45">
      <c r="A5584" s="187">
        <v>2022</v>
      </c>
      <c r="B5584" t="s">
        <v>34</v>
      </c>
      <c r="C5584" t="s">
        <v>325</v>
      </c>
      <c r="D5584" t="s">
        <v>35</v>
      </c>
      <c r="E5584" t="s">
        <v>357</v>
      </c>
      <c r="F5584" t="s">
        <v>393</v>
      </c>
      <c r="G5584" t="s">
        <v>36</v>
      </c>
      <c r="H5584" t="s">
        <v>43</v>
      </c>
      <c r="I5584" s="187">
        <v>190.71429443359375</v>
      </c>
      <c r="J5584" s="187">
        <v>0</v>
      </c>
      <c r="K5584" s="187">
        <v>0</v>
      </c>
      <c r="L5584" s="187">
        <v>0</v>
      </c>
      <c r="M5584" s="187">
        <v>190.71429443359375</v>
      </c>
      <c r="N5584" s="187">
        <v>190.71429443359375</v>
      </c>
      <c r="O5584" t="s">
        <v>8666</v>
      </c>
    </row>
    <row r="5585" spans="1:15" x14ac:dyDescent="0.45">
      <c r="A5585" s="187">
        <v>2022</v>
      </c>
      <c r="B5585" t="s">
        <v>34</v>
      </c>
      <c r="C5585" t="s">
        <v>325</v>
      </c>
      <c r="D5585" t="s">
        <v>35</v>
      </c>
      <c r="E5585" t="s">
        <v>357</v>
      </c>
      <c r="F5585" t="s">
        <v>393</v>
      </c>
      <c r="G5585" t="s">
        <v>37</v>
      </c>
      <c r="H5585" t="s">
        <v>43</v>
      </c>
      <c r="I5585" s="187">
        <v>190.71429000000001</v>
      </c>
      <c r="J5585" s="187">
        <v>0</v>
      </c>
      <c r="K5585" s="187">
        <v>0</v>
      </c>
      <c r="L5585" s="187">
        <v>0</v>
      </c>
      <c r="M5585" s="187">
        <v>190.71429443359375</v>
      </c>
      <c r="N5585" s="187">
        <v>190.71429443359375</v>
      </c>
      <c r="O5585" t="s">
        <v>8667</v>
      </c>
    </row>
    <row r="5586" spans="1:15" x14ac:dyDescent="0.45">
      <c r="A5586" s="187">
        <v>2022</v>
      </c>
      <c r="B5586" t="s">
        <v>34</v>
      </c>
      <c r="C5586" t="s">
        <v>325</v>
      </c>
      <c r="D5586" t="s">
        <v>35</v>
      </c>
      <c r="E5586" t="s">
        <v>357</v>
      </c>
      <c r="F5586" t="s">
        <v>394</v>
      </c>
      <c r="G5586" t="s">
        <v>36</v>
      </c>
      <c r="H5586" t="s">
        <v>43</v>
      </c>
      <c r="I5586" s="187">
        <v>0</v>
      </c>
      <c r="J5586" s="187">
        <v>0</v>
      </c>
      <c r="K5586" s="187">
        <v>0</v>
      </c>
      <c r="L5586" s="187">
        <v>0</v>
      </c>
      <c r="M5586" s="187">
        <v>0</v>
      </c>
      <c r="N5586" s="187">
        <v>0</v>
      </c>
      <c r="O5586" t="s">
        <v>8668</v>
      </c>
    </row>
    <row r="5587" spans="1:15" x14ac:dyDescent="0.45">
      <c r="A5587" s="187">
        <v>2022</v>
      </c>
      <c r="B5587" t="s">
        <v>34</v>
      </c>
      <c r="C5587" t="s">
        <v>325</v>
      </c>
      <c r="D5587" t="s">
        <v>35</v>
      </c>
      <c r="E5587" t="s">
        <v>357</v>
      </c>
      <c r="F5587" t="s">
        <v>394</v>
      </c>
      <c r="G5587" t="s">
        <v>37</v>
      </c>
      <c r="H5587" t="s">
        <v>43</v>
      </c>
      <c r="I5587" s="187">
        <v>0</v>
      </c>
      <c r="J5587" s="187">
        <v>0</v>
      </c>
      <c r="K5587" s="187">
        <v>0</v>
      </c>
      <c r="L5587" s="187">
        <v>0</v>
      </c>
      <c r="M5587" s="187">
        <v>0</v>
      </c>
      <c r="N5587" s="187">
        <v>0</v>
      </c>
      <c r="O5587" t="s">
        <v>8669</v>
      </c>
    </row>
    <row r="5588" spans="1:15" x14ac:dyDescent="0.45">
      <c r="A5588" s="187">
        <v>2022</v>
      </c>
      <c r="B5588" t="s">
        <v>34</v>
      </c>
      <c r="C5588" t="s">
        <v>325</v>
      </c>
      <c r="D5588" t="s">
        <v>35</v>
      </c>
      <c r="E5588" t="s">
        <v>357</v>
      </c>
      <c r="F5588" t="s">
        <v>395</v>
      </c>
      <c r="G5588" t="s">
        <v>36</v>
      </c>
      <c r="H5588" t="s">
        <v>43</v>
      </c>
      <c r="I5588" s="187">
        <v>0</v>
      </c>
      <c r="J5588" s="187">
        <v>0</v>
      </c>
      <c r="K5588" s="187">
        <v>358.39822387695313</v>
      </c>
      <c r="L5588" s="187">
        <v>551</v>
      </c>
      <c r="M5588" s="187">
        <v>909.398193359375</v>
      </c>
      <c r="N5588" s="187">
        <v>551</v>
      </c>
      <c r="O5588" t="s">
        <v>8670</v>
      </c>
    </row>
    <row r="5589" spans="1:15" x14ac:dyDescent="0.45">
      <c r="A5589" s="187">
        <v>2022</v>
      </c>
      <c r="B5589" t="s">
        <v>34</v>
      </c>
      <c r="C5589" t="s">
        <v>325</v>
      </c>
      <c r="D5589" t="s">
        <v>35</v>
      </c>
      <c r="E5589" t="s">
        <v>357</v>
      </c>
      <c r="F5589" t="s">
        <v>395</v>
      </c>
      <c r="G5589" t="s">
        <v>37</v>
      </c>
      <c r="H5589" t="s">
        <v>43</v>
      </c>
      <c r="I5589" s="187">
        <v>0</v>
      </c>
      <c r="J5589" s="187">
        <v>0</v>
      </c>
      <c r="K5589" s="187">
        <v>358.39821999999998</v>
      </c>
      <c r="L5589" s="187">
        <v>551</v>
      </c>
      <c r="M5589" s="187">
        <v>909.398193359375</v>
      </c>
      <c r="N5589" s="187">
        <v>551</v>
      </c>
      <c r="O5589" t="s">
        <v>8671</v>
      </c>
    </row>
    <row r="5590" spans="1:15" x14ac:dyDescent="0.45">
      <c r="A5590" s="187">
        <v>2022</v>
      </c>
      <c r="B5590" t="s">
        <v>34</v>
      </c>
      <c r="C5590" t="s">
        <v>325</v>
      </c>
      <c r="D5590" t="s">
        <v>35</v>
      </c>
      <c r="E5590" t="s">
        <v>357</v>
      </c>
      <c r="F5590" t="s">
        <v>396</v>
      </c>
      <c r="G5590" t="s">
        <v>36</v>
      </c>
      <c r="H5590" t="s">
        <v>43</v>
      </c>
      <c r="I5590" s="187">
        <v>37.773578643798828</v>
      </c>
      <c r="J5590" s="187">
        <v>0</v>
      </c>
      <c r="K5590" s="187">
        <v>731.359130859375</v>
      </c>
      <c r="L5590" s="187">
        <v>291</v>
      </c>
      <c r="M5590" s="187">
        <v>1060.1326904296875</v>
      </c>
      <c r="N5590" s="187">
        <v>328.77359008789063</v>
      </c>
      <c r="O5590" t="s">
        <v>8672</v>
      </c>
    </row>
    <row r="5591" spans="1:15" x14ac:dyDescent="0.45">
      <c r="A5591" s="187">
        <v>2022</v>
      </c>
      <c r="B5591" t="s">
        <v>34</v>
      </c>
      <c r="C5591" t="s">
        <v>325</v>
      </c>
      <c r="D5591" t="s">
        <v>35</v>
      </c>
      <c r="E5591" t="s">
        <v>357</v>
      </c>
      <c r="F5591" t="s">
        <v>396</v>
      </c>
      <c r="G5591" t="s">
        <v>37</v>
      </c>
      <c r="H5591" t="s">
        <v>43</v>
      </c>
      <c r="I5591" s="187">
        <v>37.773579999999988</v>
      </c>
      <c r="J5591" s="187">
        <v>0</v>
      </c>
      <c r="K5591" s="187">
        <v>731.35915</v>
      </c>
      <c r="L5591" s="187">
        <v>291</v>
      </c>
      <c r="M5591" s="187">
        <v>1060.1328125</v>
      </c>
      <c r="N5591" s="187">
        <v>328.77359008789063</v>
      </c>
      <c r="O5591" t="s">
        <v>8673</v>
      </c>
    </row>
    <row r="5592" spans="1:15" x14ac:dyDescent="0.45">
      <c r="A5592" s="187">
        <v>2022</v>
      </c>
      <c r="B5592" t="s">
        <v>34</v>
      </c>
      <c r="C5592" t="s">
        <v>325</v>
      </c>
      <c r="D5592" t="s">
        <v>35</v>
      </c>
      <c r="E5592" t="s">
        <v>357</v>
      </c>
      <c r="F5592" t="s">
        <v>415</v>
      </c>
      <c r="G5592" t="s">
        <v>36</v>
      </c>
      <c r="H5592" t="s">
        <v>43</v>
      </c>
      <c r="I5592" s="187">
        <v>388.9224853515625</v>
      </c>
      <c r="J5592" s="187">
        <v>3.625</v>
      </c>
      <c r="K5592" s="187">
        <v>1530.1409912109375</v>
      </c>
      <c r="L5592" s="187">
        <v>1211</v>
      </c>
      <c r="M5592" s="187">
        <v>3133.6884765625</v>
      </c>
      <c r="N5592" s="187">
        <v>1599.9224853515625</v>
      </c>
      <c r="O5592" t="s">
        <v>8674</v>
      </c>
    </row>
    <row r="5593" spans="1:15" x14ac:dyDescent="0.45">
      <c r="A5593" s="187">
        <v>2022</v>
      </c>
      <c r="B5593" t="s">
        <v>34</v>
      </c>
      <c r="C5593" t="s">
        <v>325</v>
      </c>
      <c r="D5593" t="s">
        <v>35</v>
      </c>
      <c r="E5593" t="s">
        <v>357</v>
      </c>
      <c r="F5593" t="s">
        <v>415</v>
      </c>
      <c r="G5593" t="s">
        <v>37</v>
      </c>
      <c r="H5593" t="s">
        <v>43</v>
      </c>
      <c r="I5593" s="187">
        <v>388.92248999999993</v>
      </c>
      <c r="J5593" s="187">
        <v>3.625</v>
      </c>
      <c r="K5593" s="187">
        <v>1530.14105</v>
      </c>
      <c r="L5593" s="187">
        <v>1211</v>
      </c>
      <c r="M5593" s="187">
        <v>3133.6884765625</v>
      </c>
      <c r="N5593" s="187">
        <v>1599.9224853515625</v>
      </c>
      <c r="O5593" t="s">
        <v>8675</v>
      </c>
    </row>
    <row r="5594" spans="1:15" x14ac:dyDescent="0.45">
      <c r="A5594" s="187">
        <v>2022</v>
      </c>
      <c r="B5594" t="s">
        <v>34</v>
      </c>
      <c r="C5594" t="s">
        <v>325</v>
      </c>
      <c r="D5594" t="s">
        <v>35</v>
      </c>
      <c r="E5594" t="s">
        <v>357</v>
      </c>
      <c r="F5594" t="s">
        <v>416</v>
      </c>
      <c r="G5594" t="s">
        <v>36</v>
      </c>
      <c r="H5594" t="s">
        <v>43</v>
      </c>
      <c r="I5594" s="187">
        <v>0</v>
      </c>
      <c r="J5594" s="187"/>
      <c r="K5594" s="187">
        <v>49.236648559570313</v>
      </c>
      <c r="L5594" s="187">
        <v>0</v>
      </c>
      <c r="M5594" s="187">
        <v>49.236648559570313</v>
      </c>
      <c r="N5594" s="187">
        <v>0</v>
      </c>
      <c r="O5594" t="s">
        <v>8676</v>
      </c>
    </row>
    <row r="5595" spans="1:15" x14ac:dyDescent="0.45">
      <c r="A5595" s="187">
        <v>2022</v>
      </c>
      <c r="B5595" t="s">
        <v>34</v>
      </c>
      <c r="C5595" t="s">
        <v>325</v>
      </c>
      <c r="D5595" t="s">
        <v>35</v>
      </c>
      <c r="E5595" t="s">
        <v>357</v>
      </c>
      <c r="F5595" t="s">
        <v>416</v>
      </c>
      <c r="G5595" t="s">
        <v>37</v>
      </c>
      <c r="H5595" t="s">
        <v>43</v>
      </c>
      <c r="I5595" s="187">
        <v>0</v>
      </c>
      <c r="J5595" s="187"/>
      <c r="K5595" s="187">
        <v>49.236649999999997</v>
      </c>
      <c r="L5595" s="187">
        <v>0</v>
      </c>
      <c r="M5595" s="187">
        <v>49.236648559570313</v>
      </c>
      <c r="N5595" s="187">
        <v>0</v>
      </c>
      <c r="O5595" t="s">
        <v>8677</v>
      </c>
    </row>
    <row r="5596" spans="1:15" x14ac:dyDescent="0.45">
      <c r="A5596" s="187">
        <v>2022</v>
      </c>
      <c r="B5596" t="s">
        <v>34</v>
      </c>
      <c r="C5596" t="s">
        <v>325</v>
      </c>
      <c r="D5596" t="s">
        <v>35</v>
      </c>
      <c r="E5596" t="s">
        <v>357</v>
      </c>
      <c r="F5596" t="s">
        <v>417</v>
      </c>
      <c r="G5596" t="s">
        <v>36</v>
      </c>
      <c r="H5596" t="s">
        <v>43</v>
      </c>
      <c r="I5596" s="187">
        <v>0</v>
      </c>
      <c r="J5596" s="187">
        <v>267.60000610351563</v>
      </c>
      <c r="K5596" s="187">
        <v>0.6777300238609314</v>
      </c>
      <c r="L5596" s="187">
        <v>0</v>
      </c>
      <c r="M5596" s="187">
        <v>268.27774047851563</v>
      </c>
      <c r="N5596" s="187">
        <v>0</v>
      </c>
      <c r="O5596" t="s">
        <v>8678</v>
      </c>
    </row>
    <row r="5597" spans="1:15" x14ac:dyDescent="0.45">
      <c r="A5597" s="187">
        <v>2022</v>
      </c>
      <c r="B5597" t="s">
        <v>34</v>
      </c>
      <c r="C5597" t="s">
        <v>325</v>
      </c>
      <c r="D5597" t="s">
        <v>35</v>
      </c>
      <c r="E5597" t="s">
        <v>357</v>
      </c>
      <c r="F5597" t="s">
        <v>417</v>
      </c>
      <c r="G5597" t="s">
        <v>37</v>
      </c>
      <c r="H5597" t="s">
        <v>43</v>
      </c>
      <c r="I5597" s="187">
        <v>0</v>
      </c>
      <c r="J5597" s="187">
        <v>267.60000000000002</v>
      </c>
      <c r="K5597" s="187">
        <v>0.67772999999999994</v>
      </c>
      <c r="L5597" s="187">
        <v>0</v>
      </c>
      <c r="M5597" s="187">
        <v>268.27774047851563</v>
      </c>
      <c r="N5597" s="187">
        <v>0</v>
      </c>
      <c r="O5597" t="s">
        <v>8679</v>
      </c>
    </row>
    <row r="5598" spans="1:15" x14ac:dyDescent="0.45">
      <c r="A5598" s="187">
        <v>2022</v>
      </c>
      <c r="B5598" t="s">
        <v>34</v>
      </c>
      <c r="C5598" t="s">
        <v>325</v>
      </c>
      <c r="D5598" t="s">
        <v>35</v>
      </c>
      <c r="E5598" t="s">
        <v>357</v>
      </c>
      <c r="F5598" t="s">
        <v>418</v>
      </c>
      <c r="G5598" t="s">
        <v>36</v>
      </c>
      <c r="H5598" t="s">
        <v>43</v>
      </c>
      <c r="I5598" s="187">
        <v>0</v>
      </c>
      <c r="J5598" s="187">
        <v>13.25100040435791</v>
      </c>
      <c r="K5598" s="187">
        <v>214.76913452148438</v>
      </c>
      <c r="L5598" s="187">
        <v>0</v>
      </c>
      <c r="M5598" s="187">
        <v>228.0201416015625</v>
      </c>
      <c r="N5598" s="187">
        <v>0</v>
      </c>
      <c r="O5598" t="s">
        <v>8680</v>
      </c>
    </row>
    <row r="5599" spans="1:15" x14ac:dyDescent="0.45">
      <c r="A5599" s="187">
        <v>2022</v>
      </c>
      <c r="B5599" t="s">
        <v>34</v>
      </c>
      <c r="C5599" t="s">
        <v>325</v>
      </c>
      <c r="D5599" t="s">
        <v>35</v>
      </c>
      <c r="E5599" t="s">
        <v>357</v>
      </c>
      <c r="F5599" t="s">
        <v>418</v>
      </c>
      <c r="G5599" t="s">
        <v>37</v>
      </c>
      <c r="H5599" t="s">
        <v>43</v>
      </c>
      <c r="I5599" s="187">
        <v>0</v>
      </c>
      <c r="J5599" s="187">
        <v>13.250999999999999</v>
      </c>
      <c r="K5599" s="187">
        <v>214.76913999999999</v>
      </c>
      <c r="L5599" s="187">
        <v>0</v>
      </c>
      <c r="M5599" s="187">
        <v>228.0201416015625</v>
      </c>
      <c r="N5599" s="187">
        <v>0</v>
      </c>
      <c r="O5599" t="s">
        <v>8681</v>
      </c>
    </row>
    <row r="5600" spans="1:15" x14ac:dyDescent="0.45">
      <c r="A5600" s="187">
        <v>2022</v>
      </c>
      <c r="B5600" t="s">
        <v>34</v>
      </c>
      <c r="C5600" t="s">
        <v>325</v>
      </c>
      <c r="D5600" t="s">
        <v>35</v>
      </c>
      <c r="E5600" t="s">
        <v>357</v>
      </c>
      <c r="F5600" t="s">
        <v>419</v>
      </c>
      <c r="G5600" t="s">
        <v>36</v>
      </c>
      <c r="H5600" t="s">
        <v>43</v>
      </c>
      <c r="I5600" s="187">
        <v>0</v>
      </c>
      <c r="J5600" s="187"/>
      <c r="K5600" s="187">
        <v>0</v>
      </c>
      <c r="L5600" s="187">
        <v>0</v>
      </c>
      <c r="M5600" s="187">
        <v>0</v>
      </c>
      <c r="N5600" s="187">
        <v>0</v>
      </c>
      <c r="O5600" t="s">
        <v>8682</v>
      </c>
    </row>
    <row r="5601" spans="1:15" x14ac:dyDescent="0.45">
      <c r="A5601" s="187">
        <v>2022</v>
      </c>
      <c r="B5601" t="s">
        <v>34</v>
      </c>
      <c r="C5601" t="s">
        <v>325</v>
      </c>
      <c r="D5601" t="s">
        <v>35</v>
      </c>
      <c r="E5601" t="s">
        <v>357</v>
      </c>
      <c r="F5601" t="s">
        <v>419</v>
      </c>
      <c r="G5601" t="s">
        <v>37</v>
      </c>
      <c r="H5601" t="s">
        <v>43</v>
      </c>
      <c r="I5601" s="187">
        <v>0</v>
      </c>
      <c r="J5601" s="187"/>
      <c r="K5601" s="187">
        <v>0</v>
      </c>
      <c r="L5601" s="187">
        <v>0</v>
      </c>
      <c r="M5601" s="187">
        <v>0</v>
      </c>
      <c r="N5601" s="187">
        <v>0</v>
      </c>
      <c r="O5601" t="s">
        <v>8683</v>
      </c>
    </row>
    <row r="5602" spans="1:15" x14ac:dyDescent="0.45">
      <c r="A5602" s="187">
        <v>2022</v>
      </c>
      <c r="B5602" t="s">
        <v>34</v>
      </c>
      <c r="C5602" t="s">
        <v>325</v>
      </c>
      <c r="D5602" t="s">
        <v>35</v>
      </c>
      <c r="E5602" t="s">
        <v>357</v>
      </c>
      <c r="F5602" t="s">
        <v>420</v>
      </c>
      <c r="G5602" t="s">
        <v>36</v>
      </c>
      <c r="H5602" t="s">
        <v>43</v>
      </c>
      <c r="I5602" s="187">
        <v>0</v>
      </c>
      <c r="J5602" s="187">
        <v>280.85101318359375</v>
      </c>
      <c r="K5602" s="187">
        <v>264.68353271484375</v>
      </c>
      <c r="L5602" s="187">
        <v>0</v>
      </c>
      <c r="M5602" s="187">
        <v>545.5345458984375</v>
      </c>
      <c r="N5602" s="187">
        <v>0</v>
      </c>
      <c r="O5602" t="s">
        <v>8684</v>
      </c>
    </row>
    <row r="5603" spans="1:15" x14ac:dyDescent="0.45">
      <c r="A5603" s="187">
        <v>2022</v>
      </c>
      <c r="B5603" t="s">
        <v>34</v>
      </c>
      <c r="C5603" t="s">
        <v>325</v>
      </c>
      <c r="D5603" t="s">
        <v>35</v>
      </c>
      <c r="E5603" t="s">
        <v>357</v>
      </c>
      <c r="F5603" t="s">
        <v>420</v>
      </c>
      <c r="G5603" t="s">
        <v>37</v>
      </c>
      <c r="H5603" t="s">
        <v>43</v>
      </c>
      <c r="I5603" s="187">
        <v>0</v>
      </c>
      <c r="J5603" s="187">
        <v>280.851</v>
      </c>
      <c r="K5603" s="187">
        <v>264.68351999999999</v>
      </c>
      <c r="L5603" s="187">
        <v>0</v>
      </c>
      <c r="M5603" s="187">
        <v>545.5345458984375</v>
      </c>
      <c r="N5603" s="187">
        <v>0</v>
      </c>
      <c r="O5603" t="s">
        <v>8685</v>
      </c>
    </row>
    <row r="5604" spans="1:15" x14ac:dyDescent="0.45">
      <c r="A5604" s="187">
        <v>2022</v>
      </c>
      <c r="B5604" t="s">
        <v>34</v>
      </c>
      <c r="C5604" t="s">
        <v>325</v>
      </c>
      <c r="D5604" t="s">
        <v>35</v>
      </c>
      <c r="E5604" t="s">
        <v>357</v>
      </c>
      <c r="F5604" t="s">
        <v>402</v>
      </c>
      <c r="G5604" t="s">
        <v>36</v>
      </c>
      <c r="H5604" t="s">
        <v>43</v>
      </c>
      <c r="I5604" s="187">
        <v>37.702068328857422</v>
      </c>
      <c r="J5604" s="187">
        <v>0</v>
      </c>
      <c r="K5604" s="187">
        <v>0</v>
      </c>
      <c r="L5604" s="187">
        <v>0</v>
      </c>
      <c r="M5604" s="187">
        <v>37.702068328857422</v>
      </c>
      <c r="N5604" s="187">
        <v>37.702068328857422</v>
      </c>
      <c r="O5604" t="s">
        <v>8686</v>
      </c>
    </row>
    <row r="5605" spans="1:15" x14ac:dyDescent="0.45">
      <c r="A5605" s="187">
        <v>2022</v>
      </c>
      <c r="B5605" t="s">
        <v>34</v>
      </c>
      <c r="C5605" t="s">
        <v>325</v>
      </c>
      <c r="D5605" t="s">
        <v>35</v>
      </c>
      <c r="E5605" t="s">
        <v>357</v>
      </c>
      <c r="F5605" t="s">
        <v>402</v>
      </c>
      <c r="G5605" t="s">
        <v>37</v>
      </c>
      <c r="H5605" t="s">
        <v>43</v>
      </c>
      <c r="I5605" s="187">
        <v>37.702069999999999</v>
      </c>
      <c r="J5605" s="187">
        <v>0</v>
      </c>
      <c r="K5605" s="187">
        <v>0</v>
      </c>
      <c r="L5605" s="187">
        <v>0</v>
      </c>
      <c r="M5605" s="187">
        <v>37.702068328857422</v>
      </c>
      <c r="N5605" s="187">
        <v>37.702068328857422</v>
      </c>
      <c r="O5605" t="s">
        <v>8687</v>
      </c>
    </row>
    <row r="5606" spans="1:15" x14ac:dyDescent="0.45">
      <c r="A5606" s="187">
        <v>2022</v>
      </c>
      <c r="B5606" t="s">
        <v>34</v>
      </c>
      <c r="C5606" t="s">
        <v>325</v>
      </c>
      <c r="D5606" t="s">
        <v>35</v>
      </c>
      <c r="E5606" t="s">
        <v>357</v>
      </c>
      <c r="F5606" t="s">
        <v>403</v>
      </c>
      <c r="G5606" t="s">
        <v>36</v>
      </c>
      <c r="H5606" t="s">
        <v>43</v>
      </c>
      <c r="I5606" s="187">
        <v>3906.7001953125</v>
      </c>
      <c r="J5606" s="187">
        <v>0</v>
      </c>
      <c r="K5606" s="187">
        <v>2381.6396484375</v>
      </c>
      <c r="L5606" s="187">
        <v>2088</v>
      </c>
      <c r="M5606" s="187">
        <v>8376.33984375</v>
      </c>
      <c r="N5606" s="187">
        <v>5994.7001953125</v>
      </c>
      <c r="O5606" t="s">
        <v>8688</v>
      </c>
    </row>
    <row r="5607" spans="1:15" x14ac:dyDescent="0.45">
      <c r="A5607" s="187">
        <v>2022</v>
      </c>
      <c r="B5607" t="s">
        <v>34</v>
      </c>
      <c r="C5607" t="s">
        <v>325</v>
      </c>
      <c r="D5607" t="s">
        <v>35</v>
      </c>
      <c r="E5607" t="s">
        <v>357</v>
      </c>
      <c r="F5607" t="s">
        <v>403</v>
      </c>
      <c r="G5607" t="s">
        <v>37</v>
      </c>
      <c r="H5607" t="s">
        <v>43</v>
      </c>
      <c r="I5607" s="187">
        <v>3906.7002399999992</v>
      </c>
      <c r="J5607" s="187">
        <v>0</v>
      </c>
      <c r="K5607" s="187">
        <v>2381.6397400000001</v>
      </c>
      <c r="L5607" s="187">
        <v>2088</v>
      </c>
      <c r="M5607" s="187">
        <v>8376.33984375</v>
      </c>
      <c r="N5607" s="187">
        <v>5994.7001953125</v>
      </c>
      <c r="O5607" t="s">
        <v>8689</v>
      </c>
    </row>
    <row r="5608" spans="1:15" x14ac:dyDescent="0.45">
      <c r="A5608" s="187">
        <v>2022</v>
      </c>
      <c r="B5608" t="s">
        <v>34</v>
      </c>
      <c r="C5608" t="s">
        <v>325</v>
      </c>
      <c r="D5608" t="s">
        <v>35</v>
      </c>
      <c r="E5608" t="s">
        <v>357</v>
      </c>
      <c r="F5608" t="s">
        <v>405</v>
      </c>
      <c r="G5608" t="s">
        <v>36</v>
      </c>
      <c r="H5608" t="s">
        <v>43</v>
      </c>
      <c r="I5608" s="187">
        <v>40.914661407470703</v>
      </c>
      <c r="J5608" s="187">
        <v>0</v>
      </c>
      <c r="K5608" s="187">
        <v>616.87591552734375</v>
      </c>
      <c r="L5608" s="187">
        <v>522</v>
      </c>
      <c r="M5608" s="187">
        <v>1179.79052734375</v>
      </c>
      <c r="N5608" s="187">
        <v>562.9146728515625</v>
      </c>
      <c r="O5608" t="s">
        <v>8690</v>
      </c>
    </row>
    <row r="5609" spans="1:15" x14ac:dyDescent="0.45">
      <c r="A5609" s="187">
        <v>2022</v>
      </c>
      <c r="B5609" t="s">
        <v>34</v>
      </c>
      <c r="C5609" t="s">
        <v>325</v>
      </c>
      <c r="D5609" t="s">
        <v>35</v>
      </c>
      <c r="E5609" t="s">
        <v>357</v>
      </c>
      <c r="F5609" t="s">
        <v>405</v>
      </c>
      <c r="G5609" t="s">
        <v>37</v>
      </c>
      <c r="H5609" t="s">
        <v>43</v>
      </c>
      <c r="I5609" s="187">
        <v>40.914659999999998</v>
      </c>
      <c r="J5609" s="187">
        <v>0</v>
      </c>
      <c r="K5609" s="187">
        <v>616.87593000000004</v>
      </c>
      <c r="L5609" s="187">
        <v>522</v>
      </c>
      <c r="M5609" s="187">
        <v>1179.79052734375</v>
      </c>
      <c r="N5609" s="187">
        <v>562.9146728515625</v>
      </c>
      <c r="O5609" t="s">
        <v>8691</v>
      </c>
    </row>
    <row r="5610" spans="1:15" x14ac:dyDescent="0.45">
      <c r="A5610" s="187">
        <v>2022</v>
      </c>
      <c r="B5610" t="s">
        <v>34</v>
      </c>
      <c r="C5610" t="s">
        <v>325</v>
      </c>
      <c r="D5610" t="s">
        <v>35</v>
      </c>
      <c r="E5610" t="s">
        <v>357</v>
      </c>
      <c r="F5610" t="s">
        <v>406</v>
      </c>
      <c r="G5610" t="s">
        <v>36</v>
      </c>
      <c r="H5610" t="s">
        <v>43</v>
      </c>
      <c r="I5610" s="187">
        <v>8.3253297805786133</v>
      </c>
      <c r="J5610" s="187">
        <v>132.10200500488281</v>
      </c>
      <c r="K5610" s="187">
        <v>56.680759429931641</v>
      </c>
      <c r="L5610" s="187">
        <v>0</v>
      </c>
      <c r="M5610" s="187">
        <v>197.10809326171875</v>
      </c>
      <c r="N5610" s="187">
        <v>8.3253297805786133</v>
      </c>
      <c r="O5610" t="s">
        <v>8692</v>
      </c>
    </row>
    <row r="5611" spans="1:15" x14ac:dyDescent="0.45">
      <c r="A5611" s="187">
        <v>2022</v>
      </c>
      <c r="B5611" t="s">
        <v>34</v>
      </c>
      <c r="C5611" t="s">
        <v>325</v>
      </c>
      <c r="D5611" t="s">
        <v>35</v>
      </c>
      <c r="E5611" t="s">
        <v>357</v>
      </c>
      <c r="F5611" t="s">
        <v>406</v>
      </c>
      <c r="G5611" t="s">
        <v>37</v>
      </c>
      <c r="H5611" t="s">
        <v>43</v>
      </c>
      <c r="I5611" s="187">
        <v>8.3253299999999992</v>
      </c>
      <c r="J5611" s="187">
        <v>132.102</v>
      </c>
      <c r="K5611" s="187">
        <v>56.680759999999992</v>
      </c>
      <c r="L5611" s="187">
        <v>0</v>
      </c>
      <c r="M5611" s="187">
        <v>197.10807800292969</v>
      </c>
      <c r="N5611" s="187">
        <v>8.3253297805786133</v>
      </c>
      <c r="O5611" t="s">
        <v>8693</v>
      </c>
    </row>
    <row r="5612" spans="1:15" x14ac:dyDescent="0.45">
      <c r="A5612" s="187">
        <v>2022</v>
      </c>
      <c r="B5612" t="s">
        <v>34</v>
      </c>
      <c r="C5612" t="s">
        <v>325</v>
      </c>
      <c r="D5612" t="s">
        <v>35</v>
      </c>
      <c r="E5612" t="s">
        <v>357</v>
      </c>
      <c r="F5612" t="s">
        <v>421</v>
      </c>
      <c r="G5612" t="s">
        <v>36</v>
      </c>
      <c r="H5612" t="s">
        <v>43</v>
      </c>
      <c r="I5612" s="187">
        <v>0</v>
      </c>
      <c r="J5612" s="187">
        <v>0</v>
      </c>
      <c r="K5612" s="187">
        <v>1.6624699831008911</v>
      </c>
      <c r="L5612" s="187">
        <v>320</v>
      </c>
      <c r="M5612" s="187">
        <v>321.6624755859375</v>
      </c>
      <c r="N5612" s="187">
        <v>320</v>
      </c>
      <c r="O5612" t="s">
        <v>8694</v>
      </c>
    </row>
    <row r="5613" spans="1:15" x14ac:dyDescent="0.45">
      <c r="A5613" s="187">
        <v>2022</v>
      </c>
      <c r="B5613" t="s">
        <v>34</v>
      </c>
      <c r="C5613" t="s">
        <v>325</v>
      </c>
      <c r="D5613" t="s">
        <v>35</v>
      </c>
      <c r="E5613" t="s">
        <v>357</v>
      </c>
      <c r="F5613" t="s">
        <v>421</v>
      </c>
      <c r="G5613" t="s">
        <v>37</v>
      </c>
      <c r="H5613" t="s">
        <v>43</v>
      </c>
      <c r="I5613" s="187">
        <v>0</v>
      </c>
      <c r="J5613" s="187">
        <v>0</v>
      </c>
      <c r="K5613" s="187">
        <v>1.662469999999999</v>
      </c>
      <c r="L5613" s="187">
        <v>320</v>
      </c>
      <c r="M5613" s="187">
        <v>321.6624755859375</v>
      </c>
      <c r="N5613" s="187">
        <v>320</v>
      </c>
      <c r="O5613" t="s">
        <v>8695</v>
      </c>
    </row>
    <row r="5614" spans="1:15" x14ac:dyDescent="0.45">
      <c r="A5614" s="187">
        <v>2022</v>
      </c>
      <c r="B5614" t="s">
        <v>34</v>
      </c>
      <c r="C5614" t="s">
        <v>325</v>
      </c>
      <c r="D5614" t="s">
        <v>35</v>
      </c>
      <c r="E5614" t="s">
        <v>357</v>
      </c>
      <c r="F5614" t="s">
        <v>422</v>
      </c>
      <c r="G5614" t="s">
        <v>36</v>
      </c>
      <c r="H5614" t="s">
        <v>43</v>
      </c>
      <c r="I5614" s="187">
        <v>3993.642333984375</v>
      </c>
      <c r="J5614" s="187">
        <v>132.10200500488281</v>
      </c>
      <c r="K5614" s="187">
        <v>3056.85888671875</v>
      </c>
      <c r="L5614" s="187">
        <v>2930</v>
      </c>
      <c r="M5614" s="187">
        <v>10112.603515625</v>
      </c>
      <c r="N5614" s="187">
        <v>6923.642578125</v>
      </c>
      <c r="O5614" t="s">
        <v>8696</v>
      </c>
    </row>
    <row r="5615" spans="1:15" x14ac:dyDescent="0.45">
      <c r="A5615" s="187">
        <v>2022</v>
      </c>
      <c r="B5615" t="s">
        <v>34</v>
      </c>
      <c r="C5615" t="s">
        <v>325</v>
      </c>
      <c r="D5615" t="s">
        <v>35</v>
      </c>
      <c r="E5615" t="s">
        <v>357</v>
      </c>
      <c r="F5615" t="s">
        <v>422</v>
      </c>
      <c r="G5615" t="s">
        <v>37</v>
      </c>
      <c r="H5615" t="s">
        <v>43</v>
      </c>
      <c r="I5615" s="187">
        <v>3993.6422999999991</v>
      </c>
      <c r="J5615" s="187">
        <v>132.102</v>
      </c>
      <c r="K5615" s="187">
        <v>3056.8589000000011</v>
      </c>
      <c r="L5615" s="187">
        <v>2930</v>
      </c>
      <c r="M5615" s="187">
        <v>10112.603515625</v>
      </c>
      <c r="N5615" s="187">
        <v>6923.642578125</v>
      </c>
      <c r="O5615" t="s">
        <v>8697</v>
      </c>
    </row>
    <row r="5616" spans="1:15" x14ac:dyDescent="0.45">
      <c r="A5616" s="187">
        <v>2022</v>
      </c>
      <c r="B5616" t="s">
        <v>34</v>
      </c>
      <c r="C5616" t="s">
        <v>325</v>
      </c>
      <c r="D5616" t="s">
        <v>35</v>
      </c>
      <c r="E5616" t="s">
        <v>357</v>
      </c>
      <c r="F5616" t="s">
        <v>423</v>
      </c>
      <c r="G5616" t="s">
        <v>36</v>
      </c>
      <c r="H5616" t="s">
        <v>43</v>
      </c>
      <c r="I5616" s="187">
        <v>45.848110198974609</v>
      </c>
      <c r="J5616" s="187">
        <v>0</v>
      </c>
      <c r="K5616" s="187">
        <v>384.50527954101563</v>
      </c>
      <c r="L5616" s="187">
        <v>22</v>
      </c>
      <c r="M5616" s="187">
        <v>452.3533935546875</v>
      </c>
      <c r="N5616" s="187">
        <v>67.848114013671875</v>
      </c>
      <c r="O5616" t="s">
        <v>8698</v>
      </c>
    </row>
    <row r="5617" spans="1:15" x14ac:dyDescent="0.45">
      <c r="A5617" s="187">
        <v>2022</v>
      </c>
      <c r="B5617" t="s">
        <v>34</v>
      </c>
      <c r="C5617" t="s">
        <v>325</v>
      </c>
      <c r="D5617" t="s">
        <v>35</v>
      </c>
      <c r="E5617" t="s">
        <v>357</v>
      </c>
      <c r="F5617" t="s">
        <v>423</v>
      </c>
      <c r="G5617" t="s">
        <v>37</v>
      </c>
      <c r="H5617" t="s">
        <v>43</v>
      </c>
      <c r="I5617" s="187">
        <v>45.848109999999998</v>
      </c>
      <c r="J5617" s="187">
        <v>0</v>
      </c>
      <c r="K5617" s="187">
        <v>384.50529000000012</v>
      </c>
      <c r="L5617" s="187">
        <v>22</v>
      </c>
      <c r="M5617" s="187">
        <v>452.3533935546875</v>
      </c>
      <c r="N5617" s="187">
        <v>67.848114013671875</v>
      </c>
      <c r="O5617" t="s">
        <v>8699</v>
      </c>
    </row>
    <row r="5618" spans="1:15" x14ac:dyDescent="0.45">
      <c r="A5618" s="187">
        <v>2022</v>
      </c>
      <c r="B5618" t="s">
        <v>34</v>
      </c>
      <c r="C5618" t="s">
        <v>325</v>
      </c>
      <c r="D5618" t="s">
        <v>35</v>
      </c>
      <c r="E5618" t="s">
        <v>357</v>
      </c>
      <c r="F5618" t="s">
        <v>424</v>
      </c>
      <c r="G5618" t="s">
        <v>36</v>
      </c>
      <c r="H5618" t="s">
        <v>43</v>
      </c>
      <c r="I5618" s="187">
        <v>0</v>
      </c>
      <c r="J5618" s="187">
        <v>0</v>
      </c>
      <c r="K5618" s="187">
        <v>0</v>
      </c>
      <c r="L5618" s="187">
        <v>57</v>
      </c>
      <c r="M5618" s="187">
        <v>57</v>
      </c>
      <c r="N5618" s="187">
        <v>57</v>
      </c>
      <c r="O5618" t="s">
        <v>8700</v>
      </c>
    </row>
    <row r="5619" spans="1:15" x14ac:dyDescent="0.45">
      <c r="A5619" s="187">
        <v>2022</v>
      </c>
      <c r="B5619" t="s">
        <v>34</v>
      </c>
      <c r="C5619" t="s">
        <v>325</v>
      </c>
      <c r="D5619" t="s">
        <v>35</v>
      </c>
      <c r="E5619" t="s">
        <v>357</v>
      </c>
      <c r="F5619" t="s">
        <v>424</v>
      </c>
      <c r="G5619" t="s">
        <v>37</v>
      </c>
      <c r="H5619" t="s">
        <v>43</v>
      </c>
      <c r="I5619" s="187">
        <v>0</v>
      </c>
      <c r="J5619" s="187">
        <v>0</v>
      </c>
      <c r="K5619" s="187">
        <v>0</v>
      </c>
      <c r="L5619" s="187">
        <v>57</v>
      </c>
      <c r="M5619" s="187">
        <v>57</v>
      </c>
      <c r="N5619" s="187">
        <v>57</v>
      </c>
      <c r="O5619" t="s">
        <v>8701</v>
      </c>
    </row>
    <row r="5620" spans="1:15" x14ac:dyDescent="0.45">
      <c r="A5620" s="187">
        <v>2022</v>
      </c>
      <c r="B5620" t="s">
        <v>34</v>
      </c>
      <c r="C5620" t="s">
        <v>325</v>
      </c>
      <c r="D5620" t="s">
        <v>35</v>
      </c>
      <c r="E5620" t="s">
        <v>357</v>
      </c>
      <c r="F5620" t="s">
        <v>446</v>
      </c>
      <c r="G5620" t="s">
        <v>36</v>
      </c>
      <c r="H5620" t="s">
        <v>43</v>
      </c>
      <c r="I5620" s="187">
        <v>54.553081512451172</v>
      </c>
      <c r="J5620" s="187">
        <v>0</v>
      </c>
      <c r="K5620" s="187">
        <v>64.240142822265625</v>
      </c>
      <c r="L5620" s="187">
        <v>0</v>
      </c>
      <c r="M5620" s="187">
        <v>118.79322814941406</v>
      </c>
      <c r="N5620" s="187">
        <v>54.553081512451172</v>
      </c>
      <c r="O5620" t="s">
        <v>8702</v>
      </c>
    </row>
    <row r="5621" spans="1:15" x14ac:dyDescent="0.45">
      <c r="A5621" s="187">
        <v>2022</v>
      </c>
      <c r="B5621" t="s">
        <v>34</v>
      </c>
      <c r="C5621" t="s">
        <v>325</v>
      </c>
      <c r="D5621" t="s">
        <v>35</v>
      </c>
      <c r="E5621" t="s">
        <v>357</v>
      </c>
      <c r="F5621" t="s">
        <v>446</v>
      </c>
      <c r="G5621" t="s">
        <v>37</v>
      </c>
      <c r="H5621" t="s">
        <v>43</v>
      </c>
      <c r="I5621" s="187">
        <v>54.553080000000001</v>
      </c>
      <c r="J5621" s="187">
        <v>0</v>
      </c>
      <c r="K5621" s="187">
        <v>64.240140000000011</v>
      </c>
      <c r="L5621" s="187">
        <v>0</v>
      </c>
      <c r="M5621" s="187">
        <v>118.79322052001953</v>
      </c>
      <c r="N5621" s="187">
        <v>54.553081512451172</v>
      </c>
      <c r="O5621" t="s">
        <v>8703</v>
      </c>
    </row>
    <row r="5622" spans="1:15" x14ac:dyDescent="0.45">
      <c r="A5622" s="187">
        <v>2022</v>
      </c>
      <c r="B5622" t="s">
        <v>34</v>
      </c>
      <c r="C5622" t="s">
        <v>325</v>
      </c>
      <c r="D5622" t="s">
        <v>35</v>
      </c>
      <c r="E5622" t="s">
        <v>357</v>
      </c>
      <c r="F5622" t="s">
        <v>426</v>
      </c>
      <c r="G5622" t="s">
        <v>36</v>
      </c>
      <c r="H5622" t="s">
        <v>43</v>
      </c>
      <c r="I5622" s="187">
        <v>100.40119171142578</v>
      </c>
      <c r="J5622" s="187">
        <v>0</v>
      </c>
      <c r="K5622" s="187">
        <v>448.74542236328125</v>
      </c>
      <c r="L5622" s="187">
        <v>79</v>
      </c>
      <c r="M5622" s="187">
        <v>628.1466064453125</v>
      </c>
      <c r="N5622" s="187">
        <v>179.40118408203125</v>
      </c>
      <c r="O5622" t="s">
        <v>8704</v>
      </c>
    </row>
    <row r="5623" spans="1:15" x14ac:dyDescent="0.45">
      <c r="A5623" s="187">
        <v>2022</v>
      </c>
      <c r="B5623" t="s">
        <v>34</v>
      </c>
      <c r="C5623" t="s">
        <v>325</v>
      </c>
      <c r="D5623" t="s">
        <v>35</v>
      </c>
      <c r="E5623" t="s">
        <v>357</v>
      </c>
      <c r="F5623" t="s">
        <v>426</v>
      </c>
      <c r="G5623" t="s">
        <v>37</v>
      </c>
      <c r="H5623" t="s">
        <v>43</v>
      </c>
      <c r="I5623" s="187">
        <v>100.40119</v>
      </c>
      <c r="J5623" s="187">
        <v>0</v>
      </c>
      <c r="K5623" s="187">
        <v>448.74543000000011</v>
      </c>
      <c r="L5623" s="187">
        <v>79</v>
      </c>
      <c r="M5623" s="187">
        <v>628.1466064453125</v>
      </c>
      <c r="N5623" s="187">
        <v>179.40118408203125</v>
      </c>
      <c r="O5623" t="s">
        <v>8705</v>
      </c>
    </row>
    <row r="5624" spans="1:15" x14ac:dyDescent="0.45">
      <c r="A5624" s="187">
        <v>2022</v>
      </c>
      <c r="B5624" t="s">
        <v>34</v>
      </c>
      <c r="C5624" t="s">
        <v>325</v>
      </c>
      <c r="D5624" t="s">
        <v>35</v>
      </c>
      <c r="E5624" t="s">
        <v>358</v>
      </c>
      <c r="F5624" t="s">
        <v>427</v>
      </c>
      <c r="G5624" t="s">
        <v>36</v>
      </c>
      <c r="H5624" t="s">
        <v>43</v>
      </c>
      <c r="I5624" s="187">
        <v>133.10299682617188</v>
      </c>
      <c r="J5624" s="187"/>
      <c r="K5624" s="187">
        <v>132.63687133789063</v>
      </c>
      <c r="L5624" s="187">
        <v>428.97000122070313</v>
      </c>
      <c r="M5624" s="187">
        <v>694.7098388671875</v>
      </c>
      <c r="N5624" s="187">
        <v>562.072998046875</v>
      </c>
      <c r="O5624" t="s">
        <v>8706</v>
      </c>
    </row>
    <row r="5625" spans="1:15" x14ac:dyDescent="0.45">
      <c r="A5625" s="187">
        <v>2022</v>
      </c>
      <c r="B5625" t="s">
        <v>34</v>
      </c>
      <c r="C5625" t="s">
        <v>325</v>
      </c>
      <c r="D5625" t="s">
        <v>35</v>
      </c>
      <c r="E5625" t="s">
        <v>358</v>
      </c>
      <c r="F5625" t="s">
        <v>427</v>
      </c>
      <c r="G5625" t="s">
        <v>37</v>
      </c>
      <c r="H5625" t="s">
        <v>43</v>
      </c>
      <c r="I5625" s="187">
        <v>133.10300000000001</v>
      </c>
      <c r="J5625" s="187"/>
      <c r="K5625" s="187">
        <v>132.63686999999999</v>
      </c>
      <c r="L5625" s="187">
        <v>428.97</v>
      </c>
      <c r="M5625" s="187">
        <v>694.7098388671875</v>
      </c>
      <c r="N5625" s="187">
        <v>562.072998046875</v>
      </c>
      <c r="O5625" t="s">
        <v>8707</v>
      </c>
    </row>
    <row r="5626" spans="1:15" x14ac:dyDescent="0.45">
      <c r="A5626" s="187">
        <v>2022</v>
      </c>
      <c r="B5626" t="s">
        <v>34</v>
      </c>
      <c r="C5626" t="s">
        <v>325</v>
      </c>
      <c r="D5626" t="s">
        <v>35</v>
      </c>
      <c r="E5626" t="s">
        <v>358</v>
      </c>
      <c r="F5626" t="s">
        <v>392</v>
      </c>
      <c r="G5626" t="s">
        <v>36</v>
      </c>
      <c r="H5626" t="s">
        <v>43</v>
      </c>
      <c r="I5626" s="187">
        <v>0</v>
      </c>
      <c r="J5626" s="187">
        <v>0</v>
      </c>
      <c r="K5626" s="187">
        <v>0</v>
      </c>
      <c r="L5626" s="187">
        <v>0</v>
      </c>
      <c r="M5626" s="187">
        <v>0</v>
      </c>
      <c r="N5626" s="187">
        <v>0</v>
      </c>
      <c r="O5626" t="s">
        <v>8708</v>
      </c>
    </row>
    <row r="5627" spans="1:15" x14ac:dyDescent="0.45">
      <c r="A5627" s="187">
        <v>2022</v>
      </c>
      <c r="B5627" t="s">
        <v>34</v>
      </c>
      <c r="C5627" t="s">
        <v>325</v>
      </c>
      <c r="D5627" t="s">
        <v>35</v>
      </c>
      <c r="E5627" t="s">
        <v>358</v>
      </c>
      <c r="F5627" t="s">
        <v>392</v>
      </c>
      <c r="G5627" t="s">
        <v>37</v>
      </c>
      <c r="H5627" t="s">
        <v>43</v>
      </c>
      <c r="I5627" s="187">
        <v>0</v>
      </c>
      <c r="J5627" s="187">
        <v>0</v>
      </c>
      <c r="K5627" s="187">
        <v>0</v>
      </c>
      <c r="L5627" s="187">
        <v>0</v>
      </c>
      <c r="M5627" s="187">
        <v>0</v>
      </c>
      <c r="N5627" s="187">
        <v>0</v>
      </c>
      <c r="O5627" t="s">
        <v>8709</v>
      </c>
    </row>
    <row r="5628" spans="1:15" x14ac:dyDescent="0.45">
      <c r="A5628" s="187">
        <v>2022</v>
      </c>
      <c r="B5628" t="s">
        <v>34</v>
      </c>
      <c r="C5628" t="s">
        <v>325</v>
      </c>
      <c r="D5628" t="s">
        <v>35</v>
      </c>
      <c r="E5628" t="s">
        <v>358</v>
      </c>
      <c r="F5628" t="s">
        <v>393</v>
      </c>
      <c r="G5628" t="s">
        <v>36</v>
      </c>
      <c r="H5628" t="s">
        <v>43</v>
      </c>
      <c r="I5628" s="187">
        <v>135.81959533691406</v>
      </c>
      <c r="J5628" s="187">
        <v>0</v>
      </c>
      <c r="K5628" s="187">
        <v>0</v>
      </c>
      <c r="L5628" s="187">
        <v>0</v>
      </c>
      <c r="M5628" s="187">
        <v>135.81959533691406</v>
      </c>
      <c r="N5628" s="187">
        <v>135.81959533691406</v>
      </c>
      <c r="O5628" t="s">
        <v>8710</v>
      </c>
    </row>
    <row r="5629" spans="1:15" x14ac:dyDescent="0.45">
      <c r="A5629" s="187">
        <v>2022</v>
      </c>
      <c r="B5629" t="s">
        <v>34</v>
      </c>
      <c r="C5629" t="s">
        <v>325</v>
      </c>
      <c r="D5629" t="s">
        <v>35</v>
      </c>
      <c r="E5629" t="s">
        <v>358</v>
      </c>
      <c r="F5629" t="s">
        <v>393</v>
      </c>
      <c r="G5629" t="s">
        <v>37</v>
      </c>
      <c r="H5629" t="s">
        <v>43</v>
      </c>
      <c r="I5629" s="187">
        <v>135.81959000000001</v>
      </c>
      <c r="J5629" s="187">
        <v>0</v>
      </c>
      <c r="K5629" s="187">
        <v>0</v>
      </c>
      <c r="L5629" s="187">
        <v>0</v>
      </c>
      <c r="M5629" s="187">
        <v>135.81959533691406</v>
      </c>
      <c r="N5629" s="187">
        <v>135.81959533691406</v>
      </c>
      <c r="O5629" t="s">
        <v>8711</v>
      </c>
    </row>
    <row r="5630" spans="1:15" x14ac:dyDescent="0.45">
      <c r="A5630" s="187">
        <v>2022</v>
      </c>
      <c r="B5630" t="s">
        <v>34</v>
      </c>
      <c r="C5630" t="s">
        <v>325</v>
      </c>
      <c r="D5630" t="s">
        <v>35</v>
      </c>
      <c r="E5630" t="s">
        <v>358</v>
      </c>
      <c r="F5630" t="s">
        <v>394</v>
      </c>
      <c r="G5630" t="s">
        <v>36</v>
      </c>
      <c r="H5630" t="s">
        <v>43</v>
      </c>
      <c r="I5630" s="187">
        <v>0</v>
      </c>
      <c r="J5630" s="187">
        <v>0</v>
      </c>
      <c r="K5630" s="187">
        <v>0</v>
      </c>
      <c r="L5630" s="187">
        <v>0</v>
      </c>
      <c r="M5630" s="187">
        <v>0</v>
      </c>
      <c r="N5630" s="187">
        <v>0</v>
      </c>
      <c r="O5630" t="s">
        <v>8712</v>
      </c>
    </row>
    <row r="5631" spans="1:15" x14ac:dyDescent="0.45">
      <c r="A5631" s="187">
        <v>2022</v>
      </c>
      <c r="B5631" t="s">
        <v>34</v>
      </c>
      <c r="C5631" t="s">
        <v>325</v>
      </c>
      <c r="D5631" t="s">
        <v>35</v>
      </c>
      <c r="E5631" t="s">
        <v>358</v>
      </c>
      <c r="F5631" t="s">
        <v>394</v>
      </c>
      <c r="G5631" t="s">
        <v>37</v>
      </c>
      <c r="H5631" t="s">
        <v>43</v>
      </c>
      <c r="I5631" s="187">
        <v>0</v>
      </c>
      <c r="J5631" s="187">
        <v>0</v>
      </c>
      <c r="K5631" s="187">
        <v>0</v>
      </c>
      <c r="L5631" s="187">
        <v>0</v>
      </c>
      <c r="M5631" s="187">
        <v>0</v>
      </c>
      <c r="N5631" s="187">
        <v>0</v>
      </c>
      <c r="O5631" t="s">
        <v>8713</v>
      </c>
    </row>
    <row r="5632" spans="1:15" x14ac:dyDescent="0.45">
      <c r="A5632" s="187">
        <v>2022</v>
      </c>
      <c r="B5632" t="s">
        <v>34</v>
      </c>
      <c r="C5632" t="s">
        <v>325</v>
      </c>
      <c r="D5632" t="s">
        <v>35</v>
      </c>
      <c r="E5632" t="s">
        <v>358</v>
      </c>
      <c r="F5632" t="s">
        <v>395</v>
      </c>
      <c r="G5632" t="s">
        <v>36</v>
      </c>
      <c r="H5632" t="s">
        <v>43</v>
      </c>
      <c r="I5632" s="187">
        <v>0</v>
      </c>
      <c r="J5632" s="187">
        <v>0</v>
      </c>
      <c r="K5632" s="187">
        <v>0</v>
      </c>
      <c r="L5632" s="187">
        <v>0</v>
      </c>
      <c r="M5632" s="187">
        <v>0</v>
      </c>
      <c r="N5632" s="187">
        <v>0</v>
      </c>
      <c r="O5632" t="s">
        <v>8714</v>
      </c>
    </row>
    <row r="5633" spans="1:15" x14ac:dyDescent="0.45">
      <c r="A5633" s="187">
        <v>2022</v>
      </c>
      <c r="B5633" t="s">
        <v>34</v>
      </c>
      <c r="C5633" t="s">
        <v>325</v>
      </c>
      <c r="D5633" t="s">
        <v>35</v>
      </c>
      <c r="E5633" t="s">
        <v>358</v>
      </c>
      <c r="F5633" t="s">
        <v>395</v>
      </c>
      <c r="G5633" t="s">
        <v>37</v>
      </c>
      <c r="H5633" t="s">
        <v>43</v>
      </c>
      <c r="I5633" s="187">
        <v>0</v>
      </c>
      <c r="J5633" s="187">
        <v>0</v>
      </c>
      <c r="K5633" s="187">
        <v>0</v>
      </c>
      <c r="L5633" s="187">
        <v>0</v>
      </c>
      <c r="M5633" s="187">
        <v>0</v>
      </c>
      <c r="N5633" s="187">
        <v>0</v>
      </c>
      <c r="O5633" t="s">
        <v>8715</v>
      </c>
    </row>
    <row r="5634" spans="1:15" x14ac:dyDescent="0.45">
      <c r="A5634" s="187">
        <v>2022</v>
      </c>
      <c r="B5634" t="s">
        <v>34</v>
      </c>
      <c r="C5634" t="s">
        <v>325</v>
      </c>
      <c r="D5634" t="s">
        <v>35</v>
      </c>
      <c r="E5634" t="s">
        <v>358</v>
      </c>
      <c r="F5634" t="s">
        <v>396</v>
      </c>
      <c r="G5634" t="s">
        <v>36</v>
      </c>
      <c r="H5634" t="s">
        <v>43</v>
      </c>
      <c r="I5634" s="187">
        <v>241.18937683105469</v>
      </c>
      <c r="J5634" s="187">
        <v>0</v>
      </c>
      <c r="K5634" s="187">
        <v>462.39141845703125</v>
      </c>
      <c r="L5634" s="187">
        <v>148</v>
      </c>
      <c r="M5634" s="187">
        <v>851.580810546875</v>
      </c>
      <c r="N5634" s="187">
        <v>389.18939208984375</v>
      </c>
      <c r="O5634" t="s">
        <v>8716</v>
      </c>
    </row>
    <row r="5635" spans="1:15" x14ac:dyDescent="0.45">
      <c r="A5635" s="187">
        <v>2022</v>
      </c>
      <c r="B5635" t="s">
        <v>34</v>
      </c>
      <c r="C5635" t="s">
        <v>325</v>
      </c>
      <c r="D5635" t="s">
        <v>35</v>
      </c>
      <c r="E5635" t="s">
        <v>358</v>
      </c>
      <c r="F5635" t="s">
        <v>396</v>
      </c>
      <c r="G5635" t="s">
        <v>37</v>
      </c>
      <c r="H5635" t="s">
        <v>43</v>
      </c>
      <c r="I5635" s="187">
        <v>241.18938</v>
      </c>
      <c r="J5635" s="187">
        <v>0</v>
      </c>
      <c r="K5635" s="187">
        <v>462.39141999999998</v>
      </c>
      <c r="L5635" s="187">
        <v>148</v>
      </c>
      <c r="M5635" s="187">
        <v>851.580810546875</v>
      </c>
      <c r="N5635" s="187">
        <v>389.18939208984375</v>
      </c>
      <c r="O5635" t="s">
        <v>8717</v>
      </c>
    </row>
    <row r="5636" spans="1:15" x14ac:dyDescent="0.45">
      <c r="A5636" s="187">
        <v>2022</v>
      </c>
      <c r="B5636" t="s">
        <v>34</v>
      </c>
      <c r="C5636" t="s">
        <v>325</v>
      </c>
      <c r="D5636" t="s">
        <v>35</v>
      </c>
      <c r="E5636" t="s">
        <v>358</v>
      </c>
      <c r="F5636" t="s">
        <v>415</v>
      </c>
      <c r="G5636" t="s">
        <v>36</v>
      </c>
      <c r="H5636" t="s">
        <v>43</v>
      </c>
      <c r="I5636" s="187">
        <v>377.00897216796875</v>
      </c>
      <c r="J5636" s="187">
        <v>0</v>
      </c>
      <c r="K5636" s="187">
        <v>462.39141845703125</v>
      </c>
      <c r="L5636" s="187">
        <v>148</v>
      </c>
      <c r="M5636" s="187">
        <v>987.400390625</v>
      </c>
      <c r="N5636" s="187">
        <v>525.00897216796875</v>
      </c>
      <c r="O5636" t="s">
        <v>8718</v>
      </c>
    </row>
    <row r="5637" spans="1:15" x14ac:dyDescent="0.45">
      <c r="A5637" s="187">
        <v>2022</v>
      </c>
      <c r="B5637" t="s">
        <v>34</v>
      </c>
      <c r="C5637" t="s">
        <v>325</v>
      </c>
      <c r="D5637" t="s">
        <v>35</v>
      </c>
      <c r="E5637" t="s">
        <v>358</v>
      </c>
      <c r="F5637" t="s">
        <v>415</v>
      </c>
      <c r="G5637" t="s">
        <v>37</v>
      </c>
      <c r="H5637" t="s">
        <v>43</v>
      </c>
      <c r="I5637" s="187">
        <v>377.00897000000009</v>
      </c>
      <c r="J5637" s="187">
        <v>0</v>
      </c>
      <c r="K5637" s="187">
        <v>462.39141999999998</v>
      </c>
      <c r="L5637" s="187">
        <v>148</v>
      </c>
      <c r="M5637" s="187">
        <v>987.400390625</v>
      </c>
      <c r="N5637" s="187">
        <v>525.00897216796875</v>
      </c>
      <c r="O5637" t="s">
        <v>8719</v>
      </c>
    </row>
    <row r="5638" spans="1:15" x14ac:dyDescent="0.45">
      <c r="A5638" s="187">
        <v>2022</v>
      </c>
      <c r="B5638" t="s">
        <v>34</v>
      </c>
      <c r="C5638" t="s">
        <v>325</v>
      </c>
      <c r="D5638" t="s">
        <v>35</v>
      </c>
      <c r="E5638" t="s">
        <v>358</v>
      </c>
      <c r="F5638" t="s">
        <v>416</v>
      </c>
      <c r="G5638" t="s">
        <v>36</v>
      </c>
      <c r="H5638" t="s">
        <v>43</v>
      </c>
      <c r="I5638" s="187">
        <v>0</v>
      </c>
      <c r="J5638" s="187">
        <v>0</v>
      </c>
      <c r="K5638" s="187">
        <v>0</v>
      </c>
      <c r="L5638" s="187">
        <v>0</v>
      </c>
      <c r="M5638" s="187">
        <v>0</v>
      </c>
      <c r="N5638" s="187">
        <v>0</v>
      </c>
      <c r="O5638" t="s">
        <v>8720</v>
      </c>
    </row>
    <row r="5639" spans="1:15" x14ac:dyDescent="0.45">
      <c r="A5639" s="187">
        <v>2022</v>
      </c>
      <c r="B5639" t="s">
        <v>34</v>
      </c>
      <c r="C5639" t="s">
        <v>325</v>
      </c>
      <c r="D5639" t="s">
        <v>35</v>
      </c>
      <c r="E5639" t="s">
        <v>358</v>
      </c>
      <c r="F5639" t="s">
        <v>416</v>
      </c>
      <c r="G5639" t="s">
        <v>37</v>
      </c>
      <c r="H5639" t="s">
        <v>43</v>
      </c>
      <c r="I5639" s="187">
        <v>0</v>
      </c>
      <c r="J5639" s="187">
        <v>0</v>
      </c>
      <c r="K5639" s="187">
        <v>0</v>
      </c>
      <c r="L5639" s="187">
        <v>0</v>
      </c>
      <c r="M5639" s="187">
        <v>0</v>
      </c>
      <c r="N5639" s="187">
        <v>0</v>
      </c>
      <c r="O5639" t="s">
        <v>8721</v>
      </c>
    </row>
    <row r="5640" spans="1:15" x14ac:dyDescent="0.45">
      <c r="A5640" s="187">
        <v>2022</v>
      </c>
      <c r="B5640" t="s">
        <v>34</v>
      </c>
      <c r="C5640" t="s">
        <v>325</v>
      </c>
      <c r="D5640" t="s">
        <v>35</v>
      </c>
      <c r="E5640" t="s">
        <v>358</v>
      </c>
      <c r="F5640" t="s">
        <v>417</v>
      </c>
      <c r="G5640" t="s">
        <v>36</v>
      </c>
      <c r="H5640" t="s">
        <v>43</v>
      </c>
      <c r="I5640" s="187">
        <v>0</v>
      </c>
      <c r="J5640" s="187">
        <v>6.7439999580383301</v>
      </c>
      <c r="K5640" s="187">
        <v>0</v>
      </c>
      <c r="L5640" s="187">
        <v>0</v>
      </c>
      <c r="M5640" s="187">
        <v>6.7439999580383301</v>
      </c>
      <c r="N5640" s="187">
        <v>0</v>
      </c>
      <c r="O5640" t="s">
        <v>8722</v>
      </c>
    </row>
    <row r="5641" spans="1:15" x14ac:dyDescent="0.45">
      <c r="A5641" s="187">
        <v>2022</v>
      </c>
      <c r="B5641" t="s">
        <v>34</v>
      </c>
      <c r="C5641" t="s">
        <v>325</v>
      </c>
      <c r="D5641" t="s">
        <v>35</v>
      </c>
      <c r="E5641" t="s">
        <v>358</v>
      </c>
      <c r="F5641" t="s">
        <v>417</v>
      </c>
      <c r="G5641" t="s">
        <v>37</v>
      </c>
      <c r="H5641" t="s">
        <v>43</v>
      </c>
      <c r="I5641" s="187">
        <v>0</v>
      </c>
      <c r="J5641" s="187">
        <v>6.7439999999999998</v>
      </c>
      <c r="K5641" s="187">
        <v>0</v>
      </c>
      <c r="L5641" s="187">
        <v>0</v>
      </c>
      <c r="M5641" s="187">
        <v>6.7439999580383301</v>
      </c>
      <c r="N5641" s="187">
        <v>0</v>
      </c>
      <c r="O5641" t="s">
        <v>8723</v>
      </c>
    </row>
    <row r="5642" spans="1:15" x14ac:dyDescent="0.45">
      <c r="A5642" s="187">
        <v>2022</v>
      </c>
      <c r="B5642" t="s">
        <v>34</v>
      </c>
      <c r="C5642" t="s">
        <v>325</v>
      </c>
      <c r="D5642" t="s">
        <v>35</v>
      </c>
      <c r="E5642" t="s">
        <v>358</v>
      </c>
      <c r="F5642" t="s">
        <v>418</v>
      </c>
      <c r="G5642" t="s">
        <v>36</v>
      </c>
      <c r="H5642" t="s">
        <v>43</v>
      </c>
      <c r="I5642" s="187">
        <v>0</v>
      </c>
      <c r="J5642" s="187">
        <v>0</v>
      </c>
      <c r="K5642" s="187">
        <v>0</v>
      </c>
      <c r="L5642" s="187">
        <v>0</v>
      </c>
      <c r="M5642" s="187">
        <v>0</v>
      </c>
      <c r="N5642" s="187">
        <v>0</v>
      </c>
      <c r="O5642" t="s">
        <v>8724</v>
      </c>
    </row>
    <row r="5643" spans="1:15" x14ac:dyDescent="0.45">
      <c r="A5643" s="187">
        <v>2022</v>
      </c>
      <c r="B5643" t="s">
        <v>34</v>
      </c>
      <c r="C5643" t="s">
        <v>325</v>
      </c>
      <c r="D5643" t="s">
        <v>35</v>
      </c>
      <c r="E5643" t="s">
        <v>358</v>
      </c>
      <c r="F5643" t="s">
        <v>418</v>
      </c>
      <c r="G5643" t="s">
        <v>37</v>
      </c>
      <c r="H5643" t="s">
        <v>43</v>
      </c>
      <c r="I5643" s="187">
        <v>0</v>
      </c>
      <c r="J5643" s="187">
        <v>0</v>
      </c>
      <c r="K5643" s="187">
        <v>0</v>
      </c>
      <c r="L5643" s="187">
        <v>0</v>
      </c>
      <c r="M5643" s="187">
        <v>0</v>
      </c>
      <c r="N5643" s="187">
        <v>0</v>
      </c>
      <c r="O5643" t="s">
        <v>8725</v>
      </c>
    </row>
    <row r="5644" spans="1:15" x14ac:dyDescent="0.45">
      <c r="A5644" s="187">
        <v>2022</v>
      </c>
      <c r="B5644" t="s">
        <v>34</v>
      </c>
      <c r="C5644" t="s">
        <v>325</v>
      </c>
      <c r="D5644" t="s">
        <v>35</v>
      </c>
      <c r="E5644" t="s">
        <v>358</v>
      </c>
      <c r="F5644" t="s">
        <v>419</v>
      </c>
      <c r="G5644" t="s">
        <v>36</v>
      </c>
      <c r="H5644" t="s">
        <v>43</v>
      </c>
      <c r="I5644" s="187">
        <v>0</v>
      </c>
      <c r="J5644" s="187">
        <v>0</v>
      </c>
      <c r="K5644" s="187">
        <v>0</v>
      </c>
      <c r="L5644" s="187">
        <v>0</v>
      </c>
      <c r="M5644" s="187">
        <v>0</v>
      </c>
      <c r="N5644" s="187">
        <v>0</v>
      </c>
      <c r="O5644" t="s">
        <v>8726</v>
      </c>
    </row>
    <row r="5645" spans="1:15" x14ac:dyDescent="0.45">
      <c r="A5645" s="187">
        <v>2022</v>
      </c>
      <c r="B5645" t="s">
        <v>34</v>
      </c>
      <c r="C5645" t="s">
        <v>325</v>
      </c>
      <c r="D5645" t="s">
        <v>35</v>
      </c>
      <c r="E5645" t="s">
        <v>358</v>
      </c>
      <c r="F5645" t="s">
        <v>419</v>
      </c>
      <c r="G5645" t="s">
        <v>37</v>
      </c>
      <c r="H5645" t="s">
        <v>43</v>
      </c>
      <c r="I5645" s="187">
        <v>0</v>
      </c>
      <c r="J5645" s="187">
        <v>0</v>
      </c>
      <c r="K5645" s="187">
        <v>0</v>
      </c>
      <c r="L5645" s="187">
        <v>0</v>
      </c>
      <c r="M5645" s="187">
        <v>0</v>
      </c>
      <c r="N5645" s="187">
        <v>0</v>
      </c>
      <c r="O5645" t="s">
        <v>8727</v>
      </c>
    </row>
    <row r="5646" spans="1:15" x14ac:dyDescent="0.45">
      <c r="A5646" s="187">
        <v>2022</v>
      </c>
      <c r="B5646" t="s">
        <v>34</v>
      </c>
      <c r="C5646" t="s">
        <v>325</v>
      </c>
      <c r="D5646" t="s">
        <v>35</v>
      </c>
      <c r="E5646" t="s">
        <v>358</v>
      </c>
      <c r="F5646" t="s">
        <v>420</v>
      </c>
      <c r="G5646" t="s">
        <v>36</v>
      </c>
      <c r="H5646" t="s">
        <v>43</v>
      </c>
      <c r="I5646" s="187">
        <v>0</v>
      </c>
      <c r="J5646" s="187">
        <v>6.7439999580383301</v>
      </c>
      <c r="K5646" s="187">
        <v>0</v>
      </c>
      <c r="L5646" s="187">
        <v>0</v>
      </c>
      <c r="M5646" s="187">
        <v>6.7439999580383301</v>
      </c>
      <c r="N5646" s="187">
        <v>0</v>
      </c>
      <c r="O5646" t="s">
        <v>8728</v>
      </c>
    </row>
    <row r="5647" spans="1:15" x14ac:dyDescent="0.45">
      <c r="A5647" s="187">
        <v>2022</v>
      </c>
      <c r="B5647" t="s">
        <v>34</v>
      </c>
      <c r="C5647" t="s">
        <v>325</v>
      </c>
      <c r="D5647" t="s">
        <v>35</v>
      </c>
      <c r="E5647" t="s">
        <v>358</v>
      </c>
      <c r="F5647" t="s">
        <v>420</v>
      </c>
      <c r="G5647" t="s">
        <v>37</v>
      </c>
      <c r="H5647" t="s">
        <v>43</v>
      </c>
      <c r="I5647" s="187">
        <v>0</v>
      </c>
      <c r="J5647" s="187">
        <v>6.7439999999999998</v>
      </c>
      <c r="K5647" s="187">
        <v>0</v>
      </c>
      <c r="L5647" s="187">
        <v>0</v>
      </c>
      <c r="M5647" s="187">
        <v>6.7439999580383301</v>
      </c>
      <c r="N5647" s="187">
        <v>0</v>
      </c>
      <c r="O5647" t="s">
        <v>8729</v>
      </c>
    </row>
    <row r="5648" spans="1:15" x14ac:dyDescent="0.45">
      <c r="A5648" s="187">
        <v>2022</v>
      </c>
      <c r="B5648" t="s">
        <v>34</v>
      </c>
      <c r="C5648" t="s">
        <v>325</v>
      </c>
      <c r="D5648" t="s">
        <v>35</v>
      </c>
      <c r="E5648" t="s">
        <v>358</v>
      </c>
      <c r="F5648" t="s">
        <v>402</v>
      </c>
      <c r="G5648" t="s">
        <v>36</v>
      </c>
      <c r="H5648" t="s">
        <v>43</v>
      </c>
      <c r="I5648" s="187">
        <v>0</v>
      </c>
      <c r="J5648" s="187">
        <v>0</v>
      </c>
      <c r="K5648" s="187">
        <v>0</v>
      </c>
      <c r="L5648" s="187">
        <v>0</v>
      </c>
      <c r="M5648" s="187">
        <v>0</v>
      </c>
      <c r="N5648" s="187">
        <v>0</v>
      </c>
      <c r="O5648" t="s">
        <v>8730</v>
      </c>
    </row>
    <row r="5649" spans="1:15" x14ac:dyDescent="0.45">
      <c r="A5649" s="187">
        <v>2022</v>
      </c>
      <c r="B5649" t="s">
        <v>34</v>
      </c>
      <c r="C5649" t="s">
        <v>325</v>
      </c>
      <c r="D5649" t="s">
        <v>35</v>
      </c>
      <c r="E5649" t="s">
        <v>358</v>
      </c>
      <c r="F5649" t="s">
        <v>402</v>
      </c>
      <c r="G5649" t="s">
        <v>37</v>
      </c>
      <c r="H5649" t="s">
        <v>43</v>
      </c>
      <c r="I5649" s="187">
        <v>0</v>
      </c>
      <c r="J5649" s="187">
        <v>0</v>
      </c>
      <c r="K5649" s="187">
        <v>0</v>
      </c>
      <c r="L5649" s="187">
        <v>0</v>
      </c>
      <c r="M5649" s="187">
        <v>0</v>
      </c>
      <c r="N5649" s="187">
        <v>0</v>
      </c>
      <c r="O5649" t="s">
        <v>8731</v>
      </c>
    </row>
    <row r="5650" spans="1:15" x14ac:dyDescent="0.45">
      <c r="A5650" s="187">
        <v>2022</v>
      </c>
      <c r="B5650" t="s">
        <v>34</v>
      </c>
      <c r="C5650" t="s">
        <v>325</v>
      </c>
      <c r="D5650" t="s">
        <v>35</v>
      </c>
      <c r="E5650" t="s">
        <v>358</v>
      </c>
      <c r="F5650" t="s">
        <v>403</v>
      </c>
      <c r="G5650" t="s">
        <v>36</v>
      </c>
      <c r="H5650" t="s">
        <v>43</v>
      </c>
      <c r="I5650" s="187">
        <v>2337.8701171875</v>
      </c>
      <c r="J5650" s="187">
        <v>129.76899719238281</v>
      </c>
      <c r="K5650" s="187">
        <v>2652.085693359375</v>
      </c>
      <c r="L5650" s="187">
        <v>1040</v>
      </c>
      <c r="M5650" s="187">
        <v>6159.724609375</v>
      </c>
      <c r="N5650" s="187">
        <v>3377.8701171875</v>
      </c>
      <c r="O5650" t="s">
        <v>8732</v>
      </c>
    </row>
    <row r="5651" spans="1:15" x14ac:dyDescent="0.45">
      <c r="A5651" s="187">
        <v>2022</v>
      </c>
      <c r="B5651" t="s">
        <v>34</v>
      </c>
      <c r="C5651" t="s">
        <v>325</v>
      </c>
      <c r="D5651" t="s">
        <v>35</v>
      </c>
      <c r="E5651" t="s">
        <v>358</v>
      </c>
      <c r="F5651" t="s">
        <v>403</v>
      </c>
      <c r="G5651" t="s">
        <v>37</v>
      </c>
      <c r="H5651" t="s">
        <v>43</v>
      </c>
      <c r="I5651" s="187">
        <v>2337.8701599999999</v>
      </c>
      <c r="J5651" s="187">
        <v>129.76900000000001</v>
      </c>
      <c r="K5651" s="187">
        <v>2652.0857599996161</v>
      </c>
      <c r="L5651" s="187">
        <v>1040</v>
      </c>
      <c r="M5651" s="187">
        <v>6159.72509765625</v>
      </c>
      <c r="N5651" s="187">
        <v>3377.8701171875</v>
      </c>
      <c r="O5651" t="s">
        <v>8733</v>
      </c>
    </row>
    <row r="5652" spans="1:15" x14ac:dyDescent="0.45">
      <c r="A5652" s="187">
        <v>2022</v>
      </c>
      <c r="B5652" t="s">
        <v>34</v>
      </c>
      <c r="C5652" t="s">
        <v>325</v>
      </c>
      <c r="D5652" t="s">
        <v>35</v>
      </c>
      <c r="E5652" t="s">
        <v>358</v>
      </c>
      <c r="F5652" t="s">
        <v>405</v>
      </c>
      <c r="G5652" t="s">
        <v>36</v>
      </c>
      <c r="H5652" t="s">
        <v>43</v>
      </c>
      <c r="I5652" s="187">
        <v>0</v>
      </c>
      <c r="J5652" s="187">
        <v>0</v>
      </c>
      <c r="K5652" s="187">
        <v>0</v>
      </c>
      <c r="L5652" s="187">
        <v>0</v>
      </c>
      <c r="M5652" s="187">
        <v>0</v>
      </c>
      <c r="N5652" s="187">
        <v>0</v>
      </c>
      <c r="O5652" t="s">
        <v>8734</v>
      </c>
    </row>
    <row r="5653" spans="1:15" x14ac:dyDescent="0.45">
      <c r="A5653" s="187">
        <v>2022</v>
      </c>
      <c r="B5653" t="s">
        <v>34</v>
      </c>
      <c r="C5653" t="s">
        <v>325</v>
      </c>
      <c r="D5653" t="s">
        <v>35</v>
      </c>
      <c r="E5653" t="s">
        <v>358</v>
      </c>
      <c r="F5653" t="s">
        <v>405</v>
      </c>
      <c r="G5653" t="s">
        <v>37</v>
      </c>
      <c r="H5653" t="s">
        <v>43</v>
      </c>
      <c r="I5653" s="187">
        <v>0</v>
      </c>
      <c r="J5653" s="187">
        <v>0</v>
      </c>
      <c r="K5653" s="187">
        <v>0</v>
      </c>
      <c r="L5653" s="187">
        <v>0</v>
      </c>
      <c r="M5653" s="187">
        <v>0</v>
      </c>
      <c r="N5653" s="187">
        <v>0</v>
      </c>
      <c r="O5653" t="s">
        <v>8735</v>
      </c>
    </row>
    <row r="5654" spans="1:15" x14ac:dyDescent="0.45">
      <c r="A5654" s="187">
        <v>2022</v>
      </c>
      <c r="B5654" t="s">
        <v>34</v>
      </c>
      <c r="C5654" t="s">
        <v>325</v>
      </c>
      <c r="D5654" t="s">
        <v>35</v>
      </c>
      <c r="E5654" t="s">
        <v>358</v>
      </c>
      <c r="F5654" t="s">
        <v>406</v>
      </c>
      <c r="G5654" t="s">
        <v>36</v>
      </c>
      <c r="H5654" t="s">
        <v>43</v>
      </c>
      <c r="I5654" s="187">
        <v>0</v>
      </c>
      <c r="J5654" s="187">
        <v>0</v>
      </c>
      <c r="K5654" s="187">
        <v>0</v>
      </c>
      <c r="L5654" s="187">
        <v>0</v>
      </c>
      <c r="M5654" s="187">
        <v>0</v>
      </c>
      <c r="N5654" s="187">
        <v>0</v>
      </c>
      <c r="O5654" t="s">
        <v>8736</v>
      </c>
    </row>
    <row r="5655" spans="1:15" x14ac:dyDescent="0.45">
      <c r="A5655" s="187">
        <v>2022</v>
      </c>
      <c r="B5655" t="s">
        <v>34</v>
      </c>
      <c r="C5655" t="s">
        <v>325</v>
      </c>
      <c r="D5655" t="s">
        <v>35</v>
      </c>
      <c r="E5655" t="s">
        <v>358</v>
      </c>
      <c r="F5655" t="s">
        <v>406</v>
      </c>
      <c r="G5655" t="s">
        <v>37</v>
      </c>
      <c r="H5655" t="s">
        <v>43</v>
      </c>
      <c r="I5655" s="187">
        <v>0</v>
      </c>
      <c r="J5655" s="187">
        <v>0</v>
      </c>
      <c r="K5655" s="187">
        <v>0</v>
      </c>
      <c r="L5655" s="187">
        <v>0</v>
      </c>
      <c r="M5655" s="187">
        <v>0</v>
      </c>
      <c r="N5655" s="187">
        <v>0</v>
      </c>
      <c r="O5655" t="s">
        <v>8737</v>
      </c>
    </row>
    <row r="5656" spans="1:15" x14ac:dyDescent="0.45">
      <c r="A5656" s="187">
        <v>2022</v>
      </c>
      <c r="B5656" t="s">
        <v>34</v>
      </c>
      <c r="C5656" t="s">
        <v>325</v>
      </c>
      <c r="D5656" t="s">
        <v>35</v>
      </c>
      <c r="E5656" t="s">
        <v>358</v>
      </c>
      <c r="F5656" t="s">
        <v>421</v>
      </c>
      <c r="G5656" t="s">
        <v>36</v>
      </c>
      <c r="H5656" t="s">
        <v>43</v>
      </c>
      <c r="I5656" s="187">
        <v>0</v>
      </c>
      <c r="J5656" s="187">
        <v>0</v>
      </c>
      <c r="K5656" s="187">
        <v>0</v>
      </c>
      <c r="L5656" s="187">
        <v>0</v>
      </c>
      <c r="M5656" s="187">
        <v>0</v>
      </c>
      <c r="N5656" s="187">
        <v>0</v>
      </c>
      <c r="O5656" t="s">
        <v>8738</v>
      </c>
    </row>
    <row r="5657" spans="1:15" x14ac:dyDescent="0.45">
      <c r="A5657" s="187">
        <v>2022</v>
      </c>
      <c r="B5657" t="s">
        <v>34</v>
      </c>
      <c r="C5657" t="s">
        <v>325</v>
      </c>
      <c r="D5657" t="s">
        <v>35</v>
      </c>
      <c r="E5657" t="s">
        <v>358</v>
      </c>
      <c r="F5657" t="s">
        <v>421</v>
      </c>
      <c r="G5657" t="s">
        <v>37</v>
      </c>
      <c r="H5657" t="s">
        <v>43</v>
      </c>
      <c r="I5657" s="187">
        <v>0</v>
      </c>
      <c r="J5657" s="187">
        <v>0</v>
      </c>
      <c r="K5657" s="187">
        <v>0</v>
      </c>
      <c r="L5657" s="187">
        <v>0</v>
      </c>
      <c r="M5657" s="187">
        <v>0</v>
      </c>
      <c r="N5657" s="187">
        <v>0</v>
      </c>
      <c r="O5657" t="s">
        <v>8739</v>
      </c>
    </row>
    <row r="5658" spans="1:15" x14ac:dyDescent="0.45">
      <c r="A5658" s="187">
        <v>2022</v>
      </c>
      <c r="B5658" t="s">
        <v>34</v>
      </c>
      <c r="C5658" t="s">
        <v>325</v>
      </c>
      <c r="D5658" t="s">
        <v>35</v>
      </c>
      <c r="E5658" t="s">
        <v>358</v>
      </c>
      <c r="F5658" t="s">
        <v>422</v>
      </c>
      <c r="G5658" t="s">
        <v>36</v>
      </c>
      <c r="H5658" t="s">
        <v>43</v>
      </c>
      <c r="I5658" s="187">
        <v>2337.8701171875</v>
      </c>
      <c r="J5658" s="187">
        <v>129.76899719238281</v>
      </c>
      <c r="K5658" s="187">
        <v>2652.085693359375</v>
      </c>
      <c r="L5658" s="187">
        <v>1040</v>
      </c>
      <c r="M5658" s="187">
        <v>6159.724609375</v>
      </c>
      <c r="N5658" s="187">
        <v>3377.8701171875</v>
      </c>
      <c r="O5658" t="s">
        <v>8740</v>
      </c>
    </row>
    <row r="5659" spans="1:15" x14ac:dyDescent="0.45">
      <c r="A5659" s="187">
        <v>2022</v>
      </c>
      <c r="B5659" t="s">
        <v>34</v>
      </c>
      <c r="C5659" t="s">
        <v>325</v>
      </c>
      <c r="D5659" t="s">
        <v>35</v>
      </c>
      <c r="E5659" t="s">
        <v>358</v>
      </c>
      <c r="F5659" t="s">
        <v>422</v>
      </c>
      <c r="G5659" t="s">
        <v>37</v>
      </c>
      <c r="H5659" t="s">
        <v>43</v>
      </c>
      <c r="I5659" s="187">
        <v>2337.8701599999999</v>
      </c>
      <c r="J5659" s="187">
        <v>129.76900000000001</v>
      </c>
      <c r="K5659" s="187">
        <v>2652.0857599996161</v>
      </c>
      <c r="L5659" s="187">
        <v>1040</v>
      </c>
      <c r="M5659" s="187">
        <v>6159.72509765625</v>
      </c>
      <c r="N5659" s="187">
        <v>3377.8701171875</v>
      </c>
      <c r="O5659" t="s">
        <v>8741</v>
      </c>
    </row>
    <row r="5660" spans="1:15" x14ac:dyDescent="0.45">
      <c r="A5660" s="187">
        <v>2022</v>
      </c>
      <c r="B5660" t="s">
        <v>34</v>
      </c>
      <c r="C5660" t="s">
        <v>325</v>
      </c>
      <c r="D5660" t="s">
        <v>35</v>
      </c>
      <c r="E5660" t="s">
        <v>358</v>
      </c>
      <c r="F5660" t="s">
        <v>423</v>
      </c>
      <c r="G5660" t="s">
        <v>36</v>
      </c>
      <c r="H5660" t="s">
        <v>43</v>
      </c>
      <c r="I5660" s="187">
        <v>0</v>
      </c>
      <c r="J5660" s="187">
        <v>0</v>
      </c>
      <c r="K5660" s="187">
        <v>0</v>
      </c>
      <c r="L5660" s="187">
        <v>2</v>
      </c>
      <c r="M5660" s="187">
        <v>2</v>
      </c>
      <c r="N5660" s="187">
        <v>2</v>
      </c>
      <c r="O5660" t="s">
        <v>8742</v>
      </c>
    </row>
    <row r="5661" spans="1:15" x14ac:dyDescent="0.45">
      <c r="A5661" s="187">
        <v>2022</v>
      </c>
      <c r="B5661" t="s">
        <v>34</v>
      </c>
      <c r="C5661" t="s">
        <v>325</v>
      </c>
      <c r="D5661" t="s">
        <v>35</v>
      </c>
      <c r="E5661" t="s">
        <v>358</v>
      </c>
      <c r="F5661" t="s">
        <v>423</v>
      </c>
      <c r="G5661" t="s">
        <v>37</v>
      </c>
      <c r="H5661" t="s">
        <v>43</v>
      </c>
      <c r="I5661" s="187">
        <v>0</v>
      </c>
      <c r="J5661" s="187">
        <v>0</v>
      </c>
      <c r="K5661" s="187">
        <v>0</v>
      </c>
      <c r="L5661" s="187">
        <v>2</v>
      </c>
      <c r="M5661" s="187">
        <v>2</v>
      </c>
      <c r="N5661" s="187">
        <v>2</v>
      </c>
      <c r="O5661" t="s">
        <v>8743</v>
      </c>
    </row>
    <row r="5662" spans="1:15" x14ac:dyDescent="0.45">
      <c r="A5662" s="187">
        <v>2022</v>
      </c>
      <c r="B5662" t="s">
        <v>34</v>
      </c>
      <c r="C5662" t="s">
        <v>325</v>
      </c>
      <c r="D5662" t="s">
        <v>35</v>
      </c>
      <c r="E5662" t="s">
        <v>358</v>
      </c>
      <c r="F5662" t="s">
        <v>424</v>
      </c>
      <c r="G5662" t="s">
        <v>36</v>
      </c>
      <c r="H5662" t="s">
        <v>43</v>
      </c>
      <c r="I5662" s="187">
        <v>0</v>
      </c>
      <c r="J5662" s="187">
        <v>0</v>
      </c>
      <c r="K5662" s="187">
        <v>0</v>
      </c>
      <c r="L5662" s="187">
        <v>0</v>
      </c>
      <c r="M5662" s="187">
        <v>0</v>
      </c>
      <c r="N5662" s="187">
        <v>0</v>
      </c>
      <c r="O5662" t="s">
        <v>8744</v>
      </c>
    </row>
    <row r="5663" spans="1:15" x14ac:dyDescent="0.45">
      <c r="A5663" s="187">
        <v>2022</v>
      </c>
      <c r="B5663" t="s">
        <v>34</v>
      </c>
      <c r="C5663" t="s">
        <v>325</v>
      </c>
      <c r="D5663" t="s">
        <v>35</v>
      </c>
      <c r="E5663" t="s">
        <v>358</v>
      </c>
      <c r="F5663" t="s">
        <v>424</v>
      </c>
      <c r="G5663" t="s">
        <v>37</v>
      </c>
      <c r="H5663" t="s">
        <v>43</v>
      </c>
      <c r="I5663" s="187">
        <v>0</v>
      </c>
      <c r="J5663" s="187">
        <v>0</v>
      </c>
      <c r="K5663" s="187">
        <v>0</v>
      </c>
      <c r="L5663" s="187">
        <v>0</v>
      </c>
      <c r="M5663" s="187">
        <v>0</v>
      </c>
      <c r="N5663" s="187">
        <v>0</v>
      </c>
      <c r="O5663" t="s">
        <v>8745</v>
      </c>
    </row>
    <row r="5664" spans="1:15" x14ac:dyDescent="0.45">
      <c r="A5664" s="187">
        <v>2022</v>
      </c>
      <c r="B5664" t="s">
        <v>34</v>
      </c>
      <c r="C5664" t="s">
        <v>325</v>
      </c>
      <c r="D5664" t="s">
        <v>35</v>
      </c>
      <c r="E5664" t="s">
        <v>358</v>
      </c>
      <c r="F5664" t="s">
        <v>446</v>
      </c>
      <c r="G5664" t="s">
        <v>36</v>
      </c>
      <c r="H5664" t="s">
        <v>43</v>
      </c>
      <c r="I5664" s="187">
        <v>0</v>
      </c>
      <c r="J5664" s="187">
        <v>0</v>
      </c>
      <c r="K5664" s="187">
        <v>0</v>
      </c>
      <c r="L5664" s="187">
        <v>0</v>
      </c>
      <c r="M5664" s="187">
        <v>0</v>
      </c>
      <c r="N5664" s="187">
        <v>0</v>
      </c>
      <c r="O5664" t="s">
        <v>8746</v>
      </c>
    </row>
    <row r="5665" spans="1:15" x14ac:dyDescent="0.45">
      <c r="A5665" s="187">
        <v>2022</v>
      </c>
      <c r="B5665" t="s">
        <v>34</v>
      </c>
      <c r="C5665" t="s">
        <v>325</v>
      </c>
      <c r="D5665" t="s">
        <v>35</v>
      </c>
      <c r="E5665" t="s">
        <v>358</v>
      </c>
      <c r="F5665" t="s">
        <v>446</v>
      </c>
      <c r="G5665" t="s">
        <v>37</v>
      </c>
      <c r="H5665" t="s">
        <v>43</v>
      </c>
      <c r="I5665" s="187">
        <v>0</v>
      </c>
      <c r="J5665" s="187">
        <v>0</v>
      </c>
      <c r="K5665" s="187">
        <v>0</v>
      </c>
      <c r="L5665" s="187">
        <v>0</v>
      </c>
      <c r="M5665" s="187">
        <v>0</v>
      </c>
      <c r="N5665" s="187">
        <v>0</v>
      </c>
      <c r="O5665" t="s">
        <v>8747</v>
      </c>
    </row>
    <row r="5666" spans="1:15" x14ac:dyDescent="0.45">
      <c r="A5666" s="187">
        <v>2022</v>
      </c>
      <c r="B5666" t="s">
        <v>34</v>
      </c>
      <c r="C5666" t="s">
        <v>325</v>
      </c>
      <c r="D5666" t="s">
        <v>35</v>
      </c>
      <c r="E5666" t="s">
        <v>358</v>
      </c>
      <c r="F5666" t="s">
        <v>426</v>
      </c>
      <c r="G5666" t="s">
        <v>36</v>
      </c>
      <c r="H5666" t="s">
        <v>43</v>
      </c>
      <c r="I5666" s="187">
        <v>0</v>
      </c>
      <c r="J5666" s="187">
        <v>0</v>
      </c>
      <c r="K5666" s="187">
        <v>0</v>
      </c>
      <c r="L5666" s="187">
        <v>2</v>
      </c>
      <c r="M5666" s="187">
        <v>2</v>
      </c>
      <c r="N5666" s="187">
        <v>2</v>
      </c>
      <c r="O5666" t="s">
        <v>8748</v>
      </c>
    </row>
    <row r="5667" spans="1:15" x14ac:dyDescent="0.45">
      <c r="A5667" s="187">
        <v>2022</v>
      </c>
      <c r="B5667" t="s">
        <v>34</v>
      </c>
      <c r="C5667" t="s">
        <v>325</v>
      </c>
      <c r="D5667" t="s">
        <v>35</v>
      </c>
      <c r="E5667" t="s">
        <v>358</v>
      </c>
      <c r="F5667" t="s">
        <v>426</v>
      </c>
      <c r="G5667" t="s">
        <v>37</v>
      </c>
      <c r="H5667" t="s">
        <v>43</v>
      </c>
      <c r="I5667" s="187">
        <v>0</v>
      </c>
      <c r="J5667" s="187">
        <v>0</v>
      </c>
      <c r="K5667" s="187">
        <v>0</v>
      </c>
      <c r="L5667" s="187">
        <v>2</v>
      </c>
      <c r="M5667" s="187">
        <v>2</v>
      </c>
      <c r="N5667" s="187">
        <v>2</v>
      </c>
      <c r="O5667" t="s">
        <v>8749</v>
      </c>
    </row>
    <row r="5668" spans="1:15" x14ac:dyDescent="0.45">
      <c r="A5668" s="187">
        <v>2022</v>
      </c>
      <c r="B5668" t="s">
        <v>34</v>
      </c>
      <c r="C5668" t="s">
        <v>325</v>
      </c>
      <c r="D5668" t="s">
        <v>35</v>
      </c>
      <c r="E5668" t="s">
        <v>358</v>
      </c>
      <c r="F5668" t="s">
        <v>428</v>
      </c>
      <c r="G5668" t="s">
        <v>36</v>
      </c>
      <c r="H5668" t="s">
        <v>43</v>
      </c>
      <c r="I5668" s="187">
        <v>2714.879150390625</v>
      </c>
      <c r="J5668" s="187">
        <v>136.51300048828125</v>
      </c>
      <c r="K5668" s="187">
        <v>3114.477294921875</v>
      </c>
      <c r="L5668" s="187">
        <v>1190</v>
      </c>
      <c r="M5668" s="187">
        <v>7155.869140625</v>
      </c>
      <c r="N5668" s="187">
        <v>3904.879150390625</v>
      </c>
      <c r="O5668" t="s">
        <v>8750</v>
      </c>
    </row>
    <row r="5669" spans="1:15" x14ac:dyDescent="0.45">
      <c r="A5669" s="187">
        <v>2022</v>
      </c>
      <c r="B5669" t="s">
        <v>34</v>
      </c>
      <c r="C5669" t="s">
        <v>325</v>
      </c>
      <c r="D5669" t="s">
        <v>35</v>
      </c>
      <c r="E5669" t="s">
        <v>358</v>
      </c>
      <c r="F5669" t="s">
        <v>428</v>
      </c>
      <c r="G5669" t="s">
        <v>37</v>
      </c>
      <c r="H5669" t="s">
        <v>43</v>
      </c>
      <c r="I5669" s="187">
        <v>2714.8791299999998</v>
      </c>
      <c r="J5669" s="187">
        <v>136.51300000000001</v>
      </c>
      <c r="K5669" s="187">
        <v>3114.4771799996161</v>
      </c>
      <c r="L5669" s="187">
        <v>1190</v>
      </c>
      <c r="M5669" s="187">
        <v>7155.869140625</v>
      </c>
      <c r="N5669" s="187">
        <v>3904.879150390625</v>
      </c>
      <c r="O5669" t="s">
        <v>8751</v>
      </c>
    </row>
    <row r="5670" spans="1:15" x14ac:dyDescent="0.45">
      <c r="A5670" s="187">
        <v>2022</v>
      </c>
      <c r="B5670" t="s">
        <v>34</v>
      </c>
      <c r="C5670" t="s">
        <v>325</v>
      </c>
      <c r="D5670" t="s">
        <v>35</v>
      </c>
      <c r="E5670" t="s">
        <v>358</v>
      </c>
      <c r="F5670" t="s">
        <v>429</v>
      </c>
      <c r="G5670" t="s">
        <v>36</v>
      </c>
      <c r="H5670" t="s">
        <v>43</v>
      </c>
      <c r="I5670" s="187">
        <v>2581.776123046875</v>
      </c>
      <c r="J5670" s="187">
        <v>136.51300048828125</v>
      </c>
      <c r="K5670" s="187">
        <v>2981.84033203125</v>
      </c>
      <c r="L5670" s="187">
        <v>761.030029296875</v>
      </c>
      <c r="M5670" s="187">
        <v>6461.1591796875</v>
      </c>
      <c r="N5670" s="187">
        <v>3342.80615234375</v>
      </c>
      <c r="O5670" t="s">
        <v>8752</v>
      </c>
    </row>
    <row r="5671" spans="1:15" x14ac:dyDescent="0.45">
      <c r="A5671" s="187">
        <v>2022</v>
      </c>
      <c r="B5671" t="s">
        <v>34</v>
      </c>
      <c r="C5671" t="s">
        <v>325</v>
      </c>
      <c r="D5671" t="s">
        <v>35</v>
      </c>
      <c r="E5671" t="s">
        <v>358</v>
      </c>
      <c r="F5671" t="s">
        <v>429</v>
      </c>
      <c r="G5671" t="s">
        <v>37</v>
      </c>
      <c r="H5671" t="s">
        <v>43</v>
      </c>
      <c r="I5671" s="187">
        <v>2581.7761300000002</v>
      </c>
      <c r="J5671" s="187">
        <v>136.51300000000001</v>
      </c>
      <c r="K5671" s="187">
        <v>2981.8403099996158</v>
      </c>
      <c r="L5671" s="187">
        <v>761.03</v>
      </c>
      <c r="M5671" s="187">
        <v>6461.1591796875</v>
      </c>
      <c r="N5671" s="187">
        <v>3342.80615234375</v>
      </c>
      <c r="O5671" t="s">
        <v>8753</v>
      </c>
    </row>
    <row r="5672" spans="1:15" x14ac:dyDescent="0.45">
      <c r="A5672" s="187">
        <v>2022</v>
      </c>
      <c r="B5672" t="s">
        <v>34</v>
      </c>
      <c r="C5672" t="s">
        <v>326</v>
      </c>
      <c r="D5672" t="s">
        <v>337</v>
      </c>
      <c r="E5672" t="s">
        <v>155</v>
      </c>
      <c r="F5672" t="s">
        <v>155</v>
      </c>
      <c r="G5672" t="s">
        <v>453</v>
      </c>
      <c r="H5672" t="s">
        <v>455</v>
      </c>
      <c r="I5672" s="187">
        <v>4979.5796155675471</v>
      </c>
      <c r="J5672" s="187">
        <v>690.76599999999996</v>
      </c>
      <c r="K5672" s="187">
        <v>6226.8220039111638</v>
      </c>
      <c r="L5672" s="187">
        <v>6957.4632510000001</v>
      </c>
      <c r="M5672" s="187">
        <v>18854.630859375</v>
      </c>
      <c r="N5672" s="187">
        <v>11937.04296875</v>
      </c>
      <c r="O5672" t="s">
        <v>8754</v>
      </c>
    </row>
    <row r="5673" spans="1:15" x14ac:dyDescent="0.45">
      <c r="A5673" s="187">
        <v>2022</v>
      </c>
      <c r="B5673" t="s">
        <v>34</v>
      </c>
      <c r="C5673" t="s">
        <v>327</v>
      </c>
      <c r="D5673" t="s">
        <v>337</v>
      </c>
      <c r="E5673" t="s">
        <v>359</v>
      </c>
      <c r="F5673" t="s">
        <v>430</v>
      </c>
      <c r="G5673" t="s">
        <v>453</v>
      </c>
      <c r="H5673" t="s">
        <v>456</v>
      </c>
      <c r="I5673" s="187">
        <v>67247</v>
      </c>
      <c r="J5673" s="187">
        <v>10071</v>
      </c>
      <c r="K5673" s="187">
        <v>113478</v>
      </c>
      <c r="L5673" s="187">
        <v>117995</v>
      </c>
      <c r="M5673" s="187">
        <v>308791</v>
      </c>
      <c r="N5673" s="187">
        <v>185242</v>
      </c>
      <c r="O5673" t="s">
        <v>8755</v>
      </c>
    </row>
    <row r="5674" spans="1:15" x14ac:dyDescent="0.45">
      <c r="A5674" s="187">
        <v>2022</v>
      </c>
      <c r="B5674" t="s">
        <v>34</v>
      </c>
      <c r="C5674" t="s">
        <v>327</v>
      </c>
      <c r="D5674" t="s">
        <v>337</v>
      </c>
      <c r="E5674" t="s">
        <v>360</v>
      </c>
      <c r="F5674" t="s">
        <v>151</v>
      </c>
      <c r="G5674" t="s">
        <v>453</v>
      </c>
      <c r="H5674" t="s">
        <v>457</v>
      </c>
      <c r="I5674" s="187">
        <v>25969.315336986299</v>
      </c>
      <c r="J5674" s="187">
        <v>3410.8657534246581</v>
      </c>
      <c r="K5674" s="187">
        <v>23554.219780821921</v>
      </c>
      <c r="L5674" s="187">
        <v>36053.624657534237</v>
      </c>
      <c r="M5674" s="187">
        <v>88988.0234375</v>
      </c>
      <c r="N5674" s="187">
        <v>62022.9375</v>
      </c>
      <c r="O5674" t="s">
        <v>8756</v>
      </c>
    </row>
    <row r="5675" spans="1:15" x14ac:dyDescent="0.45">
      <c r="A5675" s="187">
        <v>2022</v>
      </c>
      <c r="B5675" t="s">
        <v>34</v>
      </c>
      <c r="C5675" t="s">
        <v>327</v>
      </c>
      <c r="D5675" t="s">
        <v>337</v>
      </c>
      <c r="E5675" t="s">
        <v>360</v>
      </c>
      <c r="F5675" t="s">
        <v>6</v>
      </c>
      <c r="G5675" t="s">
        <v>453</v>
      </c>
      <c r="H5675" t="s">
        <v>454</v>
      </c>
      <c r="I5675" s="187">
        <v>0.88637541166161127</v>
      </c>
      <c r="J5675" s="187">
        <v>0.80884386093482818</v>
      </c>
      <c r="K5675" s="187">
        <v>0.7271471828182452</v>
      </c>
      <c r="L5675" s="187">
        <v>0.75805494072002344</v>
      </c>
      <c r="M5675" s="187">
        <v>0.79510533809661865</v>
      </c>
      <c r="N5675" s="187">
        <v>1.64443039894104</v>
      </c>
      <c r="O5675" t="s">
        <v>8757</v>
      </c>
    </row>
    <row r="5676" spans="1:15" x14ac:dyDescent="0.45">
      <c r="A5676" s="187">
        <v>2022</v>
      </c>
      <c r="B5676" t="s">
        <v>34</v>
      </c>
      <c r="C5676" t="s">
        <v>327</v>
      </c>
      <c r="D5676" t="s">
        <v>337</v>
      </c>
      <c r="E5676" t="s">
        <v>360</v>
      </c>
      <c r="F5676" t="s">
        <v>152</v>
      </c>
      <c r="G5676" t="s">
        <v>453</v>
      </c>
      <c r="H5676" t="s">
        <v>457</v>
      </c>
      <c r="I5676" s="187">
        <v>34891.239000000001</v>
      </c>
      <c r="J5676" s="187">
        <v>5378</v>
      </c>
      <c r="K5676" s="187">
        <v>40177.597999999998</v>
      </c>
      <c r="L5676" s="187">
        <v>57146</v>
      </c>
      <c r="M5676" s="187">
        <v>137592.84375</v>
      </c>
      <c r="N5676" s="187">
        <v>92037.234375</v>
      </c>
      <c r="O5676" t="s">
        <v>8758</v>
      </c>
    </row>
    <row r="5677" spans="1:15" x14ac:dyDescent="0.45">
      <c r="A5677" s="187">
        <v>2022</v>
      </c>
      <c r="B5677" t="s">
        <v>34</v>
      </c>
      <c r="C5677" t="s">
        <v>327</v>
      </c>
      <c r="D5677" t="s">
        <v>337</v>
      </c>
      <c r="E5677" t="s">
        <v>360</v>
      </c>
      <c r="F5677" t="s">
        <v>153</v>
      </c>
      <c r="G5677" t="s">
        <v>453</v>
      </c>
      <c r="H5677" t="s">
        <v>458</v>
      </c>
      <c r="I5677" s="187">
        <v>891157.40100000007</v>
      </c>
      <c r="J5677" s="187">
        <v>128266</v>
      </c>
      <c r="K5677" s="187">
        <v>985276.25300000026</v>
      </c>
      <c r="L5677" s="187">
        <v>1446638</v>
      </c>
      <c r="M5677" s="187">
        <v>3451337.5</v>
      </c>
      <c r="N5677" s="187">
        <v>2337795.5</v>
      </c>
      <c r="O5677" t="s">
        <v>8759</v>
      </c>
    </row>
    <row r="5678" spans="1:15" x14ac:dyDescent="0.45">
      <c r="A5678" s="187">
        <v>2022</v>
      </c>
      <c r="B5678" t="s">
        <v>34</v>
      </c>
      <c r="C5678" t="s">
        <v>327</v>
      </c>
      <c r="D5678" t="s">
        <v>337</v>
      </c>
      <c r="E5678" t="s">
        <v>360</v>
      </c>
      <c r="F5678" t="s">
        <v>432</v>
      </c>
      <c r="G5678" t="s">
        <v>453</v>
      </c>
      <c r="H5678" t="s">
        <v>456</v>
      </c>
      <c r="I5678" s="187">
        <v>0</v>
      </c>
      <c r="J5678" s="187">
        <v>0</v>
      </c>
      <c r="K5678" s="187">
        <v>0</v>
      </c>
      <c r="L5678" s="187">
        <v>0</v>
      </c>
      <c r="M5678" s="187">
        <v>0</v>
      </c>
      <c r="N5678" s="187">
        <v>0</v>
      </c>
      <c r="O5678" t="s">
        <v>8760</v>
      </c>
    </row>
    <row r="5679" spans="1:15" x14ac:dyDescent="0.45">
      <c r="A5679" s="187">
        <v>2022</v>
      </c>
      <c r="B5679" t="s">
        <v>34</v>
      </c>
      <c r="C5679" t="s">
        <v>327</v>
      </c>
      <c r="D5679" t="s">
        <v>337</v>
      </c>
      <c r="E5679" t="s">
        <v>360</v>
      </c>
      <c r="F5679" t="s">
        <v>154</v>
      </c>
      <c r="G5679" t="s">
        <v>453</v>
      </c>
      <c r="H5679" t="s">
        <v>459</v>
      </c>
      <c r="I5679" s="187">
        <v>9478800.0979999993</v>
      </c>
      <c r="J5679" s="187">
        <v>1244966</v>
      </c>
      <c r="K5679" s="187">
        <v>8597290.2200000007</v>
      </c>
      <c r="L5679" s="187">
        <v>13159573</v>
      </c>
      <c r="M5679" s="187">
        <v>32480628</v>
      </c>
      <c r="N5679" s="187">
        <v>22638372</v>
      </c>
      <c r="O5679" t="s">
        <v>8761</v>
      </c>
    </row>
    <row r="5680" spans="1:15" hidden="1" x14ac:dyDescent="0.45">
      <c r="A5680" s="187">
        <v>2022</v>
      </c>
      <c r="B5680" t="s">
        <v>313</v>
      </c>
      <c r="C5680" t="s">
        <v>328</v>
      </c>
      <c r="D5680" t="s">
        <v>39</v>
      </c>
      <c r="E5680" t="s">
        <v>349</v>
      </c>
      <c r="F5680" t="s">
        <v>349</v>
      </c>
      <c r="G5680" t="s">
        <v>36</v>
      </c>
      <c r="H5680" t="s">
        <v>43</v>
      </c>
      <c r="I5680" s="187">
        <v>0</v>
      </c>
      <c r="J5680" s="187">
        <v>0</v>
      </c>
      <c r="K5680" s="187">
        <v>3047.8114273031838</v>
      </c>
      <c r="L5680" s="187">
        <v>0</v>
      </c>
      <c r="M5680" s="187">
        <v>3047.8115234375</v>
      </c>
      <c r="N5680" s="187">
        <v>0</v>
      </c>
      <c r="O5680" t="s">
        <v>5955</v>
      </c>
    </row>
    <row r="5681" spans="1:15" hidden="1" x14ac:dyDescent="0.45">
      <c r="A5681" s="187">
        <v>2022</v>
      </c>
      <c r="B5681" t="s">
        <v>310</v>
      </c>
      <c r="C5681" t="s">
        <v>328</v>
      </c>
      <c r="D5681" t="s">
        <v>39</v>
      </c>
      <c r="E5681" t="s">
        <v>349</v>
      </c>
      <c r="F5681" t="s">
        <v>349</v>
      </c>
      <c r="G5681" t="s">
        <v>36</v>
      </c>
      <c r="H5681" t="s">
        <v>43</v>
      </c>
      <c r="I5681" s="187"/>
      <c r="J5681" s="187">
        <v>0</v>
      </c>
      <c r="K5681" s="187">
        <v>3597.0353980054078</v>
      </c>
      <c r="L5681" s="187">
        <v>0</v>
      </c>
      <c r="M5681" s="187">
        <v>3597.035400390625</v>
      </c>
      <c r="N5681" s="187">
        <v>0</v>
      </c>
      <c r="O5681" t="s">
        <v>5952</v>
      </c>
    </row>
    <row r="5682" spans="1:15" hidden="1" x14ac:dyDescent="0.45">
      <c r="A5682" s="187">
        <v>2022</v>
      </c>
      <c r="B5682" t="s">
        <v>315</v>
      </c>
      <c r="C5682" t="s">
        <v>328</v>
      </c>
      <c r="D5682" t="s">
        <v>39</v>
      </c>
      <c r="E5682" t="s">
        <v>349</v>
      </c>
      <c r="F5682" t="s">
        <v>349</v>
      </c>
      <c r="G5682" t="s">
        <v>36</v>
      </c>
      <c r="H5682" t="s">
        <v>43</v>
      </c>
      <c r="I5682" s="187">
        <v>0</v>
      </c>
      <c r="J5682" s="187">
        <v>21.603009729083823</v>
      </c>
      <c r="K5682" s="187">
        <v>2364.868993792983</v>
      </c>
      <c r="L5682" s="187">
        <v>0</v>
      </c>
      <c r="M5682" s="187">
        <v>2386.471923828125</v>
      </c>
      <c r="N5682" s="187">
        <v>0</v>
      </c>
      <c r="O5682" t="s">
        <v>5950</v>
      </c>
    </row>
    <row r="5683" spans="1:15" hidden="1" x14ac:dyDescent="0.45">
      <c r="A5683" s="187">
        <v>2022</v>
      </c>
      <c r="B5683" t="s">
        <v>314</v>
      </c>
      <c r="C5683" t="s">
        <v>328</v>
      </c>
      <c r="D5683" t="s">
        <v>39</v>
      </c>
      <c r="E5683" t="s">
        <v>349</v>
      </c>
      <c r="F5683" t="s">
        <v>349</v>
      </c>
      <c r="G5683" t="s">
        <v>36</v>
      </c>
      <c r="H5683" t="s">
        <v>43</v>
      </c>
      <c r="I5683" s="187">
        <v>0</v>
      </c>
      <c r="J5683" s="187">
        <v>22.192551404189587</v>
      </c>
      <c r="K5683" s="187">
        <v>3032.0764502049342</v>
      </c>
      <c r="L5683" s="187">
        <v>0</v>
      </c>
      <c r="M5683" s="187">
        <v>3054.26904296875</v>
      </c>
      <c r="N5683" s="187">
        <v>0</v>
      </c>
      <c r="O5683" t="s">
        <v>5949</v>
      </c>
    </row>
    <row r="5684" spans="1:15" hidden="1" x14ac:dyDescent="0.45">
      <c r="A5684" s="187">
        <v>2022</v>
      </c>
      <c r="B5684" t="s">
        <v>316</v>
      </c>
      <c r="C5684" t="s">
        <v>328</v>
      </c>
      <c r="D5684" t="s">
        <v>39</v>
      </c>
      <c r="E5684" t="s">
        <v>349</v>
      </c>
      <c r="F5684" t="s">
        <v>349</v>
      </c>
      <c r="G5684" t="s">
        <v>36</v>
      </c>
      <c r="H5684" t="s">
        <v>43</v>
      </c>
      <c r="I5684" s="187">
        <v>0</v>
      </c>
      <c r="J5684" s="187">
        <v>26.440360977435727</v>
      </c>
      <c r="K5684" s="187">
        <v>2565.3850632656377</v>
      </c>
      <c r="L5684" s="187">
        <v>0</v>
      </c>
      <c r="M5684" s="187">
        <v>2591.825439453125</v>
      </c>
      <c r="N5684" s="187">
        <v>0</v>
      </c>
      <c r="O5684" t="s">
        <v>5953</v>
      </c>
    </row>
    <row r="5685" spans="1:15" hidden="1" x14ac:dyDescent="0.45">
      <c r="A5685" s="187">
        <v>2022</v>
      </c>
      <c r="B5685" t="s">
        <v>309</v>
      </c>
      <c r="C5685" t="s">
        <v>328</v>
      </c>
      <c r="D5685" t="s">
        <v>39</v>
      </c>
      <c r="E5685" t="s">
        <v>349</v>
      </c>
      <c r="F5685" t="s">
        <v>349</v>
      </c>
      <c r="G5685" t="s">
        <v>36</v>
      </c>
      <c r="H5685" t="s">
        <v>43</v>
      </c>
      <c r="I5685" s="187"/>
      <c r="J5685" s="187">
        <v>0</v>
      </c>
      <c r="K5685" s="187">
        <v>3425.9139473122268</v>
      </c>
      <c r="L5685" s="187">
        <v>0</v>
      </c>
      <c r="M5685" s="187">
        <v>3425.9140625</v>
      </c>
      <c r="N5685" s="187">
        <v>0</v>
      </c>
      <c r="O5685" t="s">
        <v>5951</v>
      </c>
    </row>
    <row r="5686" spans="1:15" hidden="1" x14ac:dyDescent="0.45">
      <c r="A5686" s="187">
        <v>2022</v>
      </c>
      <c r="B5686" t="s">
        <v>317</v>
      </c>
      <c r="C5686" t="s">
        <v>328</v>
      </c>
      <c r="D5686" t="s">
        <v>39</v>
      </c>
      <c r="E5686" t="s">
        <v>349</v>
      </c>
      <c r="F5686" t="s">
        <v>349</v>
      </c>
      <c r="G5686" t="s">
        <v>36</v>
      </c>
      <c r="H5686" t="s">
        <v>43</v>
      </c>
      <c r="I5686" s="187">
        <v>0</v>
      </c>
      <c r="J5686" s="187">
        <v>14.63372174704992</v>
      </c>
      <c r="K5686" s="187">
        <v>2387.6857661610015</v>
      </c>
      <c r="L5686" s="187">
        <v>0</v>
      </c>
      <c r="M5686" s="187">
        <v>2402.319580078125</v>
      </c>
      <c r="N5686" s="187">
        <v>0</v>
      </c>
      <c r="O5686" t="s">
        <v>5948</v>
      </c>
    </row>
    <row r="5687" spans="1:15" hidden="1" x14ac:dyDescent="0.45">
      <c r="A5687" s="187">
        <v>2022</v>
      </c>
      <c r="B5687" t="s">
        <v>312</v>
      </c>
      <c r="C5687" t="s">
        <v>328</v>
      </c>
      <c r="D5687" t="s">
        <v>39</v>
      </c>
      <c r="E5687" t="s">
        <v>349</v>
      </c>
      <c r="F5687" t="s">
        <v>349</v>
      </c>
      <c r="G5687" t="s">
        <v>36</v>
      </c>
      <c r="H5687" t="s">
        <v>43</v>
      </c>
      <c r="I5687" s="187">
        <v>0</v>
      </c>
      <c r="J5687" s="187">
        <v>0</v>
      </c>
      <c r="K5687" s="187">
        <v>3524.4952822104069</v>
      </c>
      <c r="L5687" s="187">
        <v>0</v>
      </c>
      <c r="M5687" s="187">
        <v>3524.495361328125</v>
      </c>
      <c r="N5687" s="187">
        <v>0</v>
      </c>
      <c r="O5687" t="s">
        <v>5954</v>
      </c>
    </row>
    <row r="5688" spans="1:15" hidden="1" x14ac:dyDescent="0.45">
      <c r="A5688" s="187">
        <v>2022</v>
      </c>
      <c r="B5688" t="s">
        <v>311</v>
      </c>
      <c r="C5688" t="s">
        <v>328</v>
      </c>
      <c r="D5688" t="s">
        <v>39</v>
      </c>
      <c r="E5688" t="s">
        <v>349</v>
      </c>
      <c r="F5688" t="s">
        <v>349</v>
      </c>
      <c r="G5688" t="s">
        <v>36</v>
      </c>
      <c r="H5688" t="s">
        <v>43</v>
      </c>
      <c r="I5688" s="187"/>
      <c r="J5688" s="187">
        <v>0</v>
      </c>
      <c r="K5688" s="187">
        <v>2824.8937385888398</v>
      </c>
      <c r="L5688" s="187">
        <v>0</v>
      </c>
      <c r="M5688" s="187">
        <v>2824.893798828125</v>
      </c>
      <c r="N5688" s="187">
        <v>0</v>
      </c>
      <c r="O5688" t="s">
        <v>5956</v>
      </c>
    </row>
    <row r="5689" spans="1:15" x14ac:dyDescent="0.45">
      <c r="A5689" s="187">
        <v>2022</v>
      </c>
      <c r="B5689" t="s">
        <v>8570</v>
      </c>
      <c r="C5689" t="s">
        <v>328</v>
      </c>
      <c r="D5689" t="s">
        <v>39</v>
      </c>
      <c r="E5689" t="s">
        <v>349</v>
      </c>
      <c r="F5689" t="s">
        <v>349</v>
      </c>
      <c r="G5689" t="s">
        <v>36</v>
      </c>
      <c r="H5689" t="s">
        <v>43</v>
      </c>
      <c r="I5689" s="187">
        <v>0</v>
      </c>
      <c r="J5689" s="187"/>
      <c r="K5689" s="187">
        <v>2650.4013500000001</v>
      </c>
      <c r="L5689" s="187">
        <v>0</v>
      </c>
      <c r="M5689" s="187">
        <v>2650.4013671875</v>
      </c>
      <c r="N5689" s="187">
        <v>0</v>
      </c>
      <c r="O5689" t="s">
        <v>8762</v>
      </c>
    </row>
    <row r="5690" spans="1:15" hidden="1" x14ac:dyDescent="0.45">
      <c r="A5690" s="187">
        <v>2022</v>
      </c>
      <c r="B5690" t="s">
        <v>313</v>
      </c>
      <c r="C5690" t="s">
        <v>328</v>
      </c>
      <c r="D5690" t="s">
        <v>39</v>
      </c>
      <c r="E5690" t="s">
        <v>349</v>
      </c>
      <c r="F5690" t="s">
        <v>349</v>
      </c>
      <c r="G5690" t="s">
        <v>37</v>
      </c>
      <c r="H5690" t="s">
        <v>43</v>
      </c>
      <c r="I5690" s="187">
        <v>0</v>
      </c>
      <c r="J5690" s="187">
        <v>0</v>
      </c>
      <c r="K5690" s="187">
        <v>2935.8182584491442</v>
      </c>
      <c r="L5690" s="187">
        <v>0</v>
      </c>
      <c r="M5690" s="187">
        <v>2935.818359375</v>
      </c>
      <c r="N5690" s="187">
        <v>0</v>
      </c>
      <c r="O5690" t="s">
        <v>5964</v>
      </c>
    </row>
    <row r="5691" spans="1:15" x14ac:dyDescent="0.45">
      <c r="A5691" s="187">
        <v>2022</v>
      </c>
      <c r="B5691" t="s">
        <v>8570</v>
      </c>
      <c r="C5691" t="s">
        <v>328</v>
      </c>
      <c r="D5691" t="s">
        <v>39</v>
      </c>
      <c r="E5691" t="s">
        <v>349</v>
      </c>
      <c r="F5691" t="s">
        <v>349</v>
      </c>
      <c r="G5691" t="s">
        <v>37</v>
      </c>
      <c r="H5691" t="s">
        <v>43</v>
      </c>
      <c r="I5691" s="187">
        <v>0</v>
      </c>
      <c r="J5691" s="187">
        <v>4</v>
      </c>
      <c r="K5691" s="187">
        <v>2650.4013500000001</v>
      </c>
      <c r="L5691" s="187">
        <v>0</v>
      </c>
      <c r="M5691" s="187">
        <v>2654.4013671875</v>
      </c>
      <c r="N5691" s="187">
        <v>0</v>
      </c>
      <c r="O5691" t="s">
        <v>8763</v>
      </c>
    </row>
    <row r="5692" spans="1:15" hidden="1" x14ac:dyDescent="0.45">
      <c r="A5692" s="187">
        <v>2022</v>
      </c>
      <c r="B5692" t="s">
        <v>316</v>
      </c>
      <c r="C5692" t="s">
        <v>328</v>
      </c>
      <c r="D5692" t="s">
        <v>39</v>
      </c>
      <c r="E5692" t="s">
        <v>349</v>
      </c>
      <c r="F5692" t="s">
        <v>349</v>
      </c>
      <c r="G5692" t="s">
        <v>37</v>
      </c>
      <c r="H5692" t="s">
        <v>43</v>
      </c>
      <c r="I5692" s="187">
        <v>0</v>
      </c>
      <c r="J5692" s="187">
        <v>25</v>
      </c>
      <c r="K5692" s="187">
        <v>2492.2298119107868</v>
      </c>
      <c r="L5692" s="187">
        <v>0</v>
      </c>
      <c r="M5692" s="187">
        <v>2517.229736328125</v>
      </c>
      <c r="N5692" s="187">
        <v>0</v>
      </c>
      <c r="O5692" t="s">
        <v>5958</v>
      </c>
    </row>
    <row r="5693" spans="1:15" hidden="1" x14ac:dyDescent="0.45">
      <c r="A5693" s="187">
        <v>2022</v>
      </c>
      <c r="B5693" t="s">
        <v>317</v>
      </c>
      <c r="C5693" t="s">
        <v>328</v>
      </c>
      <c r="D5693" t="s">
        <v>39</v>
      </c>
      <c r="E5693" t="s">
        <v>349</v>
      </c>
      <c r="F5693" t="s">
        <v>349</v>
      </c>
      <c r="G5693" t="s">
        <v>37</v>
      </c>
      <c r="H5693" t="s">
        <v>43</v>
      </c>
      <c r="I5693" s="187">
        <v>0</v>
      </c>
      <c r="J5693" s="187">
        <v>14</v>
      </c>
      <c r="K5693" s="187">
        <v>2321.251954555562</v>
      </c>
      <c r="L5693" s="187">
        <v>0</v>
      </c>
      <c r="M5693" s="187">
        <v>2335.251953125</v>
      </c>
      <c r="N5693" s="187">
        <v>0</v>
      </c>
      <c r="O5693" t="s">
        <v>5960</v>
      </c>
    </row>
    <row r="5694" spans="1:15" hidden="1" x14ac:dyDescent="0.45">
      <c r="A5694" s="187">
        <v>2022</v>
      </c>
      <c r="B5694" t="s">
        <v>312</v>
      </c>
      <c r="C5694" t="s">
        <v>328</v>
      </c>
      <c r="D5694" t="s">
        <v>39</v>
      </c>
      <c r="E5694" t="s">
        <v>349</v>
      </c>
      <c r="F5694" t="s">
        <v>349</v>
      </c>
      <c r="G5694" t="s">
        <v>37</v>
      </c>
      <c r="H5694" t="s">
        <v>43</v>
      </c>
      <c r="I5694" s="187">
        <v>0</v>
      </c>
      <c r="J5694" s="187">
        <v>0</v>
      </c>
      <c r="K5694" s="187">
        <v>3411.8369619108212</v>
      </c>
      <c r="L5694" s="187">
        <v>0</v>
      </c>
      <c r="M5694" s="187">
        <v>3411.8369140625</v>
      </c>
      <c r="N5694" s="187">
        <v>0</v>
      </c>
      <c r="O5694" t="s">
        <v>5963</v>
      </c>
    </row>
    <row r="5695" spans="1:15" hidden="1" x14ac:dyDescent="0.45">
      <c r="A5695" s="187">
        <v>2022</v>
      </c>
      <c r="B5695" t="s">
        <v>309</v>
      </c>
      <c r="C5695" t="s">
        <v>328</v>
      </c>
      <c r="D5695" t="s">
        <v>39</v>
      </c>
      <c r="E5695" t="s">
        <v>349</v>
      </c>
      <c r="F5695" t="s">
        <v>349</v>
      </c>
      <c r="G5695" t="s">
        <v>37</v>
      </c>
      <c r="H5695" t="s">
        <v>43</v>
      </c>
      <c r="I5695" s="187"/>
      <c r="J5695" s="187">
        <v>0</v>
      </c>
      <c r="K5695" s="187">
        <v>3511.4132578199351</v>
      </c>
      <c r="L5695" s="187">
        <v>0</v>
      </c>
      <c r="M5695" s="187">
        <v>3511.413330078125</v>
      </c>
      <c r="N5695" s="187">
        <v>0</v>
      </c>
      <c r="O5695" t="s">
        <v>5962</v>
      </c>
    </row>
    <row r="5696" spans="1:15" hidden="1" x14ac:dyDescent="0.45">
      <c r="A5696" s="187">
        <v>2022</v>
      </c>
      <c r="B5696" t="s">
        <v>315</v>
      </c>
      <c r="C5696" t="s">
        <v>328</v>
      </c>
      <c r="D5696" t="s">
        <v>39</v>
      </c>
      <c r="E5696" t="s">
        <v>349</v>
      </c>
      <c r="F5696" t="s">
        <v>349</v>
      </c>
      <c r="G5696" t="s">
        <v>37</v>
      </c>
      <c r="H5696" t="s">
        <v>43</v>
      </c>
      <c r="I5696" s="187">
        <v>0</v>
      </c>
      <c r="J5696" s="187">
        <v>21</v>
      </c>
      <c r="K5696" s="187">
        <v>2317.6125678718809</v>
      </c>
      <c r="L5696" s="187">
        <v>0</v>
      </c>
      <c r="M5696" s="187">
        <v>2338.612548828125</v>
      </c>
      <c r="N5696" s="187">
        <v>0</v>
      </c>
      <c r="O5696" t="s">
        <v>5961</v>
      </c>
    </row>
    <row r="5697" spans="1:15" hidden="1" x14ac:dyDescent="0.45">
      <c r="A5697" s="187">
        <v>2022</v>
      </c>
      <c r="B5697" t="s">
        <v>311</v>
      </c>
      <c r="C5697" t="s">
        <v>328</v>
      </c>
      <c r="D5697" t="s">
        <v>39</v>
      </c>
      <c r="E5697" t="s">
        <v>349</v>
      </c>
      <c r="F5697" t="s">
        <v>349</v>
      </c>
      <c r="G5697" t="s">
        <v>37</v>
      </c>
      <c r="H5697" t="s">
        <v>43</v>
      </c>
      <c r="I5697" s="187"/>
      <c r="J5697" s="187">
        <v>0</v>
      </c>
      <c r="K5697" s="187">
        <v>2764.8523845935538</v>
      </c>
      <c r="L5697" s="187">
        <v>0</v>
      </c>
      <c r="M5697" s="187">
        <v>2764.852294921875</v>
      </c>
      <c r="N5697" s="187">
        <v>0</v>
      </c>
      <c r="O5697" t="s">
        <v>5957</v>
      </c>
    </row>
    <row r="5698" spans="1:15" hidden="1" x14ac:dyDescent="0.45">
      <c r="A5698" s="187">
        <v>2022</v>
      </c>
      <c r="B5698" t="s">
        <v>314</v>
      </c>
      <c r="C5698" t="s">
        <v>328</v>
      </c>
      <c r="D5698" t="s">
        <v>39</v>
      </c>
      <c r="E5698" t="s">
        <v>349</v>
      </c>
      <c r="F5698" t="s">
        <v>349</v>
      </c>
      <c r="G5698" t="s">
        <v>37</v>
      </c>
      <c r="H5698" t="s">
        <v>43</v>
      </c>
      <c r="I5698" s="187">
        <v>0</v>
      </c>
      <c r="J5698" s="187">
        <v>22</v>
      </c>
      <c r="K5698" s="187">
        <v>2963.2188064059292</v>
      </c>
      <c r="L5698" s="187">
        <v>0</v>
      </c>
      <c r="M5698" s="187">
        <v>2985.21875</v>
      </c>
      <c r="N5698" s="187">
        <v>0</v>
      </c>
      <c r="O5698" t="s">
        <v>5959</v>
      </c>
    </row>
    <row r="5699" spans="1:15" hidden="1" x14ac:dyDescent="0.45">
      <c r="A5699" s="187">
        <v>2022</v>
      </c>
      <c r="B5699" t="s">
        <v>310</v>
      </c>
      <c r="C5699" t="s">
        <v>328</v>
      </c>
      <c r="D5699" t="s">
        <v>39</v>
      </c>
      <c r="E5699" t="s">
        <v>349</v>
      </c>
      <c r="F5699" t="s">
        <v>349</v>
      </c>
      <c r="G5699" t="s">
        <v>37</v>
      </c>
      <c r="H5699" t="s">
        <v>43</v>
      </c>
      <c r="I5699" s="187"/>
      <c r="J5699" s="187">
        <v>0</v>
      </c>
      <c r="K5699" s="187">
        <v>3619.816166006869</v>
      </c>
      <c r="L5699" s="187">
        <v>0</v>
      </c>
      <c r="M5699" s="187">
        <v>3619.816162109375</v>
      </c>
      <c r="N5699" s="187">
        <v>0</v>
      </c>
      <c r="O5699" t="s">
        <v>5965</v>
      </c>
    </row>
    <row r="5700" spans="1:15" hidden="1" x14ac:dyDescent="0.45">
      <c r="A5700" s="187">
        <v>2022</v>
      </c>
      <c r="B5700" t="s">
        <v>310</v>
      </c>
      <c r="C5700" t="s">
        <v>328</v>
      </c>
      <c r="D5700" t="s">
        <v>39</v>
      </c>
      <c r="E5700" t="s">
        <v>21</v>
      </c>
      <c r="F5700" t="s">
        <v>21</v>
      </c>
      <c r="G5700" t="s">
        <v>36</v>
      </c>
      <c r="H5700" t="s">
        <v>43</v>
      </c>
      <c r="I5700" s="187"/>
      <c r="J5700" s="187">
        <v>1039.1238095670417</v>
      </c>
      <c r="K5700" s="187">
        <v>7598.9595581503854</v>
      </c>
      <c r="L5700" s="187">
        <v>9421.6878950891751</v>
      </c>
      <c r="M5700" s="187">
        <v>18059.771484375</v>
      </c>
      <c r="N5700" s="187">
        <v>9421.6875</v>
      </c>
      <c r="O5700" t="s">
        <v>5973</v>
      </c>
    </row>
    <row r="5701" spans="1:15" hidden="1" x14ac:dyDescent="0.45">
      <c r="A5701" s="187">
        <v>2022</v>
      </c>
      <c r="B5701" t="s">
        <v>309</v>
      </c>
      <c r="C5701" t="s">
        <v>328</v>
      </c>
      <c r="D5701" t="s">
        <v>39</v>
      </c>
      <c r="E5701" t="s">
        <v>21</v>
      </c>
      <c r="F5701" t="s">
        <v>21</v>
      </c>
      <c r="G5701" t="s">
        <v>36</v>
      </c>
      <c r="H5701" t="s">
        <v>43</v>
      </c>
      <c r="I5701" s="187"/>
      <c r="J5701" s="187">
        <v>1033.8771229798922</v>
      </c>
      <c r="K5701" s="187">
        <v>7710.6285691099256</v>
      </c>
      <c r="L5701" s="187">
        <v>10187.50118991592</v>
      </c>
      <c r="M5701" s="187">
        <v>18932.0078125</v>
      </c>
      <c r="N5701" s="187">
        <v>10187.5009765625</v>
      </c>
      <c r="O5701" t="s">
        <v>5970</v>
      </c>
    </row>
    <row r="5702" spans="1:15" hidden="1" x14ac:dyDescent="0.45">
      <c r="A5702" s="187">
        <v>2022</v>
      </c>
      <c r="B5702" t="s">
        <v>315</v>
      </c>
      <c r="C5702" t="s">
        <v>328</v>
      </c>
      <c r="D5702" t="s">
        <v>39</v>
      </c>
      <c r="E5702" t="s">
        <v>21</v>
      </c>
      <c r="F5702" t="s">
        <v>21</v>
      </c>
      <c r="G5702" t="s">
        <v>36</v>
      </c>
      <c r="H5702" t="s">
        <v>43</v>
      </c>
      <c r="I5702" s="187">
        <v>1906.4656085916472</v>
      </c>
      <c r="J5702" s="187">
        <v>1069.3489815896492</v>
      </c>
      <c r="K5702" s="187">
        <v>6600.5975024588561</v>
      </c>
      <c r="L5702" s="187">
        <v>5191.2032378988424</v>
      </c>
      <c r="M5702" s="187">
        <v>14767.615234375</v>
      </c>
      <c r="N5702" s="187">
        <v>7097.6689453125</v>
      </c>
      <c r="O5702" t="s">
        <v>5966</v>
      </c>
    </row>
    <row r="5703" spans="1:15" hidden="1" x14ac:dyDescent="0.45">
      <c r="A5703" s="187">
        <v>2022</v>
      </c>
      <c r="B5703" t="s">
        <v>311</v>
      </c>
      <c r="C5703" t="s">
        <v>328</v>
      </c>
      <c r="D5703" t="s">
        <v>39</v>
      </c>
      <c r="E5703" t="s">
        <v>21</v>
      </c>
      <c r="F5703" t="s">
        <v>21</v>
      </c>
      <c r="G5703" t="s">
        <v>36</v>
      </c>
      <c r="H5703" t="s">
        <v>43</v>
      </c>
      <c r="I5703" s="187"/>
      <c r="J5703" s="187">
        <v>891.27375513324205</v>
      </c>
      <c r="K5703" s="187">
        <v>7610.0854282030441</v>
      </c>
      <c r="L5703" s="187">
        <v>647.77543510337591</v>
      </c>
      <c r="M5703" s="187">
        <v>9149.134765625</v>
      </c>
      <c r="N5703" s="187">
        <v>647.77545166015625</v>
      </c>
      <c r="O5703" t="s">
        <v>5972</v>
      </c>
    </row>
    <row r="5704" spans="1:15" hidden="1" x14ac:dyDescent="0.45">
      <c r="A5704" s="187">
        <v>2022</v>
      </c>
      <c r="B5704" t="s">
        <v>313</v>
      </c>
      <c r="C5704" t="s">
        <v>328</v>
      </c>
      <c r="D5704" t="s">
        <v>39</v>
      </c>
      <c r="E5704" t="s">
        <v>21</v>
      </c>
      <c r="F5704" t="s">
        <v>21</v>
      </c>
      <c r="G5704" t="s">
        <v>36</v>
      </c>
      <c r="H5704" t="s">
        <v>43</v>
      </c>
      <c r="I5704" s="187">
        <v>1940.0044612941792</v>
      </c>
      <c r="J5704" s="187">
        <v>912.85735991632748</v>
      </c>
      <c r="K5704" s="187">
        <v>7403.6096836721081</v>
      </c>
      <c r="L5704" s="187">
        <v>5323.0994800120843</v>
      </c>
      <c r="M5704" s="187">
        <v>15579.5712890625</v>
      </c>
      <c r="N5704" s="187">
        <v>7263.10400390625</v>
      </c>
      <c r="O5704" t="s">
        <v>5971</v>
      </c>
    </row>
    <row r="5705" spans="1:15" hidden="1" x14ac:dyDescent="0.45">
      <c r="A5705" s="187">
        <v>2022</v>
      </c>
      <c r="B5705" t="s">
        <v>314</v>
      </c>
      <c r="C5705" t="s">
        <v>328</v>
      </c>
      <c r="D5705" t="s">
        <v>39</v>
      </c>
      <c r="E5705" t="s">
        <v>21</v>
      </c>
      <c r="F5705" t="s">
        <v>21</v>
      </c>
      <c r="G5705" t="s">
        <v>36</v>
      </c>
      <c r="H5705" t="s">
        <v>43</v>
      </c>
      <c r="I5705" s="187">
        <v>1958.4926614197309</v>
      </c>
      <c r="J5705" s="187">
        <v>909.89460757177301</v>
      </c>
      <c r="K5705" s="187">
        <v>5822.3945074495268</v>
      </c>
      <c r="L5705" s="187">
        <v>5066.5594855764821</v>
      </c>
      <c r="M5705" s="187">
        <v>13757.3408203125</v>
      </c>
      <c r="N5705" s="187">
        <v>7025.05224609375</v>
      </c>
      <c r="O5705" t="s">
        <v>5974</v>
      </c>
    </row>
    <row r="5706" spans="1:15" hidden="1" x14ac:dyDescent="0.45">
      <c r="A5706" s="187">
        <v>2022</v>
      </c>
      <c r="B5706" t="s">
        <v>317</v>
      </c>
      <c r="C5706" t="s">
        <v>328</v>
      </c>
      <c r="D5706" t="s">
        <v>39</v>
      </c>
      <c r="E5706" t="s">
        <v>21</v>
      </c>
      <c r="F5706" t="s">
        <v>21</v>
      </c>
      <c r="G5706" t="s">
        <v>36</v>
      </c>
      <c r="H5706" t="s">
        <v>43</v>
      </c>
      <c r="I5706" s="187">
        <v>3081.448554774689</v>
      </c>
      <c r="J5706" s="187">
        <v>1229.2326267521933</v>
      </c>
      <c r="K5706" s="187">
        <v>7808.29488792553</v>
      </c>
      <c r="L5706" s="187">
        <v>5351.7610960639713</v>
      </c>
      <c r="M5706" s="187">
        <v>17470.736328125</v>
      </c>
      <c r="N5706" s="187">
        <v>8433.2099609375</v>
      </c>
      <c r="O5706" t="s">
        <v>5968</v>
      </c>
    </row>
    <row r="5707" spans="1:15" hidden="1" x14ac:dyDescent="0.45">
      <c r="A5707" s="187">
        <v>2022</v>
      </c>
      <c r="B5707" t="s">
        <v>312</v>
      </c>
      <c r="C5707" t="s">
        <v>328</v>
      </c>
      <c r="D5707" t="s">
        <v>39</v>
      </c>
      <c r="E5707" t="s">
        <v>21</v>
      </c>
      <c r="F5707" t="s">
        <v>21</v>
      </c>
      <c r="G5707" t="s">
        <v>36</v>
      </c>
      <c r="H5707" t="s">
        <v>43</v>
      </c>
      <c r="I5707" s="187">
        <v>1901.6232069035862</v>
      </c>
      <c r="J5707" s="187">
        <v>887.21672074134676</v>
      </c>
      <c r="K5707" s="187">
        <v>7740.596348672615</v>
      </c>
      <c r="L5707" s="187">
        <v>5028.7211779535683</v>
      </c>
      <c r="M5707" s="187">
        <v>15558.1572265625</v>
      </c>
      <c r="N5707" s="187">
        <v>6930.34423828125</v>
      </c>
      <c r="O5707" t="s">
        <v>5967</v>
      </c>
    </row>
    <row r="5708" spans="1:15" x14ac:dyDescent="0.45">
      <c r="A5708" s="187">
        <v>2022</v>
      </c>
      <c r="B5708" t="s">
        <v>8570</v>
      </c>
      <c r="C5708" t="s">
        <v>328</v>
      </c>
      <c r="D5708" t="s">
        <v>39</v>
      </c>
      <c r="E5708" t="s">
        <v>21</v>
      </c>
      <c r="F5708" t="s">
        <v>21</v>
      </c>
      <c r="G5708" t="s">
        <v>36</v>
      </c>
      <c r="H5708" t="s">
        <v>43</v>
      </c>
      <c r="I5708" s="187">
        <v>2519.4459999999999</v>
      </c>
      <c r="J5708" s="187">
        <v>1197</v>
      </c>
      <c r="K5708" s="187">
        <v>6995.4698157964031</v>
      </c>
      <c r="L5708" s="187">
        <v>5186</v>
      </c>
      <c r="M5708" s="187">
        <v>15897.916015625</v>
      </c>
      <c r="N5708" s="187">
        <v>7705.4462890625</v>
      </c>
      <c r="O5708" t="s">
        <v>8764</v>
      </c>
    </row>
    <row r="5709" spans="1:15" hidden="1" x14ac:dyDescent="0.45">
      <c r="A5709" s="187">
        <v>2022</v>
      </c>
      <c r="B5709" t="s">
        <v>316</v>
      </c>
      <c r="C5709" t="s">
        <v>328</v>
      </c>
      <c r="D5709" t="s">
        <v>39</v>
      </c>
      <c r="E5709" t="s">
        <v>21</v>
      </c>
      <c r="F5709" t="s">
        <v>21</v>
      </c>
      <c r="G5709" t="s">
        <v>36</v>
      </c>
      <c r="H5709" t="s">
        <v>43</v>
      </c>
      <c r="I5709" s="187">
        <v>3117.8522850700328</v>
      </c>
      <c r="J5709" s="187">
        <v>1327.3061210672736</v>
      </c>
      <c r="K5709" s="187">
        <v>6775.8784710857035</v>
      </c>
      <c r="L5709" s="187">
        <v>5255.2861478751247</v>
      </c>
      <c r="M5709" s="187">
        <v>16476.32421875</v>
      </c>
      <c r="N5709" s="187">
        <v>8373.138671875</v>
      </c>
      <c r="O5709" t="s">
        <v>5969</v>
      </c>
    </row>
    <row r="5710" spans="1:15" hidden="1" x14ac:dyDescent="0.45">
      <c r="A5710" s="187">
        <v>2022</v>
      </c>
      <c r="B5710" t="s">
        <v>312</v>
      </c>
      <c r="C5710" t="s">
        <v>328</v>
      </c>
      <c r="D5710" t="s">
        <v>39</v>
      </c>
      <c r="E5710" t="s">
        <v>21</v>
      </c>
      <c r="F5710" t="s">
        <v>21</v>
      </c>
      <c r="G5710" t="s">
        <v>37</v>
      </c>
      <c r="H5710" t="s">
        <v>43</v>
      </c>
      <c r="I5710" s="187">
        <v>1815.630770909594</v>
      </c>
      <c r="J5710" s="187">
        <v>862</v>
      </c>
      <c r="K5710" s="187">
        <v>7493.1729552692732</v>
      </c>
      <c r="L5710" s="187">
        <v>4876</v>
      </c>
      <c r="M5710" s="187">
        <v>15046.8037109375</v>
      </c>
      <c r="N5710" s="187">
        <v>6691.630859375</v>
      </c>
      <c r="O5710" t="s">
        <v>5981</v>
      </c>
    </row>
    <row r="5711" spans="1:15" hidden="1" x14ac:dyDescent="0.45">
      <c r="A5711" s="187">
        <v>2022</v>
      </c>
      <c r="B5711" t="s">
        <v>317</v>
      </c>
      <c r="C5711" t="s">
        <v>328</v>
      </c>
      <c r="D5711" t="s">
        <v>39</v>
      </c>
      <c r="E5711" t="s">
        <v>21</v>
      </c>
      <c r="F5711" t="s">
        <v>21</v>
      </c>
      <c r="G5711" t="s">
        <v>37</v>
      </c>
      <c r="H5711" t="s">
        <v>43</v>
      </c>
      <c r="I5711" s="187">
        <v>3007</v>
      </c>
      <c r="J5711" s="187">
        <v>1176</v>
      </c>
      <c r="K5711" s="187">
        <v>7591.0406751242353</v>
      </c>
      <c r="L5711" s="187">
        <v>5222</v>
      </c>
      <c r="M5711" s="187">
        <v>16996.041015625</v>
      </c>
      <c r="N5711" s="187">
        <v>8229</v>
      </c>
      <c r="O5711" t="s">
        <v>5979</v>
      </c>
    </row>
    <row r="5712" spans="1:15" hidden="1" x14ac:dyDescent="0.45">
      <c r="A5712" s="187">
        <v>2022</v>
      </c>
      <c r="B5712" t="s">
        <v>309</v>
      </c>
      <c r="C5712" t="s">
        <v>328</v>
      </c>
      <c r="D5712" t="s">
        <v>39</v>
      </c>
      <c r="E5712" t="s">
        <v>21</v>
      </c>
      <c r="F5712" t="s">
        <v>21</v>
      </c>
      <c r="G5712" t="s">
        <v>37</v>
      </c>
      <c r="H5712" t="s">
        <v>43</v>
      </c>
      <c r="I5712" s="187"/>
      <c r="J5712" s="187">
        <v>1027.1043999999999</v>
      </c>
      <c r="K5712" s="187">
        <v>7903.0599717600562</v>
      </c>
      <c r="L5712" s="187">
        <v>10953</v>
      </c>
      <c r="M5712" s="187">
        <v>19883.1640625</v>
      </c>
      <c r="N5712" s="187">
        <v>10953</v>
      </c>
      <c r="O5712" t="s">
        <v>5976</v>
      </c>
    </row>
    <row r="5713" spans="1:15" hidden="1" x14ac:dyDescent="0.45">
      <c r="A5713" s="187">
        <v>2022</v>
      </c>
      <c r="B5713" t="s">
        <v>316</v>
      </c>
      <c r="C5713" t="s">
        <v>328</v>
      </c>
      <c r="D5713" t="s">
        <v>39</v>
      </c>
      <c r="E5713" t="s">
        <v>21</v>
      </c>
      <c r="F5713" t="s">
        <v>21</v>
      </c>
      <c r="G5713" t="s">
        <v>37</v>
      </c>
      <c r="H5713" t="s">
        <v>43</v>
      </c>
      <c r="I5713" s="187">
        <v>3067.4047350265801</v>
      </c>
      <c r="J5713" s="187">
        <v>1255</v>
      </c>
      <c r="K5713" s="187">
        <v>6582.6555901232641</v>
      </c>
      <c r="L5713" s="187">
        <v>5198</v>
      </c>
      <c r="M5713" s="187">
        <v>16103.060546875</v>
      </c>
      <c r="N5713" s="187">
        <v>8265.404296875</v>
      </c>
      <c r="O5713" t="s">
        <v>5978</v>
      </c>
    </row>
    <row r="5714" spans="1:15" hidden="1" x14ac:dyDescent="0.45">
      <c r="A5714" s="187">
        <v>2022</v>
      </c>
      <c r="B5714" t="s">
        <v>311</v>
      </c>
      <c r="C5714" t="s">
        <v>328</v>
      </c>
      <c r="D5714" t="s">
        <v>39</v>
      </c>
      <c r="E5714" t="s">
        <v>21</v>
      </c>
      <c r="F5714" t="s">
        <v>21</v>
      </c>
      <c r="G5714" t="s">
        <v>37</v>
      </c>
      <c r="H5714" t="s">
        <v>43</v>
      </c>
      <c r="I5714" s="187"/>
      <c r="J5714" s="187">
        <v>880</v>
      </c>
      <c r="K5714" s="187">
        <v>7448.3378102705692</v>
      </c>
      <c r="L5714" s="187">
        <v>669</v>
      </c>
      <c r="M5714" s="187">
        <v>8997.337890625</v>
      </c>
      <c r="N5714" s="187">
        <v>669</v>
      </c>
      <c r="O5714" t="s">
        <v>5975</v>
      </c>
    </row>
    <row r="5715" spans="1:15" hidden="1" x14ac:dyDescent="0.45">
      <c r="A5715" s="187">
        <v>2022</v>
      </c>
      <c r="B5715" t="s">
        <v>314</v>
      </c>
      <c r="C5715" t="s">
        <v>328</v>
      </c>
      <c r="D5715" t="s">
        <v>39</v>
      </c>
      <c r="E5715" t="s">
        <v>21</v>
      </c>
      <c r="F5715" t="s">
        <v>21</v>
      </c>
      <c r="G5715" t="s">
        <v>37</v>
      </c>
      <c r="H5715" t="s">
        <v>43</v>
      </c>
      <c r="I5715" s="187">
        <v>1911.4294070068211</v>
      </c>
      <c r="J5715" s="187">
        <v>888</v>
      </c>
      <c r="K5715" s="187">
        <v>5690.1694881812446</v>
      </c>
      <c r="L5715" s="187">
        <v>5186</v>
      </c>
      <c r="M5715" s="187">
        <v>13675.5986328125</v>
      </c>
      <c r="N5715" s="187">
        <v>7097.4296875</v>
      </c>
      <c r="O5715" t="s">
        <v>5983</v>
      </c>
    </row>
    <row r="5716" spans="1:15" x14ac:dyDescent="0.45">
      <c r="A5716" s="187">
        <v>2022</v>
      </c>
      <c r="B5716" t="s">
        <v>8570</v>
      </c>
      <c r="C5716" t="s">
        <v>328</v>
      </c>
      <c r="D5716" t="s">
        <v>39</v>
      </c>
      <c r="E5716" t="s">
        <v>21</v>
      </c>
      <c r="F5716" t="s">
        <v>21</v>
      </c>
      <c r="G5716" t="s">
        <v>37</v>
      </c>
      <c r="H5716" t="s">
        <v>43</v>
      </c>
      <c r="I5716" s="187">
        <v>2519.4459999999999</v>
      </c>
      <c r="J5716" s="187">
        <v>1197</v>
      </c>
      <c r="K5716" s="187">
        <v>6995.4698157964031</v>
      </c>
      <c r="L5716" s="187">
        <v>5186</v>
      </c>
      <c r="M5716" s="187">
        <v>15897.916015625</v>
      </c>
      <c r="N5716" s="187">
        <v>7705.4462890625</v>
      </c>
      <c r="O5716" t="s">
        <v>8765</v>
      </c>
    </row>
    <row r="5717" spans="1:15" hidden="1" x14ac:dyDescent="0.45">
      <c r="A5717" s="187">
        <v>2022</v>
      </c>
      <c r="B5717" t="s">
        <v>310</v>
      </c>
      <c r="C5717" t="s">
        <v>328</v>
      </c>
      <c r="D5717" t="s">
        <v>39</v>
      </c>
      <c r="E5717" t="s">
        <v>21</v>
      </c>
      <c r="F5717" t="s">
        <v>21</v>
      </c>
      <c r="G5717" t="s">
        <v>37</v>
      </c>
      <c r="H5717" t="s">
        <v>43</v>
      </c>
      <c r="I5717" s="187"/>
      <c r="J5717" s="187">
        <v>1045</v>
      </c>
      <c r="K5717" s="187">
        <v>7647.085338297753</v>
      </c>
      <c r="L5717" s="187">
        <v>9922</v>
      </c>
      <c r="M5717" s="187">
        <v>18614.0859375</v>
      </c>
      <c r="N5717" s="187">
        <v>9922</v>
      </c>
      <c r="O5717" t="s">
        <v>5977</v>
      </c>
    </row>
    <row r="5718" spans="1:15" hidden="1" x14ac:dyDescent="0.45">
      <c r="A5718" s="187">
        <v>2022</v>
      </c>
      <c r="B5718" t="s">
        <v>315</v>
      </c>
      <c r="C5718" t="s">
        <v>328</v>
      </c>
      <c r="D5718" t="s">
        <v>39</v>
      </c>
      <c r="E5718" t="s">
        <v>21</v>
      </c>
      <c r="F5718" t="s">
        <v>21</v>
      </c>
      <c r="G5718" t="s">
        <v>37</v>
      </c>
      <c r="H5718" t="s">
        <v>43</v>
      </c>
      <c r="I5718" s="187">
        <v>1873.399399203</v>
      </c>
      <c r="J5718" s="187">
        <v>1030</v>
      </c>
      <c r="K5718" s="187">
        <v>6468.6998591946194</v>
      </c>
      <c r="L5718" s="187">
        <v>5168</v>
      </c>
      <c r="M5718" s="187">
        <v>14540.099609375</v>
      </c>
      <c r="N5718" s="187">
        <v>7041.3994140625</v>
      </c>
      <c r="O5718" t="s">
        <v>5982</v>
      </c>
    </row>
    <row r="5719" spans="1:15" hidden="1" x14ac:dyDescent="0.45">
      <c r="A5719" s="187">
        <v>2022</v>
      </c>
      <c r="B5719" t="s">
        <v>313</v>
      </c>
      <c r="C5719" t="s">
        <v>328</v>
      </c>
      <c r="D5719" t="s">
        <v>39</v>
      </c>
      <c r="E5719" t="s">
        <v>21</v>
      </c>
      <c r="F5719" t="s">
        <v>21</v>
      </c>
      <c r="G5719" t="s">
        <v>37</v>
      </c>
      <c r="H5719" t="s">
        <v>43</v>
      </c>
      <c r="I5719" s="187">
        <v>1873.2471523486952</v>
      </c>
      <c r="J5719" s="187">
        <v>883</v>
      </c>
      <c r="K5719" s="187">
        <v>7131.5607957372786</v>
      </c>
      <c r="L5719" s="187">
        <v>5169</v>
      </c>
      <c r="M5719" s="187">
        <v>15056.8076171875</v>
      </c>
      <c r="N5719" s="187">
        <v>7042.2470703125</v>
      </c>
      <c r="O5719" t="s">
        <v>5980</v>
      </c>
    </row>
    <row r="5720" spans="1:15" hidden="1" x14ac:dyDescent="0.45">
      <c r="A5720" s="187">
        <v>2022</v>
      </c>
      <c r="B5720" t="s">
        <v>315</v>
      </c>
      <c r="C5720" t="s">
        <v>328</v>
      </c>
      <c r="D5720" t="s">
        <v>39</v>
      </c>
      <c r="E5720" t="s">
        <v>352</v>
      </c>
      <c r="F5720" t="s">
        <v>433</v>
      </c>
      <c r="G5720" t="s">
        <v>36</v>
      </c>
      <c r="H5720" t="s">
        <v>43</v>
      </c>
      <c r="I5720" s="187">
        <v>0</v>
      </c>
      <c r="J5720" s="187">
        <v>194.4270875617544</v>
      </c>
      <c r="K5720" s="187">
        <v>107.55279875604347</v>
      </c>
      <c r="L5720" s="187">
        <v>246.27431091155557</v>
      </c>
      <c r="M5720" s="187">
        <v>548.25421142578125</v>
      </c>
      <c r="N5720" s="187">
        <v>246.27430725097656</v>
      </c>
      <c r="O5720" t="s">
        <v>5987</v>
      </c>
    </row>
    <row r="5721" spans="1:15" hidden="1" x14ac:dyDescent="0.45">
      <c r="A5721" s="187">
        <v>2022</v>
      </c>
      <c r="B5721" t="s">
        <v>314</v>
      </c>
      <c r="C5721" t="s">
        <v>328</v>
      </c>
      <c r="D5721" t="s">
        <v>39</v>
      </c>
      <c r="E5721" t="s">
        <v>352</v>
      </c>
      <c r="F5721" t="s">
        <v>433</v>
      </c>
      <c r="G5721" t="s">
        <v>36</v>
      </c>
      <c r="H5721" t="s">
        <v>43</v>
      </c>
      <c r="I5721" s="187">
        <v>0</v>
      </c>
      <c r="J5721" s="187">
        <v>210.82923833980107</v>
      </c>
      <c r="K5721" s="187">
        <v>109.28832901750182</v>
      </c>
      <c r="L5721" s="187">
        <v>90.989460757177298</v>
      </c>
      <c r="M5721" s="187">
        <v>411.10702514648438</v>
      </c>
      <c r="N5721" s="187">
        <v>90.989463806152344</v>
      </c>
      <c r="O5721" t="s">
        <v>5990</v>
      </c>
    </row>
    <row r="5722" spans="1:15" hidden="1" x14ac:dyDescent="0.45">
      <c r="A5722" s="187">
        <v>2022</v>
      </c>
      <c r="B5722" t="s">
        <v>313</v>
      </c>
      <c r="C5722" t="s">
        <v>328</v>
      </c>
      <c r="D5722" t="s">
        <v>39</v>
      </c>
      <c r="E5722" t="s">
        <v>352</v>
      </c>
      <c r="F5722" t="s">
        <v>433</v>
      </c>
      <c r="G5722" t="s">
        <v>36</v>
      </c>
      <c r="H5722" t="s">
        <v>43</v>
      </c>
      <c r="I5722" s="187"/>
      <c r="J5722" s="187">
        <v>182.5714719832655</v>
      </c>
      <c r="K5722" s="187">
        <v>149.58993556948857</v>
      </c>
      <c r="L5722" s="187">
        <v>277.28042307458446</v>
      </c>
      <c r="M5722" s="187">
        <v>609.44183349609375</v>
      </c>
      <c r="N5722" s="187">
        <v>277.28042602539063</v>
      </c>
      <c r="O5722" t="s">
        <v>5984</v>
      </c>
    </row>
    <row r="5723" spans="1:15" x14ac:dyDescent="0.45">
      <c r="A5723" s="187">
        <v>2022</v>
      </c>
      <c r="B5723" t="s">
        <v>8570</v>
      </c>
      <c r="C5723" t="s">
        <v>328</v>
      </c>
      <c r="D5723" t="s">
        <v>39</v>
      </c>
      <c r="E5723" t="s">
        <v>352</v>
      </c>
      <c r="F5723" t="s">
        <v>433</v>
      </c>
      <c r="G5723" t="s">
        <v>36</v>
      </c>
      <c r="H5723" t="s">
        <v>43</v>
      </c>
      <c r="I5723" s="187">
        <v>0</v>
      </c>
      <c r="J5723" s="187">
        <v>329</v>
      </c>
      <c r="K5723" s="187">
        <v>76.440435555716746</v>
      </c>
      <c r="L5723" s="187">
        <v>354</v>
      </c>
      <c r="M5723" s="187">
        <v>759.4404296875</v>
      </c>
      <c r="N5723" s="187">
        <v>354</v>
      </c>
      <c r="O5723" t="s">
        <v>8766</v>
      </c>
    </row>
    <row r="5724" spans="1:15" hidden="1" x14ac:dyDescent="0.45">
      <c r="A5724" s="187">
        <v>2022</v>
      </c>
      <c r="B5724" t="s">
        <v>312</v>
      </c>
      <c r="C5724" t="s">
        <v>328</v>
      </c>
      <c r="D5724" t="s">
        <v>39</v>
      </c>
      <c r="E5724" t="s">
        <v>352</v>
      </c>
      <c r="F5724" t="s">
        <v>433</v>
      </c>
      <c r="G5724" t="s">
        <v>36</v>
      </c>
      <c r="H5724" t="s">
        <v>43</v>
      </c>
      <c r="I5724" s="187"/>
      <c r="J5724" s="187">
        <v>197.15927127585482</v>
      </c>
      <c r="K5724" s="187">
        <v>153.59403088640653</v>
      </c>
      <c r="L5724" s="187">
        <v>231.95208385394687</v>
      </c>
      <c r="M5724" s="187">
        <v>582.70538330078125</v>
      </c>
      <c r="N5724" s="187">
        <v>231.95208740234375</v>
      </c>
      <c r="O5724" t="s">
        <v>5991</v>
      </c>
    </row>
    <row r="5725" spans="1:15" hidden="1" x14ac:dyDescent="0.45">
      <c r="A5725" s="187">
        <v>2022</v>
      </c>
      <c r="B5725" t="s">
        <v>316</v>
      </c>
      <c r="C5725" t="s">
        <v>328</v>
      </c>
      <c r="D5725" t="s">
        <v>39</v>
      </c>
      <c r="E5725" t="s">
        <v>352</v>
      </c>
      <c r="F5725" t="s">
        <v>433</v>
      </c>
      <c r="G5725" t="s">
        <v>36</v>
      </c>
      <c r="H5725" t="s">
        <v>43</v>
      </c>
      <c r="I5725" s="187"/>
      <c r="J5725" s="187">
        <v>301.42011514276726</v>
      </c>
      <c r="K5725" s="187">
        <v>111.43723868480899</v>
      </c>
      <c r="L5725" s="187">
        <v>272.8645252871367</v>
      </c>
      <c r="M5725" s="187">
        <v>685.72186279296875</v>
      </c>
      <c r="N5725" s="187">
        <v>272.86453247070313</v>
      </c>
      <c r="O5725" t="s">
        <v>5992</v>
      </c>
    </row>
    <row r="5726" spans="1:15" hidden="1" x14ac:dyDescent="0.45">
      <c r="A5726" s="187">
        <v>2022</v>
      </c>
      <c r="B5726" t="s">
        <v>317</v>
      </c>
      <c r="C5726" t="s">
        <v>328</v>
      </c>
      <c r="D5726" t="s">
        <v>39</v>
      </c>
      <c r="E5726" t="s">
        <v>352</v>
      </c>
      <c r="F5726" t="s">
        <v>433</v>
      </c>
      <c r="G5726" t="s">
        <v>36</v>
      </c>
      <c r="H5726" t="s">
        <v>43</v>
      </c>
      <c r="I5726" s="187"/>
      <c r="J5726" s="187">
        <v>414.97053811277277</v>
      </c>
      <c r="K5726" s="187">
        <v>76.791276723318845</v>
      </c>
      <c r="L5726" s="187">
        <v>296.85549829729837</v>
      </c>
      <c r="M5726" s="187">
        <v>788.6173095703125</v>
      </c>
      <c r="N5726" s="187">
        <v>296.85549926757813</v>
      </c>
      <c r="O5726" t="s">
        <v>5985</v>
      </c>
    </row>
    <row r="5727" spans="1:15" hidden="1" x14ac:dyDescent="0.45">
      <c r="A5727" s="187">
        <v>2022</v>
      </c>
      <c r="B5727" t="s">
        <v>310</v>
      </c>
      <c r="C5727" t="s">
        <v>328</v>
      </c>
      <c r="D5727" t="s">
        <v>39</v>
      </c>
      <c r="E5727" t="s">
        <v>352</v>
      </c>
      <c r="F5727" t="s">
        <v>433</v>
      </c>
      <c r="G5727" t="s">
        <v>36</v>
      </c>
      <c r="H5727" t="s">
        <v>43</v>
      </c>
      <c r="I5727" s="187"/>
      <c r="J5727" s="187">
        <v>251.32294012954995</v>
      </c>
      <c r="K5727" s="187">
        <v>474.73149974610618</v>
      </c>
      <c r="L5727" s="187">
        <v>310.93907941609439</v>
      </c>
      <c r="M5727" s="187">
        <v>1036.9935302734375</v>
      </c>
      <c r="N5727" s="187">
        <v>310.9390869140625</v>
      </c>
      <c r="O5727" t="s">
        <v>5986</v>
      </c>
    </row>
    <row r="5728" spans="1:15" hidden="1" x14ac:dyDescent="0.45">
      <c r="A5728" s="187">
        <v>2022</v>
      </c>
      <c r="B5728" t="s">
        <v>311</v>
      </c>
      <c r="C5728" t="s">
        <v>328</v>
      </c>
      <c r="D5728" t="s">
        <v>39</v>
      </c>
      <c r="E5728" t="s">
        <v>352</v>
      </c>
      <c r="F5728" t="s">
        <v>433</v>
      </c>
      <c r="G5728" t="s">
        <v>36</v>
      </c>
      <c r="H5728" t="s">
        <v>43</v>
      </c>
      <c r="I5728" s="187"/>
      <c r="J5728" s="187">
        <v>233.0127464400633</v>
      </c>
      <c r="K5728" s="187">
        <v>166.14507859415832</v>
      </c>
      <c r="L5728" s="187">
        <v>259.80921228067058</v>
      </c>
      <c r="M5728" s="187">
        <v>658.967041015625</v>
      </c>
      <c r="N5728" s="187">
        <v>259.8092041015625</v>
      </c>
      <c r="O5728" t="s">
        <v>5989</v>
      </c>
    </row>
    <row r="5729" spans="1:15" hidden="1" x14ac:dyDescent="0.45">
      <c r="A5729" s="187">
        <v>2022</v>
      </c>
      <c r="B5729" t="s">
        <v>309</v>
      </c>
      <c r="C5729" t="s">
        <v>328</v>
      </c>
      <c r="D5729" t="s">
        <v>39</v>
      </c>
      <c r="E5729" t="s">
        <v>352</v>
      </c>
      <c r="F5729" t="s">
        <v>433</v>
      </c>
      <c r="G5729" t="s">
        <v>36</v>
      </c>
      <c r="H5729" t="s">
        <v>43</v>
      </c>
      <c r="I5729" s="187"/>
      <c r="J5729" s="187">
        <v>185.812017494082</v>
      </c>
      <c r="K5729" s="187">
        <v>451.48402876166273</v>
      </c>
      <c r="L5729" s="187">
        <v>315.64220920469057</v>
      </c>
      <c r="M5729" s="187">
        <v>952.938232421875</v>
      </c>
      <c r="N5729" s="187">
        <v>315.6422119140625</v>
      </c>
      <c r="O5729" t="s">
        <v>5988</v>
      </c>
    </row>
    <row r="5730" spans="1:15" hidden="1" x14ac:dyDescent="0.45">
      <c r="A5730" s="187">
        <v>2022</v>
      </c>
      <c r="B5730" t="s">
        <v>313</v>
      </c>
      <c r="C5730" t="s">
        <v>328</v>
      </c>
      <c r="D5730" t="s">
        <v>39</v>
      </c>
      <c r="E5730" t="s">
        <v>352</v>
      </c>
      <c r="F5730" t="s">
        <v>361</v>
      </c>
      <c r="G5730" t="s">
        <v>36</v>
      </c>
      <c r="H5730" t="s">
        <v>43</v>
      </c>
      <c r="I5730" s="187"/>
      <c r="J5730" s="187">
        <v>0</v>
      </c>
      <c r="K5730" s="187">
        <v>0</v>
      </c>
      <c r="L5730" s="187">
        <v>0</v>
      </c>
      <c r="M5730" s="187">
        <v>0</v>
      </c>
      <c r="N5730" s="187">
        <v>0</v>
      </c>
      <c r="O5730" t="s">
        <v>5993</v>
      </c>
    </row>
    <row r="5731" spans="1:15" hidden="1" x14ac:dyDescent="0.45">
      <c r="A5731" s="187">
        <v>2022</v>
      </c>
      <c r="B5731" t="s">
        <v>314</v>
      </c>
      <c r="C5731" t="s">
        <v>328</v>
      </c>
      <c r="D5731" t="s">
        <v>39</v>
      </c>
      <c r="E5731" t="s">
        <v>352</v>
      </c>
      <c r="F5731" t="s">
        <v>361</v>
      </c>
      <c r="G5731" t="s">
        <v>36</v>
      </c>
      <c r="H5731" t="s">
        <v>43</v>
      </c>
      <c r="I5731" s="187"/>
      <c r="J5731" s="187">
        <v>0</v>
      </c>
      <c r="K5731" s="187"/>
      <c r="L5731" s="187">
        <v>0</v>
      </c>
      <c r="M5731" s="187">
        <v>0</v>
      </c>
      <c r="N5731" s="187">
        <v>0</v>
      </c>
      <c r="O5731" t="s">
        <v>5999</v>
      </c>
    </row>
    <row r="5732" spans="1:15" x14ac:dyDescent="0.45">
      <c r="A5732" s="187">
        <v>2022</v>
      </c>
      <c r="B5732" t="s">
        <v>8570</v>
      </c>
      <c r="C5732" t="s">
        <v>328</v>
      </c>
      <c r="D5732" t="s">
        <v>39</v>
      </c>
      <c r="E5732" t="s">
        <v>352</v>
      </c>
      <c r="F5732" t="s">
        <v>361</v>
      </c>
      <c r="G5732" t="s">
        <v>36</v>
      </c>
      <c r="H5732" t="s">
        <v>43</v>
      </c>
      <c r="I5732" s="187">
        <v>0</v>
      </c>
      <c r="J5732" s="187"/>
      <c r="K5732" s="187">
        <v>0</v>
      </c>
      <c r="L5732" s="187"/>
      <c r="M5732" s="187">
        <v>0</v>
      </c>
      <c r="N5732" s="187">
        <v>0</v>
      </c>
      <c r="O5732" t="s">
        <v>8767</v>
      </c>
    </row>
    <row r="5733" spans="1:15" hidden="1" x14ac:dyDescent="0.45">
      <c r="A5733" s="187">
        <v>2022</v>
      </c>
      <c r="B5733" t="s">
        <v>309</v>
      </c>
      <c r="C5733" t="s">
        <v>328</v>
      </c>
      <c r="D5733" t="s">
        <v>39</v>
      </c>
      <c r="E5733" t="s">
        <v>352</v>
      </c>
      <c r="F5733" t="s">
        <v>361</v>
      </c>
      <c r="G5733" t="s">
        <v>36</v>
      </c>
      <c r="H5733" t="s">
        <v>43</v>
      </c>
      <c r="I5733" s="187"/>
      <c r="J5733" s="187"/>
      <c r="K5733" s="187">
        <v>0</v>
      </c>
      <c r="L5733" s="187"/>
      <c r="M5733" s="187">
        <v>0</v>
      </c>
      <c r="N5733" s="187">
        <v>0</v>
      </c>
      <c r="O5733" t="s">
        <v>6001</v>
      </c>
    </row>
    <row r="5734" spans="1:15" hidden="1" x14ac:dyDescent="0.45">
      <c r="A5734" s="187">
        <v>2022</v>
      </c>
      <c r="B5734" t="s">
        <v>310</v>
      </c>
      <c r="C5734" t="s">
        <v>328</v>
      </c>
      <c r="D5734" t="s">
        <v>39</v>
      </c>
      <c r="E5734" t="s">
        <v>352</v>
      </c>
      <c r="F5734" t="s">
        <v>361</v>
      </c>
      <c r="G5734" t="s">
        <v>36</v>
      </c>
      <c r="H5734" t="s">
        <v>43</v>
      </c>
      <c r="I5734" s="187"/>
      <c r="J5734" s="187">
        <v>0</v>
      </c>
      <c r="K5734" s="187">
        <v>0</v>
      </c>
      <c r="L5734" s="187"/>
      <c r="M5734" s="187">
        <v>0</v>
      </c>
      <c r="N5734" s="187">
        <v>0</v>
      </c>
      <c r="O5734" t="s">
        <v>5997</v>
      </c>
    </row>
    <row r="5735" spans="1:15" hidden="1" x14ac:dyDescent="0.45">
      <c r="A5735" s="187">
        <v>2022</v>
      </c>
      <c r="B5735" t="s">
        <v>311</v>
      </c>
      <c r="C5735" t="s">
        <v>328</v>
      </c>
      <c r="D5735" t="s">
        <v>39</v>
      </c>
      <c r="E5735" t="s">
        <v>352</v>
      </c>
      <c r="F5735" t="s">
        <v>361</v>
      </c>
      <c r="G5735" t="s">
        <v>36</v>
      </c>
      <c r="H5735" t="s">
        <v>43</v>
      </c>
      <c r="I5735" s="187"/>
      <c r="J5735" s="187"/>
      <c r="K5735" s="187">
        <v>0</v>
      </c>
      <c r="L5735" s="187">
        <v>0</v>
      </c>
      <c r="M5735" s="187">
        <v>0</v>
      </c>
      <c r="N5735" s="187">
        <v>0</v>
      </c>
      <c r="O5735" t="s">
        <v>5995</v>
      </c>
    </row>
    <row r="5736" spans="1:15" hidden="1" x14ac:dyDescent="0.45">
      <c r="A5736" s="187">
        <v>2022</v>
      </c>
      <c r="B5736" t="s">
        <v>312</v>
      </c>
      <c r="C5736" t="s">
        <v>328</v>
      </c>
      <c r="D5736" t="s">
        <v>39</v>
      </c>
      <c r="E5736" t="s">
        <v>352</v>
      </c>
      <c r="F5736" t="s">
        <v>361</v>
      </c>
      <c r="G5736" t="s">
        <v>36</v>
      </c>
      <c r="H5736" t="s">
        <v>43</v>
      </c>
      <c r="I5736" s="187"/>
      <c r="J5736" s="187"/>
      <c r="K5736" s="187">
        <v>0</v>
      </c>
      <c r="L5736" s="187"/>
      <c r="M5736" s="187">
        <v>0</v>
      </c>
      <c r="N5736" s="187">
        <v>0</v>
      </c>
      <c r="O5736" t="s">
        <v>5996</v>
      </c>
    </row>
    <row r="5737" spans="1:15" hidden="1" x14ac:dyDescent="0.45">
      <c r="A5737" s="187">
        <v>2022</v>
      </c>
      <c r="B5737" t="s">
        <v>316</v>
      </c>
      <c r="C5737" t="s">
        <v>328</v>
      </c>
      <c r="D5737" t="s">
        <v>39</v>
      </c>
      <c r="E5737" t="s">
        <v>352</v>
      </c>
      <c r="F5737" t="s">
        <v>361</v>
      </c>
      <c r="G5737" t="s">
        <v>36</v>
      </c>
      <c r="H5737" t="s">
        <v>43</v>
      </c>
      <c r="I5737" s="187"/>
      <c r="J5737" s="187"/>
      <c r="K5737" s="187">
        <v>0</v>
      </c>
      <c r="L5737" s="187"/>
      <c r="M5737" s="187">
        <v>0</v>
      </c>
      <c r="N5737" s="187">
        <v>0</v>
      </c>
      <c r="O5737" t="s">
        <v>6000</v>
      </c>
    </row>
    <row r="5738" spans="1:15" hidden="1" x14ac:dyDescent="0.45">
      <c r="A5738" s="187">
        <v>2022</v>
      </c>
      <c r="B5738" t="s">
        <v>317</v>
      </c>
      <c r="C5738" t="s">
        <v>328</v>
      </c>
      <c r="D5738" t="s">
        <v>39</v>
      </c>
      <c r="E5738" t="s">
        <v>352</v>
      </c>
      <c r="F5738" t="s">
        <v>361</v>
      </c>
      <c r="G5738" t="s">
        <v>36</v>
      </c>
      <c r="H5738" t="s">
        <v>43</v>
      </c>
      <c r="I5738" s="187"/>
      <c r="J5738" s="187"/>
      <c r="K5738" s="187"/>
      <c r="L5738" s="187">
        <v>0</v>
      </c>
      <c r="M5738" s="187">
        <v>0</v>
      </c>
      <c r="N5738" s="187">
        <v>0</v>
      </c>
      <c r="O5738" t="s">
        <v>5998</v>
      </c>
    </row>
    <row r="5739" spans="1:15" hidden="1" x14ac:dyDescent="0.45">
      <c r="A5739" s="187">
        <v>2022</v>
      </c>
      <c r="B5739" t="s">
        <v>315</v>
      </c>
      <c r="C5739" t="s">
        <v>328</v>
      </c>
      <c r="D5739" t="s">
        <v>39</v>
      </c>
      <c r="E5739" t="s">
        <v>352</v>
      </c>
      <c r="F5739" t="s">
        <v>361</v>
      </c>
      <c r="G5739" t="s">
        <v>36</v>
      </c>
      <c r="H5739" t="s">
        <v>43</v>
      </c>
      <c r="I5739" s="187"/>
      <c r="J5739" s="187">
        <v>0</v>
      </c>
      <c r="K5739" s="187">
        <v>0</v>
      </c>
      <c r="L5739" s="187">
        <v>0</v>
      </c>
      <c r="M5739" s="187">
        <v>0</v>
      </c>
      <c r="N5739" s="187">
        <v>0</v>
      </c>
      <c r="O5739" t="s">
        <v>5994</v>
      </c>
    </row>
    <row r="5740" spans="1:15" hidden="1" x14ac:dyDescent="0.45">
      <c r="A5740" s="187">
        <v>2022</v>
      </c>
      <c r="B5740" t="s">
        <v>313</v>
      </c>
      <c r="C5740" t="s">
        <v>328</v>
      </c>
      <c r="D5740" t="s">
        <v>39</v>
      </c>
      <c r="E5740" t="s">
        <v>40</v>
      </c>
      <c r="F5740" t="s">
        <v>40</v>
      </c>
      <c r="G5740" t="s">
        <v>36</v>
      </c>
      <c r="H5740" t="s">
        <v>43</v>
      </c>
      <c r="I5740" s="187">
        <v>5438.3522859883205</v>
      </c>
      <c r="J5740" s="187">
        <v>136.92860398744912</v>
      </c>
      <c r="K5740" s="187">
        <v>6295.7685367167178</v>
      </c>
      <c r="L5740" s="187">
        <v>5155.3619401274591</v>
      </c>
      <c r="M5740" s="187">
        <v>17026.41015625</v>
      </c>
      <c r="N5740" s="187">
        <v>10593.7138671875</v>
      </c>
      <c r="O5740" t="s">
        <v>6008</v>
      </c>
    </row>
    <row r="5741" spans="1:15" hidden="1" x14ac:dyDescent="0.45">
      <c r="A5741" s="187">
        <v>2022</v>
      </c>
      <c r="B5741" t="s">
        <v>317</v>
      </c>
      <c r="C5741" t="s">
        <v>328</v>
      </c>
      <c r="D5741" t="s">
        <v>39</v>
      </c>
      <c r="E5741" t="s">
        <v>40</v>
      </c>
      <c r="F5741" t="s">
        <v>40</v>
      </c>
      <c r="G5741" t="s">
        <v>36</v>
      </c>
      <c r="H5741" t="s">
        <v>43</v>
      </c>
      <c r="I5741" s="187">
        <v>4322.6221200818281</v>
      </c>
      <c r="J5741" s="187">
        <v>145.29195163142421</v>
      </c>
      <c r="K5741" s="187">
        <v>6299.2376733340079</v>
      </c>
      <c r="L5741" s="187">
        <v>5849.3076354636678</v>
      </c>
      <c r="M5741" s="187">
        <v>16616.458984375</v>
      </c>
      <c r="N5741" s="187">
        <v>10171.9296875</v>
      </c>
      <c r="O5741" t="s">
        <v>6002</v>
      </c>
    </row>
    <row r="5742" spans="1:15" hidden="1" x14ac:dyDescent="0.45">
      <c r="A5742" s="187">
        <v>2022</v>
      </c>
      <c r="B5742" t="s">
        <v>309</v>
      </c>
      <c r="C5742" t="s">
        <v>328</v>
      </c>
      <c r="D5742" t="s">
        <v>39</v>
      </c>
      <c r="E5742" t="s">
        <v>40</v>
      </c>
      <c r="F5742" t="s">
        <v>40</v>
      </c>
      <c r="G5742" t="s">
        <v>36</v>
      </c>
      <c r="H5742" t="s">
        <v>43</v>
      </c>
      <c r="I5742" s="187"/>
      <c r="J5742" s="187">
        <v>624.13780235191655</v>
      </c>
      <c r="K5742" s="187">
        <v>6106.4722685372208</v>
      </c>
      <c r="L5742" s="187">
        <v>10387.60643952493</v>
      </c>
      <c r="M5742" s="187">
        <v>17118.216796875</v>
      </c>
      <c r="N5742" s="187">
        <v>10387.6064453125</v>
      </c>
      <c r="O5742" t="s">
        <v>6003</v>
      </c>
    </row>
    <row r="5743" spans="1:15" hidden="1" x14ac:dyDescent="0.45">
      <c r="A5743" s="187">
        <v>2022</v>
      </c>
      <c r="B5743" t="s">
        <v>314</v>
      </c>
      <c r="C5743" t="s">
        <v>328</v>
      </c>
      <c r="D5743" t="s">
        <v>39</v>
      </c>
      <c r="E5743" t="s">
        <v>40</v>
      </c>
      <c r="F5743" t="s">
        <v>40</v>
      </c>
      <c r="G5743" t="s">
        <v>36</v>
      </c>
      <c r="H5743" t="s">
        <v>43</v>
      </c>
      <c r="I5743" s="187">
        <v>5489.3275898262937</v>
      </c>
      <c r="J5743" s="187">
        <v>160.89599768037451</v>
      </c>
      <c r="K5743" s="187">
        <v>6489.7265469629556</v>
      </c>
      <c r="L5743" s="187">
        <v>5189.7281458697344</v>
      </c>
      <c r="M5743" s="187">
        <v>17329.677734375</v>
      </c>
      <c r="N5743" s="187">
        <v>10679.0556640625</v>
      </c>
      <c r="O5743" t="s">
        <v>6006</v>
      </c>
    </row>
    <row r="5744" spans="1:15" hidden="1" x14ac:dyDescent="0.45">
      <c r="A5744" s="187">
        <v>2022</v>
      </c>
      <c r="B5744" t="s">
        <v>316</v>
      </c>
      <c r="C5744" t="s">
        <v>328</v>
      </c>
      <c r="D5744" t="s">
        <v>39</v>
      </c>
      <c r="E5744" t="s">
        <v>40</v>
      </c>
      <c r="F5744" t="s">
        <v>40</v>
      </c>
      <c r="G5744" t="s">
        <v>36</v>
      </c>
      <c r="H5744" t="s">
        <v>43</v>
      </c>
      <c r="I5744" s="187">
        <v>4373.6888723027332</v>
      </c>
      <c r="J5744" s="187">
        <v>227.38710440594724</v>
      </c>
      <c r="K5744" s="187">
        <v>6496.1311873107788</v>
      </c>
      <c r="L5744" s="187">
        <v>5555.6486485787946</v>
      </c>
      <c r="M5744" s="187">
        <v>16652.85546875</v>
      </c>
      <c r="N5744" s="187">
        <v>9929.337890625</v>
      </c>
      <c r="O5744" t="s">
        <v>6007</v>
      </c>
    </row>
    <row r="5745" spans="1:15" hidden="1" x14ac:dyDescent="0.45">
      <c r="A5745" s="187">
        <v>2022</v>
      </c>
      <c r="B5745" t="s">
        <v>312</v>
      </c>
      <c r="C5745" t="s">
        <v>328</v>
      </c>
      <c r="D5745" t="s">
        <v>39</v>
      </c>
      <c r="E5745" t="s">
        <v>40</v>
      </c>
      <c r="F5745" t="s">
        <v>40</v>
      </c>
      <c r="G5745" t="s">
        <v>36</v>
      </c>
      <c r="H5745" t="s">
        <v>43</v>
      </c>
      <c r="I5745" s="187">
        <v>4776.8725308072471</v>
      </c>
      <c r="J5745" s="187">
        <v>168.16526079411148</v>
      </c>
      <c r="K5745" s="187">
        <v>6431.3681268025466</v>
      </c>
      <c r="L5745" s="187">
        <v>5129.6203344300347</v>
      </c>
      <c r="M5745" s="187">
        <v>16506.025390625</v>
      </c>
      <c r="N5745" s="187">
        <v>9906.4931640625</v>
      </c>
      <c r="O5745" t="s">
        <v>6009</v>
      </c>
    </row>
    <row r="5746" spans="1:15" x14ac:dyDescent="0.45">
      <c r="A5746" s="187">
        <v>2022</v>
      </c>
      <c r="B5746" t="s">
        <v>8570</v>
      </c>
      <c r="C5746" t="s">
        <v>328</v>
      </c>
      <c r="D5746" t="s">
        <v>39</v>
      </c>
      <c r="E5746" t="s">
        <v>40</v>
      </c>
      <c r="F5746" t="s">
        <v>40</v>
      </c>
      <c r="G5746" t="s">
        <v>36</v>
      </c>
      <c r="H5746" t="s">
        <v>43</v>
      </c>
      <c r="I5746" s="187">
        <v>4861.8410000000003</v>
      </c>
      <c r="J5746" s="187">
        <v>208</v>
      </c>
      <c r="K5746" s="187">
        <v>6636.8016699999989</v>
      </c>
      <c r="L5746" s="187">
        <v>5690</v>
      </c>
      <c r="M5746" s="187">
        <v>17396.642578125</v>
      </c>
      <c r="N5746" s="187">
        <v>10551.8408203125</v>
      </c>
      <c r="O5746" t="s">
        <v>8768</v>
      </c>
    </row>
    <row r="5747" spans="1:15" hidden="1" x14ac:dyDescent="0.45">
      <c r="A5747" s="187">
        <v>2022</v>
      </c>
      <c r="B5747" t="s">
        <v>311</v>
      </c>
      <c r="C5747" t="s">
        <v>328</v>
      </c>
      <c r="D5747" t="s">
        <v>39</v>
      </c>
      <c r="E5747" t="s">
        <v>40</v>
      </c>
      <c r="F5747" t="s">
        <v>40</v>
      </c>
      <c r="G5747" t="s">
        <v>36</v>
      </c>
      <c r="H5747" t="s">
        <v>43</v>
      </c>
      <c r="I5747" s="187"/>
      <c r="J5747" s="187">
        <v>168.93424116904589</v>
      </c>
      <c r="K5747" s="187">
        <v>6221.3091003063855</v>
      </c>
      <c r="L5747" s="187">
        <v>9609.4456631882094</v>
      </c>
      <c r="M5747" s="187">
        <v>15999.6884765625</v>
      </c>
      <c r="N5747" s="187">
        <v>9609.4453125</v>
      </c>
      <c r="O5747" t="s">
        <v>6010</v>
      </c>
    </row>
    <row r="5748" spans="1:15" hidden="1" x14ac:dyDescent="0.45">
      <c r="A5748" s="187">
        <v>2022</v>
      </c>
      <c r="B5748" t="s">
        <v>315</v>
      </c>
      <c r="C5748" t="s">
        <v>328</v>
      </c>
      <c r="D5748" t="s">
        <v>39</v>
      </c>
      <c r="E5748" t="s">
        <v>40</v>
      </c>
      <c r="F5748" t="s">
        <v>40</v>
      </c>
      <c r="G5748" t="s">
        <v>36</v>
      </c>
      <c r="H5748" t="s">
        <v>43</v>
      </c>
      <c r="I5748" s="187">
        <v>5343.5044564888831</v>
      </c>
      <c r="J5748" s="187">
        <v>172.82407783267058</v>
      </c>
      <c r="K5748" s="187">
        <v>6339.9111098427393</v>
      </c>
      <c r="L5748" s="187">
        <v>5462.3210099988446</v>
      </c>
      <c r="M5748" s="187">
        <v>17318.560546875</v>
      </c>
      <c r="N5748" s="187">
        <v>10805.8251953125</v>
      </c>
      <c r="O5748" t="s">
        <v>6004</v>
      </c>
    </row>
    <row r="5749" spans="1:15" hidden="1" x14ac:dyDescent="0.45">
      <c r="A5749" s="187">
        <v>2022</v>
      </c>
      <c r="B5749" t="s">
        <v>310</v>
      </c>
      <c r="C5749" t="s">
        <v>328</v>
      </c>
      <c r="D5749" t="s">
        <v>39</v>
      </c>
      <c r="E5749" t="s">
        <v>40</v>
      </c>
      <c r="F5749" t="s">
        <v>40</v>
      </c>
      <c r="G5749" t="s">
        <v>36</v>
      </c>
      <c r="H5749" t="s">
        <v>43</v>
      </c>
      <c r="I5749" s="187"/>
      <c r="J5749" s="187">
        <v>140.27326890951625</v>
      </c>
      <c r="K5749" s="187">
        <v>6221.9664457314166</v>
      </c>
      <c r="L5749" s="187">
        <v>9895.110177658793</v>
      </c>
      <c r="M5749" s="187">
        <v>16257.349609375</v>
      </c>
      <c r="N5749" s="187">
        <v>9895.1103515625</v>
      </c>
      <c r="O5749" t="s">
        <v>6005</v>
      </c>
    </row>
    <row r="5750" spans="1:15" hidden="1" x14ac:dyDescent="0.45">
      <c r="A5750" s="187">
        <v>2022</v>
      </c>
      <c r="B5750" t="s">
        <v>309</v>
      </c>
      <c r="C5750" t="s">
        <v>328</v>
      </c>
      <c r="D5750" t="s">
        <v>39</v>
      </c>
      <c r="E5750" t="s">
        <v>40</v>
      </c>
      <c r="F5750" t="s">
        <v>40</v>
      </c>
      <c r="G5750" t="s">
        <v>37</v>
      </c>
      <c r="H5750" t="s">
        <v>43</v>
      </c>
      <c r="I5750" s="187"/>
      <c r="J5750" s="187">
        <v>620.04919999999993</v>
      </c>
      <c r="K5750" s="187">
        <v>6258.8693154636276</v>
      </c>
      <c r="L5750" s="187">
        <v>11167</v>
      </c>
      <c r="M5750" s="187">
        <v>18045.91796875</v>
      </c>
      <c r="N5750" s="187">
        <v>11167</v>
      </c>
      <c r="O5750" t="s">
        <v>6013</v>
      </c>
    </row>
    <row r="5751" spans="1:15" hidden="1" x14ac:dyDescent="0.45">
      <c r="A5751" s="187">
        <v>2022</v>
      </c>
      <c r="B5751" t="s">
        <v>311</v>
      </c>
      <c r="C5751" t="s">
        <v>328</v>
      </c>
      <c r="D5751" t="s">
        <v>39</v>
      </c>
      <c r="E5751" t="s">
        <v>40</v>
      </c>
      <c r="F5751" t="s">
        <v>40</v>
      </c>
      <c r="G5751" t="s">
        <v>37</v>
      </c>
      <c r="H5751" t="s">
        <v>43</v>
      </c>
      <c r="I5751" s="187"/>
      <c r="J5751" s="187">
        <v>167</v>
      </c>
      <c r="K5751" s="187">
        <v>6089.0790567819186</v>
      </c>
      <c r="L5751" s="187">
        <v>9914</v>
      </c>
      <c r="M5751" s="187">
        <v>16170.0791015625</v>
      </c>
      <c r="N5751" s="187">
        <v>9914</v>
      </c>
      <c r="O5751" t="s">
        <v>6015</v>
      </c>
    </row>
    <row r="5752" spans="1:15" hidden="1" x14ac:dyDescent="0.45">
      <c r="A5752" s="187">
        <v>2022</v>
      </c>
      <c r="B5752" t="s">
        <v>314</v>
      </c>
      <c r="C5752" t="s">
        <v>328</v>
      </c>
      <c r="D5752" t="s">
        <v>39</v>
      </c>
      <c r="E5752" t="s">
        <v>40</v>
      </c>
      <c r="F5752" t="s">
        <v>40</v>
      </c>
      <c r="G5752" t="s">
        <v>37</v>
      </c>
      <c r="H5752" t="s">
        <v>43</v>
      </c>
      <c r="I5752" s="187">
        <v>5357.4171538032551</v>
      </c>
      <c r="J5752" s="187">
        <v>157</v>
      </c>
      <c r="K5752" s="187">
        <v>6342.346595875797</v>
      </c>
      <c r="L5752" s="187">
        <v>5312</v>
      </c>
      <c r="M5752" s="187">
        <v>17168.763671875</v>
      </c>
      <c r="N5752" s="187">
        <v>10669.4169921875</v>
      </c>
      <c r="O5752" t="s">
        <v>6016</v>
      </c>
    </row>
    <row r="5753" spans="1:15" hidden="1" x14ac:dyDescent="0.45">
      <c r="A5753" s="187">
        <v>2022</v>
      </c>
      <c r="B5753" t="s">
        <v>310</v>
      </c>
      <c r="C5753" t="s">
        <v>328</v>
      </c>
      <c r="D5753" t="s">
        <v>39</v>
      </c>
      <c r="E5753" t="s">
        <v>40</v>
      </c>
      <c r="F5753" t="s">
        <v>40</v>
      </c>
      <c r="G5753" t="s">
        <v>37</v>
      </c>
      <c r="H5753" t="s">
        <v>43</v>
      </c>
      <c r="I5753" s="187"/>
      <c r="J5753" s="187">
        <v>141</v>
      </c>
      <c r="K5753" s="187">
        <v>6261.3714441341799</v>
      </c>
      <c r="L5753" s="187">
        <v>10419</v>
      </c>
      <c r="M5753" s="187">
        <v>16821.37109375</v>
      </c>
      <c r="N5753" s="187">
        <v>10419</v>
      </c>
      <c r="O5753" t="s">
        <v>6018</v>
      </c>
    </row>
    <row r="5754" spans="1:15" hidden="1" x14ac:dyDescent="0.45">
      <c r="A5754" s="187">
        <v>2022</v>
      </c>
      <c r="B5754" t="s">
        <v>317</v>
      </c>
      <c r="C5754" t="s">
        <v>328</v>
      </c>
      <c r="D5754" t="s">
        <v>39</v>
      </c>
      <c r="E5754" t="s">
        <v>40</v>
      </c>
      <c r="F5754" t="s">
        <v>40</v>
      </c>
      <c r="G5754" t="s">
        <v>37</v>
      </c>
      <c r="H5754" t="s">
        <v>43</v>
      </c>
      <c r="I5754" s="187">
        <v>4219</v>
      </c>
      <c r="J5754" s="187">
        <v>139</v>
      </c>
      <c r="K5754" s="187">
        <v>6123.9707371320092</v>
      </c>
      <c r="L5754" s="187">
        <v>5706</v>
      </c>
      <c r="M5754" s="187">
        <v>16187.970703125</v>
      </c>
      <c r="N5754" s="187">
        <v>9925</v>
      </c>
      <c r="O5754" t="s">
        <v>6014</v>
      </c>
    </row>
    <row r="5755" spans="1:15" hidden="1" x14ac:dyDescent="0.45">
      <c r="A5755" s="187">
        <v>2022</v>
      </c>
      <c r="B5755" t="s">
        <v>315</v>
      </c>
      <c r="C5755" t="s">
        <v>328</v>
      </c>
      <c r="D5755" t="s">
        <v>39</v>
      </c>
      <c r="E5755" t="s">
        <v>40</v>
      </c>
      <c r="F5755" t="s">
        <v>40</v>
      </c>
      <c r="G5755" t="s">
        <v>37</v>
      </c>
      <c r="H5755" t="s">
        <v>43</v>
      </c>
      <c r="I5755" s="187">
        <v>5250.8253982194001</v>
      </c>
      <c r="J5755" s="187">
        <v>166</v>
      </c>
      <c r="K5755" s="187">
        <v>6213.222679957189</v>
      </c>
      <c r="L5755" s="187">
        <v>5437</v>
      </c>
      <c r="M5755" s="187">
        <v>17067.046875</v>
      </c>
      <c r="N5755" s="187">
        <v>10687.8251953125</v>
      </c>
      <c r="O5755" t="s">
        <v>6019</v>
      </c>
    </row>
    <row r="5756" spans="1:15" hidden="1" x14ac:dyDescent="0.45">
      <c r="A5756" s="187">
        <v>2022</v>
      </c>
      <c r="B5756" t="s">
        <v>316</v>
      </c>
      <c r="C5756" t="s">
        <v>328</v>
      </c>
      <c r="D5756" t="s">
        <v>39</v>
      </c>
      <c r="E5756" t="s">
        <v>40</v>
      </c>
      <c r="F5756" t="s">
        <v>40</v>
      </c>
      <c r="G5756" t="s">
        <v>37</v>
      </c>
      <c r="H5756" t="s">
        <v>43</v>
      </c>
      <c r="I5756" s="187">
        <v>4302.9216042969601</v>
      </c>
      <c r="J5756" s="187">
        <v>215</v>
      </c>
      <c r="K5756" s="187">
        <v>6310.885659593836</v>
      </c>
      <c r="L5756" s="187">
        <v>5495</v>
      </c>
      <c r="M5756" s="187">
        <v>16323.806640625</v>
      </c>
      <c r="N5756" s="187">
        <v>9797.921875</v>
      </c>
      <c r="O5756" t="s">
        <v>6011</v>
      </c>
    </row>
    <row r="5757" spans="1:15" x14ac:dyDescent="0.45">
      <c r="A5757" s="187">
        <v>2022</v>
      </c>
      <c r="B5757" t="s">
        <v>8570</v>
      </c>
      <c r="C5757" t="s">
        <v>328</v>
      </c>
      <c r="D5757" t="s">
        <v>39</v>
      </c>
      <c r="E5757" t="s">
        <v>40</v>
      </c>
      <c r="F5757" t="s">
        <v>40</v>
      </c>
      <c r="G5757" t="s">
        <v>37</v>
      </c>
      <c r="H5757" t="s">
        <v>43</v>
      </c>
      <c r="I5757" s="187">
        <v>4861.8410000000003</v>
      </c>
      <c r="J5757" s="187">
        <v>212</v>
      </c>
      <c r="K5757" s="187">
        <v>6636.8016699999989</v>
      </c>
      <c r="L5757" s="187">
        <v>5690</v>
      </c>
      <c r="M5757" s="187">
        <v>17400.642578125</v>
      </c>
      <c r="N5757" s="187">
        <v>10551.8408203125</v>
      </c>
      <c r="O5757" t="s">
        <v>8769</v>
      </c>
    </row>
    <row r="5758" spans="1:15" hidden="1" x14ac:dyDescent="0.45">
      <c r="A5758" s="187">
        <v>2022</v>
      </c>
      <c r="B5758" t="s">
        <v>313</v>
      </c>
      <c r="C5758" t="s">
        <v>328</v>
      </c>
      <c r="D5758" t="s">
        <v>39</v>
      </c>
      <c r="E5758" t="s">
        <v>40</v>
      </c>
      <c r="F5758" t="s">
        <v>40</v>
      </c>
      <c r="G5758" t="s">
        <v>37</v>
      </c>
      <c r="H5758" t="s">
        <v>43</v>
      </c>
      <c r="I5758" s="187">
        <v>5251.2136628802527</v>
      </c>
      <c r="J5758" s="187">
        <v>132</v>
      </c>
      <c r="K5758" s="187">
        <v>6064.4277580576027</v>
      </c>
      <c r="L5758" s="187">
        <v>5005</v>
      </c>
      <c r="M5758" s="187">
        <v>16452.640625</v>
      </c>
      <c r="N5758" s="187">
        <v>10256.2138671875</v>
      </c>
      <c r="O5758" t="s">
        <v>6012</v>
      </c>
    </row>
    <row r="5759" spans="1:15" hidden="1" x14ac:dyDescent="0.45">
      <c r="A5759" s="187">
        <v>2022</v>
      </c>
      <c r="B5759" t="s">
        <v>312</v>
      </c>
      <c r="C5759" t="s">
        <v>328</v>
      </c>
      <c r="D5759" t="s">
        <v>39</v>
      </c>
      <c r="E5759" t="s">
        <v>40</v>
      </c>
      <c r="F5759" t="s">
        <v>40</v>
      </c>
      <c r="G5759" t="s">
        <v>37</v>
      </c>
      <c r="H5759" t="s">
        <v>43</v>
      </c>
      <c r="I5759" s="187">
        <v>4560.8597561073821</v>
      </c>
      <c r="J5759" s="187">
        <v>164</v>
      </c>
      <c r="K5759" s="187">
        <v>6225.7934069125931</v>
      </c>
      <c r="L5759" s="187">
        <v>4974</v>
      </c>
      <c r="M5759" s="187">
        <v>15924.6533203125</v>
      </c>
      <c r="N5759" s="187">
        <v>9534.859375</v>
      </c>
      <c r="O5759" t="s">
        <v>6017</v>
      </c>
    </row>
    <row r="5760" spans="1:15" x14ac:dyDescent="0.45">
      <c r="A5760" s="187">
        <v>2022</v>
      </c>
      <c r="B5760" t="s">
        <v>8570</v>
      </c>
      <c r="C5760" t="s">
        <v>328</v>
      </c>
      <c r="D5760" t="s">
        <v>39</v>
      </c>
      <c r="E5760" t="s">
        <v>41</v>
      </c>
      <c r="F5760" t="s">
        <v>41</v>
      </c>
      <c r="G5760" t="s">
        <v>36</v>
      </c>
      <c r="H5760" t="s">
        <v>43</v>
      </c>
      <c r="I5760" s="187">
        <v>4876.7819999999992</v>
      </c>
      <c r="J5760" s="187">
        <v>1880</v>
      </c>
      <c r="K5760" s="187">
        <v>11373.7926648834</v>
      </c>
      <c r="L5760" s="187">
        <v>8620</v>
      </c>
      <c r="M5760" s="187">
        <v>26750.57421875</v>
      </c>
      <c r="N5760" s="187">
        <v>13496.7822265625</v>
      </c>
      <c r="O5760" t="s">
        <v>8770</v>
      </c>
    </row>
    <row r="5761" spans="1:15" hidden="1" x14ac:dyDescent="0.45">
      <c r="A5761" s="187">
        <v>2022</v>
      </c>
      <c r="B5761" t="s">
        <v>313</v>
      </c>
      <c r="C5761" t="s">
        <v>328</v>
      </c>
      <c r="D5761" t="s">
        <v>39</v>
      </c>
      <c r="E5761" t="s">
        <v>41</v>
      </c>
      <c r="F5761" t="s">
        <v>41</v>
      </c>
      <c r="G5761" t="s">
        <v>36</v>
      </c>
      <c r="H5761" t="s">
        <v>43</v>
      </c>
      <c r="I5761" s="187">
        <v>3717.2418910284773</v>
      </c>
      <c r="J5761" s="187">
        <v>1688.7861158452058</v>
      </c>
      <c r="K5761" s="187">
        <v>12471.879768499753</v>
      </c>
      <c r="L5761" s="187">
        <v>8283.0394695407758</v>
      </c>
      <c r="M5761" s="187">
        <v>26160.947265625</v>
      </c>
      <c r="N5761" s="187">
        <v>12000.28125</v>
      </c>
      <c r="O5761" t="s">
        <v>6022</v>
      </c>
    </row>
    <row r="5762" spans="1:15" hidden="1" x14ac:dyDescent="0.45">
      <c r="A5762" s="187">
        <v>2022</v>
      </c>
      <c r="B5762" t="s">
        <v>317</v>
      </c>
      <c r="C5762" t="s">
        <v>328</v>
      </c>
      <c r="D5762" t="s">
        <v>39</v>
      </c>
      <c r="E5762" t="s">
        <v>41</v>
      </c>
      <c r="F5762" t="s">
        <v>41</v>
      </c>
      <c r="G5762" t="s">
        <v>36</v>
      </c>
      <c r="H5762" t="s">
        <v>43</v>
      </c>
      <c r="I5762" s="187">
        <v>6079.8505602442228</v>
      </c>
      <c r="J5762" s="187">
        <v>1958.8281824265393</v>
      </c>
      <c r="K5762" s="187">
        <v>13004.748343527766</v>
      </c>
      <c r="L5762" s="187">
        <v>8703.928641977478</v>
      </c>
      <c r="M5762" s="187">
        <v>29747.35546875</v>
      </c>
      <c r="N5762" s="187">
        <v>14783.779296875</v>
      </c>
      <c r="O5762" t="s">
        <v>6021</v>
      </c>
    </row>
    <row r="5763" spans="1:15" hidden="1" x14ac:dyDescent="0.45">
      <c r="A5763" s="187">
        <v>2022</v>
      </c>
      <c r="B5763" t="s">
        <v>316</v>
      </c>
      <c r="C5763" t="s">
        <v>328</v>
      </c>
      <c r="D5763" t="s">
        <v>39</v>
      </c>
      <c r="E5763" t="s">
        <v>41</v>
      </c>
      <c r="F5763" t="s">
        <v>41</v>
      </c>
      <c r="G5763" t="s">
        <v>36</v>
      </c>
      <c r="H5763" t="s">
        <v>43</v>
      </c>
      <c r="I5763" s="187">
        <v>6151.6769224556501</v>
      </c>
      <c r="J5763" s="187">
        <v>2247.4306830820369</v>
      </c>
      <c r="K5763" s="187">
        <v>11906.182989996338</v>
      </c>
      <c r="L5763" s="187">
        <v>8318.1375635012791</v>
      </c>
      <c r="M5763" s="187">
        <v>28623.427734375</v>
      </c>
      <c r="N5763" s="187">
        <v>14469.814453125</v>
      </c>
      <c r="O5763" t="s">
        <v>6020</v>
      </c>
    </row>
    <row r="5764" spans="1:15" hidden="1" x14ac:dyDescent="0.45">
      <c r="A5764" s="187">
        <v>2022</v>
      </c>
      <c r="B5764" t="s">
        <v>315</v>
      </c>
      <c r="C5764" t="s">
        <v>328</v>
      </c>
      <c r="D5764" t="s">
        <v>39</v>
      </c>
      <c r="E5764" t="s">
        <v>41</v>
      </c>
      <c r="F5764" t="s">
        <v>41</v>
      </c>
      <c r="G5764" t="s">
        <v>36</v>
      </c>
      <c r="H5764" t="s">
        <v>43</v>
      </c>
      <c r="I5764" s="187">
        <v>3653.0689451880744</v>
      </c>
      <c r="J5764" s="187">
        <v>1809.25206481077</v>
      </c>
      <c r="K5764" s="187">
        <v>11775.061287763763</v>
      </c>
      <c r="L5764" s="187">
        <v>7736.037783984917</v>
      </c>
      <c r="M5764" s="187">
        <v>24973.419921875</v>
      </c>
      <c r="N5764" s="187">
        <v>11389.1064453125</v>
      </c>
      <c r="O5764" t="s">
        <v>6026</v>
      </c>
    </row>
    <row r="5765" spans="1:15" hidden="1" x14ac:dyDescent="0.45">
      <c r="A5765" s="187">
        <v>2022</v>
      </c>
      <c r="B5765" t="s">
        <v>310</v>
      </c>
      <c r="C5765" t="s">
        <v>328</v>
      </c>
      <c r="D5765" t="s">
        <v>39</v>
      </c>
      <c r="E5765" t="s">
        <v>41</v>
      </c>
      <c r="F5765" t="s">
        <v>41</v>
      </c>
      <c r="G5765" t="s">
        <v>36</v>
      </c>
      <c r="H5765" t="s">
        <v>43</v>
      </c>
      <c r="I5765" s="187"/>
      <c r="J5765" s="187">
        <v>1810.6267885693817</v>
      </c>
      <c r="K5765" s="187">
        <v>11774.939415554512</v>
      </c>
      <c r="L5765" s="187">
        <v>14030.833722674362</v>
      </c>
      <c r="M5765" s="187">
        <v>27616.400390625</v>
      </c>
      <c r="N5765" s="187">
        <v>14030.833984375</v>
      </c>
      <c r="O5765" t="s">
        <v>6027</v>
      </c>
    </row>
    <row r="5766" spans="1:15" hidden="1" x14ac:dyDescent="0.45">
      <c r="A5766" s="187">
        <v>2022</v>
      </c>
      <c r="B5766" t="s">
        <v>314</v>
      </c>
      <c r="C5766" t="s">
        <v>328</v>
      </c>
      <c r="D5766" t="s">
        <v>39</v>
      </c>
      <c r="E5766" t="s">
        <v>41</v>
      </c>
      <c r="F5766" t="s">
        <v>41</v>
      </c>
      <c r="G5766" t="s">
        <v>36</v>
      </c>
      <c r="H5766" t="s">
        <v>43</v>
      </c>
      <c r="I5766" s="187">
        <v>3752.7604424484589</v>
      </c>
      <c r="J5766" s="187">
        <v>1675.5376310163138</v>
      </c>
      <c r="K5766" s="187">
        <v>10989.523245968661</v>
      </c>
      <c r="L5766" s="187">
        <v>7767.3929914663549</v>
      </c>
      <c r="M5766" s="187">
        <v>24185.21484375</v>
      </c>
      <c r="N5766" s="187">
        <v>11520.1533203125</v>
      </c>
      <c r="O5766" t="s">
        <v>6028</v>
      </c>
    </row>
    <row r="5767" spans="1:15" hidden="1" x14ac:dyDescent="0.45">
      <c r="A5767" s="187">
        <v>2022</v>
      </c>
      <c r="B5767" t="s">
        <v>312</v>
      </c>
      <c r="C5767" t="s">
        <v>328</v>
      </c>
      <c r="D5767" t="s">
        <v>39</v>
      </c>
      <c r="E5767" t="s">
        <v>41</v>
      </c>
      <c r="F5767" t="s">
        <v>41</v>
      </c>
      <c r="G5767" t="s">
        <v>36</v>
      </c>
      <c r="H5767" t="s">
        <v>43</v>
      </c>
      <c r="I5767" s="187">
        <v>3335.0819750877085</v>
      </c>
      <c r="J5767" s="187">
        <v>1675.8538058447662</v>
      </c>
      <c r="K5767" s="187">
        <v>12537.609721680734</v>
      </c>
      <c r="L5767" s="187">
        <v>8532.3574045674359</v>
      </c>
      <c r="M5767" s="187">
        <v>26080.90234375</v>
      </c>
      <c r="N5767" s="187">
        <v>11867.439453125</v>
      </c>
      <c r="O5767" t="s">
        <v>6025</v>
      </c>
    </row>
    <row r="5768" spans="1:15" hidden="1" x14ac:dyDescent="0.45">
      <c r="A5768" s="187">
        <v>2022</v>
      </c>
      <c r="B5768" t="s">
        <v>309</v>
      </c>
      <c r="C5768" t="s">
        <v>328</v>
      </c>
      <c r="D5768" t="s">
        <v>39</v>
      </c>
      <c r="E5768" t="s">
        <v>41</v>
      </c>
      <c r="F5768" t="s">
        <v>41</v>
      </c>
      <c r="G5768" t="s">
        <v>36</v>
      </c>
      <c r="H5768" t="s">
        <v>43</v>
      </c>
      <c r="I5768" s="187"/>
      <c r="J5768" s="187">
        <v>1057.6991765047746</v>
      </c>
      <c r="K5768" s="187">
        <v>12885.454167622587</v>
      </c>
      <c r="L5768" s="187">
        <v>15305.669389736884</v>
      </c>
      <c r="M5768" s="187">
        <v>29248.822265625</v>
      </c>
      <c r="N5768" s="187">
        <v>15305.6689453125</v>
      </c>
      <c r="O5768" t="s">
        <v>6024</v>
      </c>
    </row>
    <row r="5769" spans="1:15" hidden="1" x14ac:dyDescent="0.45">
      <c r="A5769" s="187">
        <v>2022</v>
      </c>
      <c r="B5769" t="s">
        <v>311</v>
      </c>
      <c r="C5769" t="s">
        <v>328</v>
      </c>
      <c r="D5769" t="s">
        <v>39</v>
      </c>
      <c r="E5769" t="s">
        <v>41</v>
      </c>
      <c r="F5769" t="s">
        <v>41</v>
      </c>
      <c r="G5769" t="s">
        <v>36</v>
      </c>
      <c r="H5769" t="s">
        <v>43</v>
      </c>
      <c r="I5769" s="187"/>
      <c r="J5769" s="187">
        <v>1683.5170930294573</v>
      </c>
      <c r="K5769" s="187">
        <v>12096.635262017011</v>
      </c>
      <c r="L5769" s="187">
        <v>12276.276546194735</v>
      </c>
      <c r="M5769" s="187">
        <v>26056.4296875</v>
      </c>
      <c r="N5769" s="187">
        <v>12276.2763671875</v>
      </c>
      <c r="O5769" t="s">
        <v>6023</v>
      </c>
    </row>
    <row r="5770" spans="1:15" hidden="1" x14ac:dyDescent="0.45">
      <c r="A5770" s="187">
        <v>2022</v>
      </c>
      <c r="B5770" t="s">
        <v>309</v>
      </c>
      <c r="C5770" t="s">
        <v>328</v>
      </c>
      <c r="D5770" t="s">
        <v>39</v>
      </c>
      <c r="E5770" t="s">
        <v>41</v>
      </c>
      <c r="F5770" t="s">
        <v>41</v>
      </c>
      <c r="G5770" t="s">
        <v>37</v>
      </c>
      <c r="H5770" t="s">
        <v>43</v>
      </c>
      <c r="I5770" s="187"/>
      <c r="J5770" s="187">
        <v>1050.7704000000001</v>
      </c>
      <c r="K5770" s="187">
        <v>13207.03184407729</v>
      </c>
      <c r="L5770" s="187">
        <v>16456</v>
      </c>
      <c r="M5770" s="187">
        <v>30713.80078125</v>
      </c>
      <c r="N5770" s="187">
        <v>16456</v>
      </c>
      <c r="O5770" t="s">
        <v>6033</v>
      </c>
    </row>
    <row r="5771" spans="1:15" hidden="1" x14ac:dyDescent="0.45">
      <c r="A5771" s="187">
        <v>2022</v>
      </c>
      <c r="B5771" t="s">
        <v>316</v>
      </c>
      <c r="C5771" t="s">
        <v>328</v>
      </c>
      <c r="D5771" t="s">
        <v>39</v>
      </c>
      <c r="E5771" t="s">
        <v>41</v>
      </c>
      <c r="F5771" t="s">
        <v>41</v>
      </c>
      <c r="G5771" t="s">
        <v>37</v>
      </c>
      <c r="H5771" t="s">
        <v>43</v>
      </c>
      <c r="I5771" s="187">
        <v>6052.1414085755396</v>
      </c>
      <c r="J5771" s="187">
        <v>2125</v>
      </c>
      <c r="K5771" s="187">
        <v>11566.66288372376</v>
      </c>
      <c r="L5771" s="187">
        <v>8227</v>
      </c>
      <c r="M5771" s="187">
        <v>27970.8046875</v>
      </c>
      <c r="N5771" s="187">
        <v>14279.1416015625</v>
      </c>
      <c r="O5771" t="s">
        <v>6036</v>
      </c>
    </row>
    <row r="5772" spans="1:15" x14ac:dyDescent="0.45">
      <c r="A5772" s="187">
        <v>2022</v>
      </c>
      <c r="B5772" t="s">
        <v>8570</v>
      </c>
      <c r="C5772" t="s">
        <v>328</v>
      </c>
      <c r="D5772" t="s">
        <v>39</v>
      </c>
      <c r="E5772" t="s">
        <v>41</v>
      </c>
      <c r="F5772" t="s">
        <v>41</v>
      </c>
      <c r="G5772" t="s">
        <v>37</v>
      </c>
      <c r="H5772" t="s">
        <v>43</v>
      </c>
      <c r="I5772" s="187">
        <v>4876.7819999999992</v>
      </c>
      <c r="J5772" s="187">
        <v>1880</v>
      </c>
      <c r="K5772" s="187">
        <v>11373.7926648834</v>
      </c>
      <c r="L5772" s="187">
        <v>8620</v>
      </c>
      <c r="M5772" s="187">
        <v>26750.57421875</v>
      </c>
      <c r="N5772" s="187">
        <v>13496.7822265625</v>
      </c>
      <c r="O5772" t="s">
        <v>8771</v>
      </c>
    </row>
    <row r="5773" spans="1:15" hidden="1" x14ac:dyDescent="0.45">
      <c r="A5773" s="187">
        <v>2022</v>
      </c>
      <c r="B5773" t="s">
        <v>311</v>
      </c>
      <c r="C5773" t="s">
        <v>328</v>
      </c>
      <c r="D5773" t="s">
        <v>39</v>
      </c>
      <c r="E5773" t="s">
        <v>41</v>
      </c>
      <c r="F5773" t="s">
        <v>41</v>
      </c>
      <c r="G5773" t="s">
        <v>37</v>
      </c>
      <c r="H5773" t="s">
        <v>43</v>
      </c>
      <c r="I5773" s="187"/>
      <c r="J5773" s="187">
        <v>1662</v>
      </c>
      <c r="K5773" s="187">
        <v>11839.52882647319</v>
      </c>
      <c r="L5773" s="187">
        <v>12667</v>
      </c>
      <c r="M5773" s="187">
        <v>26168.529296875</v>
      </c>
      <c r="N5773" s="187">
        <v>12667</v>
      </c>
      <c r="O5773" t="s">
        <v>6034</v>
      </c>
    </row>
    <row r="5774" spans="1:15" hidden="1" x14ac:dyDescent="0.45">
      <c r="A5774" s="187">
        <v>2022</v>
      </c>
      <c r="B5774" t="s">
        <v>315</v>
      </c>
      <c r="C5774" t="s">
        <v>328</v>
      </c>
      <c r="D5774" t="s">
        <v>39</v>
      </c>
      <c r="E5774" t="s">
        <v>41</v>
      </c>
      <c r="F5774" t="s">
        <v>41</v>
      </c>
      <c r="G5774" t="s">
        <v>37</v>
      </c>
      <c r="H5774" t="s">
        <v>43</v>
      </c>
      <c r="I5774" s="187">
        <v>3589.7092170564001</v>
      </c>
      <c r="J5774" s="187">
        <v>1743</v>
      </c>
      <c r="K5774" s="187">
        <v>11539.76397830512</v>
      </c>
      <c r="L5774" s="187">
        <v>7701</v>
      </c>
      <c r="M5774" s="187">
        <v>24573.47265625</v>
      </c>
      <c r="N5774" s="187">
        <v>11290.708984375</v>
      </c>
      <c r="O5774" t="s">
        <v>6037</v>
      </c>
    </row>
    <row r="5775" spans="1:15" hidden="1" x14ac:dyDescent="0.45">
      <c r="A5775" s="187">
        <v>2022</v>
      </c>
      <c r="B5775" t="s">
        <v>313</v>
      </c>
      <c r="C5775" t="s">
        <v>328</v>
      </c>
      <c r="D5775" t="s">
        <v>39</v>
      </c>
      <c r="E5775" t="s">
        <v>41</v>
      </c>
      <c r="F5775" t="s">
        <v>41</v>
      </c>
      <c r="G5775" t="s">
        <v>37</v>
      </c>
      <c r="H5775" t="s">
        <v>43</v>
      </c>
      <c r="I5775" s="187">
        <v>3589.3282339748539</v>
      </c>
      <c r="J5775" s="187">
        <v>1634</v>
      </c>
      <c r="K5775" s="187">
        <v>12013.59507137963</v>
      </c>
      <c r="L5775" s="187">
        <v>8043</v>
      </c>
      <c r="M5775" s="187">
        <v>25279.923828125</v>
      </c>
      <c r="N5775" s="187">
        <v>11632.328125</v>
      </c>
      <c r="O5775" t="s">
        <v>6031</v>
      </c>
    </row>
    <row r="5776" spans="1:15" hidden="1" x14ac:dyDescent="0.45">
      <c r="A5776" s="187">
        <v>2022</v>
      </c>
      <c r="B5776" t="s">
        <v>310</v>
      </c>
      <c r="C5776" t="s">
        <v>328</v>
      </c>
      <c r="D5776" t="s">
        <v>39</v>
      </c>
      <c r="E5776" t="s">
        <v>41</v>
      </c>
      <c r="F5776" t="s">
        <v>41</v>
      </c>
      <c r="G5776" t="s">
        <v>37</v>
      </c>
      <c r="H5776" t="s">
        <v>43</v>
      </c>
      <c r="I5776" s="187"/>
      <c r="J5776" s="187">
        <v>1821</v>
      </c>
      <c r="K5776" s="187">
        <v>11849.512538522869</v>
      </c>
      <c r="L5776" s="187">
        <v>14775</v>
      </c>
      <c r="M5776" s="187">
        <v>28445.51171875</v>
      </c>
      <c r="N5776" s="187">
        <v>14775</v>
      </c>
      <c r="O5776" t="s">
        <v>6032</v>
      </c>
    </row>
    <row r="5777" spans="1:15" hidden="1" x14ac:dyDescent="0.45">
      <c r="A5777" s="187">
        <v>2022</v>
      </c>
      <c r="B5777" t="s">
        <v>314</v>
      </c>
      <c r="C5777" t="s">
        <v>328</v>
      </c>
      <c r="D5777" t="s">
        <v>39</v>
      </c>
      <c r="E5777" t="s">
        <v>41</v>
      </c>
      <c r="F5777" t="s">
        <v>41</v>
      </c>
      <c r="G5777" t="s">
        <v>37</v>
      </c>
      <c r="H5777" t="s">
        <v>43</v>
      </c>
      <c r="I5777" s="187">
        <v>3662.5803141626461</v>
      </c>
      <c r="J5777" s="187">
        <v>1635</v>
      </c>
      <c r="K5777" s="187">
        <v>10739.95411747895</v>
      </c>
      <c r="L5777" s="187">
        <v>7951</v>
      </c>
      <c r="M5777" s="187">
        <v>23988.53515625</v>
      </c>
      <c r="N5777" s="187">
        <v>11613.580078125</v>
      </c>
      <c r="O5777" t="s">
        <v>6030</v>
      </c>
    </row>
    <row r="5778" spans="1:15" hidden="1" x14ac:dyDescent="0.45">
      <c r="A5778" s="187">
        <v>2022</v>
      </c>
      <c r="B5778" t="s">
        <v>317</v>
      </c>
      <c r="C5778" t="s">
        <v>328</v>
      </c>
      <c r="D5778" t="s">
        <v>39</v>
      </c>
      <c r="E5778" t="s">
        <v>41</v>
      </c>
      <c r="F5778" t="s">
        <v>41</v>
      </c>
      <c r="G5778" t="s">
        <v>37</v>
      </c>
      <c r="H5778" t="s">
        <v>43</v>
      </c>
      <c r="I5778" s="187">
        <v>5933</v>
      </c>
      <c r="J5778" s="187">
        <v>1874</v>
      </c>
      <c r="K5778" s="187">
        <v>12642.910528152601</v>
      </c>
      <c r="L5778" s="187">
        <v>8493</v>
      </c>
      <c r="M5778" s="187">
        <v>28942.91015625</v>
      </c>
      <c r="N5778" s="187">
        <v>14426</v>
      </c>
      <c r="O5778" t="s">
        <v>6029</v>
      </c>
    </row>
    <row r="5779" spans="1:15" hidden="1" x14ac:dyDescent="0.45">
      <c r="A5779" s="187">
        <v>2022</v>
      </c>
      <c r="B5779" t="s">
        <v>312</v>
      </c>
      <c r="C5779" t="s">
        <v>328</v>
      </c>
      <c r="D5779" t="s">
        <v>39</v>
      </c>
      <c r="E5779" t="s">
        <v>41</v>
      </c>
      <c r="F5779" t="s">
        <v>41</v>
      </c>
      <c r="G5779" t="s">
        <v>37</v>
      </c>
      <c r="H5779" t="s">
        <v>43</v>
      </c>
      <c r="I5779" s="187">
        <v>3184.267753723409</v>
      </c>
      <c r="J5779" s="187">
        <v>1628</v>
      </c>
      <c r="K5779" s="187">
        <v>12136.852751187511</v>
      </c>
      <c r="L5779" s="187">
        <v>8273</v>
      </c>
      <c r="M5779" s="187">
        <v>25222.12109375</v>
      </c>
      <c r="N5779" s="187">
        <v>11457.267578125</v>
      </c>
      <c r="O5779" t="s">
        <v>6035</v>
      </c>
    </row>
    <row r="5780" spans="1:15" hidden="1" x14ac:dyDescent="0.45">
      <c r="A5780" s="187">
        <v>2022</v>
      </c>
      <c r="B5780" t="s">
        <v>311</v>
      </c>
      <c r="C5780" t="s">
        <v>328</v>
      </c>
      <c r="D5780" t="s">
        <v>39</v>
      </c>
      <c r="E5780" t="s">
        <v>361</v>
      </c>
      <c r="F5780" t="s">
        <v>361</v>
      </c>
      <c r="G5780" t="s">
        <v>36</v>
      </c>
      <c r="H5780" t="s">
        <v>43</v>
      </c>
      <c r="I5780" s="187"/>
      <c r="J5780" s="187">
        <v>0</v>
      </c>
      <c r="K5780" s="187"/>
      <c r="L5780" s="187"/>
      <c r="M5780" s="187">
        <v>0</v>
      </c>
      <c r="N5780" s="187">
        <v>0</v>
      </c>
      <c r="O5780" t="s">
        <v>6038</v>
      </c>
    </row>
    <row r="5781" spans="1:15" hidden="1" x14ac:dyDescent="0.45">
      <c r="A5781" s="187">
        <v>2022</v>
      </c>
      <c r="B5781" t="s">
        <v>316</v>
      </c>
      <c r="C5781" t="s">
        <v>328</v>
      </c>
      <c r="D5781" t="s">
        <v>39</v>
      </c>
      <c r="E5781" t="s">
        <v>361</v>
      </c>
      <c r="F5781" t="s">
        <v>361</v>
      </c>
      <c r="G5781" t="s">
        <v>36</v>
      </c>
      <c r="H5781" t="s">
        <v>43</v>
      </c>
      <c r="I5781" s="187"/>
      <c r="J5781" s="187"/>
      <c r="K5781" s="187"/>
      <c r="L5781" s="187">
        <v>0</v>
      </c>
      <c r="M5781" s="187">
        <v>0</v>
      </c>
      <c r="N5781" s="187">
        <v>0</v>
      </c>
      <c r="O5781" t="s">
        <v>6041</v>
      </c>
    </row>
    <row r="5782" spans="1:15" hidden="1" x14ac:dyDescent="0.45">
      <c r="A5782" s="187">
        <v>2022</v>
      </c>
      <c r="B5782" t="s">
        <v>317</v>
      </c>
      <c r="C5782" t="s">
        <v>328</v>
      </c>
      <c r="D5782" t="s">
        <v>39</v>
      </c>
      <c r="E5782" t="s">
        <v>361</v>
      </c>
      <c r="F5782" t="s">
        <v>361</v>
      </c>
      <c r="G5782" t="s">
        <v>36</v>
      </c>
      <c r="H5782" t="s">
        <v>43</v>
      </c>
      <c r="I5782" s="187"/>
      <c r="J5782" s="187"/>
      <c r="K5782" s="187">
        <v>0</v>
      </c>
      <c r="L5782" s="187"/>
      <c r="M5782" s="187">
        <v>0</v>
      </c>
      <c r="N5782" s="187">
        <v>0</v>
      </c>
      <c r="O5782" t="s">
        <v>6039</v>
      </c>
    </row>
    <row r="5783" spans="1:15" hidden="1" x14ac:dyDescent="0.45">
      <c r="A5783" s="187">
        <v>2022</v>
      </c>
      <c r="B5783" t="s">
        <v>314</v>
      </c>
      <c r="C5783" t="s">
        <v>328</v>
      </c>
      <c r="D5783" t="s">
        <v>39</v>
      </c>
      <c r="E5783" t="s">
        <v>361</v>
      </c>
      <c r="F5783" t="s">
        <v>361</v>
      </c>
      <c r="G5783" t="s">
        <v>36</v>
      </c>
      <c r="H5783" t="s">
        <v>43</v>
      </c>
      <c r="I5783" s="187">
        <v>0</v>
      </c>
      <c r="J5783" s="187"/>
      <c r="K5783" s="187">
        <v>0</v>
      </c>
      <c r="L5783" s="187"/>
      <c r="M5783" s="187">
        <v>0</v>
      </c>
      <c r="N5783" s="187">
        <v>0</v>
      </c>
      <c r="O5783" t="s">
        <v>6045</v>
      </c>
    </row>
    <row r="5784" spans="1:15" hidden="1" x14ac:dyDescent="0.45">
      <c r="A5784" s="187">
        <v>2022</v>
      </c>
      <c r="B5784" t="s">
        <v>310</v>
      </c>
      <c r="C5784" t="s">
        <v>328</v>
      </c>
      <c r="D5784" t="s">
        <v>39</v>
      </c>
      <c r="E5784" t="s">
        <v>361</v>
      </c>
      <c r="F5784" t="s">
        <v>361</v>
      </c>
      <c r="G5784" t="s">
        <v>36</v>
      </c>
      <c r="H5784" t="s">
        <v>43</v>
      </c>
      <c r="I5784" s="187"/>
      <c r="J5784" s="187"/>
      <c r="K5784" s="187"/>
      <c r="L5784" s="187"/>
      <c r="M5784" s="187">
        <v>0</v>
      </c>
      <c r="N5784" s="187">
        <v>0</v>
      </c>
      <c r="O5784" t="s">
        <v>6042</v>
      </c>
    </row>
    <row r="5785" spans="1:15" hidden="1" x14ac:dyDescent="0.45">
      <c r="A5785" s="187">
        <v>2022</v>
      </c>
      <c r="B5785" t="s">
        <v>312</v>
      </c>
      <c r="C5785" t="s">
        <v>328</v>
      </c>
      <c r="D5785" t="s">
        <v>39</v>
      </c>
      <c r="E5785" t="s">
        <v>361</v>
      </c>
      <c r="F5785" t="s">
        <v>361</v>
      </c>
      <c r="G5785" t="s">
        <v>36</v>
      </c>
      <c r="H5785" t="s">
        <v>43</v>
      </c>
      <c r="I5785" s="187"/>
      <c r="J5785" s="187">
        <v>0</v>
      </c>
      <c r="K5785" s="187"/>
      <c r="L5785" s="187"/>
      <c r="M5785" s="187">
        <v>0</v>
      </c>
      <c r="N5785" s="187">
        <v>0</v>
      </c>
      <c r="O5785" t="s">
        <v>6046</v>
      </c>
    </row>
    <row r="5786" spans="1:15" hidden="1" x14ac:dyDescent="0.45">
      <c r="A5786" s="187">
        <v>2022</v>
      </c>
      <c r="B5786" t="s">
        <v>315</v>
      </c>
      <c r="C5786" t="s">
        <v>328</v>
      </c>
      <c r="D5786" t="s">
        <v>39</v>
      </c>
      <c r="E5786" t="s">
        <v>361</v>
      </c>
      <c r="F5786" t="s">
        <v>361</v>
      </c>
      <c r="G5786" t="s">
        <v>36</v>
      </c>
      <c r="H5786" t="s">
        <v>43</v>
      </c>
      <c r="I5786" s="187">
        <v>0</v>
      </c>
      <c r="J5786" s="187"/>
      <c r="K5786" s="187"/>
      <c r="L5786" s="187"/>
      <c r="M5786" s="187">
        <v>0</v>
      </c>
      <c r="N5786" s="187">
        <v>0</v>
      </c>
      <c r="O5786" t="s">
        <v>6044</v>
      </c>
    </row>
    <row r="5787" spans="1:15" hidden="1" x14ac:dyDescent="0.45">
      <c r="A5787" s="187">
        <v>2022</v>
      </c>
      <c r="B5787" t="s">
        <v>309</v>
      </c>
      <c r="C5787" t="s">
        <v>328</v>
      </c>
      <c r="D5787" t="s">
        <v>39</v>
      </c>
      <c r="E5787" t="s">
        <v>361</v>
      </c>
      <c r="F5787" t="s">
        <v>361</v>
      </c>
      <c r="G5787" t="s">
        <v>36</v>
      </c>
      <c r="H5787" t="s">
        <v>43</v>
      </c>
      <c r="I5787" s="187"/>
      <c r="J5787" s="187">
        <v>0</v>
      </c>
      <c r="K5787" s="187"/>
      <c r="L5787" s="187">
        <v>0</v>
      </c>
      <c r="M5787" s="187">
        <v>0</v>
      </c>
      <c r="N5787" s="187">
        <v>0</v>
      </c>
      <c r="O5787" t="s">
        <v>6043</v>
      </c>
    </row>
    <row r="5788" spans="1:15" hidden="1" x14ac:dyDescent="0.45">
      <c r="A5788" s="187">
        <v>2022</v>
      </c>
      <c r="B5788" t="s">
        <v>313</v>
      </c>
      <c r="C5788" t="s">
        <v>328</v>
      </c>
      <c r="D5788" t="s">
        <v>39</v>
      </c>
      <c r="E5788" t="s">
        <v>361</v>
      </c>
      <c r="F5788" t="s">
        <v>361</v>
      </c>
      <c r="G5788" t="s">
        <v>36</v>
      </c>
      <c r="H5788" t="s">
        <v>43</v>
      </c>
      <c r="I5788" s="187"/>
      <c r="J5788" s="187"/>
      <c r="K5788" s="187"/>
      <c r="L5788" s="187"/>
      <c r="M5788" s="187">
        <v>0</v>
      </c>
      <c r="N5788" s="187">
        <v>0</v>
      </c>
      <c r="O5788" t="s">
        <v>6040</v>
      </c>
    </row>
    <row r="5789" spans="1:15" x14ac:dyDescent="0.45">
      <c r="A5789" s="187">
        <v>2022</v>
      </c>
      <c r="B5789" t="s">
        <v>8570</v>
      </c>
      <c r="C5789" t="s">
        <v>328</v>
      </c>
      <c r="D5789" t="s">
        <v>39</v>
      </c>
      <c r="E5789" t="s">
        <v>361</v>
      </c>
      <c r="F5789" t="s">
        <v>361</v>
      </c>
      <c r="G5789" t="s">
        <v>36</v>
      </c>
      <c r="H5789" t="s">
        <v>43</v>
      </c>
      <c r="I5789" s="187"/>
      <c r="J5789" s="187"/>
      <c r="K5789" s="187"/>
      <c r="L5789" s="187">
        <v>0</v>
      </c>
      <c r="M5789" s="187">
        <v>0</v>
      </c>
      <c r="N5789" s="187">
        <v>0</v>
      </c>
      <c r="O5789" t="s">
        <v>8772</v>
      </c>
    </row>
    <row r="5790" spans="1:15" hidden="1" x14ac:dyDescent="0.45">
      <c r="A5790" s="187">
        <v>2022</v>
      </c>
      <c r="B5790" t="s">
        <v>313</v>
      </c>
      <c r="C5790" t="s">
        <v>328</v>
      </c>
      <c r="D5790" t="s">
        <v>39</v>
      </c>
      <c r="E5790" t="s">
        <v>362</v>
      </c>
      <c r="F5790" t="s">
        <v>362</v>
      </c>
      <c r="G5790" t="s">
        <v>36</v>
      </c>
      <c r="H5790" t="s">
        <v>43</v>
      </c>
      <c r="I5790" s="187">
        <v>2105.2772863070304</v>
      </c>
      <c r="J5790" s="187">
        <v>79.875018992678648</v>
      </c>
      <c r="K5790" s="187">
        <v>2814.359252229634</v>
      </c>
      <c r="L5790" s="187">
        <v>2804.7542383429163</v>
      </c>
      <c r="M5790" s="187">
        <v>7804.26611328125</v>
      </c>
      <c r="N5790" s="187">
        <v>4910.03173828125</v>
      </c>
      <c r="O5790" t="s">
        <v>6054</v>
      </c>
    </row>
    <row r="5791" spans="1:15" hidden="1" x14ac:dyDescent="0.45">
      <c r="A5791" s="187">
        <v>2022</v>
      </c>
      <c r="B5791" t="s">
        <v>312</v>
      </c>
      <c r="C5791" t="s">
        <v>328</v>
      </c>
      <c r="D5791" t="s">
        <v>39</v>
      </c>
      <c r="E5791" t="s">
        <v>362</v>
      </c>
      <c r="F5791" t="s">
        <v>362</v>
      </c>
      <c r="G5791" t="s">
        <v>36</v>
      </c>
      <c r="H5791" t="s">
        <v>43</v>
      </c>
      <c r="I5791" s="187">
        <v>2143.6212955240862</v>
      </c>
      <c r="J5791" s="187">
        <v>98.57963563792741</v>
      </c>
      <c r="K5791" s="187">
        <v>2421.3327840367792</v>
      </c>
      <c r="L5791" s="187">
        <v>2859.9691939191648</v>
      </c>
      <c r="M5791" s="187">
        <v>7523.5029296875</v>
      </c>
      <c r="N5791" s="187">
        <v>5003.59033203125</v>
      </c>
      <c r="O5791" t="s">
        <v>6050</v>
      </c>
    </row>
    <row r="5792" spans="1:15" hidden="1" x14ac:dyDescent="0.45">
      <c r="A5792" s="187">
        <v>2022</v>
      </c>
      <c r="B5792" t="s">
        <v>317</v>
      </c>
      <c r="C5792" t="s">
        <v>328</v>
      </c>
      <c r="D5792" t="s">
        <v>39</v>
      </c>
      <c r="E5792" t="s">
        <v>362</v>
      </c>
      <c r="F5792" t="s">
        <v>362</v>
      </c>
      <c r="G5792" t="s">
        <v>36</v>
      </c>
      <c r="H5792" t="s">
        <v>43</v>
      </c>
      <c r="I5792" s="187">
        <v>1092.9854858581857</v>
      </c>
      <c r="J5792" s="187">
        <v>100.34552055119946</v>
      </c>
      <c r="K5792" s="187">
        <v>3290.7638425554078</v>
      </c>
      <c r="L5792" s="187">
        <v>3541.3606627860809</v>
      </c>
      <c r="M5792" s="187">
        <v>8025.45556640625</v>
      </c>
      <c r="N5792" s="187">
        <v>4634.34619140625</v>
      </c>
      <c r="O5792" t="s">
        <v>6052</v>
      </c>
    </row>
    <row r="5793" spans="1:15" hidden="1" x14ac:dyDescent="0.45">
      <c r="A5793" s="187">
        <v>2022</v>
      </c>
      <c r="B5793" t="s">
        <v>315</v>
      </c>
      <c r="C5793" t="s">
        <v>328</v>
      </c>
      <c r="D5793" t="s">
        <v>39</v>
      </c>
      <c r="E5793" t="s">
        <v>362</v>
      </c>
      <c r="F5793" t="s">
        <v>362</v>
      </c>
      <c r="G5793" t="s">
        <v>36</v>
      </c>
      <c r="H5793" t="s">
        <v>43</v>
      </c>
      <c r="I5793" s="187">
        <v>2068.488181559776</v>
      </c>
      <c r="J5793" s="187">
        <v>113.41580107769006</v>
      </c>
      <c r="K5793" s="187">
        <v>3343.5318147719904</v>
      </c>
      <c r="L5793" s="187">
        <v>3103.2723475828911</v>
      </c>
      <c r="M5793" s="187">
        <v>8628.7080078125</v>
      </c>
      <c r="N5793" s="187">
        <v>5171.7607421875</v>
      </c>
      <c r="O5793" t="s">
        <v>6047</v>
      </c>
    </row>
    <row r="5794" spans="1:15" hidden="1" x14ac:dyDescent="0.45">
      <c r="A5794" s="187">
        <v>2022</v>
      </c>
      <c r="B5794" t="s">
        <v>314</v>
      </c>
      <c r="C5794" t="s">
        <v>328</v>
      </c>
      <c r="D5794" t="s">
        <v>39</v>
      </c>
      <c r="E5794" t="s">
        <v>362</v>
      </c>
      <c r="F5794" t="s">
        <v>362</v>
      </c>
      <c r="G5794" t="s">
        <v>36</v>
      </c>
      <c r="H5794" t="s">
        <v>43</v>
      </c>
      <c r="I5794" s="187">
        <v>2124.9367969511527</v>
      </c>
      <c r="J5794" s="187">
        <v>83.222067765710946</v>
      </c>
      <c r="K5794" s="187">
        <v>3003.1973518183668</v>
      </c>
      <c r="L5794" s="187">
        <v>2853.9621105787805</v>
      </c>
      <c r="M5794" s="187">
        <v>8065.318359375</v>
      </c>
      <c r="N5794" s="187">
        <v>4978.89892578125</v>
      </c>
      <c r="O5794" t="s">
        <v>6049</v>
      </c>
    </row>
    <row r="5795" spans="1:15" hidden="1" x14ac:dyDescent="0.45">
      <c r="A5795" s="187">
        <v>2022</v>
      </c>
      <c r="B5795" t="s">
        <v>310</v>
      </c>
      <c r="C5795" t="s">
        <v>328</v>
      </c>
      <c r="D5795" t="s">
        <v>39</v>
      </c>
      <c r="E5795" t="s">
        <v>362</v>
      </c>
      <c r="F5795" t="s">
        <v>362</v>
      </c>
      <c r="G5795" t="s">
        <v>36</v>
      </c>
      <c r="H5795" t="s">
        <v>43</v>
      </c>
      <c r="I5795" s="187"/>
      <c r="J5795" s="187">
        <v>93.515512606344174</v>
      </c>
      <c r="K5795" s="187">
        <v>2200.6426070179959</v>
      </c>
      <c r="L5795" s="187">
        <v>5444.9407215043893</v>
      </c>
      <c r="M5795" s="187">
        <v>7739.09912109375</v>
      </c>
      <c r="N5795" s="187">
        <v>5444.94091796875</v>
      </c>
      <c r="O5795" t="s">
        <v>6053</v>
      </c>
    </row>
    <row r="5796" spans="1:15" hidden="1" x14ac:dyDescent="0.45">
      <c r="A5796" s="187">
        <v>2022</v>
      </c>
      <c r="B5796" t="s">
        <v>309</v>
      </c>
      <c r="C5796" t="s">
        <v>328</v>
      </c>
      <c r="D5796" t="s">
        <v>39</v>
      </c>
      <c r="E5796" t="s">
        <v>362</v>
      </c>
      <c r="F5796" t="s">
        <v>362</v>
      </c>
      <c r="G5796" t="s">
        <v>36</v>
      </c>
      <c r="H5796" t="s">
        <v>43</v>
      </c>
      <c r="I5796" s="187"/>
      <c r="J5796" s="187">
        <v>612.22677558947532</v>
      </c>
      <c r="K5796" s="187">
        <v>2256.9907786482104</v>
      </c>
      <c r="L5796" s="187">
        <v>5606.5202970810515</v>
      </c>
      <c r="M5796" s="187">
        <v>8475.73828125</v>
      </c>
      <c r="N5796" s="187">
        <v>5606.5205078125</v>
      </c>
      <c r="O5796" t="s">
        <v>6055</v>
      </c>
    </row>
    <row r="5797" spans="1:15" x14ac:dyDescent="0.45">
      <c r="A5797" s="187">
        <v>2022</v>
      </c>
      <c r="B5797" t="s">
        <v>8570</v>
      </c>
      <c r="C5797" t="s">
        <v>328</v>
      </c>
      <c r="D5797" t="s">
        <v>39</v>
      </c>
      <c r="E5797" t="s">
        <v>362</v>
      </c>
      <c r="F5797" t="s">
        <v>362</v>
      </c>
      <c r="G5797" t="s">
        <v>36</v>
      </c>
      <c r="H5797" t="s">
        <v>43</v>
      </c>
      <c r="I5797" s="187">
        <v>1263.056</v>
      </c>
      <c r="J5797" s="187">
        <v>39</v>
      </c>
      <c r="K5797" s="187">
        <v>3372.529849999999</v>
      </c>
      <c r="L5797" s="187">
        <v>3481</v>
      </c>
      <c r="M5797" s="187">
        <v>8155.5859375</v>
      </c>
      <c r="N5797" s="187">
        <v>4744.05615234375</v>
      </c>
      <c r="O5797" t="s">
        <v>8773</v>
      </c>
    </row>
    <row r="5798" spans="1:15" hidden="1" x14ac:dyDescent="0.45">
      <c r="A5798" s="187">
        <v>2022</v>
      </c>
      <c r="B5798" t="s">
        <v>316</v>
      </c>
      <c r="C5798" t="s">
        <v>328</v>
      </c>
      <c r="D5798" t="s">
        <v>39</v>
      </c>
      <c r="E5798" t="s">
        <v>362</v>
      </c>
      <c r="F5798" t="s">
        <v>362</v>
      </c>
      <c r="G5798" t="s">
        <v>36</v>
      </c>
      <c r="H5798" t="s">
        <v>43</v>
      </c>
      <c r="I5798" s="187">
        <v>1105.8978379992766</v>
      </c>
      <c r="J5798" s="187">
        <v>153.35409366912722</v>
      </c>
      <c r="K5798" s="187">
        <v>3281.3949324574346</v>
      </c>
      <c r="L5798" s="187">
        <v>3191.8803771960411</v>
      </c>
      <c r="M5798" s="187">
        <v>7732.52734375</v>
      </c>
      <c r="N5798" s="187">
        <v>4297.7783203125</v>
      </c>
      <c r="O5798" t="s">
        <v>6051</v>
      </c>
    </row>
    <row r="5799" spans="1:15" hidden="1" x14ac:dyDescent="0.45">
      <c r="A5799" s="187">
        <v>2022</v>
      </c>
      <c r="B5799" t="s">
        <v>311</v>
      </c>
      <c r="C5799" t="s">
        <v>328</v>
      </c>
      <c r="D5799" t="s">
        <v>39</v>
      </c>
      <c r="E5799" t="s">
        <v>362</v>
      </c>
      <c r="F5799" t="s">
        <v>362</v>
      </c>
      <c r="G5799" t="s">
        <v>36</v>
      </c>
      <c r="H5799" t="s">
        <v>43</v>
      </c>
      <c r="I5799" s="187"/>
      <c r="J5799" s="187">
        <v>99.030417237026896</v>
      </c>
      <c r="K5799" s="187">
        <v>2949.5815878227054</v>
      </c>
      <c r="L5799" s="187">
        <v>5051.7163428205722</v>
      </c>
      <c r="M5799" s="187">
        <v>8100.32861328125</v>
      </c>
      <c r="N5799" s="187">
        <v>5051.71630859375</v>
      </c>
      <c r="O5799" t="s">
        <v>6048</v>
      </c>
    </row>
    <row r="5800" spans="1:15" hidden="1" x14ac:dyDescent="0.45">
      <c r="A5800" s="187">
        <v>2022</v>
      </c>
      <c r="B5800" t="s">
        <v>312</v>
      </c>
      <c r="C5800" t="s">
        <v>328</v>
      </c>
      <c r="D5800" t="s">
        <v>39</v>
      </c>
      <c r="E5800" t="s">
        <v>362</v>
      </c>
      <c r="F5800" t="s">
        <v>362</v>
      </c>
      <c r="G5800" t="s">
        <v>37</v>
      </c>
      <c r="H5800" t="s">
        <v>43</v>
      </c>
      <c r="I5800" s="187">
        <v>2046.6855743036519</v>
      </c>
      <c r="J5800" s="187">
        <v>96</v>
      </c>
      <c r="K5800" s="187">
        <v>2343.9363733470682</v>
      </c>
      <c r="L5800" s="187">
        <v>2773</v>
      </c>
      <c r="M5800" s="187">
        <v>7259.6220703125</v>
      </c>
      <c r="N5800" s="187">
        <v>4819.685546875</v>
      </c>
      <c r="O5800" t="s">
        <v>6058</v>
      </c>
    </row>
    <row r="5801" spans="1:15" hidden="1" x14ac:dyDescent="0.45">
      <c r="A5801" s="187">
        <v>2022</v>
      </c>
      <c r="B5801" t="s">
        <v>315</v>
      </c>
      <c r="C5801" t="s">
        <v>328</v>
      </c>
      <c r="D5801" t="s">
        <v>39</v>
      </c>
      <c r="E5801" t="s">
        <v>362</v>
      </c>
      <c r="F5801" t="s">
        <v>362</v>
      </c>
      <c r="G5801" t="s">
        <v>37</v>
      </c>
      <c r="H5801" t="s">
        <v>43</v>
      </c>
      <c r="I5801" s="187">
        <v>2032.6118127330001</v>
      </c>
      <c r="J5801" s="187">
        <v>109</v>
      </c>
      <c r="K5801" s="187">
        <v>3276.719080563741</v>
      </c>
      <c r="L5801" s="187">
        <v>3089</v>
      </c>
      <c r="M5801" s="187">
        <v>8507.3310546875</v>
      </c>
      <c r="N5801" s="187">
        <v>5121.61181640625</v>
      </c>
      <c r="O5801" t="s">
        <v>6060</v>
      </c>
    </row>
    <row r="5802" spans="1:15" hidden="1" x14ac:dyDescent="0.45">
      <c r="A5802" s="187">
        <v>2022</v>
      </c>
      <c r="B5802" t="s">
        <v>314</v>
      </c>
      <c r="C5802" t="s">
        <v>328</v>
      </c>
      <c r="D5802" t="s">
        <v>39</v>
      </c>
      <c r="E5802" t="s">
        <v>362</v>
      </c>
      <c r="F5802" t="s">
        <v>362</v>
      </c>
      <c r="G5802" t="s">
        <v>37</v>
      </c>
      <c r="H5802" t="s">
        <v>43</v>
      </c>
      <c r="I5802" s="187">
        <v>2073.8738325314798</v>
      </c>
      <c r="J5802" s="187">
        <v>81</v>
      </c>
      <c r="K5802" s="187">
        <v>2934.9955446061349</v>
      </c>
      <c r="L5802" s="187">
        <v>2921</v>
      </c>
      <c r="M5802" s="187">
        <v>8010.869140625</v>
      </c>
      <c r="N5802" s="187">
        <v>4994.8740234375</v>
      </c>
      <c r="O5802" t="s">
        <v>6061</v>
      </c>
    </row>
    <row r="5803" spans="1:15" hidden="1" x14ac:dyDescent="0.45">
      <c r="A5803" s="187">
        <v>2022</v>
      </c>
      <c r="B5803" t="s">
        <v>311</v>
      </c>
      <c r="C5803" t="s">
        <v>328</v>
      </c>
      <c r="D5803" t="s">
        <v>39</v>
      </c>
      <c r="E5803" t="s">
        <v>362</v>
      </c>
      <c r="F5803" t="s">
        <v>362</v>
      </c>
      <c r="G5803" t="s">
        <v>37</v>
      </c>
      <c r="H5803" t="s">
        <v>43</v>
      </c>
      <c r="I5803" s="187"/>
      <c r="J5803" s="187">
        <v>98</v>
      </c>
      <c r="K5803" s="187">
        <v>2886.890071383255</v>
      </c>
      <c r="L5803" s="187">
        <v>5212</v>
      </c>
      <c r="M5803" s="187">
        <v>8196.890625</v>
      </c>
      <c r="N5803" s="187">
        <v>5212</v>
      </c>
      <c r="O5803" t="s">
        <v>6063</v>
      </c>
    </row>
    <row r="5804" spans="1:15" hidden="1" x14ac:dyDescent="0.45">
      <c r="A5804" s="187">
        <v>2022</v>
      </c>
      <c r="B5804" t="s">
        <v>313</v>
      </c>
      <c r="C5804" t="s">
        <v>328</v>
      </c>
      <c r="D5804" t="s">
        <v>39</v>
      </c>
      <c r="E5804" t="s">
        <v>362</v>
      </c>
      <c r="F5804" t="s">
        <v>362</v>
      </c>
      <c r="G5804" t="s">
        <v>37</v>
      </c>
      <c r="H5804" t="s">
        <v>43</v>
      </c>
      <c r="I5804" s="187">
        <v>2032.8327899040928</v>
      </c>
      <c r="J5804" s="187">
        <v>77</v>
      </c>
      <c r="K5804" s="187">
        <v>2710.9443860317692</v>
      </c>
      <c r="L5804" s="187">
        <v>2723</v>
      </c>
      <c r="M5804" s="187">
        <v>7543.77734375</v>
      </c>
      <c r="N5804" s="187">
        <v>4755.8330078125</v>
      </c>
      <c r="O5804" t="s">
        <v>6064</v>
      </c>
    </row>
    <row r="5805" spans="1:15" hidden="1" x14ac:dyDescent="0.45">
      <c r="A5805" s="187">
        <v>2022</v>
      </c>
      <c r="B5805" t="s">
        <v>317</v>
      </c>
      <c r="C5805" t="s">
        <v>328</v>
      </c>
      <c r="D5805" t="s">
        <v>39</v>
      </c>
      <c r="E5805" t="s">
        <v>362</v>
      </c>
      <c r="F5805" t="s">
        <v>362</v>
      </c>
      <c r="G5805" t="s">
        <v>37</v>
      </c>
      <c r="H5805" t="s">
        <v>43</v>
      </c>
      <c r="I5805" s="187">
        <v>1067</v>
      </c>
      <c r="J5805" s="187">
        <v>96</v>
      </c>
      <c r="K5805" s="187">
        <v>3199.2032242141509</v>
      </c>
      <c r="L5805" s="187">
        <v>3455</v>
      </c>
      <c r="M5805" s="187">
        <v>7817.203125</v>
      </c>
      <c r="N5805" s="187">
        <v>4522</v>
      </c>
      <c r="O5805" t="s">
        <v>6057</v>
      </c>
    </row>
    <row r="5806" spans="1:15" hidden="1" x14ac:dyDescent="0.45">
      <c r="A5806" s="187">
        <v>2022</v>
      </c>
      <c r="B5806" t="s">
        <v>309</v>
      </c>
      <c r="C5806" t="s">
        <v>328</v>
      </c>
      <c r="D5806" t="s">
        <v>39</v>
      </c>
      <c r="E5806" t="s">
        <v>362</v>
      </c>
      <c r="F5806" t="s">
        <v>362</v>
      </c>
      <c r="G5806" t="s">
        <v>37</v>
      </c>
      <c r="H5806" t="s">
        <v>43</v>
      </c>
      <c r="I5806" s="187"/>
      <c r="J5806" s="187">
        <v>608.21619999999996</v>
      </c>
      <c r="K5806" s="187">
        <v>2313.3176912223189</v>
      </c>
      <c r="L5806" s="187">
        <v>6027</v>
      </c>
      <c r="M5806" s="187">
        <v>8948.5341796875</v>
      </c>
      <c r="N5806" s="187">
        <v>6027</v>
      </c>
      <c r="O5806" t="s">
        <v>6056</v>
      </c>
    </row>
    <row r="5807" spans="1:15" hidden="1" x14ac:dyDescent="0.45">
      <c r="A5807" s="187">
        <v>2022</v>
      </c>
      <c r="B5807" t="s">
        <v>310</v>
      </c>
      <c r="C5807" t="s">
        <v>328</v>
      </c>
      <c r="D5807" t="s">
        <v>39</v>
      </c>
      <c r="E5807" t="s">
        <v>362</v>
      </c>
      <c r="F5807" t="s">
        <v>362</v>
      </c>
      <c r="G5807" t="s">
        <v>37</v>
      </c>
      <c r="H5807" t="s">
        <v>43</v>
      </c>
      <c r="I5807" s="187"/>
      <c r="J5807" s="187">
        <v>94</v>
      </c>
      <c r="K5807" s="187">
        <v>2214.5797311042388</v>
      </c>
      <c r="L5807" s="187">
        <v>5733</v>
      </c>
      <c r="M5807" s="187">
        <v>8041.580078125</v>
      </c>
      <c r="N5807" s="187">
        <v>5733</v>
      </c>
      <c r="O5807" t="s">
        <v>6059</v>
      </c>
    </row>
    <row r="5808" spans="1:15" hidden="1" x14ac:dyDescent="0.45">
      <c r="A5808" s="187">
        <v>2022</v>
      </c>
      <c r="B5808" t="s">
        <v>316</v>
      </c>
      <c r="C5808" t="s">
        <v>328</v>
      </c>
      <c r="D5808" t="s">
        <v>39</v>
      </c>
      <c r="E5808" t="s">
        <v>362</v>
      </c>
      <c r="F5808" t="s">
        <v>362</v>
      </c>
      <c r="G5808" t="s">
        <v>37</v>
      </c>
      <c r="H5808" t="s">
        <v>43</v>
      </c>
      <c r="I5808" s="187">
        <v>1088.0041626662401</v>
      </c>
      <c r="J5808" s="187">
        <v>145</v>
      </c>
      <c r="K5808" s="187">
        <v>3187.8217396779928</v>
      </c>
      <c r="L5808" s="187">
        <v>3157</v>
      </c>
      <c r="M5808" s="187">
        <v>7577.82568359375</v>
      </c>
      <c r="N5808" s="187">
        <v>4245.00390625</v>
      </c>
      <c r="O5808" t="s">
        <v>6062</v>
      </c>
    </row>
    <row r="5809" spans="1:15" x14ac:dyDescent="0.45">
      <c r="A5809" s="187">
        <v>2022</v>
      </c>
      <c r="B5809" t="s">
        <v>8570</v>
      </c>
      <c r="C5809" t="s">
        <v>328</v>
      </c>
      <c r="D5809" t="s">
        <v>39</v>
      </c>
      <c r="E5809" t="s">
        <v>362</v>
      </c>
      <c r="F5809" t="s">
        <v>362</v>
      </c>
      <c r="G5809" t="s">
        <v>37</v>
      </c>
      <c r="H5809" t="s">
        <v>43</v>
      </c>
      <c r="I5809" s="187">
        <v>1263.056</v>
      </c>
      <c r="J5809" s="187">
        <v>39</v>
      </c>
      <c r="K5809" s="187">
        <v>3372.529849999999</v>
      </c>
      <c r="L5809" s="187">
        <v>3481</v>
      </c>
      <c r="M5809" s="187">
        <v>8155.5859375</v>
      </c>
      <c r="N5809" s="187">
        <v>4744.05615234375</v>
      </c>
      <c r="O5809" t="s">
        <v>8774</v>
      </c>
    </row>
    <row r="5810" spans="1:15" hidden="1" x14ac:dyDescent="0.45">
      <c r="A5810" s="187">
        <v>2022</v>
      </c>
      <c r="B5810" t="s">
        <v>314</v>
      </c>
      <c r="C5810" t="s">
        <v>328</v>
      </c>
      <c r="D5810" t="s">
        <v>39</v>
      </c>
      <c r="E5810" t="s">
        <v>363</v>
      </c>
      <c r="F5810" t="s">
        <v>363</v>
      </c>
      <c r="G5810" t="s">
        <v>36</v>
      </c>
      <c r="H5810" t="s">
        <v>43</v>
      </c>
      <c r="I5810" s="187">
        <v>3364.390792875141</v>
      </c>
      <c r="J5810" s="187">
        <v>55.481378510473967</v>
      </c>
      <c r="K5810" s="187">
        <v>454.45274493965229</v>
      </c>
      <c r="L5810" s="187">
        <v>2335.7660352909538</v>
      </c>
      <c r="M5810" s="187">
        <v>6210.0908203125</v>
      </c>
      <c r="N5810" s="187">
        <v>5700.15673828125</v>
      </c>
      <c r="O5810" t="s">
        <v>6068</v>
      </c>
    </row>
    <row r="5811" spans="1:15" hidden="1" x14ac:dyDescent="0.45">
      <c r="A5811" s="187">
        <v>2022</v>
      </c>
      <c r="B5811" t="s">
        <v>310</v>
      </c>
      <c r="C5811" t="s">
        <v>328</v>
      </c>
      <c r="D5811" t="s">
        <v>39</v>
      </c>
      <c r="E5811" t="s">
        <v>363</v>
      </c>
      <c r="F5811" t="s">
        <v>363</v>
      </c>
      <c r="G5811" t="s">
        <v>36</v>
      </c>
      <c r="H5811" t="s">
        <v>43</v>
      </c>
      <c r="I5811" s="187"/>
      <c r="J5811" s="187">
        <v>46.757756303172087</v>
      </c>
      <c r="K5811" s="187">
        <v>424.28844070801262</v>
      </c>
      <c r="L5811" s="187">
        <v>4450.1694561544027</v>
      </c>
      <c r="M5811" s="187">
        <v>4921.2158203125</v>
      </c>
      <c r="N5811" s="187">
        <v>4450.16943359375</v>
      </c>
      <c r="O5811" t="s">
        <v>6066</v>
      </c>
    </row>
    <row r="5812" spans="1:15" hidden="1" x14ac:dyDescent="0.45">
      <c r="A5812" s="187">
        <v>2022</v>
      </c>
      <c r="B5812" t="s">
        <v>317</v>
      </c>
      <c r="C5812" t="s">
        <v>328</v>
      </c>
      <c r="D5812" t="s">
        <v>39</v>
      </c>
      <c r="E5812" t="s">
        <v>363</v>
      </c>
      <c r="F5812" t="s">
        <v>363</v>
      </c>
      <c r="G5812" t="s">
        <v>36</v>
      </c>
      <c r="H5812" t="s">
        <v>43</v>
      </c>
      <c r="I5812" s="187">
        <v>3229.6366342236429</v>
      </c>
      <c r="J5812" s="187">
        <v>30.312709333174837</v>
      </c>
      <c r="K5812" s="187">
        <v>620.78806461759825</v>
      </c>
      <c r="L5812" s="187">
        <v>2307.9469726775874</v>
      </c>
      <c r="M5812" s="187">
        <v>6188.6845703125</v>
      </c>
      <c r="N5812" s="187">
        <v>5537.58349609375</v>
      </c>
      <c r="O5812" t="s">
        <v>6067</v>
      </c>
    </row>
    <row r="5813" spans="1:15" hidden="1" x14ac:dyDescent="0.45">
      <c r="A5813" s="187">
        <v>2022</v>
      </c>
      <c r="B5813" t="s">
        <v>311</v>
      </c>
      <c r="C5813" t="s">
        <v>328</v>
      </c>
      <c r="D5813" t="s">
        <v>39</v>
      </c>
      <c r="E5813" t="s">
        <v>363</v>
      </c>
      <c r="F5813" t="s">
        <v>363</v>
      </c>
      <c r="G5813" t="s">
        <v>36</v>
      </c>
      <c r="H5813" t="s">
        <v>43</v>
      </c>
      <c r="I5813" s="187"/>
      <c r="J5813" s="187">
        <v>69.90382393201898</v>
      </c>
      <c r="K5813" s="187">
        <v>446.8337738948394</v>
      </c>
      <c r="L5813" s="187">
        <v>4557.7293203676381</v>
      </c>
      <c r="M5813" s="187">
        <v>5074.466796875</v>
      </c>
      <c r="N5813" s="187">
        <v>4557.7294921875</v>
      </c>
      <c r="O5813" t="s">
        <v>6069</v>
      </c>
    </row>
    <row r="5814" spans="1:15" hidden="1" x14ac:dyDescent="0.45">
      <c r="A5814" s="187">
        <v>2022</v>
      </c>
      <c r="B5814" t="s">
        <v>313</v>
      </c>
      <c r="C5814" t="s">
        <v>328</v>
      </c>
      <c r="D5814" t="s">
        <v>39</v>
      </c>
      <c r="E5814" t="s">
        <v>363</v>
      </c>
      <c r="F5814" t="s">
        <v>363</v>
      </c>
      <c r="G5814" t="s">
        <v>36</v>
      </c>
      <c r="H5814" t="s">
        <v>43</v>
      </c>
      <c r="I5814" s="187">
        <v>3333.0749996812901</v>
      </c>
      <c r="J5814" s="187">
        <v>57.053584994770468</v>
      </c>
      <c r="K5814" s="187">
        <v>433.59785718389981</v>
      </c>
      <c r="L5814" s="187">
        <v>2350.6077017845432</v>
      </c>
      <c r="M5814" s="187">
        <v>6174.333984375</v>
      </c>
      <c r="N5814" s="187">
        <v>5683.6826171875</v>
      </c>
      <c r="O5814" t="s">
        <v>6065</v>
      </c>
    </row>
    <row r="5815" spans="1:15" hidden="1" x14ac:dyDescent="0.45">
      <c r="A5815" s="187">
        <v>2022</v>
      </c>
      <c r="B5815" t="s">
        <v>315</v>
      </c>
      <c r="C5815" t="s">
        <v>328</v>
      </c>
      <c r="D5815" t="s">
        <v>39</v>
      </c>
      <c r="E5815" t="s">
        <v>363</v>
      </c>
      <c r="F5815" t="s">
        <v>363</v>
      </c>
      <c r="G5815" t="s">
        <v>36</v>
      </c>
      <c r="H5815" t="s">
        <v>43</v>
      </c>
      <c r="I5815" s="187">
        <v>3275.0162749291076</v>
      </c>
      <c r="J5815" s="187">
        <v>37.80526702589669</v>
      </c>
      <c r="K5815" s="187">
        <v>631.51030127776608</v>
      </c>
      <c r="L5815" s="187">
        <v>2359.0486624159535</v>
      </c>
      <c r="M5815" s="187">
        <v>6303.38037109375</v>
      </c>
      <c r="N5815" s="187">
        <v>5634.06494140625</v>
      </c>
      <c r="O5815" t="s">
        <v>6073</v>
      </c>
    </row>
    <row r="5816" spans="1:15" hidden="1" x14ac:dyDescent="0.45">
      <c r="A5816" s="187">
        <v>2022</v>
      </c>
      <c r="B5816" t="s">
        <v>316</v>
      </c>
      <c r="C5816" t="s">
        <v>328</v>
      </c>
      <c r="D5816" t="s">
        <v>39</v>
      </c>
      <c r="E5816" t="s">
        <v>363</v>
      </c>
      <c r="F5816" t="s">
        <v>363</v>
      </c>
      <c r="G5816" t="s">
        <v>36</v>
      </c>
      <c r="H5816" t="s">
        <v>43</v>
      </c>
      <c r="I5816" s="187">
        <v>3267.7910343034573</v>
      </c>
      <c r="J5816" s="187">
        <v>47.592649759384308</v>
      </c>
      <c r="K5816" s="187">
        <v>649.35119158770544</v>
      </c>
      <c r="L5816" s="187">
        <v>2363.7682713827539</v>
      </c>
      <c r="M5816" s="187">
        <v>6328.5029296875</v>
      </c>
      <c r="N5816" s="187">
        <v>5631.55908203125</v>
      </c>
      <c r="O5816" t="s">
        <v>6071</v>
      </c>
    </row>
    <row r="5817" spans="1:15" hidden="1" x14ac:dyDescent="0.45">
      <c r="A5817" s="187">
        <v>2022</v>
      </c>
      <c r="B5817" t="s">
        <v>312</v>
      </c>
      <c r="C5817" t="s">
        <v>328</v>
      </c>
      <c r="D5817" t="s">
        <v>39</v>
      </c>
      <c r="E5817" t="s">
        <v>363</v>
      </c>
      <c r="F5817" t="s">
        <v>363</v>
      </c>
      <c r="G5817" t="s">
        <v>36</v>
      </c>
      <c r="H5817" t="s">
        <v>43</v>
      </c>
      <c r="I5817" s="187">
        <v>2633.2512352831613</v>
      </c>
      <c r="J5817" s="187">
        <v>69.585625156184065</v>
      </c>
      <c r="K5817" s="187">
        <v>485.54006055536121</v>
      </c>
      <c r="L5817" s="187">
        <v>2269.6511405108699</v>
      </c>
      <c r="M5817" s="187">
        <v>5458.0283203125</v>
      </c>
      <c r="N5817" s="187">
        <v>4902.90234375</v>
      </c>
      <c r="O5817" t="s">
        <v>6072</v>
      </c>
    </row>
    <row r="5818" spans="1:15" hidden="1" x14ac:dyDescent="0.45">
      <c r="A5818" s="187">
        <v>2022</v>
      </c>
      <c r="B5818" t="s">
        <v>309</v>
      </c>
      <c r="C5818" t="s">
        <v>328</v>
      </c>
      <c r="D5818" t="s">
        <v>39</v>
      </c>
      <c r="E5818" t="s">
        <v>363</v>
      </c>
      <c r="F5818" t="s">
        <v>363</v>
      </c>
      <c r="G5818" t="s">
        <v>36</v>
      </c>
      <c r="H5818" t="s">
        <v>43</v>
      </c>
      <c r="I5818" s="187"/>
      <c r="J5818" s="187">
        <v>11.911026762441155</v>
      </c>
      <c r="K5818" s="187">
        <v>423.56754257678443</v>
      </c>
      <c r="L5818" s="187">
        <v>4781.0861424438799</v>
      </c>
      <c r="M5818" s="187">
        <v>5216.56494140625</v>
      </c>
      <c r="N5818" s="187">
        <v>4781.0859375</v>
      </c>
      <c r="O5818" t="s">
        <v>6070</v>
      </c>
    </row>
    <row r="5819" spans="1:15" x14ac:dyDescent="0.45">
      <c r="A5819" s="187">
        <v>2022</v>
      </c>
      <c r="B5819" t="s">
        <v>8570</v>
      </c>
      <c r="C5819" t="s">
        <v>328</v>
      </c>
      <c r="D5819" t="s">
        <v>39</v>
      </c>
      <c r="E5819" t="s">
        <v>363</v>
      </c>
      <c r="F5819" t="s">
        <v>363</v>
      </c>
      <c r="G5819" t="s">
        <v>36</v>
      </c>
      <c r="H5819" t="s">
        <v>43</v>
      </c>
      <c r="I5819" s="187">
        <v>3598.7849999999999</v>
      </c>
      <c r="J5819" s="187">
        <v>169</v>
      </c>
      <c r="K5819" s="187">
        <v>613.87046999999995</v>
      </c>
      <c r="L5819" s="187">
        <v>2209</v>
      </c>
      <c r="M5819" s="187">
        <v>6590.6552734375</v>
      </c>
      <c r="N5819" s="187">
        <v>5807.78515625</v>
      </c>
      <c r="O5819" t="s">
        <v>8775</v>
      </c>
    </row>
    <row r="5820" spans="1:15" hidden="1" x14ac:dyDescent="0.45">
      <c r="A5820" s="187">
        <v>2022</v>
      </c>
      <c r="B5820" t="s">
        <v>317</v>
      </c>
      <c r="C5820" t="s">
        <v>328</v>
      </c>
      <c r="D5820" t="s">
        <v>39</v>
      </c>
      <c r="E5820" t="s">
        <v>363</v>
      </c>
      <c r="F5820" t="s">
        <v>363</v>
      </c>
      <c r="G5820" t="s">
        <v>37</v>
      </c>
      <c r="H5820" t="s">
        <v>43</v>
      </c>
      <c r="I5820" s="187">
        <v>3152</v>
      </c>
      <c r="J5820" s="187">
        <v>29</v>
      </c>
      <c r="K5820" s="187">
        <v>603.51555836229636</v>
      </c>
      <c r="L5820" s="187">
        <v>2251</v>
      </c>
      <c r="M5820" s="187">
        <v>6035.515625</v>
      </c>
      <c r="N5820" s="187">
        <v>5403</v>
      </c>
      <c r="O5820" t="s">
        <v>6079</v>
      </c>
    </row>
    <row r="5821" spans="1:15" hidden="1" x14ac:dyDescent="0.45">
      <c r="A5821" s="187">
        <v>2022</v>
      </c>
      <c r="B5821" t="s">
        <v>312</v>
      </c>
      <c r="C5821" t="s">
        <v>328</v>
      </c>
      <c r="D5821" t="s">
        <v>39</v>
      </c>
      <c r="E5821" t="s">
        <v>363</v>
      </c>
      <c r="F5821" t="s">
        <v>363</v>
      </c>
      <c r="G5821" t="s">
        <v>37</v>
      </c>
      <c r="H5821" t="s">
        <v>43</v>
      </c>
      <c r="I5821" s="187">
        <v>2514.174181803729</v>
      </c>
      <c r="J5821" s="187">
        <v>68</v>
      </c>
      <c r="K5821" s="187">
        <v>470.02007165470337</v>
      </c>
      <c r="L5821" s="187">
        <v>2201</v>
      </c>
      <c r="M5821" s="187">
        <v>5253.1943359375</v>
      </c>
      <c r="N5821" s="187">
        <v>4715.173828125</v>
      </c>
      <c r="O5821" t="s">
        <v>6078</v>
      </c>
    </row>
    <row r="5822" spans="1:15" hidden="1" x14ac:dyDescent="0.45">
      <c r="A5822" s="187">
        <v>2022</v>
      </c>
      <c r="B5822" t="s">
        <v>310</v>
      </c>
      <c r="C5822" t="s">
        <v>328</v>
      </c>
      <c r="D5822" t="s">
        <v>39</v>
      </c>
      <c r="E5822" t="s">
        <v>363</v>
      </c>
      <c r="F5822" t="s">
        <v>363</v>
      </c>
      <c r="G5822" t="s">
        <v>37</v>
      </c>
      <c r="H5822" t="s">
        <v>43</v>
      </c>
      <c r="I5822" s="187"/>
      <c r="J5822" s="187">
        <v>47</v>
      </c>
      <c r="K5822" s="187">
        <v>426.97554702307161</v>
      </c>
      <c r="L5822" s="187">
        <v>4686</v>
      </c>
      <c r="M5822" s="187">
        <v>5159.9755859375</v>
      </c>
      <c r="N5822" s="187">
        <v>4686</v>
      </c>
      <c r="O5822" t="s">
        <v>6082</v>
      </c>
    </row>
    <row r="5823" spans="1:15" hidden="1" x14ac:dyDescent="0.45">
      <c r="A5823" s="187">
        <v>2022</v>
      </c>
      <c r="B5823" t="s">
        <v>315</v>
      </c>
      <c r="C5823" t="s">
        <v>328</v>
      </c>
      <c r="D5823" t="s">
        <v>39</v>
      </c>
      <c r="E5823" t="s">
        <v>363</v>
      </c>
      <c r="F5823" t="s">
        <v>363</v>
      </c>
      <c r="G5823" t="s">
        <v>37</v>
      </c>
      <c r="H5823" t="s">
        <v>43</v>
      </c>
      <c r="I5823" s="187">
        <v>3218.2135854864</v>
      </c>
      <c r="J5823" s="187">
        <v>36</v>
      </c>
      <c r="K5823" s="187">
        <v>618.89103152156656</v>
      </c>
      <c r="L5823" s="187">
        <v>2348</v>
      </c>
      <c r="M5823" s="187">
        <v>6221.1044921875</v>
      </c>
      <c r="N5823" s="187">
        <v>5566.2138671875</v>
      </c>
      <c r="O5823" t="s">
        <v>6074</v>
      </c>
    </row>
    <row r="5824" spans="1:15" hidden="1" x14ac:dyDescent="0.45">
      <c r="A5824" s="187">
        <v>2022</v>
      </c>
      <c r="B5824" t="s">
        <v>316</v>
      </c>
      <c r="C5824" t="s">
        <v>328</v>
      </c>
      <c r="D5824" t="s">
        <v>39</v>
      </c>
      <c r="E5824" t="s">
        <v>363</v>
      </c>
      <c r="F5824" t="s">
        <v>363</v>
      </c>
      <c r="G5824" t="s">
        <v>37</v>
      </c>
      <c r="H5824" t="s">
        <v>43</v>
      </c>
      <c r="I5824" s="187">
        <v>3214.9174416307201</v>
      </c>
      <c r="J5824" s="187">
        <v>45</v>
      </c>
      <c r="K5824" s="187">
        <v>630.83410800505601</v>
      </c>
      <c r="L5824" s="187">
        <v>2338</v>
      </c>
      <c r="M5824" s="187">
        <v>6228.751953125</v>
      </c>
      <c r="N5824" s="187">
        <v>5552.91748046875</v>
      </c>
      <c r="O5824" t="s">
        <v>6076</v>
      </c>
    </row>
    <row r="5825" spans="1:15" hidden="1" x14ac:dyDescent="0.45">
      <c r="A5825" s="187">
        <v>2022</v>
      </c>
      <c r="B5825" t="s">
        <v>309</v>
      </c>
      <c r="C5825" t="s">
        <v>328</v>
      </c>
      <c r="D5825" t="s">
        <v>39</v>
      </c>
      <c r="E5825" t="s">
        <v>363</v>
      </c>
      <c r="F5825" t="s">
        <v>363</v>
      </c>
      <c r="G5825" t="s">
        <v>37</v>
      </c>
      <c r="H5825" t="s">
        <v>43</v>
      </c>
      <c r="I5825" s="187"/>
      <c r="J5825" s="187">
        <v>11.833</v>
      </c>
      <c r="K5825" s="187">
        <v>434.13836642137369</v>
      </c>
      <c r="L5825" s="187">
        <v>5140</v>
      </c>
      <c r="M5825" s="187">
        <v>5585.97119140625</v>
      </c>
      <c r="N5825" s="187">
        <v>5140</v>
      </c>
      <c r="O5825" t="s">
        <v>6075</v>
      </c>
    </row>
    <row r="5826" spans="1:15" hidden="1" x14ac:dyDescent="0.45">
      <c r="A5826" s="187">
        <v>2022</v>
      </c>
      <c r="B5826" t="s">
        <v>313</v>
      </c>
      <c r="C5826" t="s">
        <v>328</v>
      </c>
      <c r="D5826" t="s">
        <v>39</v>
      </c>
      <c r="E5826" t="s">
        <v>363</v>
      </c>
      <c r="F5826" t="s">
        <v>363</v>
      </c>
      <c r="G5826" t="s">
        <v>37</v>
      </c>
      <c r="H5826" t="s">
        <v>43</v>
      </c>
      <c r="I5826" s="187">
        <v>3218.3808729761599</v>
      </c>
      <c r="J5826" s="187">
        <v>55</v>
      </c>
      <c r="K5826" s="187">
        <v>417.66511357668969</v>
      </c>
      <c r="L5826" s="187">
        <v>2282</v>
      </c>
      <c r="M5826" s="187">
        <v>5973.0458984375</v>
      </c>
      <c r="N5826" s="187">
        <v>5500.380859375</v>
      </c>
      <c r="O5826" t="s">
        <v>6081</v>
      </c>
    </row>
    <row r="5827" spans="1:15" x14ac:dyDescent="0.45">
      <c r="A5827" s="187">
        <v>2022</v>
      </c>
      <c r="B5827" t="s">
        <v>8570</v>
      </c>
      <c r="C5827" t="s">
        <v>328</v>
      </c>
      <c r="D5827" t="s">
        <v>39</v>
      </c>
      <c r="E5827" t="s">
        <v>363</v>
      </c>
      <c r="F5827" t="s">
        <v>363</v>
      </c>
      <c r="G5827" t="s">
        <v>37</v>
      </c>
      <c r="H5827" t="s">
        <v>43</v>
      </c>
      <c r="I5827" s="187">
        <v>3598.7849999999999</v>
      </c>
      <c r="J5827" s="187">
        <v>169</v>
      </c>
      <c r="K5827" s="187">
        <v>613.87046999999995</v>
      </c>
      <c r="L5827" s="187">
        <v>2209</v>
      </c>
      <c r="M5827" s="187">
        <v>6590.6552734375</v>
      </c>
      <c r="N5827" s="187">
        <v>5807.78515625</v>
      </c>
      <c r="O5827" t="s">
        <v>8776</v>
      </c>
    </row>
    <row r="5828" spans="1:15" hidden="1" x14ac:dyDescent="0.45">
      <c r="A5828" s="187">
        <v>2022</v>
      </c>
      <c r="B5828" t="s">
        <v>314</v>
      </c>
      <c r="C5828" t="s">
        <v>328</v>
      </c>
      <c r="D5828" t="s">
        <v>39</v>
      </c>
      <c r="E5828" t="s">
        <v>363</v>
      </c>
      <c r="F5828" t="s">
        <v>363</v>
      </c>
      <c r="G5828" t="s">
        <v>37</v>
      </c>
      <c r="H5828" t="s">
        <v>43</v>
      </c>
      <c r="I5828" s="187">
        <v>3283.5433212717739</v>
      </c>
      <c r="J5828" s="187">
        <v>54</v>
      </c>
      <c r="K5828" s="187">
        <v>444.13224486373241</v>
      </c>
      <c r="L5828" s="187">
        <v>2391</v>
      </c>
      <c r="M5828" s="187">
        <v>6172.67578125</v>
      </c>
      <c r="N5828" s="187">
        <v>5674.54296875</v>
      </c>
      <c r="O5828" t="s">
        <v>6077</v>
      </c>
    </row>
    <row r="5829" spans="1:15" hidden="1" x14ac:dyDescent="0.45">
      <c r="A5829" s="187">
        <v>2022</v>
      </c>
      <c r="B5829" t="s">
        <v>311</v>
      </c>
      <c r="C5829" t="s">
        <v>328</v>
      </c>
      <c r="D5829" t="s">
        <v>39</v>
      </c>
      <c r="E5829" t="s">
        <v>363</v>
      </c>
      <c r="F5829" t="s">
        <v>363</v>
      </c>
      <c r="G5829" t="s">
        <v>37</v>
      </c>
      <c r="H5829" t="s">
        <v>43</v>
      </c>
      <c r="I5829" s="187"/>
      <c r="J5829" s="187">
        <v>69</v>
      </c>
      <c r="K5829" s="187">
        <v>437.33660080511038</v>
      </c>
      <c r="L5829" s="187">
        <v>4702</v>
      </c>
      <c r="M5829" s="187">
        <v>5208.33642578125</v>
      </c>
      <c r="N5829" s="187">
        <v>4702</v>
      </c>
      <c r="O5829" t="s">
        <v>6080</v>
      </c>
    </row>
    <row r="5830" spans="1:15" hidden="1" x14ac:dyDescent="0.45">
      <c r="A5830" s="187">
        <v>2022</v>
      </c>
      <c r="B5830" t="s">
        <v>311</v>
      </c>
      <c r="C5830" t="s">
        <v>328</v>
      </c>
      <c r="D5830" t="s">
        <v>39</v>
      </c>
      <c r="E5830" t="s">
        <v>364</v>
      </c>
      <c r="F5830" t="s">
        <v>364</v>
      </c>
      <c r="G5830" t="s">
        <v>36</v>
      </c>
      <c r="H5830" t="s">
        <v>43</v>
      </c>
      <c r="I5830" s="187"/>
      <c r="J5830" s="187">
        <v>792.24333789621517</v>
      </c>
      <c r="K5830" s="187">
        <v>4486.5498338139678</v>
      </c>
      <c r="L5830" s="187">
        <v>11628.501111091358</v>
      </c>
      <c r="M5830" s="187">
        <v>16907.294921875</v>
      </c>
      <c r="N5830" s="187">
        <v>11628.5009765625</v>
      </c>
      <c r="O5830" t="s">
        <v>6089</v>
      </c>
    </row>
    <row r="5831" spans="1:15" hidden="1" x14ac:dyDescent="0.45">
      <c r="A5831" s="187">
        <v>2022</v>
      </c>
      <c r="B5831" t="s">
        <v>317</v>
      </c>
      <c r="C5831" t="s">
        <v>328</v>
      </c>
      <c r="D5831" t="s">
        <v>39</v>
      </c>
      <c r="E5831" t="s">
        <v>364</v>
      </c>
      <c r="F5831" t="s">
        <v>364</v>
      </c>
      <c r="G5831" t="s">
        <v>36</v>
      </c>
      <c r="H5831" t="s">
        <v>43</v>
      </c>
      <c r="I5831" s="187">
        <v>2998.4020054695338</v>
      </c>
      <c r="J5831" s="187">
        <v>729.59555567434609</v>
      </c>
      <c r="K5831" s="187">
        <v>5196.45345560224</v>
      </c>
      <c r="L5831" s="187">
        <v>3352.1675459135067</v>
      </c>
      <c r="M5831" s="187">
        <v>12276.619140625</v>
      </c>
      <c r="N5831" s="187">
        <v>6350.56982421875</v>
      </c>
      <c r="O5831" t="s">
        <v>6083</v>
      </c>
    </row>
    <row r="5832" spans="1:15" hidden="1" x14ac:dyDescent="0.45">
      <c r="A5832" s="187">
        <v>2022</v>
      </c>
      <c r="B5832" t="s">
        <v>310</v>
      </c>
      <c r="C5832" t="s">
        <v>328</v>
      </c>
      <c r="D5832" t="s">
        <v>39</v>
      </c>
      <c r="E5832" t="s">
        <v>364</v>
      </c>
      <c r="F5832" t="s">
        <v>364</v>
      </c>
      <c r="G5832" t="s">
        <v>36</v>
      </c>
      <c r="H5832" t="s">
        <v>43</v>
      </c>
      <c r="I5832" s="187"/>
      <c r="J5832" s="187">
        <v>771.50297900233943</v>
      </c>
      <c r="K5832" s="187">
        <v>4175.9798574041288</v>
      </c>
      <c r="L5832" s="187">
        <v>4609.1458275851883</v>
      </c>
      <c r="M5832" s="187">
        <v>9556.62890625</v>
      </c>
      <c r="N5832" s="187">
        <v>4609.14599609375</v>
      </c>
      <c r="O5832" t="s">
        <v>6088</v>
      </c>
    </row>
    <row r="5833" spans="1:15" hidden="1" x14ac:dyDescent="0.45">
      <c r="A5833" s="187">
        <v>2022</v>
      </c>
      <c r="B5833" t="s">
        <v>309</v>
      </c>
      <c r="C5833" t="s">
        <v>328</v>
      </c>
      <c r="D5833" t="s">
        <v>39</v>
      </c>
      <c r="E5833" t="s">
        <v>364</v>
      </c>
      <c r="F5833" t="s">
        <v>364</v>
      </c>
      <c r="G5833" t="s">
        <v>36</v>
      </c>
      <c r="H5833" t="s">
        <v>43</v>
      </c>
      <c r="I5833" s="187"/>
      <c r="J5833" s="187">
        <v>23.82205352488231</v>
      </c>
      <c r="K5833" s="187">
        <v>5174.8255985126634</v>
      </c>
      <c r="L5833" s="187">
        <v>5118.1681998209642</v>
      </c>
      <c r="M5833" s="187">
        <v>10316.8154296875</v>
      </c>
      <c r="N5833" s="187">
        <v>5118.16796875</v>
      </c>
      <c r="O5833" t="s">
        <v>6090</v>
      </c>
    </row>
    <row r="5834" spans="1:15" hidden="1" x14ac:dyDescent="0.45">
      <c r="A5834" s="187">
        <v>2022</v>
      </c>
      <c r="B5834" t="s">
        <v>316</v>
      </c>
      <c r="C5834" t="s">
        <v>328</v>
      </c>
      <c r="D5834" t="s">
        <v>39</v>
      </c>
      <c r="E5834" t="s">
        <v>364</v>
      </c>
      <c r="F5834" t="s">
        <v>364</v>
      </c>
      <c r="G5834" t="s">
        <v>36</v>
      </c>
      <c r="H5834" t="s">
        <v>43</v>
      </c>
      <c r="I5834" s="187">
        <v>3033.8246373856173</v>
      </c>
      <c r="J5834" s="187">
        <v>920.12456201476334</v>
      </c>
      <c r="K5834" s="187">
        <v>5130.3045189106297</v>
      </c>
      <c r="L5834" s="187">
        <v>3062.8514156261544</v>
      </c>
      <c r="M5834" s="187">
        <v>12147.10546875</v>
      </c>
      <c r="N5834" s="187">
        <v>6096.67626953125</v>
      </c>
      <c r="O5834" t="s">
        <v>6091</v>
      </c>
    </row>
    <row r="5835" spans="1:15" hidden="1" x14ac:dyDescent="0.45">
      <c r="A5835" s="187">
        <v>2022</v>
      </c>
      <c r="B5835" t="s">
        <v>313</v>
      </c>
      <c r="C5835" t="s">
        <v>328</v>
      </c>
      <c r="D5835" t="s">
        <v>39</v>
      </c>
      <c r="E5835" t="s">
        <v>364</v>
      </c>
      <c r="F5835" t="s">
        <v>364</v>
      </c>
      <c r="G5835" t="s">
        <v>36</v>
      </c>
      <c r="H5835" t="s">
        <v>43</v>
      </c>
      <c r="I5835" s="187">
        <v>1777.2374297342985</v>
      </c>
      <c r="J5835" s="187">
        <v>775.92875592887833</v>
      </c>
      <c r="K5835" s="187">
        <v>5068.2700848276427</v>
      </c>
      <c r="L5835" s="187">
        <v>2959.939989528692</v>
      </c>
      <c r="M5835" s="187">
        <v>10581.376953125</v>
      </c>
      <c r="N5835" s="187">
        <v>4737.17724609375</v>
      </c>
      <c r="O5835" t="s">
        <v>6086</v>
      </c>
    </row>
    <row r="5836" spans="1:15" hidden="1" x14ac:dyDescent="0.45">
      <c r="A5836" s="187">
        <v>2022</v>
      </c>
      <c r="B5836" t="s">
        <v>315</v>
      </c>
      <c r="C5836" t="s">
        <v>328</v>
      </c>
      <c r="D5836" t="s">
        <v>39</v>
      </c>
      <c r="E5836" t="s">
        <v>364</v>
      </c>
      <c r="F5836" t="s">
        <v>364</v>
      </c>
      <c r="G5836" t="s">
        <v>36</v>
      </c>
      <c r="H5836" t="s">
        <v>43</v>
      </c>
      <c r="I5836" s="187">
        <v>1746.603336596427</v>
      </c>
      <c r="J5836" s="187">
        <v>739.90308322112094</v>
      </c>
      <c r="K5836" s="187">
        <v>5174.4637853049016</v>
      </c>
      <c r="L5836" s="187">
        <v>2544.8345460860742</v>
      </c>
      <c r="M5836" s="187">
        <v>10205.8046875</v>
      </c>
      <c r="N5836" s="187">
        <v>4291.43798828125</v>
      </c>
      <c r="O5836" t="s">
        <v>6087</v>
      </c>
    </row>
    <row r="5837" spans="1:15" x14ac:dyDescent="0.45">
      <c r="A5837" s="187">
        <v>2022</v>
      </c>
      <c r="B5837" t="s">
        <v>8570</v>
      </c>
      <c r="C5837" t="s">
        <v>328</v>
      </c>
      <c r="D5837" t="s">
        <v>39</v>
      </c>
      <c r="E5837" t="s">
        <v>364</v>
      </c>
      <c r="F5837" t="s">
        <v>364</v>
      </c>
      <c r="G5837" t="s">
        <v>36</v>
      </c>
      <c r="H5837" t="s">
        <v>43</v>
      </c>
      <c r="I5837" s="187">
        <v>2357.3359999999998</v>
      </c>
      <c r="J5837" s="187">
        <v>683</v>
      </c>
      <c r="K5837" s="187">
        <v>4378.3228490869997</v>
      </c>
      <c r="L5837" s="187">
        <v>3434</v>
      </c>
      <c r="M5837" s="187">
        <v>10852.658203125</v>
      </c>
      <c r="N5837" s="187">
        <v>5791.3359375</v>
      </c>
      <c r="O5837" t="s">
        <v>8777</v>
      </c>
    </row>
    <row r="5838" spans="1:15" hidden="1" x14ac:dyDescent="0.45">
      <c r="A5838" s="187">
        <v>2022</v>
      </c>
      <c r="B5838" t="s">
        <v>312</v>
      </c>
      <c r="C5838" t="s">
        <v>328</v>
      </c>
      <c r="D5838" t="s">
        <v>39</v>
      </c>
      <c r="E5838" t="s">
        <v>364</v>
      </c>
      <c r="F5838" t="s">
        <v>364</v>
      </c>
      <c r="G5838" t="s">
        <v>36</v>
      </c>
      <c r="H5838" t="s">
        <v>43</v>
      </c>
      <c r="I5838" s="187">
        <v>1433.4587681841222</v>
      </c>
      <c r="J5838" s="187">
        <v>788.63708510341928</v>
      </c>
      <c r="K5838" s="187">
        <v>4797.0133730081179</v>
      </c>
      <c r="L5838" s="187">
        <v>3503.6362266138672</v>
      </c>
      <c r="M5838" s="187">
        <v>10522.7451171875</v>
      </c>
      <c r="N5838" s="187">
        <v>4937.0947265625</v>
      </c>
      <c r="O5838" t="s">
        <v>6084</v>
      </c>
    </row>
    <row r="5839" spans="1:15" hidden="1" x14ac:dyDescent="0.45">
      <c r="A5839" s="187">
        <v>2022</v>
      </c>
      <c r="B5839" t="s">
        <v>314</v>
      </c>
      <c r="C5839" t="s">
        <v>328</v>
      </c>
      <c r="D5839" t="s">
        <v>39</v>
      </c>
      <c r="E5839" t="s">
        <v>364</v>
      </c>
      <c r="F5839" t="s">
        <v>364</v>
      </c>
      <c r="G5839" t="s">
        <v>36</v>
      </c>
      <c r="H5839" t="s">
        <v>43</v>
      </c>
      <c r="I5839" s="187">
        <v>1794.267781028728</v>
      </c>
      <c r="J5839" s="187">
        <v>765.64302344454075</v>
      </c>
      <c r="K5839" s="187">
        <v>5167.1287385191345</v>
      </c>
      <c r="L5839" s="187">
        <v>2700.8335058898724</v>
      </c>
      <c r="M5839" s="187">
        <v>10427.873046875</v>
      </c>
      <c r="N5839" s="187">
        <v>4495.1015625</v>
      </c>
      <c r="O5839" t="s">
        <v>6085</v>
      </c>
    </row>
    <row r="5840" spans="1:15" hidden="1" x14ac:dyDescent="0.45">
      <c r="A5840" s="187">
        <v>2022</v>
      </c>
      <c r="B5840" t="s">
        <v>311</v>
      </c>
      <c r="C5840" t="s">
        <v>328</v>
      </c>
      <c r="D5840" t="s">
        <v>39</v>
      </c>
      <c r="E5840" t="s">
        <v>364</v>
      </c>
      <c r="F5840" t="s">
        <v>364</v>
      </c>
      <c r="G5840" t="s">
        <v>37</v>
      </c>
      <c r="H5840" t="s">
        <v>43</v>
      </c>
      <c r="I5840" s="187"/>
      <c r="J5840" s="187">
        <v>782</v>
      </c>
      <c r="K5840" s="187">
        <v>4391.1910162026252</v>
      </c>
      <c r="L5840" s="187">
        <v>11998</v>
      </c>
      <c r="M5840" s="187">
        <v>17171.19140625</v>
      </c>
      <c r="N5840" s="187">
        <v>11998</v>
      </c>
      <c r="O5840" t="s">
        <v>6099</v>
      </c>
    </row>
    <row r="5841" spans="1:15" hidden="1" x14ac:dyDescent="0.45">
      <c r="A5841" s="187">
        <v>2022</v>
      </c>
      <c r="B5841" t="s">
        <v>314</v>
      </c>
      <c r="C5841" t="s">
        <v>328</v>
      </c>
      <c r="D5841" t="s">
        <v>39</v>
      </c>
      <c r="E5841" t="s">
        <v>364</v>
      </c>
      <c r="F5841" t="s">
        <v>364</v>
      </c>
      <c r="G5841" t="s">
        <v>37</v>
      </c>
      <c r="H5841" t="s">
        <v>43</v>
      </c>
      <c r="I5841" s="187">
        <v>1751.1509071558239</v>
      </c>
      <c r="J5841" s="187">
        <v>747</v>
      </c>
      <c r="K5841" s="187">
        <v>5049.7846292977083</v>
      </c>
      <c r="L5841" s="187">
        <v>2765</v>
      </c>
      <c r="M5841" s="187">
        <v>10312.935546875</v>
      </c>
      <c r="N5841" s="187">
        <v>4516.15087890625</v>
      </c>
      <c r="O5841" t="s">
        <v>6098</v>
      </c>
    </row>
    <row r="5842" spans="1:15" hidden="1" x14ac:dyDescent="0.45">
      <c r="A5842" s="187">
        <v>2022</v>
      </c>
      <c r="B5842" t="s">
        <v>310</v>
      </c>
      <c r="C5842" t="s">
        <v>328</v>
      </c>
      <c r="D5842" t="s">
        <v>39</v>
      </c>
      <c r="E5842" t="s">
        <v>364</v>
      </c>
      <c r="F5842" t="s">
        <v>364</v>
      </c>
      <c r="G5842" t="s">
        <v>37</v>
      </c>
      <c r="H5842" t="s">
        <v>43</v>
      </c>
      <c r="I5842" s="187"/>
      <c r="J5842" s="187">
        <v>776</v>
      </c>
      <c r="K5842" s="187">
        <v>4202.4272002251228</v>
      </c>
      <c r="L5842" s="187">
        <v>4853</v>
      </c>
      <c r="M5842" s="187">
        <v>9831.427734375</v>
      </c>
      <c r="N5842" s="187">
        <v>4853</v>
      </c>
      <c r="O5842" t="s">
        <v>6100</v>
      </c>
    </row>
    <row r="5843" spans="1:15" hidden="1" x14ac:dyDescent="0.45">
      <c r="A5843" s="187">
        <v>2022</v>
      </c>
      <c r="B5843" t="s">
        <v>312</v>
      </c>
      <c r="C5843" t="s">
        <v>328</v>
      </c>
      <c r="D5843" t="s">
        <v>39</v>
      </c>
      <c r="E5843" t="s">
        <v>364</v>
      </c>
      <c r="F5843" t="s">
        <v>364</v>
      </c>
      <c r="G5843" t="s">
        <v>37</v>
      </c>
      <c r="H5843" t="s">
        <v>43</v>
      </c>
      <c r="I5843" s="187">
        <v>1368.636982813814</v>
      </c>
      <c r="J5843" s="187">
        <v>766</v>
      </c>
      <c r="K5843" s="187">
        <v>4643.6797959182331</v>
      </c>
      <c r="L5843" s="187">
        <v>3397</v>
      </c>
      <c r="M5843" s="187">
        <v>10175.31640625</v>
      </c>
      <c r="N5843" s="187">
        <v>4765.63671875</v>
      </c>
      <c r="O5843" t="s">
        <v>6092</v>
      </c>
    </row>
    <row r="5844" spans="1:15" hidden="1" x14ac:dyDescent="0.45">
      <c r="A5844" s="187">
        <v>2022</v>
      </c>
      <c r="B5844" t="s">
        <v>309</v>
      </c>
      <c r="C5844" t="s">
        <v>328</v>
      </c>
      <c r="D5844" t="s">
        <v>39</v>
      </c>
      <c r="E5844" t="s">
        <v>364</v>
      </c>
      <c r="F5844" t="s">
        <v>364</v>
      </c>
      <c r="G5844" t="s">
        <v>37</v>
      </c>
      <c r="H5844" t="s">
        <v>43</v>
      </c>
      <c r="I5844" s="187"/>
      <c r="J5844" s="187">
        <v>23.666</v>
      </c>
      <c r="K5844" s="187">
        <v>5303.97187231723</v>
      </c>
      <c r="L5844" s="187">
        <v>5503</v>
      </c>
      <c r="M5844" s="187">
        <v>10830.6376953125</v>
      </c>
      <c r="N5844" s="187">
        <v>5503</v>
      </c>
      <c r="O5844" t="s">
        <v>6094</v>
      </c>
    </row>
    <row r="5845" spans="1:15" x14ac:dyDescent="0.45">
      <c r="A5845" s="187">
        <v>2022</v>
      </c>
      <c r="B5845" t="s">
        <v>8570</v>
      </c>
      <c r="C5845" t="s">
        <v>328</v>
      </c>
      <c r="D5845" t="s">
        <v>39</v>
      </c>
      <c r="E5845" t="s">
        <v>364</v>
      </c>
      <c r="F5845" t="s">
        <v>364</v>
      </c>
      <c r="G5845" t="s">
        <v>37</v>
      </c>
      <c r="H5845" t="s">
        <v>43</v>
      </c>
      <c r="I5845" s="187">
        <v>2357.3359999999998</v>
      </c>
      <c r="J5845" s="187">
        <v>683</v>
      </c>
      <c r="K5845" s="187">
        <v>4378.3228490869997</v>
      </c>
      <c r="L5845" s="187">
        <v>3434</v>
      </c>
      <c r="M5845" s="187">
        <v>10852.658203125</v>
      </c>
      <c r="N5845" s="187">
        <v>5791.3359375</v>
      </c>
      <c r="O5845" t="s">
        <v>8778</v>
      </c>
    </row>
    <row r="5846" spans="1:15" hidden="1" x14ac:dyDescent="0.45">
      <c r="A5846" s="187">
        <v>2022</v>
      </c>
      <c r="B5846" t="s">
        <v>313</v>
      </c>
      <c r="C5846" t="s">
        <v>328</v>
      </c>
      <c r="D5846" t="s">
        <v>39</v>
      </c>
      <c r="E5846" t="s">
        <v>364</v>
      </c>
      <c r="F5846" t="s">
        <v>364</v>
      </c>
      <c r="G5846" t="s">
        <v>37</v>
      </c>
      <c r="H5846" t="s">
        <v>43</v>
      </c>
      <c r="I5846" s="187">
        <v>1716.0810816261589</v>
      </c>
      <c r="J5846" s="187">
        <v>751</v>
      </c>
      <c r="K5846" s="187">
        <v>4882.0342756423534</v>
      </c>
      <c r="L5846" s="187">
        <v>2874</v>
      </c>
      <c r="M5846" s="187">
        <v>10223.115234375</v>
      </c>
      <c r="N5846" s="187">
        <v>4590.0810546875</v>
      </c>
      <c r="O5846" t="s">
        <v>6093</v>
      </c>
    </row>
    <row r="5847" spans="1:15" hidden="1" x14ac:dyDescent="0.45">
      <c r="A5847" s="187">
        <v>2022</v>
      </c>
      <c r="B5847" t="s">
        <v>317</v>
      </c>
      <c r="C5847" t="s">
        <v>328</v>
      </c>
      <c r="D5847" t="s">
        <v>39</v>
      </c>
      <c r="E5847" t="s">
        <v>364</v>
      </c>
      <c r="F5847" t="s">
        <v>364</v>
      </c>
      <c r="G5847" t="s">
        <v>37</v>
      </c>
      <c r="H5847" t="s">
        <v>43</v>
      </c>
      <c r="I5847" s="187">
        <v>2926</v>
      </c>
      <c r="J5847" s="187">
        <v>698</v>
      </c>
      <c r="K5847" s="187">
        <v>5051.8698530283673</v>
      </c>
      <c r="L5847" s="187">
        <v>3271</v>
      </c>
      <c r="M5847" s="187">
        <v>11946.8701171875</v>
      </c>
      <c r="N5847" s="187">
        <v>6197</v>
      </c>
      <c r="O5847" t="s">
        <v>6096</v>
      </c>
    </row>
    <row r="5848" spans="1:15" hidden="1" x14ac:dyDescent="0.45">
      <c r="A5848" s="187">
        <v>2022</v>
      </c>
      <c r="B5848" t="s">
        <v>316</v>
      </c>
      <c r="C5848" t="s">
        <v>328</v>
      </c>
      <c r="D5848" t="s">
        <v>39</v>
      </c>
      <c r="E5848" t="s">
        <v>364</v>
      </c>
      <c r="F5848" t="s">
        <v>364</v>
      </c>
      <c r="G5848" t="s">
        <v>37</v>
      </c>
      <c r="H5848" t="s">
        <v>43</v>
      </c>
      <c r="I5848" s="187">
        <v>2984.73667354896</v>
      </c>
      <c r="J5848" s="187">
        <v>870</v>
      </c>
      <c r="K5848" s="187">
        <v>4984.0072936004944</v>
      </c>
      <c r="L5848" s="187">
        <v>3029</v>
      </c>
      <c r="M5848" s="187">
        <v>11867.744140625</v>
      </c>
      <c r="N5848" s="187">
        <v>6013.736328125</v>
      </c>
      <c r="O5848" t="s">
        <v>6097</v>
      </c>
    </row>
    <row r="5849" spans="1:15" hidden="1" x14ac:dyDescent="0.45">
      <c r="A5849" s="187">
        <v>2022</v>
      </c>
      <c r="B5849" t="s">
        <v>315</v>
      </c>
      <c r="C5849" t="s">
        <v>328</v>
      </c>
      <c r="D5849" t="s">
        <v>39</v>
      </c>
      <c r="E5849" t="s">
        <v>364</v>
      </c>
      <c r="F5849" t="s">
        <v>364</v>
      </c>
      <c r="G5849" t="s">
        <v>37</v>
      </c>
      <c r="H5849" t="s">
        <v>43</v>
      </c>
      <c r="I5849" s="187">
        <v>1716.3098178534001</v>
      </c>
      <c r="J5849" s="187">
        <v>713</v>
      </c>
      <c r="K5849" s="187">
        <v>5071.0641191104996</v>
      </c>
      <c r="L5849" s="187">
        <v>2533</v>
      </c>
      <c r="M5849" s="187">
        <v>10033.3740234375</v>
      </c>
      <c r="N5849" s="187">
        <v>4249.3095703125</v>
      </c>
      <c r="O5849" t="s">
        <v>6095</v>
      </c>
    </row>
    <row r="5850" spans="1:15" hidden="1" x14ac:dyDescent="0.45">
      <c r="A5850" s="187">
        <v>2022</v>
      </c>
      <c r="B5850" t="s">
        <v>317</v>
      </c>
      <c r="C5850" t="s">
        <v>328</v>
      </c>
      <c r="D5850" t="s">
        <v>39</v>
      </c>
      <c r="E5850" t="s">
        <v>365</v>
      </c>
      <c r="F5850" t="s">
        <v>375</v>
      </c>
      <c r="G5850" t="s">
        <v>36</v>
      </c>
      <c r="H5850" t="s">
        <v>43</v>
      </c>
      <c r="I5850" s="187">
        <v>10402.472680326051</v>
      </c>
      <c r="J5850" s="187">
        <v>2104.1201340579637</v>
      </c>
      <c r="K5850" s="187">
        <v>19303.986016861774</v>
      </c>
      <c r="L5850" s="187">
        <v>14553.236277441147</v>
      </c>
      <c r="M5850" s="187">
        <v>46363.8125</v>
      </c>
      <c r="N5850" s="187">
        <v>24955.708984375</v>
      </c>
      <c r="O5850" t="s">
        <v>6109</v>
      </c>
    </row>
    <row r="5851" spans="1:15" hidden="1" x14ac:dyDescent="0.45">
      <c r="A5851" s="187">
        <v>2022</v>
      </c>
      <c r="B5851" t="s">
        <v>310</v>
      </c>
      <c r="C5851" t="s">
        <v>328</v>
      </c>
      <c r="D5851" t="s">
        <v>39</v>
      </c>
      <c r="E5851" t="s">
        <v>365</v>
      </c>
      <c r="F5851" t="s">
        <v>375</v>
      </c>
      <c r="G5851" t="s">
        <v>36</v>
      </c>
      <c r="H5851" t="s">
        <v>43</v>
      </c>
      <c r="I5851" s="187"/>
      <c r="J5851" s="187">
        <v>1950.9000574788979</v>
      </c>
      <c r="K5851" s="187">
        <v>17996.905861285937</v>
      </c>
      <c r="L5851" s="187">
        <v>23925.943900333157</v>
      </c>
      <c r="M5851" s="187">
        <v>43873.75</v>
      </c>
      <c r="N5851" s="187">
        <v>23925.943359375</v>
      </c>
      <c r="O5851" t="s">
        <v>6101</v>
      </c>
    </row>
    <row r="5852" spans="1:15" hidden="1" x14ac:dyDescent="0.45">
      <c r="A5852" s="187">
        <v>2022</v>
      </c>
      <c r="B5852" t="s">
        <v>314</v>
      </c>
      <c r="C5852" t="s">
        <v>328</v>
      </c>
      <c r="D5852" t="s">
        <v>39</v>
      </c>
      <c r="E5852" t="s">
        <v>365</v>
      </c>
      <c r="F5852" t="s">
        <v>375</v>
      </c>
      <c r="G5852" t="s">
        <v>36</v>
      </c>
      <c r="H5852" t="s">
        <v>43</v>
      </c>
      <c r="I5852" s="187">
        <v>9242.0880322747525</v>
      </c>
      <c r="J5852" s="187">
        <v>1836.4336286966882</v>
      </c>
      <c r="K5852" s="187">
        <v>17479.24979293162</v>
      </c>
      <c r="L5852" s="187">
        <v>12957.121137336089</v>
      </c>
      <c r="M5852" s="187">
        <v>41514.89453125</v>
      </c>
      <c r="N5852" s="187">
        <v>22199.208984375</v>
      </c>
      <c r="O5852" t="s">
        <v>6106</v>
      </c>
    </row>
    <row r="5853" spans="1:15" hidden="1" x14ac:dyDescent="0.45">
      <c r="A5853" s="187">
        <v>2022</v>
      </c>
      <c r="B5853" t="s">
        <v>316</v>
      </c>
      <c r="C5853" t="s">
        <v>328</v>
      </c>
      <c r="D5853" t="s">
        <v>39</v>
      </c>
      <c r="E5853" t="s">
        <v>365</v>
      </c>
      <c r="F5853" t="s">
        <v>375</v>
      </c>
      <c r="G5853" t="s">
        <v>36</v>
      </c>
      <c r="H5853" t="s">
        <v>43</v>
      </c>
      <c r="I5853" s="187">
        <v>10525.365794758383</v>
      </c>
      <c r="J5853" s="187">
        <v>2474.8177874879839</v>
      </c>
      <c r="K5853" s="187">
        <v>18402.314177307111</v>
      </c>
      <c r="L5853" s="187">
        <v>13873.786212080075</v>
      </c>
      <c r="M5853" s="187">
        <v>45276.28515625</v>
      </c>
      <c r="N5853" s="187">
        <v>24399.15234375</v>
      </c>
      <c r="O5853" t="s">
        <v>6105</v>
      </c>
    </row>
    <row r="5854" spans="1:15" hidden="1" x14ac:dyDescent="0.45">
      <c r="A5854" s="187">
        <v>2022</v>
      </c>
      <c r="B5854" t="s">
        <v>313</v>
      </c>
      <c r="C5854" t="s">
        <v>328</v>
      </c>
      <c r="D5854" t="s">
        <v>39</v>
      </c>
      <c r="E5854" t="s">
        <v>365</v>
      </c>
      <c r="F5854" t="s">
        <v>375</v>
      </c>
      <c r="G5854" t="s">
        <v>36</v>
      </c>
      <c r="H5854" t="s">
        <v>43</v>
      </c>
      <c r="I5854" s="187">
        <v>9155.5941770167992</v>
      </c>
      <c r="J5854" s="187">
        <v>1825.714719832655</v>
      </c>
      <c r="K5854" s="187">
        <v>18767.648305216469</v>
      </c>
      <c r="L5854" s="187">
        <v>13438.401409668235</v>
      </c>
      <c r="M5854" s="187">
        <v>43187.359375</v>
      </c>
      <c r="N5854" s="187">
        <v>22593.99609375</v>
      </c>
      <c r="O5854" t="s">
        <v>6102</v>
      </c>
    </row>
    <row r="5855" spans="1:15" hidden="1" x14ac:dyDescent="0.45">
      <c r="A5855" s="187">
        <v>2022</v>
      </c>
      <c r="B5855" t="s">
        <v>312</v>
      </c>
      <c r="C5855" t="s">
        <v>328</v>
      </c>
      <c r="D5855" t="s">
        <v>39</v>
      </c>
      <c r="E5855" t="s">
        <v>365</v>
      </c>
      <c r="F5855" t="s">
        <v>375</v>
      </c>
      <c r="G5855" t="s">
        <v>36</v>
      </c>
      <c r="H5855" t="s">
        <v>43</v>
      </c>
      <c r="I5855" s="187">
        <v>8111.9545058949552</v>
      </c>
      <c r="J5855" s="187">
        <v>1844.0190666388776</v>
      </c>
      <c r="K5855" s="187">
        <v>18968.977848483282</v>
      </c>
      <c r="L5855" s="187">
        <v>13661.97773899747</v>
      </c>
      <c r="M5855" s="187">
        <v>42586.9296875</v>
      </c>
      <c r="N5855" s="187">
        <v>21773.931640625</v>
      </c>
      <c r="O5855" t="s">
        <v>6107</v>
      </c>
    </row>
    <row r="5856" spans="1:15" hidden="1" x14ac:dyDescent="0.45">
      <c r="A5856" s="187">
        <v>2022</v>
      </c>
      <c r="B5856" t="s">
        <v>315</v>
      </c>
      <c r="C5856" t="s">
        <v>328</v>
      </c>
      <c r="D5856" t="s">
        <v>39</v>
      </c>
      <c r="E5856" t="s">
        <v>365</v>
      </c>
      <c r="F5856" t="s">
        <v>375</v>
      </c>
      <c r="G5856" t="s">
        <v>36</v>
      </c>
      <c r="H5856" t="s">
        <v>43</v>
      </c>
      <c r="I5856" s="187">
        <v>8996.5734016769584</v>
      </c>
      <c r="J5856" s="187">
        <v>1982.0761426434406</v>
      </c>
      <c r="K5856" s="187">
        <v>18114.972397606496</v>
      </c>
      <c r="L5856" s="187">
        <v>13198.358793983762</v>
      </c>
      <c r="M5856" s="187">
        <v>42291.98046875</v>
      </c>
      <c r="N5856" s="187">
        <v>22194.931640625</v>
      </c>
      <c r="O5856" t="s">
        <v>6104</v>
      </c>
    </row>
    <row r="5857" spans="1:15" hidden="1" x14ac:dyDescent="0.45">
      <c r="A5857" s="187">
        <v>2022</v>
      </c>
      <c r="B5857" t="s">
        <v>309</v>
      </c>
      <c r="C5857" t="s">
        <v>328</v>
      </c>
      <c r="D5857" t="s">
        <v>39</v>
      </c>
      <c r="E5857" t="s">
        <v>365</v>
      </c>
      <c r="F5857" t="s">
        <v>375</v>
      </c>
      <c r="G5857" t="s">
        <v>36</v>
      </c>
      <c r="H5857" t="s">
        <v>43</v>
      </c>
      <c r="I5857" s="187"/>
      <c r="J5857" s="187">
        <v>1681.8369788566911</v>
      </c>
      <c r="K5857" s="187">
        <v>18991.926436159814</v>
      </c>
      <c r="L5857" s="187">
        <v>25693.275829261816</v>
      </c>
      <c r="M5857" s="187">
        <v>46367.0390625</v>
      </c>
      <c r="N5857" s="187">
        <v>25693.275390625</v>
      </c>
      <c r="O5857" t="s">
        <v>6108</v>
      </c>
    </row>
    <row r="5858" spans="1:15" x14ac:dyDescent="0.45">
      <c r="A5858" s="187">
        <v>2022</v>
      </c>
      <c r="B5858" t="s">
        <v>8570</v>
      </c>
      <c r="C5858" t="s">
        <v>328</v>
      </c>
      <c r="D5858" t="s">
        <v>39</v>
      </c>
      <c r="E5858" t="s">
        <v>365</v>
      </c>
      <c r="F5858" t="s">
        <v>375</v>
      </c>
      <c r="G5858" t="s">
        <v>36</v>
      </c>
      <c r="H5858" t="s">
        <v>43</v>
      </c>
      <c r="I5858" s="187">
        <v>9738.6229999999996</v>
      </c>
      <c r="J5858" s="187">
        <v>2088</v>
      </c>
      <c r="K5858" s="187">
        <v>18010.594334883401</v>
      </c>
      <c r="L5858" s="187">
        <v>14310</v>
      </c>
      <c r="M5858" s="187">
        <v>44147.21875</v>
      </c>
      <c r="N5858" s="187">
        <v>24048.623046875</v>
      </c>
      <c r="O5858" t="s">
        <v>8779</v>
      </c>
    </row>
    <row r="5859" spans="1:15" hidden="1" x14ac:dyDescent="0.45">
      <c r="A5859" s="187">
        <v>2022</v>
      </c>
      <c r="B5859" t="s">
        <v>311</v>
      </c>
      <c r="C5859" t="s">
        <v>328</v>
      </c>
      <c r="D5859" t="s">
        <v>39</v>
      </c>
      <c r="E5859" t="s">
        <v>365</v>
      </c>
      <c r="F5859" t="s">
        <v>375</v>
      </c>
      <c r="G5859" t="s">
        <v>36</v>
      </c>
      <c r="H5859" t="s">
        <v>43</v>
      </c>
      <c r="I5859" s="187"/>
      <c r="J5859" s="187">
        <v>1852.4513341985032</v>
      </c>
      <c r="K5859" s="187">
        <v>18317.944362323396</v>
      </c>
      <c r="L5859" s="187">
        <v>21885.722209382944</v>
      </c>
      <c r="M5859" s="187">
        <v>42056.1171875</v>
      </c>
      <c r="N5859" s="187">
        <v>21885.72265625</v>
      </c>
      <c r="O5859" t="s">
        <v>6103</v>
      </c>
    </row>
    <row r="5860" spans="1:15" hidden="1" x14ac:dyDescent="0.45">
      <c r="A5860" s="187">
        <v>2022</v>
      </c>
      <c r="B5860" t="s">
        <v>313</v>
      </c>
      <c r="C5860" t="s">
        <v>328</v>
      </c>
      <c r="D5860" t="s">
        <v>39</v>
      </c>
      <c r="E5860" t="s">
        <v>365</v>
      </c>
      <c r="F5860" t="s">
        <v>375</v>
      </c>
      <c r="G5860" t="s">
        <v>37</v>
      </c>
      <c r="H5860" t="s">
        <v>43</v>
      </c>
      <c r="I5860" s="187">
        <v>8840.5418968551076</v>
      </c>
      <c r="J5860" s="187">
        <v>1766</v>
      </c>
      <c r="K5860" s="187">
        <v>18078.022829437239</v>
      </c>
      <c r="L5860" s="187">
        <v>13048</v>
      </c>
      <c r="M5860" s="187">
        <v>41732.5625</v>
      </c>
      <c r="N5860" s="187">
        <v>21888.54296875</v>
      </c>
      <c r="O5860" t="s">
        <v>6117</v>
      </c>
    </row>
    <row r="5861" spans="1:15" x14ac:dyDescent="0.45">
      <c r="A5861" s="187">
        <v>2022</v>
      </c>
      <c r="B5861" t="s">
        <v>8570</v>
      </c>
      <c r="C5861" t="s">
        <v>328</v>
      </c>
      <c r="D5861" t="s">
        <v>39</v>
      </c>
      <c r="E5861" t="s">
        <v>365</v>
      </c>
      <c r="F5861" t="s">
        <v>375</v>
      </c>
      <c r="G5861" t="s">
        <v>37</v>
      </c>
      <c r="H5861" t="s">
        <v>43</v>
      </c>
      <c r="I5861" s="187">
        <v>9738.6229999999996</v>
      </c>
      <c r="J5861" s="187">
        <v>2092</v>
      </c>
      <c r="K5861" s="187">
        <v>18010.594334883401</v>
      </c>
      <c r="L5861" s="187">
        <v>14310</v>
      </c>
      <c r="M5861" s="187">
        <v>44151.21875</v>
      </c>
      <c r="N5861" s="187">
        <v>24048.623046875</v>
      </c>
      <c r="O5861" t="s">
        <v>8780</v>
      </c>
    </row>
    <row r="5862" spans="1:15" hidden="1" x14ac:dyDescent="0.45">
      <c r="A5862" s="187">
        <v>2022</v>
      </c>
      <c r="B5862" t="s">
        <v>311</v>
      </c>
      <c r="C5862" t="s">
        <v>328</v>
      </c>
      <c r="D5862" t="s">
        <v>39</v>
      </c>
      <c r="E5862" t="s">
        <v>365</v>
      </c>
      <c r="F5862" t="s">
        <v>375</v>
      </c>
      <c r="G5862" t="s">
        <v>37</v>
      </c>
      <c r="H5862" t="s">
        <v>43</v>
      </c>
      <c r="I5862" s="187"/>
      <c r="J5862" s="187">
        <v>1829</v>
      </c>
      <c r="K5862" s="187">
        <v>17928.60788325511</v>
      </c>
      <c r="L5862" s="187">
        <v>22581</v>
      </c>
      <c r="M5862" s="187">
        <v>42338.609375</v>
      </c>
      <c r="N5862" s="187">
        <v>22581</v>
      </c>
      <c r="O5862" t="s">
        <v>6116</v>
      </c>
    </row>
    <row r="5863" spans="1:15" hidden="1" x14ac:dyDescent="0.45">
      <c r="A5863" s="187">
        <v>2022</v>
      </c>
      <c r="B5863" t="s">
        <v>316</v>
      </c>
      <c r="C5863" t="s">
        <v>328</v>
      </c>
      <c r="D5863" t="s">
        <v>39</v>
      </c>
      <c r="E5863" t="s">
        <v>365</v>
      </c>
      <c r="F5863" t="s">
        <v>375</v>
      </c>
      <c r="G5863" t="s">
        <v>37</v>
      </c>
      <c r="H5863" t="s">
        <v>43</v>
      </c>
      <c r="I5863" s="187">
        <v>10355.063012872501</v>
      </c>
      <c r="J5863" s="187">
        <v>2340</v>
      </c>
      <c r="K5863" s="187">
        <v>17877.548543317589</v>
      </c>
      <c r="L5863" s="187">
        <v>13722</v>
      </c>
      <c r="M5863" s="187">
        <v>44294.609375</v>
      </c>
      <c r="N5863" s="187">
        <v>24077.0625</v>
      </c>
      <c r="O5863" t="s">
        <v>6110</v>
      </c>
    </row>
    <row r="5864" spans="1:15" hidden="1" x14ac:dyDescent="0.45">
      <c r="A5864" s="187">
        <v>2022</v>
      </c>
      <c r="B5864" t="s">
        <v>309</v>
      </c>
      <c r="C5864" t="s">
        <v>328</v>
      </c>
      <c r="D5864" t="s">
        <v>39</v>
      </c>
      <c r="E5864" t="s">
        <v>365</v>
      </c>
      <c r="F5864" t="s">
        <v>375</v>
      </c>
      <c r="G5864" t="s">
        <v>37</v>
      </c>
      <c r="H5864" t="s">
        <v>43</v>
      </c>
      <c r="I5864" s="187"/>
      <c r="J5864" s="187">
        <v>1670.8196</v>
      </c>
      <c r="K5864" s="187">
        <v>19465.90115954091</v>
      </c>
      <c r="L5864" s="187">
        <v>27623</v>
      </c>
      <c r="M5864" s="187">
        <v>48759.71875</v>
      </c>
      <c r="N5864" s="187">
        <v>27623</v>
      </c>
      <c r="O5864" t="s">
        <v>6115</v>
      </c>
    </row>
    <row r="5865" spans="1:15" hidden="1" x14ac:dyDescent="0.45">
      <c r="A5865" s="187">
        <v>2022</v>
      </c>
      <c r="B5865" t="s">
        <v>310</v>
      </c>
      <c r="C5865" t="s">
        <v>328</v>
      </c>
      <c r="D5865" t="s">
        <v>39</v>
      </c>
      <c r="E5865" t="s">
        <v>365</v>
      </c>
      <c r="F5865" t="s">
        <v>375</v>
      </c>
      <c r="G5865" t="s">
        <v>37</v>
      </c>
      <c r="H5865" t="s">
        <v>43</v>
      </c>
      <c r="I5865" s="187"/>
      <c r="J5865" s="187">
        <v>1962</v>
      </c>
      <c r="K5865" s="187">
        <v>18110.883982657051</v>
      </c>
      <c r="L5865" s="187">
        <v>25194</v>
      </c>
      <c r="M5865" s="187">
        <v>45266.8828125</v>
      </c>
      <c r="N5865" s="187">
        <v>25194</v>
      </c>
      <c r="O5865" t="s">
        <v>6114</v>
      </c>
    </row>
    <row r="5866" spans="1:15" hidden="1" x14ac:dyDescent="0.45">
      <c r="A5866" s="187">
        <v>2022</v>
      </c>
      <c r="B5866" t="s">
        <v>315</v>
      </c>
      <c r="C5866" t="s">
        <v>328</v>
      </c>
      <c r="D5866" t="s">
        <v>39</v>
      </c>
      <c r="E5866" t="s">
        <v>365</v>
      </c>
      <c r="F5866" t="s">
        <v>375</v>
      </c>
      <c r="G5866" t="s">
        <v>37</v>
      </c>
      <c r="H5866" t="s">
        <v>43</v>
      </c>
      <c r="I5866" s="187">
        <v>8840.5346152757993</v>
      </c>
      <c r="J5866" s="187">
        <v>1909</v>
      </c>
      <c r="K5866" s="187">
        <v>17752.986658262311</v>
      </c>
      <c r="L5866" s="187">
        <v>13138</v>
      </c>
      <c r="M5866" s="187">
        <v>41640.5234375</v>
      </c>
      <c r="N5866" s="187">
        <v>21978.53515625</v>
      </c>
      <c r="O5866" t="s">
        <v>6113</v>
      </c>
    </row>
    <row r="5867" spans="1:15" hidden="1" x14ac:dyDescent="0.45">
      <c r="A5867" s="187">
        <v>2022</v>
      </c>
      <c r="B5867" t="s">
        <v>312</v>
      </c>
      <c r="C5867" t="s">
        <v>328</v>
      </c>
      <c r="D5867" t="s">
        <v>39</v>
      </c>
      <c r="E5867" t="s">
        <v>365</v>
      </c>
      <c r="F5867" t="s">
        <v>375</v>
      </c>
      <c r="G5867" t="s">
        <v>37</v>
      </c>
      <c r="H5867" t="s">
        <v>43</v>
      </c>
      <c r="I5867" s="187">
        <v>7745.1275098307906</v>
      </c>
      <c r="J5867" s="187">
        <v>1792</v>
      </c>
      <c r="K5867" s="187">
        <v>18362.646158100099</v>
      </c>
      <c r="L5867" s="187">
        <v>13247</v>
      </c>
      <c r="M5867" s="187">
        <v>41146.7734375</v>
      </c>
      <c r="N5867" s="187">
        <v>20992.126953125</v>
      </c>
      <c r="O5867" t="s">
        <v>6111</v>
      </c>
    </row>
    <row r="5868" spans="1:15" hidden="1" x14ac:dyDescent="0.45">
      <c r="A5868" s="187">
        <v>2022</v>
      </c>
      <c r="B5868" t="s">
        <v>314</v>
      </c>
      <c r="C5868" t="s">
        <v>328</v>
      </c>
      <c r="D5868" t="s">
        <v>39</v>
      </c>
      <c r="E5868" t="s">
        <v>365</v>
      </c>
      <c r="F5868" t="s">
        <v>375</v>
      </c>
      <c r="G5868" t="s">
        <v>37</v>
      </c>
      <c r="H5868" t="s">
        <v>43</v>
      </c>
      <c r="I5868" s="187">
        <v>9019.9974679659008</v>
      </c>
      <c r="J5868" s="187">
        <v>1792</v>
      </c>
      <c r="K5868" s="187">
        <v>17082.300713354751</v>
      </c>
      <c r="L5868" s="187">
        <v>13263</v>
      </c>
      <c r="M5868" s="187">
        <v>41157.296875</v>
      </c>
      <c r="N5868" s="187">
        <v>22282.99609375</v>
      </c>
      <c r="O5868" t="s">
        <v>6118</v>
      </c>
    </row>
    <row r="5869" spans="1:15" hidden="1" x14ac:dyDescent="0.45">
      <c r="A5869" s="187">
        <v>2022</v>
      </c>
      <c r="B5869" t="s">
        <v>317</v>
      </c>
      <c r="C5869" t="s">
        <v>328</v>
      </c>
      <c r="D5869" t="s">
        <v>39</v>
      </c>
      <c r="E5869" t="s">
        <v>365</v>
      </c>
      <c r="F5869" t="s">
        <v>375</v>
      </c>
      <c r="G5869" t="s">
        <v>37</v>
      </c>
      <c r="H5869" t="s">
        <v>43</v>
      </c>
      <c r="I5869" s="187">
        <v>10152</v>
      </c>
      <c r="J5869" s="187">
        <v>2013</v>
      </c>
      <c r="K5869" s="187">
        <v>18766.88126528461</v>
      </c>
      <c r="L5869" s="187">
        <v>14199</v>
      </c>
      <c r="M5869" s="187">
        <v>45130.8828125</v>
      </c>
      <c r="N5869" s="187">
        <v>24351</v>
      </c>
      <c r="O5869" t="s">
        <v>6112</v>
      </c>
    </row>
    <row r="5870" spans="1:15" x14ac:dyDescent="0.45">
      <c r="A5870" s="187">
        <v>2022</v>
      </c>
      <c r="B5870" t="s">
        <v>34</v>
      </c>
      <c r="C5870" t="s">
        <v>329</v>
      </c>
      <c r="D5870" t="s">
        <v>39</v>
      </c>
      <c r="E5870" t="s">
        <v>349</v>
      </c>
      <c r="F5870" t="s">
        <v>349</v>
      </c>
      <c r="G5870" t="s">
        <v>36</v>
      </c>
      <c r="H5870" t="s">
        <v>43</v>
      </c>
      <c r="I5870" s="187">
        <v>0</v>
      </c>
      <c r="J5870" s="187">
        <v>11</v>
      </c>
      <c r="K5870" s="187">
        <v>2955.903564453125</v>
      </c>
      <c r="L5870" s="187">
        <v>0</v>
      </c>
      <c r="M5870" s="187">
        <v>2966.903564453125</v>
      </c>
      <c r="N5870" s="187">
        <v>0</v>
      </c>
      <c r="O5870" t="s">
        <v>8781</v>
      </c>
    </row>
    <row r="5871" spans="1:15" x14ac:dyDescent="0.45">
      <c r="A5871" s="187">
        <v>2022</v>
      </c>
      <c r="B5871" t="s">
        <v>34</v>
      </c>
      <c r="C5871" t="s">
        <v>329</v>
      </c>
      <c r="D5871" t="s">
        <v>39</v>
      </c>
      <c r="E5871" t="s">
        <v>349</v>
      </c>
      <c r="F5871" t="s">
        <v>349</v>
      </c>
      <c r="G5871" t="s">
        <v>37</v>
      </c>
      <c r="H5871" t="s">
        <v>43</v>
      </c>
      <c r="I5871" s="187">
        <v>0</v>
      </c>
      <c r="J5871" s="187">
        <v>11</v>
      </c>
      <c r="K5871" s="187">
        <v>2955.9035399999998</v>
      </c>
      <c r="L5871" s="187">
        <v>0</v>
      </c>
      <c r="M5871" s="187">
        <v>2966.903564453125</v>
      </c>
      <c r="N5871" s="187">
        <v>0</v>
      </c>
      <c r="O5871" t="s">
        <v>8782</v>
      </c>
    </row>
    <row r="5872" spans="1:15" x14ac:dyDescent="0.45">
      <c r="A5872" s="187">
        <v>2022</v>
      </c>
      <c r="B5872" t="s">
        <v>34</v>
      </c>
      <c r="C5872" t="s">
        <v>329</v>
      </c>
      <c r="D5872" t="s">
        <v>39</v>
      </c>
      <c r="E5872" t="s">
        <v>21</v>
      </c>
      <c r="F5872" t="s">
        <v>21</v>
      </c>
      <c r="G5872" t="s">
        <v>36</v>
      </c>
      <c r="H5872" t="s">
        <v>43</v>
      </c>
      <c r="I5872" s="187">
        <v>3067.18603515625</v>
      </c>
      <c r="J5872" s="187">
        <v>1091</v>
      </c>
      <c r="K5872" s="187">
        <v>7142.896484375</v>
      </c>
      <c r="L5872" s="187">
        <v>6014.08984375</v>
      </c>
      <c r="M5872" s="187">
        <v>17315.171875</v>
      </c>
      <c r="N5872" s="187">
        <v>9081.275390625</v>
      </c>
      <c r="O5872" t="s">
        <v>8783</v>
      </c>
    </row>
    <row r="5873" spans="1:15" x14ac:dyDescent="0.45">
      <c r="A5873" s="187">
        <v>2022</v>
      </c>
      <c r="B5873" t="s">
        <v>34</v>
      </c>
      <c r="C5873" t="s">
        <v>329</v>
      </c>
      <c r="D5873" t="s">
        <v>39</v>
      </c>
      <c r="E5873" t="s">
        <v>21</v>
      </c>
      <c r="F5873" t="s">
        <v>21</v>
      </c>
      <c r="G5873" t="s">
        <v>37</v>
      </c>
      <c r="H5873" t="s">
        <v>43</v>
      </c>
      <c r="I5873" s="187">
        <v>3067.1859562556251</v>
      </c>
      <c r="J5873" s="187">
        <v>1091</v>
      </c>
      <c r="K5873" s="187">
        <v>7142.8965869000003</v>
      </c>
      <c r="L5873" s="187">
        <v>6014.09</v>
      </c>
      <c r="M5873" s="187">
        <v>17315.173828125</v>
      </c>
      <c r="N5873" s="187">
        <v>9081.2763671875</v>
      </c>
      <c r="O5873" t="s">
        <v>8784</v>
      </c>
    </row>
    <row r="5874" spans="1:15" x14ac:dyDescent="0.45">
      <c r="A5874" s="187">
        <v>2022</v>
      </c>
      <c r="B5874" t="s">
        <v>34</v>
      </c>
      <c r="C5874" t="s">
        <v>329</v>
      </c>
      <c r="D5874" t="s">
        <v>39</v>
      </c>
      <c r="E5874" t="s">
        <v>40</v>
      </c>
      <c r="F5874" t="s">
        <v>40</v>
      </c>
      <c r="G5874" t="s">
        <v>36</v>
      </c>
      <c r="H5874" t="s">
        <v>43</v>
      </c>
      <c r="I5874" s="187">
        <v>4804.080078125</v>
      </c>
      <c r="J5874" s="187">
        <v>160</v>
      </c>
      <c r="K5874" s="187">
        <v>6903.34814453125</v>
      </c>
      <c r="L5874" s="187">
        <v>6098.759765625</v>
      </c>
      <c r="M5874" s="187">
        <v>17966.1875</v>
      </c>
      <c r="N5874" s="187">
        <v>10902.83984375</v>
      </c>
      <c r="O5874" t="s">
        <v>8785</v>
      </c>
    </row>
    <row r="5875" spans="1:15" x14ac:dyDescent="0.45">
      <c r="A5875" s="187">
        <v>2022</v>
      </c>
      <c r="B5875" t="s">
        <v>34</v>
      </c>
      <c r="C5875" t="s">
        <v>329</v>
      </c>
      <c r="D5875" t="s">
        <v>39</v>
      </c>
      <c r="E5875" t="s">
        <v>40</v>
      </c>
      <c r="F5875" t="s">
        <v>40</v>
      </c>
      <c r="G5875" t="s">
        <v>37</v>
      </c>
      <c r="H5875" t="s">
        <v>43</v>
      </c>
      <c r="I5875" s="187">
        <v>4804.08</v>
      </c>
      <c r="J5875" s="187">
        <v>160</v>
      </c>
      <c r="K5875" s="187">
        <v>6903.34825</v>
      </c>
      <c r="L5875" s="187">
        <v>6098.76</v>
      </c>
      <c r="M5875" s="187">
        <v>17966.189453125</v>
      </c>
      <c r="N5875" s="187">
        <v>10902.83984375</v>
      </c>
      <c r="O5875" t="s">
        <v>8786</v>
      </c>
    </row>
    <row r="5876" spans="1:15" x14ac:dyDescent="0.45">
      <c r="A5876" s="187">
        <v>2022</v>
      </c>
      <c r="B5876" t="s">
        <v>34</v>
      </c>
      <c r="C5876" t="s">
        <v>329</v>
      </c>
      <c r="D5876" t="s">
        <v>39</v>
      </c>
      <c r="E5876" t="s">
        <v>41</v>
      </c>
      <c r="F5876" t="s">
        <v>41</v>
      </c>
      <c r="G5876" t="s">
        <v>36</v>
      </c>
      <c r="H5876" t="s">
        <v>43</v>
      </c>
      <c r="I5876" s="187">
        <v>5383.3359375</v>
      </c>
      <c r="J5876" s="187">
        <v>1882</v>
      </c>
      <c r="K5876" s="187">
        <v>10898.6083984375</v>
      </c>
      <c r="L5876" s="187">
        <v>8776.08984375</v>
      </c>
      <c r="M5876" s="187">
        <v>26940.03515625</v>
      </c>
      <c r="N5876" s="187">
        <v>14159.42578125</v>
      </c>
      <c r="O5876" t="s">
        <v>8787</v>
      </c>
    </row>
    <row r="5877" spans="1:15" x14ac:dyDescent="0.45">
      <c r="A5877" s="187">
        <v>2022</v>
      </c>
      <c r="B5877" t="s">
        <v>34</v>
      </c>
      <c r="C5877" t="s">
        <v>329</v>
      </c>
      <c r="D5877" t="s">
        <v>39</v>
      </c>
      <c r="E5877" t="s">
        <v>41</v>
      </c>
      <c r="F5877" t="s">
        <v>41</v>
      </c>
      <c r="G5877" t="s">
        <v>37</v>
      </c>
      <c r="H5877" t="s">
        <v>43</v>
      </c>
      <c r="I5877" s="187">
        <v>5383.3359562556252</v>
      </c>
      <c r="J5877" s="187">
        <v>1882</v>
      </c>
      <c r="K5877" s="187">
        <v>10898.60833331594</v>
      </c>
      <c r="L5877" s="187">
        <v>8776.09</v>
      </c>
      <c r="M5877" s="187">
        <v>26940.033203125</v>
      </c>
      <c r="N5877" s="187">
        <v>14159.42578125</v>
      </c>
      <c r="O5877" t="s">
        <v>8788</v>
      </c>
    </row>
    <row r="5878" spans="1:15" x14ac:dyDescent="0.45">
      <c r="A5878" s="187">
        <v>2022</v>
      </c>
      <c r="B5878" t="s">
        <v>34</v>
      </c>
      <c r="C5878" t="s">
        <v>329</v>
      </c>
      <c r="D5878" t="s">
        <v>39</v>
      </c>
      <c r="E5878" t="s">
        <v>362</v>
      </c>
      <c r="F5878" t="s">
        <v>362</v>
      </c>
      <c r="G5878" t="s">
        <v>36</v>
      </c>
      <c r="H5878" t="s">
        <v>43</v>
      </c>
      <c r="I5878" s="187">
        <v>1299.968017578125</v>
      </c>
      <c r="J5878" s="187">
        <v>97</v>
      </c>
      <c r="K5878" s="187">
        <v>3316.9208984375</v>
      </c>
      <c r="L5878" s="187">
        <v>3787</v>
      </c>
      <c r="M5878" s="187">
        <v>8500.888671875</v>
      </c>
      <c r="N5878" s="187">
        <v>5086.9677734375</v>
      </c>
      <c r="O5878" t="s">
        <v>8789</v>
      </c>
    </row>
    <row r="5879" spans="1:15" x14ac:dyDescent="0.45">
      <c r="A5879" s="187">
        <v>2022</v>
      </c>
      <c r="B5879" t="s">
        <v>34</v>
      </c>
      <c r="C5879" t="s">
        <v>329</v>
      </c>
      <c r="D5879" t="s">
        <v>39</v>
      </c>
      <c r="E5879" t="s">
        <v>362</v>
      </c>
      <c r="F5879" t="s">
        <v>362</v>
      </c>
      <c r="G5879" t="s">
        <v>37</v>
      </c>
      <c r="H5879" t="s">
        <v>43</v>
      </c>
      <c r="I5879" s="187">
        <v>1299.9680000000001</v>
      </c>
      <c r="J5879" s="187">
        <v>97</v>
      </c>
      <c r="K5879" s="187">
        <v>3316.9209599999999</v>
      </c>
      <c r="L5879" s="187">
        <v>3787</v>
      </c>
      <c r="M5879" s="187">
        <v>8500.888671875</v>
      </c>
      <c r="N5879" s="187">
        <v>5086.9677734375</v>
      </c>
      <c r="O5879" t="s">
        <v>8790</v>
      </c>
    </row>
    <row r="5880" spans="1:15" x14ac:dyDescent="0.45">
      <c r="A5880" s="187">
        <v>2022</v>
      </c>
      <c r="B5880" t="s">
        <v>34</v>
      </c>
      <c r="C5880" t="s">
        <v>329</v>
      </c>
      <c r="D5880" t="s">
        <v>39</v>
      </c>
      <c r="E5880" t="s">
        <v>363</v>
      </c>
      <c r="F5880" t="s">
        <v>363</v>
      </c>
      <c r="G5880" t="s">
        <v>36</v>
      </c>
      <c r="H5880" t="s">
        <v>43</v>
      </c>
      <c r="I5880" s="187">
        <v>3504.112060546875</v>
      </c>
      <c r="J5880" s="187">
        <v>52</v>
      </c>
      <c r="K5880" s="187">
        <v>630.52374267578125</v>
      </c>
      <c r="L5880" s="187">
        <v>2311.760009765625</v>
      </c>
      <c r="M5880" s="187">
        <v>6498.3955078125</v>
      </c>
      <c r="N5880" s="187">
        <v>5815.8720703125</v>
      </c>
      <c r="O5880" t="s">
        <v>8791</v>
      </c>
    </row>
    <row r="5881" spans="1:15" x14ac:dyDescent="0.45">
      <c r="A5881" s="187">
        <v>2022</v>
      </c>
      <c r="B5881" t="s">
        <v>34</v>
      </c>
      <c r="C5881" t="s">
        <v>329</v>
      </c>
      <c r="D5881" t="s">
        <v>39</v>
      </c>
      <c r="E5881" t="s">
        <v>363</v>
      </c>
      <c r="F5881" t="s">
        <v>363</v>
      </c>
      <c r="G5881" t="s">
        <v>37</v>
      </c>
      <c r="H5881" t="s">
        <v>43</v>
      </c>
      <c r="I5881" s="187">
        <v>3504.1120000000001</v>
      </c>
      <c r="J5881" s="187">
        <v>52</v>
      </c>
      <c r="K5881" s="187">
        <v>630.52374999999995</v>
      </c>
      <c r="L5881" s="187">
        <v>2311.7600000000002</v>
      </c>
      <c r="M5881" s="187">
        <v>6498.3955078125</v>
      </c>
      <c r="N5881" s="187">
        <v>5815.8720703125</v>
      </c>
      <c r="O5881" t="s">
        <v>8792</v>
      </c>
    </row>
    <row r="5882" spans="1:15" x14ac:dyDescent="0.45">
      <c r="A5882" s="187">
        <v>2022</v>
      </c>
      <c r="B5882" t="s">
        <v>34</v>
      </c>
      <c r="C5882" t="s">
        <v>329</v>
      </c>
      <c r="D5882" t="s">
        <v>39</v>
      </c>
      <c r="E5882" t="s">
        <v>364</v>
      </c>
      <c r="F5882" t="s">
        <v>364</v>
      </c>
      <c r="G5882" t="s">
        <v>36</v>
      </c>
      <c r="H5882" t="s">
        <v>43</v>
      </c>
      <c r="I5882" s="187">
        <v>2316.14990234375</v>
      </c>
      <c r="J5882" s="187">
        <v>791</v>
      </c>
      <c r="K5882" s="187">
        <v>3755.711669921875</v>
      </c>
      <c r="L5882" s="187">
        <v>2762</v>
      </c>
      <c r="M5882" s="187">
        <v>9624.861328125</v>
      </c>
      <c r="N5882" s="187">
        <v>5078.14990234375</v>
      </c>
      <c r="O5882" t="s">
        <v>8793</v>
      </c>
    </row>
    <row r="5883" spans="1:15" x14ac:dyDescent="0.45">
      <c r="A5883" s="187">
        <v>2022</v>
      </c>
      <c r="B5883" t="s">
        <v>34</v>
      </c>
      <c r="C5883" t="s">
        <v>329</v>
      </c>
      <c r="D5883" t="s">
        <v>39</v>
      </c>
      <c r="E5883" t="s">
        <v>364</v>
      </c>
      <c r="F5883" t="s">
        <v>364</v>
      </c>
      <c r="G5883" t="s">
        <v>37</v>
      </c>
      <c r="H5883" t="s">
        <v>43</v>
      </c>
      <c r="I5883" s="187">
        <v>2316.15</v>
      </c>
      <c r="J5883" s="187">
        <v>791</v>
      </c>
      <c r="K5883" s="187">
        <v>3755.7117464159442</v>
      </c>
      <c r="L5883" s="187">
        <v>2762</v>
      </c>
      <c r="M5883" s="187">
        <v>9624.861328125</v>
      </c>
      <c r="N5883" s="187">
        <v>5078.14990234375</v>
      </c>
      <c r="O5883" t="s">
        <v>8794</v>
      </c>
    </row>
    <row r="5884" spans="1:15" x14ac:dyDescent="0.45">
      <c r="A5884" s="187">
        <v>2022</v>
      </c>
      <c r="B5884" t="s">
        <v>34</v>
      </c>
      <c r="C5884" t="s">
        <v>329</v>
      </c>
      <c r="D5884" t="s">
        <v>39</v>
      </c>
      <c r="E5884" t="s">
        <v>365</v>
      </c>
      <c r="F5884" t="s">
        <v>375</v>
      </c>
      <c r="G5884" t="s">
        <v>36</v>
      </c>
      <c r="H5884" t="s">
        <v>43</v>
      </c>
      <c r="I5884" s="187">
        <v>10187.416015625</v>
      </c>
      <c r="J5884" s="187">
        <v>2042</v>
      </c>
      <c r="K5884" s="187">
        <v>17801.95703125</v>
      </c>
      <c r="L5884" s="187">
        <v>14874.849609375</v>
      </c>
      <c r="M5884" s="187">
        <v>44906.22265625</v>
      </c>
      <c r="N5884" s="187">
        <v>25062.265625</v>
      </c>
      <c r="O5884" t="s">
        <v>8795</v>
      </c>
    </row>
    <row r="5885" spans="1:15" x14ac:dyDescent="0.45">
      <c r="A5885" s="187">
        <v>2022</v>
      </c>
      <c r="B5885" t="s">
        <v>34</v>
      </c>
      <c r="C5885" t="s">
        <v>329</v>
      </c>
      <c r="D5885" t="s">
        <v>39</v>
      </c>
      <c r="E5885" t="s">
        <v>365</v>
      </c>
      <c r="F5885" t="s">
        <v>375</v>
      </c>
      <c r="G5885" t="s">
        <v>37</v>
      </c>
      <c r="H5885" t="s">
        <v>43</v>
      </c>
      <c r="I5885" s="187">
        <v>10187.415956255631</v>
      </c>
      <c r="J5885" s="187">
        <v>2042</v>
      </c>
      <c r="K5885" s="187">
        <v>17801.956583315939</v>
      </c>
      <c r="L5885" s="187">
        <v>14874.85</v>
      </c>
      <c r="M5885" s="187">
        <v>44906.22265625</v>
      </c>
      <c r="N5885" s="187">
        <v>25062.265625</v>
      </c>
      <c r="O5885" t="s">
        <v>8796</v>
      </c>
    </row>
    <row r="5886" spans="1:15" x14ac:dyDescent="0.45">
      <c r="A5886" s="187">
        <v>2022</v>
      </c>
      <c r="B5886" t="s">
        <v>34</v>
      </c>
      <c r="C5886" t="s">
        <v>320</v>
      </c>
      <c r="D5886" t="s">
        <v>336</v>
      </c>
      <c r="E5886" t="s">
        <v>102</v>
      </c>
      <c r="F5886" t="s">
        <v>19</v>
      </c>
      <c r="G5886" t="s">
        <v>36</v>
      </c>
      <c r="H5886" t="s">
        <v>43</v>
      </c>
      <c r="I5886" s="187">
        <v>744.9183349609375</v>
      </c>
      <c r="J5886" s="187">
        <v>0</v>
      </c>
      <c r="K5886" s="187">
        <v>0</v>
      </c>
      <c r="L5886" s="187">
        <v>0</v>
      </c>
      <c r="M5886" s="187">
        <v>744.9183349609375</v>
      </c>
      <c r="N5886" s="187">
        <v>744.9183349609375</v>
      </c>
      <c r="O5886" t="s">
        <v>8797</v>
      </c>
    </row>
    <row r="5887" spans="1:15" x14ac:dyDescent="0.45">
      <c r="A5887" s="187">
        <v>2022</v>
      </c>
      <c r="B5887" t="s">
        <v>34</v>
      </c>
      <c r="C5887" t="s">
        <v>320</v>
      </c>
      <c r="D5887" t="s">
        <v>336</v>
      </c>
      <c r="E5887" t="s">
        <v>102</v>
      </c>
      <c r="F5887" t="s">
        <v>19</v>
      </c>
      <c r="G5887" t="s">
        <v>37</v>
      </c>
      <c r="H5887" t="s">
        <v>43</v>
      </c>
      <c r="I5887" s="187">
        <v>744.9183349609375</v>
      </c>
      <c r="J5887" s="187">
        <v>0</v>
      </c>
      <c r="K5887" s="187">
        <v>0</v>
      </c>
      <c r="L5887" s="187">
        <v>0</v>
      </c>
      <c r="M5887" s="187">
        <v>744.9183349609375</v>
      </c>
      <c r="N5887" s="187">
        <v>744.9183349609375</v>
      </c>
      <c r="O5887" t="s">
        <v>8798</v>
      </c>
    </row>
    <row r="5888" spans="1:15" x14ac:dyDescent="0.45">
      <c r="A5888" s="187">
        <v>2022</v>
      </c>
      <c r="B5888" t="s">
        <v>34</v>
      </c>
      <c r="C5888" t="s">
        <v>320</v>
      </c>
      <c r="D5888" t="s">
        <v>336</v>
      </c>
      <c r="E5888" t="s">
        <v>102</v>
      </c>
      <c r="F5888" t="s">
        <v>450</v>
      </c>
      <c r="G5888" t="s">
        <v>36</v>
      </c>
      <c r="H5888" t="s">
        <v>43</v>
      </c>
      <c r="I5888" s="187">
        <v>4482.9658203125</v>
      </c>
      <c r="J5888" s="187">
        <v>0</v>
      </c>
      <c r="K5888" s="187">
        <v>0</v>
      </c>
      <c r="L5888" s="187">
        <v>0</v>
      </c>
      <c r="M5888" s="187">
        <v>4482.9658203125</v>
      </c>
      <c r="N5888" s="187">
        <v>4482.9658203125</v>
      </c>
      <c r="O5888" t="s">
        <v>8799</v>
      </c>
    </row>
    <row r="5889" spans="1:15" x14ac:dyDescent="0.45">
      <c r="A5889" s="187">
        <v>2022</v>
      </c>
      <c r="B5889" t="s">
        <v>34</v>
      </c>
      <c r="C5889" t="s">
        <v>320</v>
      </c>
      <c r="D5889" t="s">
        <v>336</v>
      </c>
      <c r="E5889" t="s">
        <v>102</v>
      </c>
      <c r="F5889" t="s">
        <v>450</v>
      </c>
      <c r="G5889" t="s">
        <v>37</v>
      </c>
      <c r="H5889" t="s">
        <v>43</v>
      </c>
      <c r="I5889" s="187">
        <v>4482.9658203125</v>
      </c>
      <c r="J5889" s="187">
        <v>0</v>
      </c>
      <c r="K5889" s="187">
        <v>0</v>
      </c>
      <c r="L5889" s="187">
        <v>0</v>
      </c>
      <c r="M5889" s="187">
        <v>4482.9658203125</v>
      </c>
      <c r="N5889" s="187">
        <v>4482.9658203125</v>
      </c>
      <c r="O5889" t="s">
        <v>8800</v>
      </c>
    </row>
    <row r="5890" spans="1:15" x14ac:dyDescent="0.45">
      <c r="A5890" s="187">
        <v>2022</v>
      </c>
      <c r="B5890" t="s">
        <v>34</v>
      </c>
      <c r="C5890" t="s">
        <v>320</v>
      </c>
      <c r="D5890" t="s">
        <v>336</v>
      </c>
      <c r="E5890" t="s">
        <v>102</v>
      </c>
      <c r="F5890" t="s">
        <v>451</v>
      </c>
      <c r="G5890" t="s">
        <v>36</v>
      </c>
      <c r="H5890" t="s">
        <v>43</v>
      </c>
      <c r="I5890" s="187">
        <v>0</v>
      </c>
      <c r="J5890" s="187">
        <v>0</v>
      </c>
      <c r="K5890" s="187">
        <v>0</v>
      </c>
      <c r="L5890" s="187">
        <v>0</v>
      </c>
      <c r="M5890" s="187">
        <v>0</v>
      </c>
      <c r="N5890" s="187">
        <v>0</v>
      </c>
      <c r="O5890" t="s">
        <v>8801</v>
      </c>
    </row>
    <row r="5891" spans="1:15" x14ac:dyDescent="0.45">
      <c r="A5891" s="187">
        <v>2022</v>
      </c>
      <c r="B5891" t="s">
        <v>34</v>
      </c>
      <c r="C5891" t="s">
        <v>320</v>
      </c>
      <c r="D5891" t="s">
        <v>336</v>
      </c>
      <c r="E5891" t="s">
        <v>102</v>
      </c>
      <c r="F5891" t="s">
        <v>451</v>
      </c>
      <c r="G5891" t="s">
        <v>37</v>
      </c>
      <c r="H5891" t="s">
        <v>43</v>
      </c>
      <c r="I5891" s="187">
        <v>0</v>
      </c>
      <c r="J5891" s="187">
        <v>0</v>
      </c>
      <c r="K5891" s="187">
        <v>0</v>
      </c>
      <c r="L5891" s="187">
        <v>0</v>
      </c>
      <c r="M5891" s="187">
        <v>0</v>
      </c>
      <c r="N5891" s="187">
        <v>0</v>
      </c>
      <c r="O5891" t="s">
        <v>8802</v>
      </c>
    </row>
    <row r="5892" spans="1:15" x14ac:dyDescent="0.45">
      <c r="A5892" s="187">
        <v>2022</v>
      </c>
      <c r="B5892" t="s">
        <v>34</v>
      </c>
      <c r="C5892" t="s">
        <v>320</v>
      </c>
      <c r="D5892" t="s">
        <v>336</v>
      </c>
      <c r="E5892" t="s">
        <v>102</v>
      </c>
      <c r="F5892" t="s">
        <v>21</v>
      </c>
      <c r="G5892" t="s">
        <v>36</v>
      </c>
      <c r="H5892" t="s">
        <v>43</v>
      </c>
      <c r="I5892" s="187">
        <v>0</v>
      </c>
      <c r="J5892" s="187">
        <v>256</v>
      </c>
      <c r="K5892" s="187">
        <v>0</v>
      </c>
      <c r="L5892" s="187">
        <v>0</v>
      </c>
      <c r="M5892" s="187">
        <v>256</v>
      </c>
      <c r="N5892" s="187">
        <v>0</v>
      </c>
      <c r="O5892" t="s">
        <v>8803</v>
      </c>
    </row>
    <row r="5893" spans="1:15" x14ac:dyDescent="0.45">
      <c r="A5893" s="187">
        <v>2022</v>
      </c>
      <c r="B5893" t="s">
        <v>34</v>
      </c>
      <c r="C5893" t="s">
        <v>320</v>
      </c>
      <c r="D5893" t="s">
        <v>336</v>
      </c>
      <c r="E5893" t="s">
        <v>102</v>
      </c>
      <c r="F5893" t="s">
        <v>21</v>
      </c>
      <c r="G5893" t="s">
        <v>37</v>
      </c>
      <c r="H5893" t="s">
        <v>43</v>
      </c>
      <c r="I5893" s="187">
        <v>0</v>
      </c>
      <c r="J5893" s="187">
        <v>256</v>
      </c>
      <c r="K5893" s="187">
        <v>0</v>
      </c>
      <c r="L5893" s="187">
        <v>0</v>
      </c>
      <c r="M5893" s="187">
        <v>256</v>
      </c>
      <c r="N5893" s="187">
        <v>0</v>
      </c>
      <c r="O5893" t="s">
        <v>8804</v>
      </c>
    </row>
    <row r="5894" spans="1:15" x14ac:dyDescent="0.45">
      <c r="A5894" s="187">
        <v>2022</v>
      </c>
      <c r="B5894" t="s">
        <v>34</v>
      </c>
      <c r="C5894" t="s">
        <v>320</v>
      </c>
      <c r="D5894" t="s">
        <v>336</v>
      </c>
      <c r="E5894" t="s">
        <v>102</v>
      </c>
      <c r="F5894" t="s">
        <v>14</v>
      </c>
      <c r="G5894" t="s">
        <v>36</v>
      </c>
      <c r="H5894" t="s">
        <v>43</v>
      </c>
      <c r="I5894" s="187">
        <v>13103.80859375</v>
      </c>
      <c r="J5894" s="187">
        <v>0</v>
      </c>
      <c r="K5894" s="187">
        <v>0</v>
      </c>
      <c r="L5894" s="187">
        <v>0</v>
      </c>
      <c r="M5894" s="187">
        <v>13103.80859375</v>
      </c>
      <c r="N5894" s="187">
        <v>13103.80859375</v>
      </c>
      <c r="O5894" t="s">
        <v>8805</v>
      </c>
    </row>
    <row r="5895" spans="1:15" x14ac:dyDescent="0.45">
      <c r="A5895" s="187">
        <v>2022</v>
      </c>
      <c r="B5895" t="s">
        <v>34</v>
      </c>
      <c r="C5895" t="s">
        <v>320</v>
      </c>
      <c r="D5895" t="s">
        <v>336</v>
      </c>
      <c r="E5895" t="s">
        <v>102</v>
      </c>
      <c r="F5895" t="s">
        <v>14</v>
      </c>
      <c r="G5895" t="s">
        <v>37</v>
      </c>
      <c r="H5895" t="s">
        <v>43</v>
      </c>
      <c r="I5895" s="187">
        <v>13103.80859375</v>
      </c>
      <c r="J5895" s="187">
        <v>0</v>
      </c>
      <c r="K5895" s="187">
        <v>0</v>
      </c>
      <c r="L5895" s="187">
        <v>0</v>
      </c>
      <c r="M5895" s="187">
        <v>13103.80859375</v>
      </c>
      <c r="N5895" s="187">
        <v>13103.80859375</v>
      </c>
      <c r="O5895" t="s">
        <v>8806</v>
      </c>
    </row>
    <row r="5896" spans="1:15" x14ac:dyDescent="0.45">
      <c r="A5896" s="187">
        <v>2022</v>
      </c>
      <c r="B5896" t="s">
        <v>34</v>
      </c>
      <c r="C5896" t="s">
        <v>320</v>
      </c>
      <c r="D5896" t="s">
        <v>336</v>
      </c>
      <c r="E5896" t="s">
        <v>102</v>
      </c>
      <c r="F5896" t="s">
        <v>16</v>
      </c>
      <c r="G5896" t="s">
        <v>36</v>
      </c>
      <c r="H5896" t="s">
        <v>43</v>
      </c>
      <c r="I5896" s="187">
        <v>4844.59326171875</v>
      </c>
      <c r="J5896" s="187">
        <v>0</v>
      </c>
      <c r="K5896" s="187">
        <v>0</v>
      </c>
      <c r="L5896" s="187">
        <v>0</v>
      </c>
      <c r="M5896" s="187">
        <v>4844.59326171875</v>
      </c>
      <c r="N5896" s="187">
        <v>4844.59326171875</v>
      </c>
      <c r="O5896" t="s">
        <v>8807</v>
      </c>
    </row>
    <row r="5897" spans="1:15" x14ac:dyDescent="0.45">
      <c r="A5897" s="187">
        <v>2022</v>
      </c>
      <c r="B5897" t="s">
        <v>34</v>
      </c>
      <c r="C5897" t="s">
        <v>320</v>
      </c>
      <c r="D5897" t="s">
        <v>336</v>
      </c>
      <c r="E5897" t="s">
        <v>102</v>
      </c>
      <c r="F5897" t="s">
        <v>16</v>
      </c>
      <c r="G5897" t="s">
        <v>37</v>
      </c>
      <c r="H5897" t="s">
        <v>43</v>
      </c>
      <c r="I5897" s="187">
        <v>4844.59326171875</v>
      </c>
      <c r="J5897" s="187">
        <v>0</v>
      </c>
      <c r="K5897" s="187">
        <v>0</v>
      </c>
      <c r="L5897" s="187">
        <v>0</v>
      </c>
      <c r="M5897" s="187">
        <v>4844.59326171875</v>
      </c>
      <c r="N5897" s="187">
        <v>4844.59326171875</v>
      </c>
      <c r="O5897" t="s">
        <v>8808</v>
      </c>
    </row>
    <row r="5898" spans="1:15" x14ac:dyDescent="0.45">
      <c r="A5898" s="187">
        <v>2022</v>
      </c>
      <c r="B5898" t="s">
        <v>34</v>
      </c>
      <c r="C5898" t="s">
        <v>320</v>
      </c>
      <c r="D5898" t="s">
        <v>336</v>
      </c>
      <c r="E5898" t="s">
        <v>102</v>
      </c>
      <c r="F5898" t="s">
        <v>351</v>
      </c>
      <c r="G5898" t="s">
        <v>36</v>
      </c>
      <c r="H5898" t="s">
        <v>43</v>
      </c>
      <c r="I5898" s="187">
        <v>0</v>
      </c>
      <c r="J5898" s="187">
        <v>0</v>
      </c>
      <c r="K5898" s="187">
        <v>0</v>
      </c>
      <c r="L5898" s="187">
        <v>0</v>
      </c>
      <c r="M5898" s="187">
        <v>0</v>
      </c>
      <c r="N5898" s="187">
        <v>0</v>
      </c>
      <c r="O5898" t="s">
        <v>8809</v>
      </c>
    </row>
    <row r="5899" spans="1:15" x14ac:dyDescent="0.45">
      <c r="A5899" s="187">
        <v>2022</v>
      </c>
      <c r="B5899" t="s">
        <v>34</v>
      </c>
      <c r="C5899" t="s">
        <v>320</v>
      </c>
      <c r="D5899" t="s">
        <v>336</v>
      </c>
      <c r="E5899" t="s">
        <v>102</v>
      </c>
      <c r="F5899" t="s">
        <v>351</v>
      </c>
      <c r="G5899" t="s">
        <v>37</v>
      </c>
      <c r="H5899" t="s">
        <v>43</v>
      </c>
      <c r="I5899" s="187">
        <v>0</v>
      </c>
      <c r="J5899" s="187">
        <v>0</v>
      </c>
      <c r="K5899" s="187">
        <v>0</v>
      </c>
      <c r="L5899" s="187">
        <v>0</v>
      </c>
      <c r="M5899" s="187">
        <v>0</v>
      </c>
      <c r="N5899" s="187">
        <v>0</v>
      </c>
      <c r="O5899" t="s">
        <v>8810</v>
      </c>
    </row>
    <row r="5900" spans="1:15" x14ac:dyDescent="0.45">
      <c r="A5900" s="187">
        <v>2022</v>
      </c>
      <c r="B5900" t="s">
        <v>34</v>
      </c>
      <c r="C5900" t="s">
        <v>320</v>
      </c>
      <c r="D5900" t="s">
        <v>336</v>
      </c>
      <c r="E5900" t="s">
        <v>102</v>
      </c>
      <c r="F5900" t="s">
        <v>382</v>
      </c>
      <c r="G5900" t="s">
        <v>36</v>
      </c>
      <c r="H5900" t="s">
        <v>43</v>
      </c>
      <c r="I5900" s="187">
        <v>13103.80859375</v>
      </c>
      <c r="J5900" s="187">
        <v>0</v>
      </c>
      <c r="K5900" s="187">
        <v>0</v>
      </c>
      <c r="L5900" s="187">
        <v>0</v>
      </c>
      <c r="M5900" s="187">
        <v>13103.80859375</v>
      </c>
      <c r="N5900" s="187">
        <v>13103.80859375</v>
      </c>
      <c r="O5900" t="s">
        <v>8811</v>
      </c>
    </row>
    <row r="5901" spans="1:15" x14ac:dyDescent="0.45">
      <c r="A5901" s="187">
        <v>2022</v>
      </c>
      <c r="B5901" t="s">
        <v>34</v>
      </c>
      <c r="C5901" t="s">
        <v>320</v>
      </c>
      <c r="D5901" t="s">
        <v>336</v>
      </c>
      <c r="E5901" t="s">
        <v>102</v>
      </c>
      <c r="F5901" t="s">
        <v>382</v>
      </c>
      <c r="G5901" t="s">
        <v>37</v>
      </c>
      <c r="H5901" t="s">
        <v>43</v>
      </c>
      <c r="I5901" s="187">
        <v>13103.80859375</v>
      </c>
      <c r="J5901" s="187">
        <v>0</v>
      </c>
      <c r="K5901" s="187">
        <v>0</v>
      </c>
      <c r="L5901" s="187">
        <v>0</v>
      </c>
      <c r="M5901" s="187">
        <v>13103.80859375</v>
      </c>
      <c r="N5901" s="187">
        <v>13103.80859375</v>
      </c>
      <c r="O5901" t="s">
        <v>8812</v>
      </c>
    </row>
    <row r="5902" spans="1:15" x14ac:dyDescent="0.45">
      <c r="A5902" s="187">
        <v>2022</v>
      </c>
      <c r="B5902" t="s">
        <v>34</v>
      </c>
      <c r="C5902" t="s">
        <v>320</v>
      </c>
      <c r="D5902" t="s">
        <v>336</v>
      </c>
      <c r="E5902" t="s">
        <v>102</v>
      </c>
      <c r="F5902" t="s">
        <v>384</v>
      </c>
      <c r="G5902" t="s">
        <v>36</v>
      </c>
      <c r="H5902" t="s">
        <v>43</v>
      </c>
      <c r="I5902" s="187">
        <v>0</v>
      </c>
      <c r="J5902" s="187">
        <v>0</v>
      </c>
      <c r="K5902" s="187">
        <v>0</v>
      </c>
      <c r="L5902" s="187">
        <v>0</v>
      </c>
      <c r="M5902" s="187">
        <v>0</v>
      </c>
      <c r="N5902" s="187">
        <v>0</v>
      </c>
      <c r="O5902" t="s">
        <v>8813</v>
      </c>
    </row>
    <row r="5903" spans="1:15" x14ac:dyDescent="0.45">
      <c r="A5903" s="187">
        <v>2022</v>
      </c>
      <c r="B5903" t="s">
        <v>34</v>
      </c>
      <c r="C5903" t="s">
        <v>320</v>
      </c>
      <c r="D5903" t="s">
        <v>336</v>
      </c>
      <c r="E5903" t="s">
        <v>102</v>
      </c>
      <c r="F5903" t="s">
        <v>384</v>
      </c>
      <c r="G5903" t="s">
        <v>37</v>
      </c>
      <c r="H5903" t="s">
        <v>43</v>
      </c>
      <c r="I5903" s="187">
        <v>0</v>
      </c>
      <c r="J5903" s="187">
        <v>0</v>
      </c>
      <c r="K5903" s="187">
        <v>0</v>
      </c>
      <c r="L5903" s="187">
        <v>0</v>
      </c>
      <c r="M5903" s="187">
        <v>0</v>
      </c>
      <c r="N5903" s="187">
        <v>0</v>
      </c>
      <c r="O5903" t="s">
        <v>8814</v>
      </c>
    </row>
    <row r="5904" spans="1:15" x14ac:dyDescent="0.45">
      <c r="A5904" s="187">
        <v>2022</v>
      </c>
      <c r="B5904" t="s">
        <v>34</v>
      </c>
      <c r="C5904" t="s">
        <v>320</v>
      </c>
      <c r="D5904" t="s">
        <v>336</v>
      </c>
      <c r="E5904" t="s">
        <v>102</v>
      </c>
      <c r="F5904" t="s">
        <v>374</v>
      </c>
      <c r="G5904" t="s">
        <v>36</v>
      </c>
      <c r="H5904" t="s">
        <v>43</v>
      </c>
      <c r="I5904" s="187">
        <v>0</v>
      </c>
      <c r="J5904" s="187">
        <v>0</v>
      </c>
      <c r="K5904" s="187">
        <v>0</v>
      </c>
      <c r="L5904" s="187">
        <v>0</v>
      </c>
      <c r="M5904" s="187">
        <v>0</v>
      </c>
      <c r="N5904" s="187">
        <v>0</v>
      </c>
      <c r="O5904" t="s">
        <v>8815</v>
      </c>
    </row>
    <row r="5905" spans="1:15" x14ac:dyDescent="0.45">
      <c r="A5905" s="187">
        <v>2022</v>
      </c>
      <c r="B5905" t="s">
        <v>34</v>
      </c>
      <c r="C5905" t="s">
        <v>320</v>
      </c>
      <c r="D5905" t="s">
        <v>336</v>
      </c>
      <c r="E5905" t="s">
        <v>102</v>
      </c>
      <c r="F5905" t="s">
        <v>374</v>
      </c>
      <c r="G5905" t="s">
        <v>37</v>
      </c>
      <c r="H5905" t="s">
        <v>43</v>
      </c>
      <c r="I5905" s="187">
        <v>0</v>
      </c>
      <c r="J5905" s="187">
        <v>0</v>
      </c>
      <c r="K5905" s="187">
        <v>0</v>
      </c>
      <c r="L5905" s="187">
        <v>0</v>
      </c>
      <c r="M5905" s="187">
        <v>0</v>
      </c>
      <c r="N5905" s="187">
        <v>0</v>
      </c>
      <c r="O5905" t="s">
        <v>8816</v>
      </c>
    </row>
    <row r="5906" spans="1:15" x14ac:dyDescent="0.45">
      <c r="A5906" s="187">
        <v>2022</v>
      </c>
      <c r="B5906" t="s">
        <v>34</v>
      </c>
      <c r="C5906" t="s">
        <v>320</v>
      </c>
      <c r="D5906" t="s">
        <v>336</v>
      </c>
      <c r="E5906" t="s">
        <v>102</v>
      </c>
      <c r="F5906" t="s">
        <v>40</v>
      </c>
      <c r="G5906" t="s">
        <v>36</v>
      </c>
      <c r="H5906" t="s">
        <v>43</v>
      </c>
      <c r="I5906" s="187">
        <v>4804.080078125</v>
      </c>
      <c r="J5906" s="187">
        <v>0</v>
      </c>
      <c r="K5906" s="187">
        <v>0</v>
      </c>
      <c r="L5906" s="187">
        <v>0</v>
      </c>
      <c r="M5906" s="187">
        <v>4804.080078125</v>
      </c>
      <c r="N5906" s="187">
        <v>4804.080078125</v>
      </c>
      <c r="O5906" t="s">
        <v>8817</v>
      </c>
    </row>
    <row r="5907" spans="1:15" x14ac:dyDescent="0.45">
      <c r="A5907" s="187">
        <v>2022</v>
      </c>
      <c r="B5907" t="s">
        <v>34</v>
      </c>
      <c r="C5907" t="s">
        <v>320</v>
      </c>
      <c r="D5907" t="s">
        <v>336</v>
      </c>
      <c r="E5907" t="s">
        <v>102</v>
      </c>
      <c r="F5907" t="s">
        <v>40</v>
      </c>
      <c r="G5907" t="s">
        <v>37</v>
      </c>
      <c r="H5907" t="s">
        <v>43</v>
      </c>
      <c r="I5907" s="187">
        <v>4804.080078125</v>
      </c>
      <c r="J5907" s="187">
        <v>0</v>
      </c>
      <c r="K5907" s="187">
        <v>0</v>
      </c>
      <c r="L5907" s="187">
        <v>0</v>
      </c>
      <c r="M5907" s="187">
        <v>4804.080078125</v>
      </c>
      <c r="N5907" s="187">
        <v>4804.080078125</v>
      </c>
      <c r="O5907" t="s">
        <v>8818</v>
      </c>
    </row>
    <row r="5908" spans="1:15" x14ac:dyDescent="0.45">
      <c r="A5908" s="187">
        <v>2022</v>
      </c>
      <c r="B5908" t="s">
        <v>34</v>
      </c>
      <c r="C5908" t="s">
        <v>320</v>
      </c>
      <c r="D5908" t="s">
        <v>336</v>
      </c>
      <c r="E5908" t="s">
        <v>102</v>
      </c>
      <c r="F5908" t="s">
        <v>38</v>
      </c>
      <c r="G5908" t="s">
        <v>36</v>
      </c>
      <c r="H5908" t="s">
        <v>43</v>
      </c>
      <c r="I5908" s="187">
        <v>1.2971600294113159</v>
      </c>
      <c r="J5908" s="187">
        <v>0</v>
      </c>
      <c r="K5908" s="187">
        <v>0</v>
      </c>
      <c r="L5908" s="187">
        <v>0</v>
      </c>
      <c r="M5908" s="187">
        <v>1.2971600294113159</v>
      </c>
      <c r="N5908" s="187">
        <v>1.2971600294113159</v>
      </c>
      <c r="O5908" t="s">
        <v>8819</v>
      </c>
    </row>
    <row r="5909" spans="1:15" x14ac:dyDescent="0.45">
      <c r="A5909" s="187">
        <v>2022</v>
      </c>
      <c r="B5909" t="s">
        <v>34</v>
      </c>
      <c r="C5909" t="s">
        <v>320</v>
      </c>
      <c r="D5909" t="s">
        <v>336</v>
      </c>
      <c r="E5909" t="s">
        <v>102</v>
      </c>
      <c r="F5909" t="s">
        <v>38</v>
      </c>
      <c r="G5909" t="s">
        <v>37</v>
      </c>
      <c r="H5909" t="s">
        <v>43</v>
      </c>
      <c r="I5909" s="187">
        <v>1.2971600294113159</v>
      </c>
      <c r="J5909" s="187">
        <v>0</v>
      </c>
      <c r="K5909" s="187">
        <v>0</v>
      </c>
      <c r="L5909" s="187">
        <v>0</v>
      </c>
      <c r="M5909" s="187">
        <v>1.2971600294113159</v>
      </c>
      <c r="N5909" s="187">
        <v>1.2971600294113159</v>
      </c>
      <c r="O5909" t="s">
        <v>8820</v>
      </c>
    </row>
    <row r="5910" spans="1:15" x14ac:dyDescent="0.45">
      <c r="A5910" s="187">
        <v>2022</v>
      </c>
      <c r="B5910" t="s">
        <v>34</v>
      </c>
      <c r="C5910" t="s">
        <v>320</v>
      </c>
      <c r="D5910" t="s">
        <v>336</v>
      </c>
      <c r="E5910" t="s">
        <v>102</v>
      </c>
      <c r="F5910" t="s">
        <v>375</v>
      </c>
      <c r="G5910" t="s">
        <v>36</v>
      </c>
      <c r="H5910" t="s">
        <v>43</v>
      </c>
      <c r="I5910" s="187">
        <v>7176.6171875</v>
      </c>
      <c r="J5910" s="187">
        <v>256</v>
      </c>
      <c r="K5910" s="187">
        <v>0</v>
      </c>
      <c r="L5910" s="187">
        <v>542</v>
      </c>
      <c r="M5910" s="187">
        <v>7974.6171875</v>
      </c>
      <c r="N5910" s="187">
        <v>7718.6171875</v>
      </c>
      <c r="O5910" t="s">
        <v>8821</v>
      </c>
    </row>
    <row r="5911" spans="1:15" x14ac:dyDescent="0.45">
      <c r="A5911" s="187">
        <v>2022</v>
      </c>
      <c r="B5911" t="s">
        <v>34</v>
      </c>
      <c r="C5911" t="s">
        <v>320</v>
      </c>
      <c r="D5911" t="s">
        <v>336</v>
      </c>
      <c r="E5911" t="s">
        <v>102</v>
      </c>
      <c r="F5911" t="s">
        <v>375</v>
      </c>
      <c r="G5911" t="s">
        <v>37</v>
      </c>
      <c r="H5911" t="s">
        <v>43</v>
      </c>
      <c r="I5911" s="187">
        <v>7176.6171875</v>
      </c>
      <c r="J5911" s="187">
        <v>256</v>
      </c>
      <c r="K5911" s="187">
        <v>0</v>
      </c>
      <c r="L5911" s="187">
        <v>542</v>
      </c>
      <c r="M5911" s="187">
        <v>7974.6171875</v>
      </c>
      <c r="N5911" s="187">
        <v>7718.6171875</v>
      </c>
      <c r="O5911" t="s">
        <v>8822</v>
      </c>
    </row>
    <row r="5912" spans="1:15" x14ac:dyDescent="0.45">
      <c r="A5912" s="187">
        <v>2022</v>
      </c>
      <c r="B5912" t="s">
        <v>34</v>
      </c>
      <c r="C5912" t="s">
        <v>320</v>
      </c>
      <c r="D5912" t="s">
        <v>336</v>
      </c>
      <c r="E5912" t="s">
        <v>102</v>
      </c>
      <c r="F5912" t="s">
        <v>376</v>
      </c>
      <c r="G5912" t="s">
        <v>36</v>
      </c>
      <c r="H5912" t="s">
        <v>43</v>
      </c>
      <c r="I5912" s="187">
        <v>0</v>
      </c>
      <c r="J5912" s="187">
        <v>0</v>
      </c>
      <c r="K5912" s="187">
        <v>0</v>
      </c>
      <c r="L5912" s="187">
        <v>0</v>
      </c>
      <c r="M5912" s="187">
        <v>0</v>
      </c>
      <c r="N5912" s="187">
        <v>0</v>
      </c>
      <c r="O5912" t="s">
        <v>8823</v>
      </c>
    </row>
    <row r="5913" spans="1:15" x14ac:dyDescent="0.45">
      <c r="A5913" s="187">
        <v>2022</v>
      </c>
      <c r="B5913" t="s">
        <v>34</v>
      </c>
      <c r="C5913" t="s">
        <v>320</v>
      </c>
      <c r="D5913" t="s">
        <v>336</v>
      </c>
      <c r="E5913" t="s">
        <v>102</v>
      </c>
      <c r="F5913" t="s">
        <v>376</v>
      </c>
      <c r="G5913" t="s">
        <v>37</v>
      </c>
      <c r="H5913" t="s">
        <v>43</v>
      </c>
      <c r="I5913" s="187">
        <v>0</v>
      </c>
      <c r="J5913" s="187">
        <v>0</v>
      </c>
      <c r="K5913" s="187">
        <v>0</v>
      </c>
      <c r="L5913" s="187">
        <v>0</v>
      </c>
      <c r="M5913" s="187">
        <v>0</v>
      </c>
      <c r="N5913" s="187">
        <v>0</v>
      </c>
      <c r="O5913" t="s">
        <v>8824</v>
      </c>
    </row>
    <row r="5914" spans="1:15" x14ac:dyDescent="0.45">
      <c r="A5914" s="187">
        <v>2022</v>
      </c>
      <c r="B5914" t="s">
        <v>34</v>
      </c>
      <c r="C5914" t="s">
        <v>320</v>
      </c>
      <c r="D5914" t="s">
        <v>336</v>
      </c>
      <c r="E5914" t="s">
        <v>102</v>
      </c>
      <c r="F5914" t="s">
        <v>385</v>
      </c>
      <c r="G5914" t="s">
        <v>36</v>
      </c>
      <c r="H5914" t="s">
        <v>43</v>
      </c>
      <c r="I5914" s="187">
        <v>293.31259155273438</v>
      </c>
      <c r="J5914" s="187">
        <v>0</v>
      </c>
      <c r="K5914" s="187">
        <v>0</v>
      </c>
      <c r="L5914" s="187">
        <v>0</v>
      </c>
      <c r="M5914" s="187">
        <v>293.31259155273438</v>
      </c>
      <c r="N5914" s="187">
        <v>293.31259155273438</v>
      </c>
      <c r="O5914" t="s">
        <v>8825</v>
      </c>
    </row>
    <row r="5915" spans="1:15" x14ac:dyDescent="0.45">
      <c r="A5915" s="187">
        <v>2022</v>
      </c>
      <c r="B5915" t="s">
        <v>34</v>
      </c>
      <c r="C5915" t="s">
        <v>320</v>
      </c>
      <c r="D5915" t="s">
        <v>336</v>
      </c>
      <c r="E5915" t="s">
        <v>102</v>
      </c>
      <c r="F5915" t="s">
        <v>385</v>
      </c>
      <c r="G5915" t="s">
        <v>37</v>
      </c>
      <c r="H5915" t="s">
        <v>43</v>
      </c>
      <c r="I5915" s="187">
        <v>293.31259155273438</v>
      </c>
      <c r="J5915" s="187">
        <v>0</v>
      </c>
      <c r="K5915" s="187">
        <v>0</v>
      </c>
      <c r="L5915" s="187">
        <v>0</v>
      </c>
      <c r="M5915" s="187">
        <v>293.31259155273438</v>
      </c>
      <c r="N5915" s="187">
        <v>293.31259155273438</v>
      </c>
      <c r="O5915" t="s">
        <v>8826</v>
      </c>
    </row>
    <row r="5916" spans="1:15" x14ac:dyDescent="0.45">
      <c r="A5916" s="187">
        <v>2022</v>
      </c>
      <c r="B5916" t="s">
        <v>34</v>
      </c>
      <c r="C5916" t="s">
        <v>320</v>
      </c>
      <c r="D5916" t="s">
        <v>336</v>
      </c>
      <c r="E5916" t="s">
        <v>102</v>
      </c>
      <c r="F5916" t="s">
        <v>386</v>
      </c>
      <c r="G5916" t="s">
        <v>36</v>
      </c>
      <c r="H5916" t="s">
        <v>43</v>
      </c>
      <c r="I5916" s="187">
        <v>21.842300415039063</v>
      </c>
      <c r="J5916" s="187">
        <v>0</v>
      </c>
      <c r="K5916" s="187">
        <v>0</v>
      </c>
      <c r="L5916" s="187">
        <v>0</v>
      </c>
      <c r="M5916" s="187">
        <v>21.842300415039063</v>
      </c>
      <c r="N5916" s="187">
        <v>21.842300415039063</v>
      </c>
      <c r="O5916" t="s">
        <v>8827</v>
      </c>
    </row>
    <row r="5917" spans="1:15" x14ac:dyDescent="0.45">
      <c r="A5917" s="187">
        <v>2022</v>
      </c>
      <c r="B5917" t="s">
        <v>34</v>
      </c>
      <c r="C5917" t="s">
        <v>320</v>
      </c>
      <c r="D5917" t="s">
        <v>336</v>
      </c>
      <c r="E5917" t="s">
        <v>102</v>
      </c>
      <c r="F5917" t="s">
        <v>386</v>
      </c>
      <c r="G5917" t="s">
        <v>37</v>
      </c>
      <c r="H5917" t="s">
        <v>43</v>
      </c>
      <c r="I5917" s="187">
        <v>21.842300415039063</v>
      </c>
      <c r="J5917" s="187">
        <v>0</v>
      </c>
      <c r="K5917" s="187">
        <v>0</v>
      </c>
      <c r="L5917" s="187">
        <v>0</v>
      </c>
      <c r="M5917" s="187">
        <v>21.842300415039063</v>
      </c>
      <c r="N5917" s="187">
        <v>21.842300415039063</v>
      </c>
      <c r="O5917" t="s">
        <v>8828</v>
      </c>
    </row>
    <row r="5918" spans="1:15" x14ac:dyDescent="0.45">
      <c r="A5918" s="187">
        <v>2022</v>
      </c>
      <c r="B5918" t="s">
        <v>34</v>
      </c>
      <c r="C5918" t="s">
        <v>320</v>
      </c>
      <c r="D5918" t="s">
        <v>336</v>
      </c>
      <c r="E5918" t="s">
        <v>102</v>
      </c>
      <c r="F5918" t="s">
        <v>362</v>
      </c>
      <c r="G5918" t="s">
        <v>36</v>
      </c>
      <c r="H5918" t="s">
        <v>43</v>
      </c>
      <c r="I5918" s="187">
        <v>1299.968017578125</v>
      </c>
      <c r="J5918" s="187">
        <v>0</v>
      </c>
      <c r="K5918" s="187">
        <v>0</v>
      </c>
      <c r="L5918" s="187">
        <v>0</v>
      </c>
      <c r="M5918" s="187">
        <v>1299.968017578125</v>
      </c>
      <c r="N5918" s="187">
        <v>1299.968017578125</v>
      </c>
      <c r="O5918" t="s">
        <v>8829</v>
      </c>
    </row>
    <row r="5919" spans="1:15" x14ac:dyDescent="0.45">
      <c r="A5919" s="187">
        <v>2022</v>
      </c>
      <c r="B5919" t="s">
        <v>34</v>
      </c>
      <c r="C5919" t="s">
        <v>320</v>
      </c>
      <c r="D5919" t="s">
        <v>336</v>
      </c>
      <c r="E5919" t="s">
        <v>102</v>
      </c>
      <c r="F5919" t="s">
        <v>362</v>
      </c>
      <c r="G5919" t="s">
        <v>37</v>
      </c>
      <c r="H5919" t="s">
        <v>43</v>
      </c>
      <c r="I5919" s="187">
        <v>1299.968017578125</v>
      </c>
      <c r="J5919" s="187">
        <v>0</v>
      </c>
      <c r="K5919" s="187">
        <v>0</v>
      </c>
      <c r="L5919" s="187">
        <v>0</v>
      </c>
      <c r="M5919" s="187">
        <v>1299.968017578125</v>
      </c>
      <c r="N5919" s="187">
        <v>1299.968017578125</v>
      </c>
      <c r="O5919" t="s">
        <v>8830</v>
      </c>
    </row>
    <row r="5920" spans="1:15" x14ac:dyDescent="0.45">
      <c r="A5920" s="187">
        <v>2022</v>
      </c>
      <c r="B5920" t="s">
        <v>34</v>
      </c>
      <c r="C5920" t="s">
        <v>320</v>
      </c>
      <c r="D5920" t="s">
        <v>336</v>
      </c>
      <c r="E5920" t="s">
        <v>102</v>
      </c>
      <c r="F5920" t="s">
        <v>363</v>
      </c>
      <c r="G5920" t="s">
        <v>36</v>
      </c>
      <c r="H5920" t="s">
        <v>43</v>
      </c>
      <c r="I5920" s="187">
        <v>3504.112060546875</v>
      </c>
      <c r="J5920" s="187">
        <v>0</v>
      </c>
      <c r="K5920" s="187">
        <v>0</v>
      </c>
      <c r="L5920" s="187">
        <v>0</v>
      </c>
      <c r="M5920" s="187">
        <v>3504.112060546875</v>
      </c>
      <c r="N5920" s="187">
        <v>3504.112060546875</v>
      </c>
      <c r="O5920" t="s">
        <v>8831</v>
      </c>
    </row>
    <row r="5921" spans="1:15" x14ac:dyDescent="0.45">
      <c r="A5921" s="187">
        <v>2022</v>
      </c>
      <c r="B5921" t="s">
        <v>34</v>
      </c>
      <c r="C5921" t="s">
        <v>320</v>
      </c>
      <c r="D5921" t="s">
        <v>336</v>
      </c>
      <c r="E5921" t="s">
        <v>102</v>
      </c>
      <c r="F5921" t="s">
        <v>363</v>
      </c>
      <c r="G5921" t="s">
        <v>37</v>
      </c>
      <c r="H5921" t="s">
        <v>43</v>
      </c>
      <c r="I5921" s="187">
        <v>3504.112060546875</v>
      </c>
      <c r="J5921" s="187">
        <v>0</v>
      </c>
      <c r="K5921" s="187">
        <v>0</v>
      </c>
      <c r="L5921" s="187">
        <v>0</v>
      </c>
      <c r="M5921" s="187">
        <v>3504.112060546875</v>
      </c>
      <c r="N5921" s="187">
        <v>3504.112060546875</v>
      </c>
      <c r="O5921" t="s">
        <v>8832</v>
      </c>
    </row>
    <row r="5922" spans="1:15" x14ac:dyDescent="0.45">
      <c r="A5922" s="187">
        <v>2022</v>
      </c>
      <c r="B5922" t="s">
        <v>34</v>
      </c>
      <c r="C5922" t="s">
        <v>320</v>
      </c>
      <c r="D5922" t="s">
        <v>336</v>
      </c>
      <c r="E5922" t="s">
        <v>102</v>
      </c>
      <c r="F5922" t="s">
        <v>17</v>
      </c>
      <c r="G5922" t="s">
        <v>36</v>
      </c>
      <c r="H5922" t="s">
        <v>43</v>
      </c>
      <c r="I5922" s="187">
        <v>2714.879150390625</v>
      </c>
      <c r="J5922" s="187">
        <v>0</v>
      </c>
      <c r="K5922" s="187">
        <v>0</v>
      </c>
      <c r="L5922" s="187">
        <v>0</v>
      </c>
      <c r="M5922" s="187">
        <v>2714.879150390625</v>
      </c>
      <c r="N5922" s="187">
        <v>2714.879150390625</v>
      </c>
      <c r="O5922" t="s">
        <v>8833</v>
      </c>
    </row>
    <row r="5923" spans="1:15" x14ac:dyDescent="0.45">
      <c r="A5923" s="187">
        <v>2022</v>
      </c>
      <c r="B5923" t="s">
        <v>34</v>
      </c>
      <c r="C5923" t="s">
        <v>320</v>
      </c>
      <c r="D5923" t="s">
        <v>336</v>
      </c>
      <c r="E5923" t="s">
        <v>102</v>
      </c>
      <c r="F5923" t="s">
        <v>17</v>
      </c>
      <c r="G5923" t="s">
        <v>37</v>
      </c>
      <c r="H5923" t="s">
        <v>43</v>
      </c>
      <c r="I5923" s="187">
        <v>2714.879150390625</v>
      </c>
      <c r="J5923" s="187">
        <v>0</v>
      </c>
      <c r="K5923" s="187">
        <v>0</v>
      </c>
      <c r="L5923" s="187">
        <v>0</v>
      </c>
      <c r="M5923" s="187">
        <v>2714.879150390625</v>
      </c>
      <c r="N5923" s="187">
        <v>2714.879150390625</v>
      </c>
      <c r="O5923" t="s">
        <v>8834</v>
      </c>
    </row>
    <row r="5924" spans="1:15" x14ac:dyDescent="0.45">
      <c r="A5924" s="187">
        <v>2022</v>
      </c>
      <c r="B5924" t="s">
        <v>34</v>
      </c>
      <c r="C5924" t="s">
        <v>320</v>
      </c>
      <c r="D5924" t="s">
        <v>336</v>
      </c>
      <c r="E5924" t="s">
        <v>102</v>
      </c>
      <c r="F5924" t="s">
        <v>364</v>
      </c>
      <c r="G5924" t="s">
        <v>36</v>
      </c>
      <c r="H5924" t="s">
        <v>43</v>
      </c>
      <c r="I5924" s="187">
        <v>2372.536865234375</v>
      </c>
      <c r="J5924" s="187">
        <v>0</v>
      </c>
      <c r="K5924" s="187">
        <v>0</v>
      </c>
      <c r="L5924" s="187">
        <v>542</v>
      </c>
      <c r="M5924" s="187">
        <v>2914.536865234375</v>
      </c>
      <c r="N5924" s="187">
        <v>2914.536865234375</v>
      </c>
      <c r="O5924" t="s">
        <v>8835</v>
      </c>
    </row>
    <row r="5925" spans="1:15" x14ac:dyDescent="0.45">
      <c r="A5925" s="187">
        <v>2022</v>
      </c>
      <c r="B5925" t="s">
        <v>34</v>
      </c>
      <c r="C5925" t="s">
        <v>320</v>
      </c>
      <c r="D5925" t="s">
        <v>336</v>
      </c>
      <c r="E5925" t="s">
        <v>102</v>
      </c>
      <c r="F5925" t="s">
        <v>364</v>
      </c>
      <c r="G5925" t="s">
        <v>37</v>
      </c>
      <c r="H5925" t="s">
        <v>43</v>
      </c>
      <c r="I5925" s="187">
        <v>2372.536865234375</v>
      </c>
      <c r="J5925" s="187">
        <v>0</v>
      </c>
      <c r="K5925" s="187">
        <v>0</v>
      </c>
      <c r="L5925" s="187">
        <v>542</v>
      </c>
      <c r="M5925" s="187">
        <v>2914.536865234375</v>
      </c>
      <c r="N5925" s="187">
        <v>2914.536865234375</v>
      </c>
      <c r="O5925" t="s">
        <v>8836</v>
      </c>
    </row>
    <row r="5926" spans="1:15" x14ac:dyDescent="0.45">
      <c r="A5926" s="187">
        <v>2022</v>
      </c>
      <c r="B5926" t="s">
        <v>34</v>
      </c>
      <c r="C5926" t="s">
        <v>320</v>
      </c>
      <c r="D5926" t="s">
        <v>336</v>
      </c>
      <c r="E5926" t="s">
        <v>102</v>
      </c>
      <c r="F5926" t="s">
        <v>452</v>
      </c>
      <c r="G5926" t="s">
        <v>36</v>
      </c>
      <c r="H5926" t="s">
        <v>43</v>
      </c>
      <c r="I5926" s="187">
        <v>20280.42578125</v>
      </c>
      <c r="J5926" s="187">
        <v>256</v>
      </c>
      <c r="K5926" s="187">
        <v>0</v>
      </c>
      <c r="L5926" s="187">
        <v>542</v>
      </c>
      <c r="M5926" s="187">
        <v>21078.42578125</v>
      </c>
      <c r="N5926" s="187">
        <v>20822.42578125</v>
      </c>
      <c r="O5926" t="s">
        <v>8837</v>
      </c>
    </row>
    <row r="5927" spans="1:15" x14ac:dyDescent="0.45">
      <c r="A5927" s="187">
        <v>2022</v>
      </c>
      <c r="B5927" t="s">
        <v>34</v>
      </c>
      <c r="C5927" t="s">
        <v>320</v>
      </c>
      <c r="D5927" t="s">
        <v>336</v>
      </c>
      <c r="E5927" t="s">
        <v>102</v>
      </c>
      <c r="F5927" t="s">
        <v>452</v>
      </c>
      <c r="G5927" t="s">
        <v>37</v>
      </c>
      <c r="H5927" t="s">
        <v>43</v>
      </c>
      <c r="I5927" s="187">
        <v>20280.42578125</v>
      </c>
      <c r="J5927" s="187">
        <v>256</v>
      </c>
      <c r="K5927" s="187">
        <v>0</v>
      </c>
      <c r="L5927" s="187">
        <v>542</v>
      </c>
      <c r="M5927" s="187">
        <v>21078.42578125</v>
      </c>
      <c r="N5927" s="187">
        <v>20822.42578125</v>
      </c>
      <c r="O5927" t="s">
        <v>8838</v>
      </c>
    </row>
    <row r="5928" spans="1:15" x14ac:dyDescent="0.45">
      <c r="A5928" s="187">
        <v>2022</v>
      </c>
      <c r="B5928" t="s">
        <v>34</v>
      </c>
      <c r="C5928" t="s">
        <v>320</v>
      </c>
      <c r="D5928" t="s">
        <v>336</v>
      </c>
      <c r="E5928" t="s">
        <v>102</v>
      </c>
      <c r="F5928" t="s">
        <v>347</v>
      </c>
      <c r="G5928" t="s">
        <v>36</v>
      </c>
      <c r="H5928" t="s">
        <v>43</v>
      </c>
      <c r="I5928" s="187">
        <v>2135.181884765625</v>
      </c>
      <c r="J5928" s="187">
        <v>0</v>
      </c>
      <c r="K5928" s="187">
        <v>1237.650634765625</v>
      </c>
      <c r="L5928" s="187">
        <v>2290</v>
      </c>
      <c r="M5928" s="187">
        <v>5662.83251953125</v>
      </c>
      <c r="N5928" s="187">
        <v>4425.181640625</v>
      </c>
      <c r="O5928" t="s">
        <v>8839</v>
      </c>
    </row>
    <row r="5929" spans="1:15" x14ac:dyDescent="0.45">
      <c r="A5929" s="187">
        <v>2022</v>
      </c>
      <c r="B5929" t="s">
        <v>34</v>
      </c>
      <c r="C5929" t="s">
        <v>320</v>
      </c>
      <c r="D5929" t="s">
        <v>336</v>
      </c>
      <c r="E5929" t="s">
        <v>102</v>
      </c>
      <c r="F5929" t="s">
        <v>347</v>
      </c>
      <c r="G5929" t="s">
        <v>37</v>
      </c>
      <c r="H5929" t="s">
        <v>43</v>
      </c>
      <c r="I5929" s="187">
        <v>2135.181884765625</v>
      </c>
      <c r="J5929" s="187">
        <v>0</v>
      </c>
      <c r="K5929" s="187">
        <v>1237.650634765625</v>
      </c>
      <c r="L5929" s="187">
        <v>2290</v>
      </c>
      <c r="M5929" s="187">
        <v>5662.83251953125</v>
      </c>
      <c r="N5929" s="187">
        <v>4425.181640625</v>
      </c>
      <c r="O5929" t="s">
        <v>8840</v>
      </c>
    </row>
    <row r="5930" spans="1:15" x14ac:dyDescent="0.45">
      <c r="A5930" s="187">
        <v>2022</v>
      </c>
      <c r="B5930" t="s">
        <v>34</v>
      </c>
      <c r="C5930" t="s">
        <v>320</v>
      </c>
      <c r="D5930" t="s">
        <v>336</v>
      </c>
      <c r="E5930" t="s">
        <v>102</v>
      </c>
      <c r="F5930" t="s">
        <v>45</v>
      </c>
      <c r="G5930" t="s">
        <v>36</v>
      </c>
      <c r="H5930" t="s">
        <v>43</v>
      </c>
      <c r="I5930" s="187">
        <v>0</v>
      </c>
      <c r="J5930" s="187">
        <v>0</v>
      </c>
      <c r="K5930" s="187">
        <v>0</v>
      </c>
      <c r="L5930" s="187">
        <v>0</v>
      </c>
      <c r="M5930" s="187">
        <v>0</v>
      </c>
      <c r="N5930" s="187">
        <v>0</v>
      </c>
      <c r="O5930" t="s">
        <v>8841</v>
      </c>
    </row>
    <row r="5931" spans="1:15" x14ac:dyDescent="0.45">
      <c r="A5931" s="187">
        <v>2022</v>
      </c>
      <c r="B5931" t="s">
        <v>34</v>
      </c>
      <c r="C5931" t="s">
        <v>320</v>
      </c>
      <c r="D5931" t="s">
        <v>336</v>
      </c>
      <c r="E5931" t="s">
        <v>102</v>
      </c>
      <c r="F5931" t="s">
        <v>45</v>
      </c>
      <c r="G5931" t="s">
        <v>37</v>
      </c>
      <c r="H5931" t="s">
        <v>43</v>
      </c>
      <c r="I5931" s="187">
        <v>0</v>
      </c>
      <c r="J5931" s="187">
        <v>0</v>
      </c>
      <c r="K5931" s="187">
        <v>0</v>
      </c>
      <c r="L5931" s="187">
        <v>0</v>
      </c>
      <c r="M5931" s="187">
        <v>0</v>
      </c>
      <c r="N5931" s="187">
        <v>0</v>
      </c>
      <c r="O5931" t="s">
        <v>8842</v>
      </c>
    </row>
    <row r="5932" spans="1:15" x14ac:dyDescent="0.45">
      <c r="A5932" s="187">
        <v>2022</v>
      </c>
      <c r="B5932" t="s">
        <v>34</v>
      </c>
      <c r="C5932" t="s">
        <v>320</v>
      </c>
      <c r="D5932" t="s">
        <v>336</v>
      </c>
      <c r="E5932" t="s">
        <v>102</v>
      </c>
      <c r="F5932" t="s">
        <v>356</v>
      </c>
      <c r="G5932" t="s">
        <v>36</v>
      </c>
      <c r="H5932" t="s">
        <v>43</v>
      </c>
      <c r="I5932" s="187">
        <v>0</v>
      </c>
      <c r="J5932" s="187">
        <v>0</v>
      </c>
      <c r="K5932" s="187">
        <v>0</v>
      </c>
      <c r="L5932" s="187">
        <v>0</v>
      </c>
      <c r="M5932" s="187">
        <v>0</v>
      </c>
      <c r="N5932" s="187">
        <v>0</v>
      </c>
      <c r="O5932" t="s">
        <v>8843</v>
      </c>
    </row>
    <row r="5933" spans="1:15" x14ac:dyDescent="0.45">
      <c r="A5933" s="187">
        <v>2022</v>
      </c>
      <c r="B5933" t="s">
        <v>34</v>
      </c>
      <c r="C5933" t="s">
        <v>320</v>
      </c>
      <c r="D5933" t="s">
        <v>336</v>
      </c>
      <c r="E5933" t="s">
        <v>102</v>
      </c>
      <c r="F5933" t="s">
        <v>356</v>
      </c>
      <c r="G5933" t="s">
        <v>37</v>
      </c>
      <c r="H5933" t="s">
        <v>43</v>
      </c>
      <c r="I5933" s="187">
        <v>0</v>
      </c>
      <c r="J5933" s="187">
        <v>0</v>
      </c>
      <c r="K5933" s="187">
        <v>0</v>
      </c>
      <c r="L5933" s="187">
        <v>0</v>
      </c>
      <c r="M5933" s="187">
        <v>0</v>
      </c>
      <c r="N5933" s="187">
        <v>0</v>
      </c>
      <c r="O5933" t="s">
        <v>8844</v>
      </c>
    </row>
    <row r="5934" spans="1:15" x14ac:dyDescent="0.45">
      <c r="A5934" s="187">
        <v>2022</v>
      </c>
      <c r="B5934" t="s">
        <v>34</v>
      </c>
      <c r="C5934" t="s">
        <v>330</v>
      </c>
      <c r="D5934" t="s">
        <v>338</v>
      </c>
      <c r="E5934" t="s">
        <v>366</v>
      </c>
      <c r="F5934" t="s">
        <v>434</v>
      </c>
      <c r="G5934" t="s">
        <v>36</v>
      </c>
      <c r="H5934" t="s">
        <v>43</v>
      </c>
      <c r="I5934" s="187">
        <v>23051.60851454323</v>
      </c>
      <c r="J5934" s="187">
        <v>2819</v>
      </c>
      <c r="K5934" s="187">
        <v>50283.707080145752</v>
      </c>
      <c r="L5934" s="187">
        <v>50213</v>
      </c>
      <c r="M5934" s="187">
        <v>126367.3203125</v>
      </c>
      <c r="N5934" s="187">
        <v>73264.609375</v>
      </c>
      <c r="O5934" t="s">
        <v>8845</v>
      </c>
    </row>
    <row r="5935" spans="1:15" x14ac:dyDescent="0.45">
      <c r="A5935" s="187">
        <v>2022</v>
      </c>
      <c r="B5935" t="s">
        <v>34</v>
      </c>
      <c r="C5935" t="s">
        <v>330</v>
      </c>
      <c r="D5935" t="s">
        <v>338</v>
      </c>
      <c r="E5935" t="s">
        <v>366</v>
      </c>
      <c r="F5935" t="s">
        <v>435</v>
      </c>
      <c r="G5935" t="s">
        <v>36</v>
      </c>
      <c r="H5935" t="s">
        <v>43</v>
      </c>
      <c r="I5935" s="187">
        <v>2126.183017325091</v>
      </c>
      <c r="J5935" s="187">
        <v>259</v>
      </c>
      <c r="K5935" s="187">
        <v>5376.4029157594787</v>
      </c>
      <c r="L5935" s="187">
        <v>5373</v>
      </c>
      <c r="M5935" s="187">
        <v>13134.5859375</v>
      </c>
      <c r="N5935" s="187">
        <v>7499.18310546875</v>
      </c>
      <c r="O5935" t="s">
        <v>8846</v>
      </c>
    </row>
    <row r="5936" spans="1:15" x14ac:dyDescent="0.45">
      <c r="A5936" s="187">
        <v>2022</v>
      </c>
      <c r="B5936" t="s">
        <v>34</v>
      </c>
      <c r="C5936" t="s">
        <v>330</v>
      </c>
      <c r="D5936" t="s">
        <v>338</v>
      </c>
      <c r="E5936" t="s">
        <v>366</v>
      </c>
      <c r="F5936" t="s">
        <v>436</v>
      </c>
      <c r="G5936" t="s">
        <v>36</v>
      </c>
      <c r="H5936" t="s">
        <v>43</v>
      </c>
      <c r="I5936" s="187">
        <v>1545.7462560175311</v>
      </c>
      <c r="J5936" s="187">
        <v>7758</v>
      </c>
      <c r="K5936" s="187">
        <v>2149.671285156749</v>
      </c>
      <c r="L5936" s="187">
        <v>9814</v>
      </c>
      <c r="M5936" s="187">
        <v>21267.41796875</v>
      </c>
      <c r="N5936" s="187">
        <v>11359.74609375</v>
      </c>
      <c r="O5936" t="s">
        <v>8847</v>
      </c>
    </row>
    <row r="5937" spans="1:15" x14ac:dyDescent="0.45">
      <c r="A5937" s="187">
        <v>2022</v>
      </c>
      <c r="B5937" t="s">
        <v>34</v>
      </c>
      <c r="C5937" t="s">
        <v>330</v>
      </c>
      <c r="D5937" t="s">
        <v>338</v>
      </c>
      <c r="E5937" t="s">
        <v>366</v>
      </c>
      <c r="F5937" t="s">
        <v>437</v>
      </c>
      <c r="G5937" t="s">
        <v>36</v>
      </c>
      <c r="H5937" t="s">
        <v>43</v>
      </c>
      <c r="I5937" s="187">
        <v>119959.3261806535</v>
      </c>
      <c r="J5937" s="187">
        <v>6433</v>
      </c>
      <c r="K5937" s="187">
        <v>191034.07788741059</v>
      </c>
      <c r="L5937" s="187">
        <v>294814</v>
      </c>
      <c r="M5937" s="187">
        <v>612240.375</v>
      </c>
      <c r="N5937" s="187">
        <v>414773.3125</v>
      </c>
      <c r="O5937" t="s">
        <v>8848</v>
      </c>
    </row>
    <row r="5938" spans="1:15" x14ac:dyDescent="0.45">
      <c r="A5938" s="187">
        <v>2022</v>
      </c>
      <c r="B5938" t="s">
        <v>34</v>
      </c>
      <c r="C5938" t="s">
        <v>330</v>
      </c>
      <c r="D5938" t="s">
        <v>338</v>
      </c>
      <c r="E5938" t="s">
        <v>366</v>
      </c>
      <c r="F5938" t="s">
        <v>44</v>
      </c>
      <c r="G5938" t="s">
        <v>36</v>
      </c>
      <c r="H5938" t="s">
        <v>43</v>
      </c>
      <c r="I5938" s="187">
        <v>3644.4480194986868</v>
      </c>
      <c r="J5938" s="187">
        <v>267</v>
      </c>
      <c r="K5938" s="187">
        <v>40654.862573837803</v>
      </c>
      <c r="L5938" s="187">
        <v>10578</v>
      </c>
      <c r="M5938" s="187">
        <v>55144.3125</v>
      </c>
      <c r="N5938" s="187">
        <v>14222.4482421875</v>
      </c>
      <c r="O5938" t="s">
        <v>8849</v>
      </c>
    </row>
    <row r="5939" spans="1:15" x14ac:dyDescent="0.45">
      <c r="A5939" s="187">
        <v>2022</v>
      </c>
      <c r="B5939" t="s">
        <v>34</v>
      </c>
      <c r="C5939" t="s">
        <v>330</v>
      </c>
      <c r="D5939" t="s">
        <v>338</v>
      </c>
      <c r="E5939" t="s">
        <v>366</v>
      </c>
      <c r="F5939" t="s">
        <v>438</v>
      </c>
      <c r="G5939" t="s">
        <v>36</v>
      </c>
      <c r="H5939" t="s">
        <v>43</v>
      </c>
      <c r="I5939" s="187">
        <v>48096.056629799059</v>
      </c>
      <c r="J5939" s="187">
        <v>7984</v>
      </c>
      <c r="K5939" s="187">
        <v>118956.5892701571</v>
      </c>
      <c r="L5939" s="187">
        <v>97523</v>
      </c>
      <c r="M5939" s="187">
        <v>272559.625</v>
      </c>
      <c r="N5939" s="187">
        <v>145619.0625</v>
      </c>
      <c r="O5939" t="s">
        <v>8850</v>
      </c>
    </row>
    <row r="5940" spans="1:15" x14ac:dyDescent="0.45">
      <c r="A5940" s="187">
        <v>2022</v>
      </c>
      <c r="B5940" t="s">
        <v>34</v>
      </c>
      <c r="C5940" t="s">
        <v>330</v>
      </c>
      <c r="D5940" t="s">
        <v>338</v>
      </c>
      <c r="E5940" t="s">
        <v>366</v>
      </c>
      <c r="F5940" t="s">
        <v>439</v>
      </c>
      <c r="G5940" t="s">
        <v>36</v>
      </c>
      <c r="H5940" t="s">
        <v>43</v>
      </c>
      <c r="I5940" s="187">
        <v>3391.6385974142722</v>
      </c>
      <c r="J5940" s="187">
        <v>687</v>
      </c>
      <c r="K5940" s="187">
        <v>932.01050750772299</v>
      </c>
      <c r="L5940" s="187">
        <v>3095</v>
      </c>
      <c r="M5940" s="187">
        <v>8105.6494140625</v>
      </c>
      <c r="N5940" s="187">
        <v>6486.638671875</v>
      </c>
      <c r="O5940" t="s">
        <v>8851</v>
      </c>
    </row>
    <row r="5941" spans="1:15" x14ac:dyDescent="0.45">
      <c r="A5941" s="187">
        <v>2022</v>
      </c>
      <c r="B5941" t="s">
        <v>34</v>
      </c>
      <c r="C5941" t="s">
        <v>330</v>
      </c>
      <c r="D5941" t="s">
        <v>338</v>
      </c>
      <c r="E5941" t="s">
        <v>366</v>
      </c>
      <c r="F5941" t="s">
        <v>440</v>
      </c>
      <c r="G5941" t="s">
        <v>36</v>
      </c>
      <c r="H5941" t="s">
        <v>43</v>
      </c>
      <c r="I5941" s="187">
        <v>6323.3957858048161</v>
      </c>
      <c r="J5941" s="187">
        <v>109</v>
      </c>
      <c r="K5941" s="187">
        <v>7780.7353686012593</v>
      </c>
      <c r="L5941" s="187">
        <v>6849</v>
      </c>
      <c r="M5941" s="187">
        <v>21062.1328125</v>
      </c>
      <c r="N5941" s="187">
        <v>13172.396484375</v>
      </c>
      <c r="O5941" t="s">
        <v>8852</v>
      </c>
    </row>
    <row r="5942" spans="1:15" x14ac:dyDescent="0.45">
      <c r="A5942" s="187">
        <v>2022</v>
      </c>
      <c r="B5942" t="s">
        <v>34</v>
      </c>
      <c r="C5942" t="s">
        <v>330</v>
      </c>
      <c r="D5942" t="s">
        <v>338</v>
      </c>
      <c r="E5942" t="s">
        <v>366</v>
      </c>
      <c r="F5942" t="s">
        <v>441</v>
      </c>
      <c r="G5942" t="s">
        <v>36</v>
      </c>
      <c r="H5942" t="s">
        <v>43</v>
      </c>
      <c r="I5942" s="187">
        <v>209596.33518927079</v>
      </c>
      <c r="J5942" s="187">
        <v>26798</v>
      </c>
      <c r="K5942" s="187">
        <v>439801.12413210992</v>
      </c>
      <c r="L5942" s="187">
        <v>483088</v>
      </c>
      <c r="M5942" s="187">
        <v>1159283.5</v>
      </c>
      <c r="N5942" s="187">
        <v>692684.3125</v>
      </c>
      <c r="O5942" t="s">
        <v>8853</v>
      </c>
    </row>
    <row r="5943" spans="1:15" x14ac:dyDescent="0.45">
      <c r="A5943" s="187">
        <v>2022</v>
      </c>
      <c r="B5943" t="s">
        <v>34</v>
      </c>
      <c r="C5943" t="s">
        <v>331</v>
      </c>
      <c r="D5943" t="s">
        <v>339</v>
      </c>
      <c r="E5943" t="s">
        <v>7</v>
      </c>
      <c r="F5943" t="s">
        <v>442</v>
      </c>
      <c r="G5943" t="s">
        <v>453</v>
      </c>
      <c r="H5943" t="s">
        <v>456</v>
      </c>
      <c r="I5943" s="187">
        <v>6.8278856098025971</v>
      </c>
      <c r="J5943" s="187">
        <v>20.846422667010248</v>
      </c>
      <c r="K5943" s="187">
        <v>11.64317848727033</v>
      </c>
      <c r="L5943" s="187">
        <v>8.9112939247057756</v>
      </c>
      <c r="M5943" s="187">
        <v>48.228778839111328</v>
      </c>
      <c r="N5943" s="187">
        <v>15.739179611206055</v>
      </c>
      <c r="O5943" t="s">
        <v>8854</v>
      </c>
    </row>
    <row r="5944" spans="1:15" x14ac:dyDescent="0.45">
      <c r="A5944" s="187">
        <v>2022</v>
      </c>
      <c r="B5944" t="s">
        <v>34</v>
      </c>
      <c r="C5944" t="s">
        <v>332</v>
      </c>
      <c r="D5944" t="s">
        <v>339</v>
      </c>
      <c r="E5944" t="s">
        <v>110</v>
      </c>
      <c r="F5944" t="s">
        <v>443</v>
      </c>
      <c r="G5944" t="s">
        <v>453</v>
      </c>
      <c r="H5944" t="s">
        <v>456</v>
      </c>
      <c r="I5944" s="187">
        <v>149</v>
      </c>
      <c r="J5944" s="187">
        <v>79</v>
      </c>
      <c r="K5944" s="187">
        <v>236</v>
      </c>
      <c r="L5944" s="187">
        <v>427</v>
      </c>
      <c r="M5944" s="187">
        <v>891</v>
      </c>
      <c r="N5944" s="187">
        <v>576</v>
      </c>
      <c r="O5944" t="s">
        <v>8855</v>
      </c>
    </row>
    <row r="5945" spans="1:15" x14ac:dyDescent="0.45">
      <c r="A5945" s="187">
        <v>2022</v>
      </c>
      <c r="B5945" t="s">
        <v>34</v>
      </c>
      <c r="C5945" t="s">
        <v>332</v>
      </c>
      <c r="D5945" t="s">
        <v>339</v>
      </c>
      <c r="E5945" t="s">
        <v>110</v>
      </c>
      <c r="F5945" t="s">
        <v>444</v>
      </c>
      <c r="G5945" t="s">
        <v>453</v>
      </c>
      <c r="H5945" t="s">
        <v>456</v>
      </c>
      <c r="I5945" s="187">
        <v>91</v>
      </c>
      <c r="J5945" s="187">
        <v>26</v>
      </c>
      <c r="K5945" s="187">
        <v>320</v>
      </c>
      <c r="L5945" s="187">
        <v>35</v>
      </c>
      <c r="M5945" s="187">
        <v>472</v>
      </c>
      <c r="N5945" s="187">
        <v>126</v>
      </c>
      <c r="O5945" t="s">
        <v>8856</v>
      </c>
    </row>
    <row r="5946" spans="1:15" x14ac:dyDescent="0.45">
      <c r="A5946" s="187">
        <v>2022</v>
      </c>
      <c r="B5946" t="s">
        <v>34</v>
      </c>
      <c r="C5946" t="s">
        <v>333</v>
      </c>
      <c r="D5946" t="s">
        <v>339</v>
      </c>
      <c r="E5946" t="s">
        <v>111</v>
      </c>
      <c r="F5946" t="s">
        <v>188</v>
      </c>
      <c r="G5946" t="s">
        <v>453</v>
      </c>
      <c r="H5946" t="s">
        <v>460</v>
      </c>
      <c r="I5946" s="187">
        <v>398.18604651180311</v>
      </c>
      <c r="J5946" s="187">
        <v>145.73563112604111</v>
      </c>
      <c r="K5946" s="187">
        <v>130.4414141414141</v>
      </c>
      <c r="L5946" s="187">
        <v>147.47203718048021</v>
      </c>
      <c r="M5946" s="187">
        <v>205.45878601074219</v>
      </c>
      <c r="N5946" s="187">
        <v>545.6580810546875</v>
      </c>
      <c r="O5946" t="s">
        <v>8857</v>
      </c>
    </row>
    <row r="5947" spans="1:15" x14ac:dyDescent="0.45">
      <c r="A5947" s="187">
        <v>2022</v>
      </c>
      <c r="B5947" t="s">
        <v>34</v>
      </c>
      <c r="C5947" t="s">
        <v>333</v>
      </c>
      <c r="D5947" t="s">
        <v>339</v>
      </c>
      <c r="E5947" t="s">
        <v>111</v>
      </c>
      <c r="F5947" t="s">
        <v>445</v>
      </c>
      <c r="G5947" t="s">
        <v>453</v>
      </c>
      <c r="H5947" t="s">
        <v>460</v>
      </c>
      <c r="I5947" s="187">
        <v>640.44510385756678</v>
      </c>
      <c r="J5947" s="187">
        <v>116.0780915485778</v>
      </c>
      <c r="K5947" s="187">
        <v>65.004237288135599</v>
      </c>
      <c r="L5947" s="187">
        <v>127.2985337243402</v>
      </c>
      <c r="M5947" s="187">
        <v>237.20648193359375</v>
      </c>
      <c r="N5947" s="187">
        <v>767.74365234375</v>
      </c>
      <c r="O5947" t="s">
        <v>8858</v>
      </c>
    </row>
    <row r="5948" spans="1:15" x14ac:dyDescent="0.45">
      <c r="A5948" s="187">
        <v>2022</v>
      </c>
      <c r="B5948" t="s">
        <v>34</v>
      </c>
      <c r="C5948" t="s">
        <v>333</v>
      </c>
      <c r="D5948" t="s">
        <v>339</v>
      </c>
      <c r="E5948" t="s">
        <v>0</v>
      </c>
      <c r="F5948" t="s">
        <v>188</v>
      </c>
      <c r="G5948" t="s">
        <v>453</v>
      </c>
      <c r="H5948" t="s">
        <v>460</v>
      </c>
      <c r="I5948" s="187">
        <v>3583.9899526053782</v>
      </c>
      <c r="J5948" s="187">
        <v>1583.4905000000001</v>
      </c>
      <c r="K5948" s="187">
        <v>1141.013010536547</v>
      </c>
      <c r="L5948" s="187">
        <v>951.93200000000002</v>
      </c>
      <c r="M5948" s="187">
        <v>1815.1064453125</v>
      </c>
      <c r="N5948" s="187">
        <v>4535.921875</v>
      </c>
      <c r="O5948" t="s">
        <v>8859</v>
      </c>
    </row>
    <row r="5949" spans="1:15" x14ac:dyDescent="0.45">
      <c r="A5949" s="187">
        <v>2022</v>
      </c>
      <c r="B5949" t="s">
        <v>34</v>
      </c>
      <c r="C5949" t="s">
        <v>333</v>
      </c>
      <c r="D5949" t="s">
        <v>339</v>
      </c>
      <c r="E5949" t="s">
        <v>0</v>
      </c>
      <c r="F5949" t="s">
        <v>445</v>
      </c>
      <c r="G5949" t="s">
        <v>453</v>
      </c>
      <c r="H5949" t="s">
        <v>460</v>
      </c>
      <c r="I5949" s="187">
        <v>3226.9784549138049</v>
      </c>
      <c r="J5949" s="187">
        <v>341.58300000000003</v>
      </c>
      <c r="K5949" s="187">
        <v>135.5481434030616</v>
      </c>
      <c r="L5949" s="187">
        <v>217.04400000000001</v>
      </c>
      <c r="M5949" s="187">
        <v>980.28839111328125</v>
      </c>
      <c r="N5949" s="187">
        <v>3444.0224609375</v>
      </c>
      <c r="O5949" t="s">
        <v>8860</v>
      </c>
    </row>
    <row r="5950" spans="1:15" x14ac:dyDescent="0.45">
      <c r="A5950" s="187">
        <v>2022</v>
      </c>
      <c r="B5950" t="s">
        <v>34</v>
      </c>
      <c r="C5950" t="s">
        <v>333</v>
      </c>
      <c r="D5950" t="s">
        <v>339</v>
      </c>
      <c r="E5950" t="s">
        <v>42</v>
      </c>
      <c r="F5950" t="s">
        <v>188</v>
      </c>
      <c r="G5950" t="s">
        <v>453</v>
      </c>
      <c r="H5950" t="s">
        <v>460</v>
      </c>
      <c r="I5950" s="187">
        <v>9.0007924285692926</v>
      </c>
      <c r="J5950" s="187">
        <v>10.865500000000001</v>
      </c>
      <c r="K5950" s="187">
        <v>8.7473216849638842</v>
      </c>
      <c r="L5950" s="187">
        <v>6.4550000000000001</v>
      </c>
      <c r="M5950" s="187">
        <v>8.7671537399291992</v>
      </c>
      <c r="N5950" s="187">
        <v>15.455792427062988</v>
      </c>
      <c r="O5950" t="s">
        <v>8861</v>
      </c>
    </row>
    <row r="5951" spans="1:15" x14ac:dyDescent="0.45">
      <c r="A5951" s="187">
        <v>2022</v>
      </c>
      <c r="B5951" t="s">
        <v>34</v>
      </c>
      <c r="C5951" t="s">
        <v>333</v>
      </c>
      <c r="D5951" t="s">
        <v>339</v>
      </c>
      <c r="E5951" t="s">
        <v>42</v>
      </c>
      <c r="F5951" t="s">
        <v>445</v>
      </c>
      <c r="G5951" t="s">
        <v>453</v>
      </c>
      <c r="H5951" t="s">
        <v>460</v>
      </c>
      <c r="I5951" s="187">
        <v>5.0386495821060659</v>
      </c>
      <c r="J5951" s="187">
        <v>2.9426999999999999</v>
      </c>
      <c r="K5951" s="187">
        <v>2.0852201188398749</v>
      </c>
      <c r="L5951" s="187">
        <v>1.7050000000000001</v>
      </c>
      <c r="M5951" s="187">
        <v>2.94289231300354</v>
      </c>
      <c r="N5951" s="187">
        <v>6.7436494827270508</v>
      </c>
      <c r="O5951" t="s">
        <v>8862</v>
      </c>
    </row>
    <row r="5952" spans="1:15" x14ac:dyDescent="0.45">
      <c r="A5952" s="187">
        <v>2022</v>
      </c>
      <c r="B5952" t="s">
        <v>34</v>
      </c>
      <c r="C5952" t="s">
        <v>319</v>
      </c>
      <c r="D5952" t="s">
        <v>335</v>
      </c>
      <c r="E5952" t="s">
        <v>10</v>
      </c>
      <c r="F5952" t="s">
        <v>372</v>
      </c>
      <c r="G5952" t="s">
        <v>453</v>
      </c>
      <c r="H5952" t="s">
        <v>454</v>
      </c>
      <c r="I5952" s="187">
        <v>0.10337617882194521</v>
      </c>
      <c r="J5952" s="187">
        <v>0.1070592810819244</v>
      </c>
      <c r="K5952" s="187">
        <v>0.11364734657707209</v>
      </c>
      <c r="L5952" s="187">
        <v>0.10601977607704161</v>
      </c>
      <c r="M5952" s="187">
        <v>0.10752564668655396</v>
      </c>
      <c r="N5952" s="187">
        <v>0.20939595997333527</v>
      </c>
      <c r="O5952" t="s">
        <v>8863</v>
      </c>
    </row>
    <row r="5953" spans="1:15" x14ac:dyDescent="0.45">
      <c r="A5953" s="187">
        <v>2022</v>
      </c>
      <c r="B5953" t="s">
        <v>34</v>
      </c>
      <c r="C5953" t="s">
        <v>319</v>
      </c>
      <c r="D5953" t="s">
        <v>335</v>
      </c>
      <c r="E5953" t="s">
        <v>10</v>
      </c>
      <c r="F5953" t="s">
        <v>373</v>
      </c>
      <c r="G5953" t="s">
        <v>453</v>
      </c>
      <c r="H5953" t="s">
        <v>454</v>
      </c>
      <c r="I5953" s="187">
        <v>0.1070217788219452</v>
      </c>
      <c r="J5953" s="187">
        <v>0.11028152108192441</v>
      </c>
      <c r="K5953" s="187">
        <v>0.11729294657707209</v>
      </c>
      <c r="L5953" s="187">
        <v>0.10924201607704161</v>
      </c>
      <c r="M5953" s="187">
        <v>0.11095956712961197</v>
      </c>
      <c r="N5953" s="187">
        <v>0.21626380085945129</v>
      </c>
      <c r="O5953" t="s">
        <v>8864</v>
      </c>
    </row>
    <row r="5954" spans="1:15" x14ac:dyDescent="0.45">
      <c r="A5954" s="187">
        <v>2022</v>
      </c>
      <c r="B5954" t="s">
        <v>34</v>
      </c>
      <c r="C5954" t="s">
        <v>321</v>
      </c>
      <c r="D5954" t="s">
        <v>335</v>
      </c>
      <c r="E5954" t="s">
        <v>341</v>
      </c>
      <c r="F5954" t="s">
        <v>375</v>
      </c>
      <c r="G5954" t="s">
        <v>36</v>
      </c>
      <c r="H5954" t="s">
        <v>43</v>
      </c>
      <c r="I5954" s="187">
        <v>10187.416015625</v>
      </c>
      <c r="J5954" s="187">
        <v>2042</v>
      </c>
      <c r="K5954" s="187">
        <v>17801.95703125</v>
      </c>
      <c r="L5954" s="187">
        <v>14874.849609375</v>
      </c>
      <c r="M5954" s="187">
        <v>44906.22265625</v>
      </c>
      <c r="N5954" s="187">
        <v>25062.265625</v>
      </c>
      <c r="O5954" t="s">
        <v>8865</v>
      </c>
    </row>
    <row r="5955" spans="1:15" x14ac:dyDescent="0.45">
      <c r="A5955" s="187">
        <v>2022</v>
      </c>
      <c r="B5955" t="s">
        <v>34</v>
      </c>
      <c r="C5955" t="s">
        <v>321</v>
      </c>
      <c r="D5955" t="s">
        <v>335</v>
      </c>
      <c r="E5955" t="s">
        <v>341</v>
      </c>
      <c r="F5955" t="s">
        <v>375</v>
      </c>
      <c r="G5955" t="s">
        <v>37</v>
      </c>
      <c r="H5955" t="s">
        <v>43</v>
      </c>
      <c r="I5955" s="187">
        <v>10187.416015625</v>
      </c>
      <c r="J5955" s="187">
        <v>2042</v>
      </c>
      <c r="K5955" s="187">
        <v>17801.95703125</v>
      </c>
      <c r="L5955" s="187">
        <v>14874.849609375</v>
      </c>
      <c r="M5955" s="187">
        <v>44906.22265625</v>
      </c>
      <c r="N5955" s="187">
        <v>25062.265625</v>
      </c>
      <c r="O5955" t="s">
        <v>8866</v>
      </c>
    </row>
    <row r="5956" spans="1:15" x14ac:dyDescent="0.45">
      <c r="A5956" s="187">
        <v>2022</v>
      </c>
      <c r="B5956" t="s">
        <v>34</v>
      </c>
      <c r="C5956" t="s">
        <v>321</v>
      </c>
      <c r="D5956" t="s">
        <v>335</v>
      </c>
      <c r="E5956" t="s">
        <v>341</v>
      </c>
      <c r="F5956" t="s">
        <v>377</v>
      </c>
      <c r="G5956" t="s">
        <v>36</v>
      </c>
      <c r="H5956" t="s">
        <v>43</v>
      </c>
      <c r="I5956" s="187">
        <v>939.63323974609375</v>
      </c>
      <c r="J5956" s="187">
        <v>109</v>
      </c>
      <c r="K5956" s="187">
        <v>1966.086181640625</v>
      </c>
      <c r="L5956" s="187">
        <v>2327</v>
      </c>
      <c r="M5956" s="187">
        <v>5341.7197265625</v>
      </c>
      <c r="N5956" s="187">
        <v>3266.63330078125</v>
      </c>
      <c r="O5956" t="s">
        <v>8867</v>
      </c>
    </row>
    <row r="5957" spans="1:15" x14ac:dyDescent="0.45">
      <c r="A5957" s="187">
        <v>2022</v>
      </c>
      <c r="B5957" t="s">
        <v>34</v>
      </c>
      <c r="C5957" t="s">
        <v>321</v>
      </c>
      <c r="D5957" t="s">
        <v>335</v>
      </c>
      <c r="E5957" t="s">
        <v>341</v>
      </c>
      <c r="F5957" t="s">
        <v>377</v>
      </c>
      <c r="G5957" t="s">
        <v>37</v>
      </c>
      <c r="H5957" t="s">
        <v>43</v>
      </c>
      <c r="I5957" s="187">
        <v>939.63323974609375</v>
      </c>
      <c r="J5957" s="187">
        <v>109</v>
      </c>
      <c r="K5957" s="187">
        <v>1966.086181640625</v>
      </c>
      <c r="L5957" s="187">
        <v>2327</v>
      </c>
      <c r="M5957" s="187">
        <v>5341.7197265625</v>
      </c>
      <c r="N5957" s="187">
        <v>3266.63330078125</v>
      </c>
      <c r="O5957" t="s">
        <v>8868</v>
      </c>
    </row>
    <row r="5958" spans="1:15" x14ac:dyDescent="0.45">
      <c r="A5958" s="187">
        <v>2022</v>
      </c>
      <c r="B5958" t="s">
        <v>34</v>
      </c>
      <c r="C5958" t="s">
        <v>321</v>
      </c>
      <c r="D5958" t="s">
        <v>335</v>
      </c>
      <c r="E5958" t="s">
        <v>342</v>
      </c>
      <c r="F5958" t="s">
        <v>342</v>
      </c>
      <c r="G5958" t="s">
        <v>36</v>
      </c>
      <c r="H5958" t="s">
        <v>43</v>
      </c>
      <c r="I5958" s="187">
        <v>15144.34765625</v>
      </c>
      <c r="J5958" s="187">
        <v>2297</v>
      </c>
      <c r="K5958" s="187">
        <v>36684.16015625</v>
      </c>
      <c r="L5958" s="187">
        <v>30738.150390625</v>
      </c>
      <c r="M5958" s="187">
        <v>84863.65625</v>
      </c>
      <c r="N5958" s="187">
        <v>45882.5</v>
      </c>
      <c r="O5958" t="s">
        <v>8869</v>
      </c>
    </row>
    <row r="5959" spans="1:15" x14ac:dyDescent="0.45">
      <c r="A5959" s="187">
        <v>2022</v>
      </c>
      <c r="B5959" t="s">
        <v>34</v>
      </c>
      <c r="C5959" t="s">
        <v>321</v>
      </c>
      <c r="D5959" t="s">
        <v>335</v>
      </c>
      <c r="E5959" t="s">
        <v>342</v>
      </c>
      <c r="F5959" t="s">
        <v>342</v>
      </c>
      <c r="G5959" t="s">
        <v>37</v>
      </c>
      <c r="H5959" t="s">
        <v>43</v>
      </c>
      <c r="I5959" s="187">
        <v>15144.34765625</v>
      </c>
      <c r="J5959" s="187">
        <v>2297</v>
      </c>
      <c r="K5959" s="187">
        <v>36684.16015625</v>
      </c>
      <c r="L5959" s="187">
        <v>30738.150390625</v>
      </c>
      <c r="M5959" s="187">
        <v>84863.65625</v>
      </c>
      <c r="N5959" s="187">
        <v>45882.5</v>
      </c>
      <c r="O5959" t="s">
        <v>8870</v>
      </c>
    </row>
    <row r="5960" spans="1:15" x14ac:dyDescent="0.45">
      <c r="A5960" s="187">
        <v>2022</v>
      </c>
      <c r="B5960" t="s">
        <v>34</v>
      </c>
      <c r="C5960" t="s">
        <v>321</v>
      </c>
      <c r="D5960" t="s">
        <v>335</v>
      </c>
      <c r="E5960" t="s">
        <v>343</v>
      </c>
      <c r="F5960" t="s">
        <v>343</v>
      </c>
      <c r="G5960" t="s">
        <v>36</v>
      </c>
      <c r="H5960" t="s">
        <v>43</v>
      </c>
      <c r="I5960" s="187">
        <v>19007.60546875</v>
      </c>
      <c r="J5960" s="187">
        <v>2583.855712890625</v>
      </c>
      <c r="K5960" s="187">
        <v>43947.17578125</v>
      </c>
      <c r="L5960" s="187">
        <v>44941.58203125</v>
      </c>
      <c r="M5960" s="187">
        <v>110480.21875</v>
      </c>
      <c r="N5960" s="187">
        <v>63949.1875</v>
      </c>
      <c r="O5960" t="s">
        <v>8871</v>
      </c>
    </row>
    <row r="5961" spans="1:15" x14ac:dyDescent="0.45">
      <c r="A5961" s="187">
        <v>2022</v>
      </c>
      <c r="B5961" t="s">
        <v>34</v>
      </c>
      <c r="C5961" t="s">
        <v>321</v>
      </c>
      <c r="D5961" t="s">
        <v>335</v>
      </c>
      <c r="E5961" t="s">
        <v>343</v>
      </c>
      <c r="F5961" t="s">
        <v>343</v>
      </c>
      <c r="G5961" t="s">
        <v>37</v>
      </c>
      <c r="H5961" t="s">
        <v>43</v>
      </c>
      <c r="I5961" s="187">
        <v>19007.60546875</v>
      </c>
      <c r="J5961" s="187">
        <v>2583.855712890625</v>
      </c>
      <c r="K5961" s="187">
        <v>43947.17578125</v>
      </c>
      <c r="L5961" s="187">
        <v>44941.58203125</v>
      </c>
      <c r="M5961" s="187">
        <v>110480.21875</v>
      </c>
      <c r="N5961" s="187">
        <v>63949.1875</v>
      </c>
      <c r="O5961" t="s">
        <v>8872</v>
      </c>
    </row>
    <row r="5962" spans="1:15" x14ac:dyDescent="0.45">
      <c r="A5962" s="187">
        <v>2022</v>
      </c>
      <c r="B5962" t="s">
        <v>34</v>
      </c>
      <c r="C5962" t="s">
        <v>321</v>
      </c>
      <c r="D5962" t="s">
        <v>335</v>
      </c>
      <c r="E5962" t="s">
        <v>344</v>
      </c>
      <c r="F5962" t="s">
        <v>344</v>
      </c>
      <c r="G5962" t="s">
        <v>36</v>
      </c>
      <c r="H5962" t="s">
        <v>43</v>
      </c>
      <c r="I5962" s="187">
        <v>21758.787109375</v>
      </c>
      <c r="J5962" s="187">
        <v>3075.16162109375</v>
      </c>
      <c r="K5962" s="187">
        <v>50216.68359375</v>
      </c>
      <c r="L5962" s="187">
        <v>50010.15234375</v>
      </c>
      <c r="M5962" s="187">
        <v>125060.78125</v>
      </c>
      <c r="N5962" s="187">
        <v>71768.9375</v>
      </c>
      <c r="O5962" t="s">
        <v>8873</v>
      </c>
    </row>
    <row r="5963" spans="1:15" x14ac:dyDescent="0.45">
      <c r="A5963" s="187">
        <v>2022</v>
      </c>
      <c r="B5963" t="s">
        <v>34</v>
      </c>
      <c r="C5963" t="s">
        <v>321</v>
      </c>
      <c r="D5963" t="s">
        <v>335</v>
      </c>
      <c r="E5963" t="s">
        <v>344</v>
      </c>
      <c r="F5963" t="s">
        <v>344</v>
      </c>
      <c r="G5963" t="s">
        <v>37</v>
      </c>
      <c r="H5963" t="s">
        <v>43</v>
      </c>
      <c r="I5963" s="187">
        <v>21758.787109375</v>
      </c>
      <c r="J5963" s="187">
        <v>3075.16162109375</v>
      </c>
      <c r="K5963" s="187">
        <v>50216.68359375</v>
      </c>
      <c r="L5963" s="187">
        <v>50010.15234375</v>
      </c>
      <c r="M5963" s="187">
        <v>125060.78125</v>
      </c>
      <c r="N5963" s="187">
        <v>71768.9375</v>
      </c>
      <c r="O5963" t="s">
        <v>8874</v>
      </c>
    </row>
    <row r="5964" spans="1:15" x14ac:dyDescent="0.45">
      <c r="A5964" s="187">
        <v>2022</v>
      </c>
      <c r="B5964" t="s">
        <v>34</v>
      </c>
      <c r="C5964" t="s">
        <v>321</v>
      </c>
      <c r="D5964" t="s">
        <v>335</v>
      </c>
      <c r="E5964" t="s">
        <v>345</v>
      </c>
      <c r="F5964" t="s">
        <v>378</v>
      </c>
      <c r="G5964" t="s">
        <v>36</v>
      </c>
      <c r="H5964" t="s">
        <v>43</v>
      </c>
      <c r="I5964" s="187">
        <v>2468.299560546875</v>
      </c>
      <c r="J5964" s="187">
        <v>491.30609130859375</v>
      </c>
      <c r="K5964" s="187">
        <v>5783.84375</v>
      </c>
      <c r="L5964" s="187">
        <v>4675.3544921875</v>
      </c>
      <c r="M5964" s="187">
        <v>13418.8037109375</v>
      </c>
      <c r="N5964" s="187">
        <v>7143.654296875</v>
      </c>
      <c r="O5964" t="s">
        <v>8875</v>
      </c>
    </row>
    <row r="5965" spans="1:15" x14ac:dyDescent="0.45">
      <c r="A5965" s="187">
        <v>2022</v>
      </c>
      <c r="B5965" t="s">
        <v>34</v>
      </c>
      <c r="C5965" t="s">
        <v>321</v>
      </c>
      <c r="D5965" t="s">
        <v>335</v>
      </c>
      <c r="E5965" t="s">
        <v>345</v>
      </c>
      <c r="F5965" t="s">
        <v>378</v>
      </c>
      <c r="G5965" t="s">
        <v>37</v>
      </c>
      <c r="H5965" t="s">
        <v>43</v>
      </c>
      <c r="I5965" s="187">
        <v>2468.299560546875</v>
      </c>
      <c r="J5965" s="187">
        <v>491.30609130859375</v>
      </c>
      <c r="K5965" s="187">
        <v>5783.84375</v>
      </c>
      <c r="L5965" s="187">
        <v>4675.3544921875</v>
      </c>
      <c r="M5965" s="187">
        <v>13418.8037109375</v>
      </c>
      <c r="N5965" s="187">
        <v>7143.654296875</v>
      </c>
      <c r="O5965" t="s">
        <v>8876</v>
      </c>
    </row>
    <row r="5966" spans="1:15" x14ac:dyDescent="0.45">
      <c r="A5966" s="187">
        <v>2022</v>
      </c>
      <c r="B5966" t="s">
        <v>34</v>
      </c>
      <c r="C5966" t="s">
        <v>321</v>
      </c>
      <c r="D5966" t="s">
        <v>335</v>
      </c>
      <c r="E5966" t="s">
        <v>346</v>
      </c>
      <c r="F5966" t="s">
        <v>379</v>
      </c>
      <c r="G5966" t="s">
        <v>36</v>
      </c>
      <c r="H5966" t="s">
        <v>43</v>
      </c>
      <c r="I5966" s="187">
        <v>282.88217163085938</v>
      </c>
      <c r="J5966" s="187">
        <v>0</v>
      </c>
      <c r="K5966" s="187">
        <v>485.66204833984375</v>
      </c>
      <c r="L5966" s="187">
        <v>393.21530151367188</v>
      </c>
      <c r="M5966" s="187">
        <v>1161.759521484375</v>
      </c>
      <c r="N5966" s="187">
        <v>676.09747314453125</v>
      </c>
      <c r="O5966" t="s">
        <v>8877</v>
      </c>
    </row>
    <row r="5967" spans="1:15" x14ac:dyDescent="0.45">
      <c r="A5967" s="187">
        <v>2022</v>
      </c>
      <c r="B5967" t="s">
        <v>34</v>
      </c>
      <c r="C5967" t="s">
        <v>321</v>
      </c>
      <c r="D5967" t="s">
        <v>335</v>
      </c>
      <c r="E5967" t="s">
        <v>346</v>
      </c>
      <c r="F5967" t="s">
        <v>379</v>
      </c>
      <c r="G5967" t="s">
        <v>37</v>
      </c>
      <c r="H5967" t="s">
        <v>43</v>
      </c>
      <c r="I5967" s="187">
        <v>282.88217163085938</v>
      </c>
      <c r="J5967" s="187">
        <v>0</v>
      </c>
      <c r="K5967" s="187">
        <v>485.66204833984375</v>
      </c>
      <c r="L5967" s="187">
        <v>393.21530151367188</v>
      </c>
      <c r="M5967" s="187">
        <v>1161.759521484375</v>
      </c>
      <c r="N5967" s="187">
        <v>676.09747314453125</v>
      </c>
      <c r="O5967" t="s">
        <v>8878</v>
      </c>
    </row>
    <row r="5968" spans="1:15" x14ac:dyDescent="0.45">
      <c r="A5968" s="187">
        <v>2022</v>
      </c>
      <c r="B5968" t="s">
        <v>34</v>
      </c>
      <c r="C5968" t="s">
        <v>321</v>
      </c>
      <c r="D5968" t="s">
        <v>335</v>
      </c>
      <c r="E5968" t="s">
        <v>347</v>
      </c>
      <c r="F5968" t="s">
        <v>380</v>
      </c>
      <c r="G5968" t="s">
        <v>36</v>
      </c>
      <c r="H5968" t="s">
        <v>43</v>
      </c>
      <c r="I5968" s="187">
        <v>0</v>
      </c>
      <c r="J5968" s="187">
        <v>16</v>
      </c>
      <c r="K5968" s="187">
        <v>28.979379653930664</v>
      </c>
      <c r="L5968" s="187">
        <v>-30</v>
      </c>
      <c r="M5968" s="187">
        <v>14.979377746582031</v>
      </c>
      <c r="N5968" s="187">
        <v>-30</v>
      </c>
      <c r="O5968" t="s">
        <v>8879</v>
      </c>
    </row>
    <row r="5969" spans="1:15" x14ac:dyDescent="0.45">
      <c r="A5969" s="187">
        <v>2022</v>
      </c>
      <c r="B5969" t="s">
        <v>34</v>
      </c>
      <c r="C5969" t="s">
        <v>321</v>
      </c>
      <c r="D5969" t="s">
        <v>335</v>
      </c>
      <c r="E5969" t="s">
        <v>347</v>
      </c>
      <c r="F5969" t="s">
        <v>380</v>
      </c>
      <c r="G5969" t="s">
        <v>37</v>
      </c>
      <c r="H5969" t="s">
        <v>43</v>
      </c>
      <c r="I5969" s="187">
        <v>0</v>
      </c>
      <c r="J5969" s="187">
        <v>16</v>
      </c>
      <c r="K5969" s="187">
        <v>28.979379653930664</v>
      </c>
      <c r="L5969" s="187">
        <v>-30</v>
      </c>
      <c r="M5969" s="187">
        <v>14.979377746582031</v>
      </c>
      <c r="N5969" s="187">
        <v>-30</v>
      </c>
      <c r="O5969" t="s">
        <v>8880</v>
      </c>
    </row>
    <row r="5970" spans="1:15" x14ac:dyDescent="0.45">
      <c r="A5970" s="187">
        <v>2022</v>
      </c>
      <c r="B5970" t="s">
        <v>34</v>
      </c>
      <c r="C5970" t="s">
        <v>321</v>
      </c>
      <c r="D5970" t="s">
        <v>335</v>
      </c>
      <c r="E5970" t="s">
        <v>347</v>
      </c>
      <c r="F5970" t="s">
        <v>11</v>
      </c>
      <c r="G5970" t="s">
        <v>36</v>
      </c>
      <c r="H5970" t="s">
        <v>43</v>
      </c>
      <c r="I5970" s="187">
        <v>25714.12109375</v>
      </c>
      <c r="J5970" s="187">
        <v>4432</v>
      </c>
      <c r="K5970" s="187">
        <v>54655.546875</v>
      </c>
      <c r="L5970" s="187">
        <v>47970</v>
      </c>
      <c r="M5970" s="187">
        <v>132771.671875</v>
      </c>
      <c r="N5970" s="187">
        <v>73684.125</v>
      </c>
      <c r="O5970" t="s">
        <v>8881</v>
      </c>
    </row>
    <row r="5971" spans="1:15" x14ac:dyDescent="0.45">
      <c r="A5971" s="187">
        <v>2022</v>
      </c>
      <c r="B5971" t="s">
        <v>34</v>
      </c>
      <c r="C5971" t="s">
        <v>321</v>
      </c>
      <c r="D5971" t="s">
        <v>335</v>
      </c>
      <c r="E5971" t="s">
        <v>347</v>
      </c>
      <c r="F5971" t="s">
        <v>11</v>
      </c>
      <c r="G5971" t="s">
        <v>37</v>
      </c>
      <c r="H5971" t="s">
        <v>43</v>
      </c>
      <c r="I5971" s="187">
        <v>25714.12109375</v>
      </c>
      <c r="J5971" s="187">
        <v>4432</v>
      </c>
      <c r="K5971" s="187">
        <v>54655.546875</v>
      </c>
      <c r="L5971" s="187">
        <v>47970</v>
      </c>
      <c r="M5971" s="187">
        <v>132771.671875</v>
      </c>
      <c r="N5971" s="187">
        <v>73684.125</v>
      </c>
      <c r="O5971" t="s">
        <v>8882</v>
      </c>
    </row>
    <row r="5972" spans="1:15" x14ac:dyDescent="0.45">
      <c r="A5972" s="187">
        <v>2022</v>
      </c>
      <c r="B5972" t="s">
        <v>34</v>
      </c>
      <c r="C5972" t="s">
        <v>321</v>
      </c>
      <c r="D5972" t="s">
        <v>335</v>
      </c>
      <c r="E5972" t="s">
        <v>347</v>
      </c>
      <c r="F5972" t="s">
        <v>381</v>
      </c>
      <c r="G5972" t="s">
        <v>36</v>
      </c>
      <c r="H5972" t="s">
        <v>43</v>
      </c>
      <c r="I5972" s="187">
        <v>557.27679443359375</v>
      </c>
      <c r="J5972" s="187"/>
      <c r="K5972" s="187">
        <v>1767.67578125</v>
      </c>
      <c r="L5972" s="187">
        <v>0</v>
      </c>
      <c r="M5972" s="187">
        <v>2324.95263671875</v>
      </c>
      <c r="N5972" s="187">
        <v>557.27679443359375</v>
      </c>
      <c r="O5972" t="s">
        <v>8883</v>
      </c>
    </row>
    <row r="5973" spans="1:15" x14ac:dyDescent="0.45">
      <c r="A5973" s="187">
        <v>2022</v>
      </c>
      <c r="B5973" t="s">
        <v>34</v>
      </c>
      <c r="C5973" t="s">
        <v>321</v>
      </c>
      <c r="D5973" t="s">
        <v>335</v>
      </c>
      <c r="E5973" t="s">
        <v>347</v>
      </c>
      <c r="F5973" t="s">
        <v>381</v>
      </c>
      <c r="G5973" t="s">
        <v>37</v>
      </c>
      <c r="H5973" t="s">
        <v>43</v>
      </c>
      <c r="I5973" s="187">
        <v>557.27679443359375</v>
      </c>
      <c r="J5973" s="187"/>
      <c r="K5973" s="187">
        <v>1767.67578125</v>
      </c>
      <c r="L5973" s="187">
        <v>0</v>
      </c>
      <c r="M5973" s="187">
        <v>2324.95263671875</v>
      </c>
      <c r="N5973" s="187">
        <v>557.27679443359375</v>
      </c>
      <c r="O5973" t="s">
        <v>8884</v>
      </c>
    </row>
    <row r="5974" spans="1:15" x14ac:dyDescent="0.45">
      <c r="A5974" s="187">
        <v>2022</v>
      </c>
      <c r="B5974" t="s">
        <v>34</v>
      </c>
      <c r="C5974" t="s">
        <v>321</v>
      </c>
      <c r="D5974" t="s">
        <v>335</v>
      </c>
      <c r="E5974" t="s">
        <v>347</v>
      </c>
      <c r="F5974" t="s">
        <v>347</v>
      </c>
      <c r="G5974" t="s">
        <v>36</v>
      </c>
      <c r="H5974" t="s">
        <v>43</v>
      </c>
      <c r="I5974" s="187">
        <v>26271.396484375</v>
      </c>
      <c r="J5974" s="187">
        <v>4448</v>
      </c>
      <c r="K5974" s="187">
        <v>56452.19921875</v>
      </c>
      <c r="L5974" s="187">
        <v>47940</v>
      </c>
      <c r="M5974" s="187">
        <v>135111.59375</v>
      </c>
      <c r="N5974" s="187">
        <v>74211.3984375</v>
      </c>
      <c r="O5974" t="s">
        <v>8885</v>
      </c>
    </row>
    <row r="5975" spans="1:15" x14ac:dyDescent="0.45">
      <c r="A5975" s="187">
        <v>2022</v>
      </c>
      <c r="B5975" t="s">
        <v>34</v>
      </c>
      <c r="C5975" t="s">
        <v>321</v>
      </c>
      <c r="D5975" t="s">
        <v>335</v>
      </c>
      <c r="E5975" t="s">
        <v>347</v>
      </c>
      <c r="F5975" t="s">
        <v>347</v>
      </c>
      <c r="G5975" t="s">
        <v>37</v>
      </c>
      <c r="H5975" t="s">
        <v>43</v>
      </c>
      <c r="I5975" s="187">
        <v>26271.396484375</v>
      </c>
      <c r="J5975" s="187">
        <v>4448</v>
      </c>
      <c r="K5975" s="187">
        <v>56452.19921875</v>
      </c>
      <c r="L5975" s="187">
        <v>47940</v>
      </c>
      <c r="M5975" s="187">
        <v>135111.59375</v>
      </c>
      <c r="N5975" s="187">
        <v>74211.3984375</v>
      </c>
      <c r="O5975" t="s">
        <v>8886</v>
      </c>
    </row>
    <row r="5976" spans="1:15" x14ac:dyDescent="0.45">
      <c r="A5976" s="187">
        <v>2022</v>
      </c>
      <c r="B5976" t="s">
        <v>34</v>
      </c>
      <c r="C5976" t="s">
        <v>334</v>
      </c>
      <c r="D5976" t="s">
        <v>335</v>
      </c>
      <c r="E5976" t="s">
        <v>367</v>
      </c>
      <c r="F5976" t="s">
        <v>367</v>
      </c>
      <c r="G5976" t="s">
        <v>36</v>
      </c>
      <c r="H5976" t="s">
        <v>43</v>
      </c>
      <c r="I5976" s="187">
        <v>-117.15596771240234</v>
      </c>
      <c r="J5976" s="187">
        <v>2.8382625579833984</v>
      </c>
      <c r="K5976" s="187">
        <v>-1110.3184814453125</v>
      </c>
      <c r="L5976" s="187">
        <v>-108.78424072265625</v>
      </c>
      <c r="M5976" s="187">
        <v>-1333.42041015625</v>
      </c>
      <c r="N5976" s="187">
        <v>-225.94021606445313</v>
      </c>
      <c r="O5976" t="s">
        <v>8887</v>
      </c>
    </row>
    <row r="5977" spans="1:15" x14ac:dyDescent="0.45">
      <c r="A5977" s="187">
        <v>2022</v>
      </c>
      <c r="B5977" t="s">
        <v>34</v>
      </c>
      <c r="C5977" t="s">
        <v>334</v>
      </c>
      <c r="D5977" t="s">
        <v>335</v>
      </c>
      <c r="E5977" t="s">
        <v>367</v>
      </c>
      <c r="F5977" t="s">
        <v>367</v>
      </c>
      <c r="G5977" t="s">
        <v>37</v>
      </c>
      <c r="H5977" t="s">
        <v>43</v>
      </c>
      <c r="I5977" s="187">
        <v>-117.15596771240234</v>
      </c>
      <c r="J5977" s="187">
        <v>2.8382625579833984</v>
      </c>
      <c r="K5977" s="187">
        <v>-1110.3184814453125</v>
      </c>
      <c r="L5977" s="187">
        <v>-108.78424072265625</v>
      </c>
      <c r="M5977" s="187">
        <v>-1333.42041015625</v>
      </c>
      <c r="N5977" s="187">
        <v>-225.94021606445313</v>
      </c>
      <c r="O5977" t="s">
        <v>8888</v>
      </c>
    </row>
    <row r="5978" spans="1:15" x14ac:dyDescent="0.45">
      <c r="A5978" s="187">
        <v>2022</v>
      </c>
      <c r="B5978" t="s">
        <v>34</v>
      </c>
      <c r="C5978" t="s">
        <v>334</v>
      </c>
      <c r="D5978" t="s">
        <v>335</v>
      </c>
      <c r="E5978" t="s">
        <v>26</v>
      </c>
      <c r="F5978" t="s">
        <v>26</v>
      </c>
      <c r="G5978" t="s">
        <v>36</v>
      </c>
      <c r="H5978" t="s">
        <v>43</v>
      </c>
      <c r="I5978" s="187">
        <v>0</v>
      </c>
      <c r="J5978" s="187">
        <v>0</v>
      </c>
      <c r="K5978" s="187">
        <v>-26.122411727905273</v>
      </c>
      <c r="L5978" s="187">
        <v>725</v>
      </c>
      <c r="M5978" s="187">
        <v>698.8775634765625</v>
      </c>
      <c r="N5978" s="187">
        <v>725</v>
      </c>
      <c r="O5978" t="s">
        <v>8889</v>
      </c>
    </row>
    <row r="5979" spans="1:15" x14ac:dyDescent="0.45">
      <c r="A5979" s="187">
        <v>2022</v>
      </c>
      <c r="B5979" t="s">
        <v>34</v>
      </c>
      <c r="C5979" t="s">
        <v>334</v>
      </c>
      <c r="D5979" t="s">
        <v>335</v>
      </c>
      <c r="E5979" t="s">
        <v>26</v>
      </c>
      <c r="F5979" t="s">
        <v>26</v>
      </c>
      <c r="G5979" t="s">
        <v>37</v>
      </c>
      <c r="H5979" t="s">
        <v>43</v>
      </c>
      <c r="I5979" s="187">
        <v>0</v>
      </c>
      <c r="J5979" s="187">
        <v>0</v>
      </c>
      <c r="K5979" s="187">
        <v>-26.122411727905273</v>
      </c>
      <c r="L5979" s="187">
        <v>725</v>
      </c>
      <c r="M5979" s="187">
        <v>698.8775634765625</v>
      </c>
      <c r="N5979" s="187">
        <v>725</v>
      </c>
      <c r="O5979" t="s">
        <v>8890</v>
      </c>
    </row>
    <row r="5980" spans="1:15" x14ac:dyDescent="0.45">
      <c r="A5980" s="187">
        <v>2022</v>
      </c>
      <c r="B5980" t="s">
        <v>34</v>
      </c>
      <c r="C5980" t="s">
        <v>334</v>
      </c>
      <c r="D5980" t="s">
        <v>335</v>
      </c>
      <c r="E5980" t="s">
        <v>368</v>
      </c>
      <c r="F5980" t="s">
        <v>448</v>
      </c>
      <c r="G5980" t="s">
        <v>36</v>
      </c>
      <c r="H5980" t="s">
        <v>43</v>
      </c>
      <c r="I5980" s="187">
        <v>6538.94287109375</v>
      </c>
      <c r="J5980" s="187">
        <v>1043</v>
      </c>
      <c r="K5980" s="187">
        <v>15575.0810546875</v>
      </c>
      <c r="L5980" s="187">
        <v>13555</v>
      </c>
      <c r="M5980" s="187">
        <v>36712.0234375</v>
      </c>
      <c r="N5980" s="187">
        <v>20093.943359375</v>
      </c>
      <c r="O5980" t="s">
        <v>8891</v>
      </c>
    </row>
    <row r="5981" spans="1:15" x14ac:dyDescent="0.45">
      <c r="A5981" s="187">
        <v>2022</v>
      </c>
      <c r="B5981" t="s">
        <v>34</v>
      </c>
      <c r="C5981" t="s">
        <v>334</v>
      </c>
      <c r="D5981" t="s">
        <v>335</v>
      </c>
      <c r="E5981" t="s">
        <v>368</v>
      </c>
      <c r="F5981" t="s">
        <v>448</v>
      </c>
      <c r="G5981" t="s">
        <v>37</v>
      </c>
      <c r="H5981" t="s">
        <v>43</v>
      </c>
      <c r="I5981" s="187">
        <v>6538.94287109375</v>
      </c>
      <c r="J5981" s="187">
        <v>1043</v>
      </c>
      <c r="K5981" s="187">
        <v>15575.0810546875</v>
      </c>
      <c r="L5981" s="187">
        <v>13555</v>
      </c>
      <c r="M5981" s="187">
        <v>36712.0234375</v>
      </c>
      <c r="N5981" s="187">
        <v>20093.943359375</v>
      </c>
      <c r="O5981" t="s">
        <v>8892</v>
      </c>
    </row>
    <row r="5982" spans="1:15" x14ac:dyDescent="0.45">
      <c r="A5982" s="187">
        <v>2022</v>
      </c>
      <c r="B5982" t="s">
        <v>34</v>
      </c>
      <c r="C5982" t="s">
        <v>334</v>
      </c>
      <c r="D5982" t="s">
        <v>335</v>
      </c>
      <c r="E5982" t="s">
        <v>368</v>
      </c>
      <c r="F5982" t="s">
        <v>449</v>
      </c>
      <c r="G5982" t="s">
        <v>36</v>
      </c>
      <c r="H5982" t="s">
        <v>43</v>
      </c>
      <c r="I5982" s="187">
        <v>13153.3828125</v>
      </c>
      <c r="J5982" s="187">
        <v>1821.1617431640625</v>
      </c>
      <c r="K5982" s="187">
        <v>29107.607421875</v>
      </c>
      <c r="L5982" s="187">
        <v>32827</v>
      </c>
      <c r="M5982" s="187">
        <v>76909.15625</v>
      </c>
      <c r="N5982" s="187">
        <v>45980.3828125</v>
      </c>
      <c r="O5982" t="s">
        <v>8893</v>
      </c>
    </row>
    <row r="5983" spans="1:15" x14ac:dyDescent="0.45">
      <c r="A5983" s="187">
        <v>2022</v>
      </c>
      <c r="B5983" t="s">
        <v>34</v>
      </c>
      <c r="C5983" t="s">
        <v>334</v>
      </c>
      <c r="D5983" t="s">
        <v>335</v>
      </c>
      <c r="E5983" t="s">
        <v>368</v>
      </c>
      <c r="F5983" t="s">
        <v>449</v>
      </c>
      <c r="G5983" t="s">
        <v>37</v>
      </c>
      <c r="H5983" t="s">
        <v>43</v>
      </c>
      <c r="I5983" s="187">
        <v>13153.3828125</v>
      </c>
      <c r="J5983" s="187">
        <v>1821.1617431640625</v>
      </c>
      <c r="K5983" s="187">
        <v>29107.607421875</v>
      </c>
      <c r="L5983" s="187">
        <v>32827</v>
      </c>
      <c r="M5983" s="187">
        <v>76909.15625</v>
      </c>
      <c r="N5983" s="187">
        <v>45980.3828125</v>
      </c>
      <c r="O5983" t="s">
        <v>8894</v>
      </c>
    </row>
    <row r="5984" spans="1:15" x14ac:dyDescent="0.45">
      <c r="A5984" s="187">
        <v>2022</v>
      </c>
      <c r="B5984" t="s">
        <v>34</v>
      </c>
      <c r="C5984" t="s">
        <v>334</v>
      </c>
      <c r="D5984" t="s">
        <v>335</v>
      </c>
      <c r="E5984" t="s">
        <v>46</v>
      </c>
      <c r="F5984" t="s">
        <v>46</v>
      </c>
      <c r="G5984" t="s">
        <v>36</v>
      </c>
      <c r="H5984" t="s">
        <v>43</v>
      </c>
      <c r="I5984" s="187">
        <v>21190.583984375</v>
      </c>
      <c r="J5984" s="187">
        <v>1078</v>
      </c>
      <c r="K5984" s="187">
        <v>21213.3671875</v>
      </c>
      <c r="L5984" s="187">
        <v>13519</v>
      </c>
      <c r="M5984" s="187">
        <v>57000.953125</v>
      </c>
      <c r="N5984" s="187">
        <v>34709.5859375</v>
      </c>
      <c r="O5984" t="s">
        <v>8895</v>
      </c>
    </row>
    <row r="5985" spans="1:15" x14ac:dyDescent="0.45">
      <c r="A5985" s="187">
        <v>2022</v>
      </c>
      <c r="B5985" t="s">
        <v>34</v>
      </c>
      <c r="C5985" t="s">
        <v>334</v>
      </c>
      <c r="D5985" t="s">
        <v>335</v>
      </c>
      <c r="E5985" t="s">
        <v>46</v>
      </c>
      <c r="F5985" t="s">
        <v>46</v>
      </c>
      <c r="G5985" t="s">
        <v>37</v>
      </c>
      <c r="H5985" t="s">
        <v>43</v>
      </c>
      <c r="I5985" s="187">
        <v>21190.583984375</v>
      </c>
      <c r="J5985" s="187">
        <v>1078</v>
      </c>
      <c r="K5985" s="187">
        <v>21213.3671875</v>
      </c>
      <c r="L5985" s="187">
        <v>13519</v>
      </c>
      <c r="M5985" s="187">
        <v>57000.953125</v>
      </c>
      <c r="N5985" s="187">
        <v>34709.5859375</v>
      </c>
      <c r="O5985" t="s">
        <v>8896</v>
      </c>
    </row>
    <row r="5986" spans="1:15" x14ac:dyDescent="0.45">
      <c r="A5986" s="187">
        <v>2022</v>
      </c>
      <c r="B5986" t="s">
        <v>34</v>
      </c>
      <c r="C5986" t="s">
        <v>334</v>
      </c>
      <c r="D5986" t="s">
        <v>335</v>
      </c>
      <c r="E5986" t="s">
        <v>369</v>
      </c>
      <c r="F5986" t="s">
        <v>369</v>
      </c>
      <c r="G5986" t="s">
        <v>36</v>
      </c>
      <c r="H5986" t="s">
        <v>43</v>
      </c>
      <c r="I5986" s="187">
        <v>0</v>
      </c>
      <c r="J5986" s="187">
        <v>0</v>
      </c>
      <c r="K5986" s="187">
        <v>0</v>
      </c>
      <c r="L5986" s="187">
        <v>0</v>
      </c>
      <c r="M5986" s="187">
        <v>0</v>
      </c>
      <c r="N5986" s="187">
        <v>0</v>
      </c>
      <c r="O5986" t="s">
        <v>8897</v>
      </c>
    </row>
    <row r="5987" spans="1:15" x14ac:dyDescent="0.45">
      <c r="A5987" s="187">
        <v>2022</v>
      </c>
      <c r="B5987" t="s">
        <v>34</v>
      </c>
      <c r="C5987" t="s">
        <v>334</v>
      </c>
      <c r="D5987" t="s">
        <v>335</v>
      </c>
      <c r="E5987" t="s">
        <v>369</v>
      </c>
      <c r="F5987" t="s">
        <v>369</v>
      </c>
      <c r="G5987" t="s">
        <v>37</v>
      </c>
      <c r="H5987" t="s">
        <v>43</v>
      </c>
      <c r="I5987" s="187">
        <v>0</v>
      </c>
      <c r="J5987" s="187">
        <v>0</v>
      </c>
      <c r="K5987" s="187">
        <v>0</v>
      </c>
      <c r="L5987" s="187">
        <v>0</v>
      </c>
      <c r="M5987" s="187">
        <v>0</v>
      </c>
      <c r="N5987" s="187">
        <v>0</v>
      </c>
      <c r="O5987" t="s">
        <v>8898</v>
      </c>
    </row>
    <row r="5988" spans="1:15" x14ac:dyDescent="0.45">
      <c r="A5988" s="187">
        <v>2022</v>
      </c>
      <c r="B5988" t="s">
        <v>34</v>
      </c>
      <c r="C5988" t="s">
        <v>334</v>
      </c>
      <c r="D5988" t="s">
        <v>335</v>
      </c>
      <c r="E5988" t="s">
        <v>366</v>
      </c>
      <c r="F5988" t="s">
        <v>366</v>
      </c>
      <c r="G5988" t="s">
        <v>36</v>
      </c>
      <c r="H5988" t="s">
        <v>43</v>
      </c>
      <c r="I5988" s="187">
        <v>209596.328125</v>
      </c>
      <c r="J5988" s="187">
        <v>26802</v>
      </c>
      <c r="K5988" s="187">
        <v>439800.6875</v>
      </c>
      <c r="L5988" s="187">
        <v>483088.46875</v>
      </c>
      <c r="M5988" s="187">
        <v>1159287.5</v>
      </c>
      <c r="N5988" s="187">
        <v>692684.8125</v>
      </c>
      <c r="O5988" t="s">
        <v>8899</v>
      </c>
    </row>
    <row r="5989" spans="1:15" x14ac:dyDescent="0.45">
      <c r="A5989" s="187">
        <v>2022</v>
      </c>
      <c r="B5989" t="s">
        <v>34</v>
      </c>
      <c r="C5989" t="s">
        <v>334</v>
      </c>
      <c r="D5989" t="s">
        <v>335</v>
      </c>
      <c r="E5989" t="s">
        <v>366</v>
      </c>
      <c r="F5989" t="s">
        <v>366</v>
      </c>
      <c r="G5989" t="s">
        <v>37</v>
      </c>
      <c r="H5989" t="s">
        <v>43</v>
      </c>
      <c r="I5989" s="187">
        <v>209596.328125</v>
      </c>
      <c r="J5989" s="187">
        <v>26802</v>
      </c>
      <c r="K5989" s="187">
        <v>439800.6875</v>
      </c>
      <c r="L5989" s="187">
        <v>483088.46875</v>
      </c>
      <c r="M5989" s="187">
        <v>1159287.5</v>
      </c>
      <c r="N5989" s="187">
        <v>692684.8125</v>
      </c>
      <c r="O5989" t="s">
        <v>8900</v>
      </c>
    </row>
    <row r="5990" spans="1:15" x14ac:dyDescent="0.45">
      <c r="A5990" s="187">
        <v>2022</v>
      </c>
      <c r="B5990" t="s">
        <v>34</v>
      </c>
      <c r="C5990" t="s">
        <v>334</v>
      </c>
      <c r="D5990" t="s">
        <v>335</v>
      </c>
      <c r="E5990" t="s">
        <v>370</v>
      </c>
      <c r="F5990" t="s">
        <v>370</v>
      </c>
      <c r="G5990" t="s">
        <v>36</v>
      </c>
      <c r="H5990" t="s">
        <v>43</v>
      </c>
      <c r="I5990" s="187">
        <v>181908.46875</v>
      </c>
      <c r="J5990" s="187">
        <v>24943</v>
      </c>
      <c r="K5990" s="187">
        <v>406139</v>
      </c>
      <c r="L5990" s="187">
        <v>451131.25</v>
      </c>
      <c r="M5990" s="187">
        <v>1064121.75</v>
      </c>
      <c r="N5990" s="187">
        <v>633039.75</v>
      </c>
      <c r="O5990" t="s">
        <v>8901</v>
      </c>
    </row>
    <row r="5991" spans="1:15" x14ac:dyDescent="0.45">
      <c r="A5991" s="187">
        <v>2022</v>
      </c>
      <c r="B5991" t="s">
        <v>34</v>
      </c>
      <c r="C5991" t="s">
        <v>334</v>
      </c>
      <c r="D5991" t="s">
        <v>335</v>
      </c>
      <c r="E5991" t="s">
        <v>370</v>
      </c>
      <c r="F5991" t="s">
        <v>370</v>
      </c>
      <c r="G5991" t="s">
        <v>37</v>
      </c>
      <c r="H5991" t="s">
        <v>43</v>
      </c>
      <c r="I5991" s="187">
        <v>181908.46875</v>
      </c>
      <c r="J5991" s="187">
        <v>24943</v>
      </c>
      <c r="K5991" s="187">
        <v>406139</v>
      </c>
      <c r="L5991" s="187">
        <v>451131.25</v>
      </c>
      <c r="M5991" s="187">
        <v>1064121.75</v>
      </c>
      <c r="N5991" s="187">
        <v>633039.75</v>
      </c>
      <c r="O5991" t="s">
        <v>8902</v>
      </c>
    </row>
    <row r="5992" spans="1:15" hidden="1" x14ac:dyDescent="0.45">
      <c r="A5992" s="187">
        <v>2023</v>
      </c>
      <c r="B5992" t="s">
        <v>316</v>
      </c>
      <c r="C5992" t="s">
        <v>322</v>
      </c>
      <c r="D5992" t="s">
        <v>35</v>
      </c>
      <c r="E5992" t="s">
        <v>348</v>
      </c>
      <c r="F5992" t="s">
        <v>382</v>
      </c>
      <c r="G5992" t="s">
        <v>36</v>
      </c>
      <c r="H5992" t="s">
        <v>43</v>
      </c>
      <c r="I5992" s="187">
        <v>18819.060837777939</v>
      </c>
      <c r="J5992" s="187">
        <v>990.2070009335024</v>
      </c>
      <c r="K5992" s="187">
        <v>20098.924647149459</v>
      </c>
      <c r="L5992" s="187">
        <v>32068.82851187867</v>
      </c>
      <c r="M5992" s="187">
        <v>71977.0234375</v>
      </c>
      <c r="N5992" s="187">
        <v>50887.890625</v>
      </c>
      <c r="O5992" t="s">
        <v>6126</v>
      </c>
    </row>
    <row r="5993" spans="1:15" hidden="1" x14ac:dyDescent="0.45">
      <c r="A5993" s="187">
        <v>2023</v>
      </c>
      <c r="B5993" t="s">
        <v>315</v>
      </c>
      <c r="C5993" t="s">
        <v>322</v>
      </c>
      <c r="D5993" t="s">
        <v>35</v>
      </c>
      <c r="E5993" t="s">
        <v>348</v>
      </c>
      <c r="F5993" t="s">
        <v>382</v>
      </c>
      <c r="G5993" t="s">
        <v>36</v>
      </c>
      <c r="H5993" t="s">
        <v>43</v>
      </c>
      <c r="I5993" s="187">
        <v>19076.223146335655</v>
      </c>
      <c r="J5993" s="187">
        <v>962.87782075725158</v>
      </c>
      <c r="K5993" s="187">
        <v>19347.846390393446</v>
      </c>
      <c r="L5993" s="187">
        <v>33938.611188102652</v>
      </c>
      <c r="M5993" s="187">
        <v>73325.5546875</v>
      </c>
      <c r="N5993" s="187">
        <v>53014.83203125</v>
      </c>
      <c r="O5993" t="s">
        <v>6127</v>
      </c>
    </row>
    <row r="5994" spans="1:15" hidden="1" x14ac:dyDescent="0.45">
      <c r="A5994" s="187">
        <v>2023</v>
      </c>
      <c r="B5994" t="s">
        <v>317</v>
      </c>
      <c r="C5994" t="s">
        <v>322</v>
      </c>
      <c r="D5994" t="s">
        <v>35</v>
      </c>
      <c r="E5994" t="s">
        <v>348</v>
      </c>
      <c r="F5994" t="s">
        <v>382</v>
      </c>
      <c r="G5994" t="s">
        <v>36</v>
      </c>
      <c r="H5994" t="s">
        <v>43</v>
      </c>
      <c r="I5994" s="187">
        <v>18750.837851885062</v>
      </c>
      <c r="J5994" s="187">
        <v>1390.6152061487176</v>
      </c>
      <c r="K5994" s="187">
        <v>20666.198137130112</v>
      </c>
      <c r="L5994" s="187">
        <v>30195.9071880591</v>
      </c>
      <c r="M5994" s="187">
        <v>71003.5625</v>
      </c>
      <c r="N5994" s="187">
        <v>48946.74609375</v>
      </c>
      <c r="O5994" t="s">
        <v>6125</v>
      </c>
    </row>
    <row r="5995" spans="1:15" hidden="1" x14ac:dyDescent="0.45">
      <c r="A5995" s="187">
        <v>2023</v>
      </c>
      <c r="B5995" t="s">
        <v>311</v>
      </c>
      <c r="C5995" t="s">
        <v>322</v>
      </c>
      <c r="D5995" t="s">
        <v>35</v>
      </c>
      <c r="E5995" t="s">
        <v>348</v>
      </c>
      <c r="F5995" t="s">
        <v>382</v>
      </c>
      <c r="G5995" t="s">
        <v>36</v>
      </c>
      <c r="H5995" t="s">
        <v>43</v>
      </c>
      <c r="I5995" s="187"/>
      <c r="J5995" s="187">
        <v>1192.4000046824287</v>
      </c>
      <c r="K5995" s="187">
        <v>16543.142965780131</v>
      </c>
      <c r="L5995" s="187">
        <v>35490.160139366104</v>
      </c>
      <c r="M5995" s="187">
        <v>53225.703125</v>
      </c>
      <c r="N5995" s="187">
        <v>35490.16015625</v>
      </c>
      <c r="O5995" t="s">
        <v>6124</v>
      </c>
    </row>
    <row r="5996" spans="1:15" hidden="1" x14ac:dyDescent="0.45">
      <c r="A5996" s="187">
        <v>2023</v>
      </c>
      <c r="B5996" t="s">
        <v>310</v>
      </c>
      <c r="C5996" t="s">
        <v>322</v>
      </c>
      <c r="D5996" t="s">
        <v>35</v>
      </c>
      <c r="E5996" t="s">
        <v>348</v>
      </c>
      <c r="F5996" t="s">
        <v>382</v>
      </c>
      <c r="G5996" t="s">
        <v>36</v>
      </c>
      <c r="H5996" t="s">
        <v>43</v>
      </c>
      <c r="I5996" s="187"/>
      <c r="J5996" s="187">
        <v>954.63620153653858</v>
      </c>
      <c r="K5996" s="187">
        <v>17058.360081261453</v>
      </c>
      <c r="L5996" s="187">
        <v>33960.202079044342</v>
      </c>
      <c r="M5996" s="187">
        <v>51973.19921875</v>
      </c>
      <c r="N5996" s="187">
        <v>33960.203125</v>
      </c>
      <c r="O5996" t="s">
        <v>6121</v>
      </c>
    </row>
    <row r="5997" spans="1:15" hidden="1" x14ac:dyDescent="0.45">
      <c r="A5997" s="187">
        <v>2023</v>
      </c>
      <c r="B5997" t="s">
        <v>8570</v>
      </c>
      <c r="C5997" t="s">
        <v>322</v>
      </c>
      <c r="D5997" t="s">
        <v>35</v>
      </c>
      <c r="E5997" t="s">
        <v>348</v>
      </c>
      <c r="F5997" t="s">
        <v>382</v>
      </c>
      <c r="G5997" t="s">
        <v>36</v>
      </c>
      <c r="H5997" t="s">
        <v>43</v>
      </c>
      <c r="I5997" s="187">
        <v>12747.545407140249</v>
      </c>
      <c r="J5997" s="187">
        <v>922</v>
      </c>
      <c r="K5997" s="187">
        <v>19335.28052494855</v>
      </c>
      <c r="L5997" s="187">
        <v>27361</v>
      </c>
      <c r="M5997" s="187">
        <v>60365.82421875</v>
      </c>
      <c r="N5997" s="187">
        <v>40108.546875</v>
      </c>
      <c r="O5997" t="s">
        <v>8903</v>
      </c>
    </row>
    <row r="5998" spans="1:15" hidden="1" x14ac:dyDescent="0.45">
      <c r="A5998" s="187">
        <v>2023</v>
      </c>
      <c r="B5998" t="s">
        <v>312</v>
      </c>
      <c r="C5998" t="s">
        <v>322</v>
      </c>
      <c r="D5998" t="s">
        <v>35</v>
      </c>
      <c r="E5998" t="s">
        <v>348</v>
      </c>
      <c r="F5998" t="s">
        <v>382</v>
      </c>
      <c r="G5998" t="s">
        <v>36</v>
      </c>
      <c r="H5998" t="s">
        <v>43</v>
      </c>
      <c r="I5998" s="187">
        <v>14056.698473635519</v>
      </c>
      <c r="J5998" s="187">
        <v>1137.648297077073</v>
      </c>
      <c r="K5998" s="187">
        <v>16333.585567209911</v>
      </c>
      <c r="L5998" s="187">
        <v>25038.155129583232</v>
      </c>
      <c r="M5998" s="187">
        <v>56566.0859375</v>
      </c>
      <c r="N5998" s="187">
        <v>39094.8515625</v>
      </c>
      <c r="O5998" t="s">
        <v>6119</v>
      </c>
    </row>
    <row r="5999" spans="1:15" hidden="1" x14ac:dyDescent="0.45">
      <c r="A5999" s="187">
        <v>2023</v>
      </c>
      <c r="B5999" t="s">
        <v>313</v>
      </c>
      <c r="C5999" t="s">
        <v>322</v>
      </c>
      <c r="D5999" t="s">
        <v>35</v>
      </c>
      <c r="E5999" t="s">
        <v>348</v>
      </c>
      <c r="F5999" t="s">
        <v>382</v>
      </c>
      <c r="G5999" t="s">
        <v>36</v>
      </c>
      <c r="H5999" t="s">
        <v>43</v>
      </c>
      <c r="I5999" s="187">
        <v>14193.164095199458</v>
      </c>
      <c r="J5999" s="187">
        <v>922.37674338968839</v>
      </c>
      <c r="K5999" s="187">
        <v>16943.585168011075</v>
      </c>
      <c r="L5999" s="187">
        <v>31159.563440328016</v>
      </c>
      <c r="M5999" s="187">
        <v>63218.69140625</v>
      </c>
      <c r="N5999" s="187">
        <v>45352.7265625</v>
      </c>
      <c r="O5999" t="s">
        <v>6120</v>
      </c>
    </row>
    <row r="6000" spans="1:15" hidden="1" x14ac:dyDescent="0.45">
      <c r="A6000" s="187">
        <v>2023</v>
      </c>
      <c r="B6000" t="s">
        <v>314</v>
      </c>
      <c r="C6000" t="s">
        <v>322</v>
      </c>
      <c r="D6000" t="s">
        <v>35</v>
      </c>
      <c r="E6000" t="s">
        <v>348</v>
      </c>
      <c r="F6000" t="s">
        <v>382</v>
      </c>
      <c r="G6000" t="s">
        <v>36</v>
      </c>
      <c r="H6000" t="s">
        <v>43</v>
      </c>
      <c r="I6000" s="187">
        <v>18566.768846005139</v>
      </c>
      <c r="J6000" s="187">
        <v>908.56011565714186</v>
      </c>
      <c r="K6000" s="187">
        <v>18670.302007249018</v>
      </c>
      <c r="L6000" s="187">
        <v>34952.773577594686</v>
      </c>
      <c r="M6000" s="187">
        <v>73098.40625</v>
      </c>
      <c r="N6000" s="187">
        <v>53519.54296875</v>
      </c>
      <c r="O6000" t="s">
        <v>6123</v>
      </c>
    </row>
    <row r="6001" spans="1:15" hidden="1" x14ac:dyDescent="0.45">
      <c r="A6001" s="187">
        <v>2023</v>
      </c>
      <c r="B6001" t="s">
        <v>309</v>
      </c>
      <c r="C6001" t="s">
        <v>322</v>
      </c>
      <c r="D6001" t="s">
        <v>35</v>
      </c>
      <c r="E6001" t="s">
        <v>348</v>
      </c>
      <c r="F6001" t="s">
        <v>382</v>
      </c>
      <c r="G6001" t="s">
        <v>36</v>
      </c>
      <c r="H6001" t="s">
        <v>43</v>
      </c>
      <c r="I6001" s="187"/>
      <c r="J6001" s="187">
        <v>1072.9949135653521</v>
      </c>
      <c r="K6001" s="187">
        <v>17130.785588552662</v>
      </c>
      <c r="L6001" s="187">
        <v>24762.338171947074</v>
      </c>
      <c r="M6001" s="187">
        <v>42966.12109375</v>
      </c>
      <c r="N6001" s="187">
        <v>24762.337890625</v>
      </c>
      <c r="O6001" t="s">
        <v>6122</v>
      </c>
    </row>
    <row r="6002" spans="1:15" hidden="1" x14ac:dyDescent="0.45">
      <c r="A6002" s="187">
        <v>2023</v>
      </c>
      <c r="B6002" t="s">
        <v>317</v>
      </c>
      <c r="C6002" t="s">
        <v>322</v>
      </c>
      <c r="D6002" t="s">
        <v>35</v>
      </c>
      <c r="E6002" t="s">
        <v>348</v>
      </c>
      <c r="F6002" t="s">
        <v>382</v>
      </c>
      <c r="G6002" t="s">
        <v>37</v>
      </c>
      <c r="H6002" t="s">
        <v>43</v>
      </c>
      <c r="I6002" s="187">
        <v>18056.10415515623</v>
      </c>
      <c r="J6002" s="187">
        <v>1287</v>
      </c>
      <c r="K6002" s="187">
        <v>19789.738123124371</v>
      </c>
      <c r="L6002" s="187">
        <v>28871</v>
      </c>
      <c r="M6002" s="187">
        <v>68003.84375</v>
      </c>
      <c r="N6002" s="187">
        <v>46927.1015625</v>
      </c>
      <c r="O6002" t="s">
        <v>6130</v>
      </c>
    </row>
    <row r="6003" spans="1:15" hidden="1" x14ac:dyDescent="0.45">
      <c r="A6003" s="187">
        <v>2023</v>
      </c>
      <c r="B6003" t="s">
        <v>313</v>
      </c>
      <c r="C6003" t="s">
        <v>322</v>
      </c>
      <c r="D6003" t="s">
        <v>35</v>
      </c>
      <c r="E6003" t="s">
        <v>348</v>
      </c>
      <c r="F6003" t="s">
        <v>382</v>
      </c>
      <c r="G6003" t="s">
        <v>37</v>
      </c>
      <c r="H6003" t="s">
        <v>43</v>
      </c>
      <c r="I6003" s="187">
        <v>13315.793866042299</v>
      </c>
      <c r="J6003" s="187">
        <v>866</v>
      </c>
      <c r="K6003" s="187">
        <v>15857.76111372316</v>
      </c>
      <c r="L6003" s="187">
        <v>29453.490264351691</v>
      </c>
      <c r="M6003" s="187">
        <v>59493.046875</v>
      </c>
      <c r="N6003" s="187">
        <v>42769.28515625</v>
      </c>
      <c r="O6003" t="s">
        <v>6129</v>
      </c>
    </row>
    <row r="6004" spans="1:15" hidden="1" x14ac:dyDescent="0.45">
      <c r="A6004" s="187">
        <v>2023</v>
      </c>
      <c r="B6004" t="s">
        <v>309</v>
      </c>
      <c r="C6004" t="s">
        <v>322</v>
      </c>
      <c r="D6004" t="s">
        <v>35</v>
      </c>
      <c r="E6004" t="s">
        <v>348</v>
      </c>
      <c r="F6004" t="s">
        <v>382</v>
      </c>
      <c r="G6004" t="s">
        <v>37</v>
      </c>
      <c r="H6004" t="s">
        <v>43</v>
      </c>
      <c r="I6004" s="187"/>
      <c r="J6004" s="187">
        <v>974.67300000000012</v>
      </c>
      <c r="K6004" s="187">
        <v>16135.046664237359</v>
      </c>
      <c r="L6004" s="187">
        <v>24538</v>
      </c>
      <c r="M6004" s="187">
        <v>41647.71875</v>
      </c>
      <c r="N6004" s="187">
        <v>24538</v>
      </c>
      <c r="O6004" t="s">
        <v>6133</v>
      </c>
    </row>
    <row r="6005" spans="1:15" hidden="1" x14ac:dyDescent="0.45">
      <c r="A6005" s="187">
        <v>2023</v>
      </c>
      <c r="B6005" t="s">
        <v>310</v>
      </c>
      <c r="C6005" t="s">
        <v>322</v>
      </c>
      <c r="D6005" t="s">
        <v>35</v>
      </c>
      <c r="E6005" t="s">
        <v>348</v>
      </c>
      <c r="F6005" t="s">
        <v>382</v>
      </c>
      <c r="G6005" t="s">
        <v>37</v>
      </c>
      <c r="H6005" t="s">
        <v>43</v>
      </c>
      <c r="I6005" s="187"/>
      <c r="J6005" s="187">
        <v>875</v>
      </c>
      <c r="K6005" s="187">
        <v>15651.569184786489</v>
      </c>
      <c r="L6005" s="187">
        <v>32764</v>
      </c>
      <c r="M6005" s="187">
        <v>49290.5703125</v>
      </c>
      <c r="N6005" s="187">
        <v>32764</v>
      </c>
      <c r="O6005" t="s">
        <v>6131</v>
      </c>
    </row>
    <row r="6006" spans="1:15" hidden="1" x14ac:dyDescent="0.45">
      <c r="A6006" s="187">
        <v>2023</v>
      </c>
      <c r="B6006" t="s">
        <v>315</v>
      </c>
      <c r="C6006" t="s">
        <v>322</v>
      </c>
      <c r="D6006" t="s">
        <v>35</v>
      </c>
      <c r="E6006" t="s">
        <v>348</v>
      </c>
      <c r="F6006" t="s">
        <v>382</v>
      </c>
      <c r="G6006" t="s">
        <v>37</v>
      </c>
      <c r="H6006" t="s">
        <v>43</v>
      </c>
      <c r="I6006" s="187">
        <v>18263.479758159428</v>
      </c>
      <c r="J6006" s="187">
        <v>901</v>
      </c>
      <c r="K6006" s="187">
        <v>18441.59841940855</v>
      </c>
      <c r="L6006" s="187">
        <v>32430</v>
      </c>
      <c r="M6006" s="187">
        <v>70036.078125</v>
      </c>
      <c r="N6006" s="187">
        <v>50693.48046875</v>
      </c>
      <c r="O6006" t="s">
        <v>6132</v>
      </c>
    </row>
    <row r="6007" spans="1:15" hidden="1" x14ac:dyDescent="0.45">
      <c r="A6007" s="187">
        <v>2023</v>
      </c>
      <c r="B6007" t="s">
        <v>312</v>
      </c>
      <c r="C6007" t="s">
        <v>322</v>
      </c>
      <c r="D6007" t="s">
        <v>35</v>
      </c>
      <c r="E6007" t="s">
        <v>348</v>
      </c>
      <c r="F6007" t="s">
        <v>382</v>
      </c>
      <c r="G6007" t="s">
        <v>37</v>
      </c>
      <c r="H6007" t="s">
        <v>43</v>
      </c>
      <c r="I6007" s="187">
        <v>12839.10219277231</v>
      </c>
      <c r="J6007" s="187">
        <v>1057</v>
      </c>
      <c r="K6007" s="187">
        <v>15125.896667167241</v>
      </c>
      <c r="L6007" s="187">
        <v>23269</v>
      </c>
      <c r="M6007" s="187">
        <v>52291</v>
      </c>
      <c r="N6007" s="187">
        <v>36108.1015625</v>
      </c>
      <c r="O6007" t="s">
        <v>6135</v>
      </c>
    </row>
    <row r="6008" spans="1:15" hidden="1" x14ac:dyDescent="0.45">
      <c r="A6008" s="187">
        <v>2023</v>
      </c>
      <c r="B6008" t="s">
        <v>311</v>
      </c>
      <c r="C6008" t="s">
        <v>322</v>
      </c>
      <c r="D6008" t="s">
        <v>35</v>
      </c>
      <c r="E6008" t="s">
        <v>348</v>
      </c>
      <c r="F6008" t="s">
        <v>382</v>
      </c>
      <c r="G6008" t="s">
        <v>37</v>
      </c>
      <c r="H6008" t="s">
        <v>43</v>
      </c>
      <c r="I6008" s="187"/>
      <c r="J6008" s="187">
        <v>1097</v>
      </c>
      <c r="K6008" s="187">
        <v>15087.84983115192</v>
      </c>
      <c r="L6008" s="187">
        <v>34290</v>
      </c>
      <c r="M6008" s="187">
        <v>50474.8515625</v>
      </c>
      <c r="N6008" s="187">
        <v>34290</v>
      </c>
      <c r="O6008" t="s">
        <v>6128</v>
      </c>
    </row>
    <row r="6009" spans="1:15" hidden="1" x14ac:dyDescent="0.45">
      <c r="A6009" s="187">
        <v>2023</v>
      </c>
      <c r="B6009" t="s">
        <v>8570</v>
      </c>
      <c r="C6009" t="s">
        <v>322</v>
      </c>
      <c r="D6009" t="s">
        <v>35</v>
      </c>
      <c r="E6009" t="s">
        <v>348</v>
      </c>
      <c r="F6009" t="s">
        <v>382</v>
      </c>
      <c r="G6009" t="s">
        <v>37</v>
      </c>
      <c r="H6009" t="s">
        <v>43</v>
      </c>
      <c r="I6009" s="187">
        <v>13002.496315283061</v>
      </c>
      <c r="J6009" s="187">
        <v>922</v>
      </c>
      <c r="K6009" s="187">
        <v>19778.190762062259</v>
      </c>
      <c r="L6009" s="187">
        <v>28995</v>
      </c>
      <c r="M6009" s="187">
        <v>62697.6875</v>
      </c>
      <c r="N6009" s="187">
        <v>41997.49609375</v>
      </c>
      <c r="O6009" t="s">
        <v>8904</v>
      </c>
    </row>
    <row r="6010" spans="1:15" hidden="1" x14ac:dyDescent="0.45">
      <c r="A6010" s="187">
        <v>2023</v>
      </c>
      <c r="B6010" t="s">
        <v>316</v>
      </c>
      <c r="C6010" t="s">
        <v>322</v>
      </c>
      <c r="D6010" t="s">
        <v>35</v>
      </c>
      <c r="E6010" t="s">
        <v>348</v>
      </c>
      <c r="F6010" t="s">
        <v>382</v>
      </c>
      <c r="G6010" t="s">
        <v>37</v>
      </c>
      <c r="H6010" t="s">
        <v>43</v>
      </c>
      <c r="I6010" s="187">
        <v>18133</v>
      </c>
      <c r="J6010" s="187">
        <v>899</v>
      </c>
      <c r="K6010" s="187">
        <v>19018.475643830319</v>
      </c>
      <c r="L6010" s="187">
        <v>31478</v>
      </c>
      <c r="M6010" s="187">
        <v>69528.4765625</v>
      </c>
      <c r="N6010" s="187">
        <v>49611</v>
      </c>
      <c r="O6010" t="s">
        <v>6134</v>
      </c>
    </row>
    <row r="6011" spans="1:15" hidden="1" x14ac:dyDescent="0.45">
      <c r="A6011" s="187">
        <v>2023</v>
      </c>
      <c r="B6011" t="s">
        <v>314</v>
      </c>
      <c r="C6011" t="s">
        <v>322</v>
      </c>
      <c r="D6011" t="s">
        <v>35</v>
      </c>
      <c r="E6011" t="s">
        <v>348</v>
      </c>
      <c r="F6011" t="s">
        <v>382</v>
      </c>
      <c r="G6011" t="s">
        <v>37</v>
      </c>
      <c r="H6011" t="s">
        <v>43</v>
      </c>
      <c r="I6011" s="187">
        <v>17640.06851303915</v>
      </c>
      <c r="J6011" s="187">
        <v>860</v>
      </c>
      <c r="K6011" s="187">
        <v>17729.368316022621</v>
      </c>
      <c r="L6011" s="187">
        <v>35148</v>
      </c>
      <c r="M6011" s="187">
        <v>71377.4375</v>
      </c>
      <c r="N6011" s="187">
        <v>52788.0703125</v>
      </c>
      <c r="O6011" t="s">
        <v>6136</v>
      </c>
    </row>
    <row r="6012" spans="1:15" hidden="1" x14ac:dyDescent="0.45">
      <c r="A6012" s="187">
        <v>2023</v>
      </c>
      <c r="B6012" t="s">
        <v>8570</v>
      </c>
      <c r="C6012" t="s">
        <v>322</v>
      </c>
      <c r="D6012" t="s">
        <v>35</v>
      </c>
      <c r="E6012" t="s">
        <v>19</v>
      </c>
      <c r="F6012" t="s">
        <v>19</v>
      </c>
      <c r="G6012" t="s">
        <v>36</v>
      </c>
      <c r="H6012" t="s">
        <v>43</v>
      </c>
      <c r="I6012" s="187">
        <v>520.02231600000005</v>
      </c>
      <c r="J6012" s="187">
        <v>31</v>
      </c>
      <c r="K6012" s="187">
        <v>126.2581901503753</v>
      </c>
      <c r="L6012" s="187">
        <v>3234</v>
      </c>
      <c r="M6012" s="187">
        <v>3911.280517578125</v>
      </c>
      <c r="N6012" s="187">
        <v>3754.0224609375</v>
      </c>
      <c r="O6012" t="s">
        <v>8905</v>
      </c>
    </row>
    <row r="6013" spans="1:15" hidden="1" x14ac:dyDescent="0.45">
      <c r="A6013" s="187">
        <v>2023</v>
      </c>
      <c r="B6013" t="s">
        <v>309</v>
      </c>
      <c r="C6013" t="s">
        <v>322</v>
      </c>
      <c r="D6013" t="s">
        <v>35</v>
      </c>
      <c r="E6013" t="s">
        <v>19</v>
      </c>
      <c r="F6013" t="s">
        <v>19</v>
      </c>
      <c r="G6013" t="s">
        <v>36</v>
      </c>
      <c r="H6013" t="s">
        <v>43</v>
      </c>
      <c r="I6013" s="187"/>
      <c r="J6013" s="187">
        <v>0</v>
      </c>
      <c r="K6013" s="187">
        <v>150.70942137818534</v>
      </c>
      <c r="L6013" s="187">
        <v>4164.8098867277376</v>
      </c>
      <c r="M6013" s="187">
        <v>4315.51953125</v>
      </c>
      <c r="N6013" s="187">
        <v>4164.81005859375</v>
      </c>
      <c r="O6013" t="s">
        <v>6140</v>
      </c>
    </row>
    <row r="6014" spans="1:15" hidden="1" x14ac:dyDescent="0.45">
      <c r="A6014" s="187">
        <v>2023</v>
      </c>
      <c r="B6014" t="s">
        <v>317</v>
      </c>
      <c r="C6014" t="s">
        <v>322</v>
      </c>
      <c r="D6014" t="s">
        <v>35</v>
      </c>
      <c r="E6014" t="s">
        <v>19</v>
      </c>
      <c r="F6014" t="s">
        <v>19</v>
      </c>
      <c r="G6014" t="s">
        <v>36</v>
      </c>
      <c r="H6014" t="s">
        <v>43</v>
      </c>
      <c r="I6014" s="187">
        <v>918.43273133365187</v>
      </c>
      <c r="J6014" s="187">
        <v>216.10181913732987</v>
      </c>
      <c r="K6014" s="187">
        <v>130.70031691201547</v>
      </c>
      <c r="L6014" s="187">
        <v>3172.3747049360022</v>
      </c>
      <c r="M6014" s="187">
        <v>4437.609375</v>
      </c>
      <c r="N6014" s="187">
        <v>4090.807373046875</v>
      </c>
      <c r="O6014" t="s">
        <v>6137</v>
      </c>
    </row>
    <row r="6015" spans="1:15" hidden="1" x14ac:dyDescent="0.45">
      <c r="A6015" s="187">
        <v>2023</v>
      </c>
      <c r="B6015" t="s">
        <v>313</v>
      </c>
      <c r="C6015" t="s">
        <v>322</v>
      </c>
      <c r="D6015" t="s">
        <v>35</v>
      </c>
      <c r="E6015" t="s">
        <v>19</v>
      </c>
      <c r="F6015" t="s">
        <v>19</v>
      </c>
      <c r="G6015" t="s">
        <v>36</v>
      </c>
      <c r="H6015" t="s">
        <v>43</v>
      </c>
      <c r="I6015" s="187">
        <v>916.38728401702804</v>
      </c>
      <c r="J6015" s="187">
        <v>11.978918745320629</v>
      </c>
      <c r="K6015" s="187">
        <v>132.34216674418374</v>
      </c>
      <c r="L6015" s="187">
        <v>2908.4814713638484</v>
      </c>
      <c r="M6015" s="187">
        <v>3969.18994140625</v>
      </c>
      <c r="N6015" s="187">
        <v>3824.86865234375</v>
      </c>
      <c r="O6015" t="s">
        <v>6143</v>
      </c>
    </row>
    <row r="6016" spans="1:15" hidden="1" x14ac:dyDescent="0.45">
      <c r="A6016" s="187">
        <v>2023</v>
      </c>
      <c r="B6016" t="s">
        <v>310</v>
      </c>
      <c r="C6016" t="s">
        <v>322</v>
      </c>
      <c r="D6016" t="s">
        <v>35</v>
      </c>
      <c r="E6016" t="s">
        <v>19</v>
      </c>
      <c r="F6016" t="s">
        <v>19</v>
      </c>
      <c r="G6016" t="s">
        <v>36</v>
      </c>
      <c r="H6016" t="s">
        <v>43</v>
      </c>
      <c r="I6016" s="187"/>
      <c r="J6016" s="187">
        <v>0</v>
      </c>
      <c r="K6016" s="187">
        <v>148.46704455892109</v>
      </c>
      <c r="L6016" s="187">
        <v>5471.5039277107908</v>
      </c>
      <c r="M6016" s="187">
        <v>5619.97119140625</v>
      </c>
      <c r="N6016" s="187">
        <v>5471.50390625</v>
      </c>
      <c r="O6016" t="s">
        <v>6141</v>
      </c>
    </row>
    <row r="6017" spans="1:15" hidden="1" x14ac:dyDescent="0.45">
      <c r="A6017" s="187">
        <v>2023</v>
      </c>
      <c r="B6017" t="s">
        <v>311</v>
      </c>
      <c r="C6017" t="s">
        <v>322</v>
      </c>
      <c r="D6017" t="s">
        <v>35</v>
      </c>
      <c r="E6017" t="s">
        <v>19</v>
      </c>
      <c r="F6017" t="s">
        <v>19</v>
      </c>
      <c r="G6017" t="s">
        <v>36</v>
      </c>
      <c r="H6017" t="s">
        <v>43</v>
      </c>
      <c r="I6017" s="187"/>
      <c r="J6017" s="187">
        <v>0</v>
      </c>
      <c r="K6017" s="187">
        <v>143.33724665540612</v>
      </c>
      <c r="L6017" s="187">
        <v>5028.4847256286803</v>
      </c>
      <c r="M6017" s="187">
        <v>5171.82177734375</v>
      </c>
      <c r="N6017" s="187">
        <v>5028.48486328125</v>
      </c>
      <c r="O6017" t="s">
        <v>6138</v>
      </c>
    </row>
    <row r="6018" spans="1:15" hidden="1" x14ac:dyDescent="0.45">
      <c r="A6018" s="187">
        <v>2023</v>
      </c>
      <c r="B6018" t="s">
        <v>312</v>
      </c>
      <c r="C6018" t="s">
        <v>322</v>
      </c>
      <c r="D6018" t="s">
        <v>35</v>
      </c>
      <c r="E6018" t="s">
        <v>19</v>
      </c>
      <c r="F6018" t="s">
        <v>19</v>
      </c>
      <c r="G6018" t="s">
        <v>36</v>
      </c>
      <c r="H6018" t="s">
        <v>43</v>
      </c>
      <c r="I6018" s="187">
        <v>945.97929050430525</v>
      </c>
      <c r="J6018" s="187">
        <v>0</v>
      </c>
      <c r="K6018" s="187">
        <v>139.35757189784491</v>
      </c>
      <c r="L6018" s="187">
        <v>2119.4882404240252</v>
      </c>
      <c r="M6018" s="187">
        <v>3204.8251953125</v>
      </c>
      <c r="N6018" s="187">
        <v>3065.467529296875</v>
      </c>
      <c r="O6018" t="s">
        <v>6142</v>
      </c>
    </row>
    <row r="6019" spans="1:15" hidden="1" x14ac:dyDescent="0.45">
      <c r="A6019" s="187">
        <v>2023</v>
      </c>
      <c r="B6019" t="s">
        <v>315</v>
      </c>
      <c r="C6019" t="s">
        <v>322</v>
      </c>
      <c r="D6019" t="s">
        <v>35</v>
      </c>
      <c r="E6019" t="s">
        <v>19</v>
      </c>
      <c r="F6019" t="s">
        <v>19</v>
      </c>
      <c r="G6019" t="s">
        <v>36</v>
      </c>
      <c r="H6019" t="s">
        <v>43</v>
      </c>
      <c r="I6019" s="187">
        <v>866.59003868152638</v>
      </c>
      <c r="J6019" s="187">
        <v>0</v>
      </c>
      <c r="K6019" s="187">
        <v>129.19864441385261</v>
      </c>
      <c r="L6019" s="187">
        <v>3496.9456855031008</v>
      </c>
      <c r="M6019" s="187">
        <v>4492.734375</v>
      </c>
      <c r="N6019" s="187">
        <v>4363.53564453125</v>
      </c>
      <c r="O6019" t="s">
        <v>6139</v>
      </c>
    </row>
    <row r="6020" spans="1:15" hidden="1" x14ac:dyDescent="0.45">
      <c r="A6020" s="187">
        <v>2023</v>
      </c>
      <c r="B6020" t="s">
        <v>314</v>
      </c>
      <c r="C6020" t="s">
        <v>322</v>
      </c>
      <c r="D6020" t="s">
        <v>35</v>
      </c>
      <c r="E6020" t="s">
        <v>19</v>
      </c>
      <c r="F6020" t="s">
        <v>19</v>
      </c>
      <c r="G6020" t="s">
        <v>36</v>
      </c>
      <c r="H6020" t="s">
        <v>43</v>
      </c>
      <c r="I6020" s="187">
        <v>891.08780574065827</v>
      </c>
      <c r="J6020" s="187">
        <v>0</v>
      </c>
      <c r="K6020" s="187">
        <v>129.38518734324035</v>
      </c>
      <c r="L6020" s="187">
        <v>3432.7264882584577</v>
      </c>
      <c r="M6020" s="187">
        <v>4453.19970703125</v>
      </c>
      <c r="N6020" s="187">
        <v>4323.814453125</v>
      </c>
      <c r="O6020" t="s">
        <v>6144</v>
      </c>
    </row>
    <row r="6021" spans="1:15" hidden="1" x14ac:dyDescent="0.45">
      <c r="A6021" s="187">
        <v>2023</v>
      </c>
      <c r="B6021" t="s">
        <v>316</v>
      </c>
      <c r="C6021" t="s">
        <v>322</v>
      </c>
      <c r="D6021" t="s">
        <v>35</v>
      </c>
      <c r="E6021" t="s">
        <v>19</v>
      </c>
      <c r="F6021" t="s">
        <v>19</v>
      </c>
      <c r="G6021" t="s">
        <v>36</v>
      </c>
      <c r="H6021" t="s">
        <v>43</v>
      </c>
      <c r="I6021" s="187">
        <v>859.54869150609932</v>
      </c>
      <c r="J6021" s="187">
        <v>0</v>
      </c>
      <c r="K6021" s="187">
        <v>128.93397095242909</v>
      </c>
      <c r="L6021" s="187">
        <v>5019.3251426629258</v>
      </c>
      <c r="M6021" s="187">
        <v>6007.8076171875</v>
      </c>
      <c r="N6021" s="187">
        <v>5878.8740234375</v>
      </c>
      <c r="O6021" t="s">
        <v>6145</v>
      </c>
    </row>
    <row r="6022" spans="1:15" hidden="1" x14ac:dyDescent="0.45">
      <c r="A6022" s="187">
        <v>2023</v>
      </c>
      <c r="B6022" t="s">
        <v>313</v>
      </c>
      <c r="C6022" t="s">
        <v>322</v>
      </c>
      <c r="D6022" t="s">
        <v>35</v>
      </c>
      <c r="E6022" t="s">
        <v>19</v>
      </c>
      <c r="F6022" t="s">
        <v>19</v>
      </c>
      <c r="G6022" t="s">
        <v>37</v>
      </c>
      <c r="H6022" t="s">
        <v>43</v>
      </c>
      <c r="I6022" s="187">
        <v>859.73952626675543</v>
      </c>
      <c r="J6022" s="187">
        <v>11</v>
      </c>
      <c r="K6022" s="187">
        <v>123.86106273800689</v>
      </c>
      <c r="L6022" s="187">
        <v>2749</v>
      </c>
      <c r="M6022" s="187">
        <v>3743.6005859375</v>
      </c>
      <c r="N6022" s="187">
        <v>3608.739501953125</v>
      </c>
      <c r="O6022" t="s">
        <v>6152</v>
      </c>
    </row>
    <row r="6023" spans="1:15" hidden="1" x14ac:dyDescent="0.45">
      <c r="A6023" s="187">
        <v>2023</v>
      </c>
      <c r="B6023" t="s">
        <v>316</v>
      </c>
      <c r="C6023" t="s">
        <v>322</v>
      </c>
      <c r="D6023" t="s">
        <v>35</v>
      </c>
      <c r="E6023" t="s">
        <v>19</v>
      </c>
      <c r="F6023" t="s">
        <v>19</v>
      </c>
      <c r="G6023" t="s">
        <v>37</v>
      </c>
      <c r="H6023" t="s">
        <v>43</v>
      </c>
      <c r="I6023" s="187">
        <v>828</v>
      </c>
      <c r="J6023" s="187">
        <v>0</v>
      </c>
      <c r="K6023" s="187">
        <v>122.0029244981956</v>
      </c>
      <c r="L6023" s="187">
        <v>4927</v>
      </c>
      <c r="M6023" s="187">
        <v>5877.0029296875</v>
      </c>
      <c r="N6023" s="187">
        <v>5755</v>
      </c>
      <c r="O6023" t="s">
        <v>6149</v>
      </c>
    </row>
    <row r="6024" spans="1:15" hidden="1" x14ac:dyDescent="0.45">
      <c r="A6024" s="187">
        <v>2023</v>
      </c>
      <c r="B6024" t="s">
        <v>8570</v>
      </c>
      <c r="C6024" t="s">
        <v>322</v>
      </c>
      <c r="D6024" t="s">
        <v>35</v>
      </c>
      <c r="E6024" t="s">
        <v>19</v>
      </c>
      <c r="F6024" t="s">
        <v>19</v>
      </c>
      <c r="G6024" t="s">
        <v>37</v>
      </c>
      <c r="H6024" t="s">
        <v>43</v>
      </c>
      <c r="I6024" s="187">
        <v>530.42276232000006</v>
      </c>
      <c r="J6024" s="187">
        <v>31</v>
      </c>
      <c r="K6024" s="187">
        <v>129.1503667011574</v>
      </c>
      <c r="L6024" s="187">
        <v>3427</v>
      </c>
      <c r="M6024" s="187">
        <v>4117.5732421875</v>
      </c>
      <c r="N6024" s="187">
        <v>3957.4228515625</v>
      </c>
      <c r="O6024" t="s">
        <v>8906</v>
      </c>
    </row>
    <row r="6025" spans="1:15" hidden="1" x14ac:dyDescent="0.45">
      <c r="A6025" s="187">
        <v>2023</v>
      </c>
      <c r="B6025" t="s">
        <v>317</v>
      </c>
      <c r="C6025" t="s">
        <v>322</v>
      </c>
      <c r="D6025" t="s">
        <v>35</v>
      </c>
      <c r="E6025" t="s">
        <v>19</v>
      </c>
      <c r="F6025" t="s">
        <v>19</v>
      </c>
      <c r="G6025" t="s">
        <v>37</v>
      </c>
      <c r="H6025" t="s">
        <v>43</v>
      </c>
      <c r="I6025" s="187">
        <v>884.34</v>
      </c>
      <c r="J6025" s="187">
        <v>200</v>
      </c>
      <c r="K6025" s="187">
        <v>125.1572750408816</v>
      </c>
      <c r="L6025" s="187">
        <v>3033</v>
      </c>
      <c r="M6025" s="187">
        <v>4242.4970703125</v>
      </c>
      <c r="N6025" s="187">
        <v>3917.340087890625</v>
      </c>
      <c r="O6025" t="s">
        <v>6147</v>
      </c>
    </row>
    <row r="6026" spans="1:15" hidden="1" x14ac:dyDescent="0.45">
      <c r="A6026" s="187">
        <v>2023</v>
      </c>
      <c r="B6026" t="s">
        <v>309</v>
      </c>
      <c r="C6026" t="s">
        <v>322</v>
      </c>
      <c r="D6026" t="s">
        <v>35</v>
      </c>
      <c r="E6026" t="s">
        <v>19</v>
      </c>
      <c r="F6026" t="s">
        <v>19</v>
      </c>
      <c r="G6026" t="s">
        <v>37</v>
      </c>
      <c r="H6026" t="s">
        <v>43</v>
      </c>
      <c r="I6026" s="187"/>
      <c r="J6026" s="187">
        <v>0</v>
      </c>
      <c r="K6026" s="187">
        <v>141.94933058424209</v>
      </c>
      <c r="L6026" s="187">
        <v>4127</v>
      </c>
      <c r="M6026" s="187">
        <v>4268.94921875</v>
      </c>
      <c r="N6026" s="187">
        <v>4127</v>
      </c>
      <c r="O6026" t="s">
        <v>6148</v>
      </c>
    </row>
    <row r="6027" spans="1:15" hidden="1" x14ac:dyDescent="0.45">
      <c r="A6027" s="187">
        <v>2023</v>
      </c>
      <c r="B6027" t="s">
        <v>312</v>
      </c>
      <c r="C6027" t="s">
        <v>322</v>
      </c>
      <c r="D6027" t="s">
        <v>35</v>
      </c>
      <c r="E6027" t="s">
        <v>19</v>
      </c>
      <c r="F6027" t="s">
        <v>19</v>
      </c>
      <c r="G6027" t="s">
        <v>37</v>
      </c>
      <c r="H6027" t="s">
        <v>43</v>
      </c>
      <c r="I6027" s="187">
        <v>864.03822389808943</v>
      </c>
      <c r="J6027" s="187">
        <v>0</v>
      </c>
      <c r="K6027" s="187">
        <v>129.05361309924581</v>
      </c>
      <c r="L6027" s="187">
        <v>1970</v>
      </c>
      <c r="M6027" s="187">
        <v>2963.091796875</v>
      </c>
      <c r="N6027" s="187">
        <v>2834.0380859375</v>
      </c>
      <c r="O6027" t="s">
        <v>6150</v>
      </c>
    </row>
    <row r="6028" spans="1:15" hidden="1" x14ac:dyDescent="0.45">
      <c r="A6028" s="187">
        <v>2023</v>
      </c>
      <c r="B6028" t="s">
        <v>314</v>
      </c>
      <c r="C6028" t="s">
        <v>322</v>
      </c>
      <c r="D6028" t="s">
        <v>35</v>
      </c>
      <c r="E6028" t="s">
        <v>19</v>
      </c>
      <c r="F6028" t="s">
        <v>19</v>
      </c>
      <c r="G6028" t="s">
        <v>37</v>
      </c>
      <c r="H6028" t="s">
        <v>43</v>
      </c>
      <c r="I6028" s="187">
        <v>845.03590157927624</v>
      </c>
      <c r="J6028" s="187">
        <v>0</v>
      </c>
      <c r="K6028" s="187">
        <v>122.86451714360319</v>
      </c>
      <c r="L6028" s="187">
        <v>3452</v>
      </c>
      <c r="M6028" s="187">
        <v>4419.900390625</v>
      </c>
      <c r="N6028" s="187">
        <v>4297.0361328125</v>
      </c>
      <c r="O6028" t="s">
        <v>6146</v>
      </c>
    </row>
    <row r="6029" spans="1:15" hidden="1" x14ac:dyDescent="0.45">
      <c r="A6029" s="187">
        <v>2023</v>
      </c>
      <c r="B6029" t="s">
        <v>311</v>
      </c>
      <c r="C6029" t="s">
        <v>322</v>
      </c>
      <c r="D6029" t="s">
        <v>35</v>
      </c>
      <c r="E6029" t="s">
        <v>19</v>
      </c>
      <c r="F6029" t="s">
        <v>19</v>
      </c>
      <c r="G6029" t="s">
        <v>37</v>
      </c>
      <c r="H6029" t="s">
        <v>43</v>
      </c>
      <c r="I6029" s="187"/>
      <c r="J6029" s="187">
        <v>0</v>
      </c>
      <c r="K6029" s="187">
        <v>130.7279310359007</v>
      </c>
      <c r="L6029" s="187">
        <v>4859</v>
      </c>
      <c r="M6029" s="187">
        <v>4989.72802734375</v>
      </c>
      <c r="N6029" s="187">
        <v>4859</v>
      </c>
      <c r="O6029" t="s">
        <v>6151</v>
      </c>
    </row>
    <row r="6030" spans="1:15" hidden="1" x14ac:dyDescent="0.45">
      <c r="A6030" s="187">
        <v>2023</v>
      </c>
      <c r="B6030" t="s">
        <v>310</v>
      </c>
      <c r="C6030" t="s">
        <v>322</v>
      </c>
      <c r="D6030" t="s">
        <v>35</v>
      </c>
      <c r="E6030" t="s">
        <v>19</v>
      </c>
      <c r="F6030" t="s">
        <v>19</v>
      </c>
      <c r="G6030" t="s">
        <v>37</v>
      </c>
      <c r="H6030" t="s">
        <v>43</v>
      </c>
      <c r="I6030" s="187"/>
      <c r="J6030" s="187">
        <v>0</v>
      </c>
      <c r="K6030" s="187">
        <v>136.22307235308941</v>
      </c>
      <c r="L6030" s="187">
        <v>5278</v>
      </c>
      <c r="M6030" s="187">
        <v>5414.22314453125</v>
      </c>
      <c r="N6030" s="187">
        <v>5278</v>
      </c>
      <c r="O6030" t="s">
        <v>6154</v>
      </c>
    </row>
    <row r="6031" spans="1:15" hidden="1" x14ac:dyDescent="0.45">
      <c r="A6031" s="187">
        <v>2023</v>
      </c>
      <c r="B6031" t="s">
        <v>315</v>
      </c>
      <c r="C6031" t="s">
        <v>322</v>
      </c>
      <c r="D6031" t="s">
        <v>35</v>
      </c>
      <c r="E6031" t="s">
        <v>19</v>
      </c>
      <c r="F6031" t="s">
        <v>19</v>
      </c>
      <c r="G6031" t="s">
        <v>37</v>
      </c>
      <c r="H6031" t="s">
        <v>43</v>
      </c>
      <c r="I6031" s="187">
        <v>828.22297518305993</v>
      </c>
      <c r="J6031" s="187">
        <v>0</v>
      </c>
      <c r="K6031" s="187">
        <v>123.14701432585539</v>
      </c>
      <c r="L6031" s="187">
        <v>3341</v>
      </c>
      <c r="M6031" s="187">
        <v>4292.3701171875</v>
      </c>
      <c r="N6031" s="187">
        <v>4169.22314453125</v>
      </c>
      <c r="O6031" t="s">
        <v>6153</v>
      </c>
    </row>
    <row r="6032" spans="1:15" hidden="1" x14ac:dyDescent="0.45">
      <c r="A6032" s="187">
        <v>2023</v>
      </c>
      <c r="B6032" t="s">
        <v>311</v>
      </c>
      <c r="C6032" t="s">
        <v>322</v>
      </c>
      <c r="D6032" t="s">
        <v>35</v>
      </c>
      <c r="E6032" t="s">
        <v>349</v>
      </c>
      <c r="F6032" t="s">
        <v>349</v>
      </c>
      <c r="G6032" t="s">
        <v>36</v>
      </c>
      <c r="H6032" t="s">
        <v>43</v>
      </c>
      <c r="I6032" s="187"/>
      <c r="J6032" s="187">
        <v>803.43529727265252</v>
      </c>
      <c r="K6032" s="187">
        <v>4156.7801530067782</v>
      </c>
      <c r="L6032" s="187">
        <v>4072.0141336374277</v>
      </c>
      <c r="M6032" s="187">
        <v>9032.2294921875</v>
      </c>
      <c r="N6032" s="187">
        <v>4072.01416015625</v>
      </c>
      <c r="O6032" t="s">
        <v>6163</v>
      </c>
    </row>
    <row r="6033" spans="1:15" hidden="1" x14ac:dyDescent="0.45">
      <c r="A6033" s="187">
        <v>2023</v>
      </c>
      <c r="B6033" t="s">
        <v>316</v>
      </c>
      <c r="C6033" t="s">
        <v>322</v>
      </c>
      <c r="D6033" t="s">
        <v>35</v>
      </c>
      <c r="E6033" t="s">
        <v>349</v>
      </c>
      <c r="F6033" t="s">
        <v>349</v>
      </c>
      <c r="G6033" t="s">
        <v>36</v>
      </c>
      <c r="H6033" t="s">
        <v>43</v>
      </c>
      <c r="I6033" s="187">
        <v>4662.4684178448588</v>
      </c>
      <c r="J6033" s="187">
        <v>545.21965012467604</v>
      </c>
      <c r="K6033" s="187">
        <v>4877.5581454580906</v>
      </c>
      <c r="L6033" s="187">
        <v>3281.2309852957774</v>
      </c>
      <c r="M6033" s="187">
        <v>13366.4775390625</v>
      </c>
      <c r="N6033" s="187">
        <v>7943.69921875</v>
      </c>
      <c r="O6033" t="s">
        <v>6156</v>
      </c>
    </row>
    <row r="6034" spans="1:15" hidden="1" x14ac:dyDescent="0.45">
      <c r="A6034" s="187">
        <v>2023</v>
      </c>
      <c r="B6034" t="s">
        <v>309</v>
      </c>
      <c r="C6034" t="s">
        <v>322</v>
      </c>
      <c r="D6034" t="s">
        <v>35</v>
      </c>
      <c r="E6034" t="s">
        <v>349</v>
      </c>
      <c r="F6034" t="s">
        <v>349</v>
      </c>
      <c r="G6034" t="s">
        <v>36</v>
      </c>
      <c r="H6034" t="s">
        <v>43</v>
      </c>
      <c r="I6034" s="187"/>
      <c r="J6034" s="187">
        <v>569.6145837445697</v>
      </c>
      <c r="K6034" s="187">
        <v>3767.7355344546336</v>
      </c>
      <c r="L6034" s="187">
        <v>1352.503465123734</v>
      </c>
      <c r="M6034" s="187">
        <v>5689.853515625</v>
      </c>
      <c r="N6034" s="187">
        <v>1352.50341796875</v>
      </c>
      <c r="O6034" t="s">
        <v>6160</v>
      </c>
    </row>
    <row r="6035" spans="1:15" hidden="1" x14ac:dyDescent="0.45">
      <c r="A6035" s="187">
        <v>2023</v>
      </c>
      <c r="B6035" t="s">
        <v>315</v>
      </c>
      <c r="C6035" t="s">
        <v>322</v>
      </c>
      <c r="D6035" t="s">
        <v>35</v>
      </c>
      <c r="E6035" t="s">
        <v>349</v>
      </c>
      <c r="F6035" t="s">
        <v>349</v>
      </c>
      <c r="G6035" t="s">
        <v>36</v>
      </c>
      <c r="H6035" t="s">
        <v>43</v>
      </c>
      <c r="I6035" s="187">
        <v>4701.1093601677576</v>
      </c>
      <c r="J6035" s="187">
        <v>430.46302575030069</v>
      </c>
      <c r="K6035" s="187">
        <v>4139.0508386569873</v>
      </c>
      <c r="L6035" s="187">
        <v>2833.1263878986897</v>
      </c>
      <c r="M6035" s="187">
        <v>12103.7490234375</v>
      </c>
      <c r="N6035" s="187">
        <v>7534.23583984375</v>
      </c>
      <c r="O6035" t="s">
        <v>6161</v>
      </c>
    </row>
    <row r="6036" spans="1:15" hidden="1" x14ac:dyDescent="0.45">
      <c r="A6036" s="187">
        <v>2023</v>
      </c>
      <c r="B6036" t="s">
        <v>317</v>
      </c>
      <c r="C6036" t="s">
        <v>322</v>
      </c>
      <c r="D6036" t="s">
        <v>35</v>
      </c>
      <c r="E6036" t="s">
        <v>349</v>
      </c>
      <c r="F6036" t="s">
        <v>349</v>
      </c>
      <c r="G6036" t="s">
        <v>36</v>
      </c>
      <c r="H6036" t="s">
        <v>43</v>
      </c>
      <c r="I6036" s="187">
        <v>5316.1047507783151</v>
      </c>
      <c r="J6036" s="187">
        <v>534.8520023648914</v>
      </c>
      <c r="K6036" s="187">
        <v>4696.9826348171109</v>
      </c>
      <c r="L6036" s="187">
        <v>3837.9683078789785</v>
      </c>
      <c r="M6036" s="187">
        <v>14385.908203125</v>
      </c>
      <c r="N6036" s="187">
        <v>9154.0732421875</v>
      </c>
      <c r="O6036" t="s">
        <v>6157</v>
      </c>
    </row>
    <row r="6037" spans="1:15" hidden="1" x14ac:dyDescent="0.45">
      <c r="A6037" s="187">
        <v>2023</v>
      </c>
      <c r="B6037" t="s">
        <v>313</v>
      </c>
      <c r="C6037" t="s">
        <v>322</v>
      </c>
      <c r="D6037" t="s">
        <v>35</v>
      </c>
      <c r="E6037" t="s">
        <v>349</v>
      </c>
      <c r="F6037" t="s">
        <v>349</v>
      </c>
      <c r="G6037" t="s">
        <v>36</v>
      </c>
      <c r="H6037" t="s">
        <v>43</v>
      </c>
      <c r="I6037" s="187">
        <v>4432.1999357686327</v>
      </c>
      <c r="J6037" s="187">
        <v>539.05134353942822</v>
      </c>
      <c r="K6037" s="187">
        <v>2864.960069493326</v>
      </c>
      <c r="L6037" s="187">
        <v>2031.6246192063784</v>
      </c>
      <c r="M6037" s="187">
        <v>9867.8359375</v>
      </c>
      <c r="N6037" s="187">
        <v>6463.82421875</v>
      </c>
      <c r="O6037" t="s">
        <v>6158</v>
      </c>
    </row>
    <row r="6038" spans="1:15" hidden="1" x14ac:dyDescent="0.45">
      <c r="A6038" s="187">
        <v>2023</v>
      </c>
      <c r="B6038" t="s">
        <v>312</v>
      </c>
      <c r="C6038" t="s">
        <v>322</v>
      </c>
      <c r="D6038" t="s">
        <v>35</v>
      </c>
      <c r="E6038" t="s">
        <v>349</v>
      </c>
      <c r="F6038" t="s">
        <v>349</v>
      </c>
      <c r="G6038" t="s">
        <v>36</v>
      </c>
      <c r="H6038" t="s">
        <v>43</v>
      </c>
      <c r="I6038" s="187">
        <v>4513.4959612296916</v>
      </c>
      <c r="J6038" s="187">
        <v>741.94454157200414</v>
      </c>
      <c r="K6038" s="187">
        <v>4104.7139359001612</v>
      </c>
      <c r="L6038" s="187">
        <v>2087.3373102892383</v>
      </c>
      <c r="M6038" s="187">
        <v>11447.4912109375</v>
      </c>
      <c r="N6038" s="187">
        <v>6600.83349609375</v>
      </c>
      <c r="O6038" t="s">
        <v>6162</v>
      </c>
    </row>
    <row r="6039" spans="1:15" hidden="1" x14ac:dyDescent="0.45">
      <c r="A6039" s="187">
        <v>2023</v>
      </c>
      <c r="B6039" t="s">
        <v>8570</v>
      </c>
      <c r="C6039" t="s">
        <v>322</v>
      </c>
      <c r="D6039" t="s">
        <v>35</v>
      </c>
      <c r="E6039" t="s">
        <v>349</v>
      </c>
      <c r="F6039" t="s">
        <v>349</v>
      </c>
      <c r="G6039" t="s">
        <v>36</v>
      </c>
      <c r="H6039" t="s">
        <v>43</v>
      </c>
      <c r="I6039" s="187">
        <v>2842.7886607999999</v>
      </c>
      <c r="J6039" s="187">
        <v>109</v>
      </c>
      <c r="K6039" s="187">
        <v>6434.3659893468603</v>
      </c>
      <c r="L6039" s="187">
        <v>3506</v>
      </c>
      <c r="M6039" s="187">
        <v>12892.154296875</v>
      </c>
      <c r="N6039" s="187">
        <v>6348.78857421875</v>
      </c>
      <c r="O6039" t="s">
        <v>8907</v>
      </c>
    </row>
    <row r="6040" spans="1:15" hidden="1" x14ac:dyDescent="0.45">
      <c r="A6040" s="187">
        <v>2023</v>
      </c>
      <c r="B6040" t="s">
        <v>314</v>
      </c>
      <c r="C6040" t="s">
        <v>322</v>
      </c>
      <c r="D6040" t="s">
        <v>35</v>
      </c>
      <c r="E6040" t="s">
        <v>349</v>
      </c>
      <c r="F6040" t="s">
        <v>349</v>
      </c>
      <c r="G6040" t="s">
        <v>36</v>
      </c>
      <c r="H6040" t="s">
        <v>43</v>
      </c>
      <c r="I6040" s="187">
        <v>3902.1492146813143</v>
      </c>
      <c r="J6040" s="187">
        <v>506.69698757802138</v>
      </c>
      <c r="K6040" s="187">
        <v>4605.8447495861674</v>
      </c>
      <c r="L6040" s="187">
        <v>2082.699342044833</v>
      </c>
      <c r="M6040" s="187">
        <v>11097.390625</v>
      </c>
      <c r="N6040" s="187">
        <v>5984.8486328125</v>
      </c>
      <c r="O6040" t="s">
        <v>6159</v>
      </c>
    </row>
    <row r="6041" spans="1:15" hidden="1" x14ac:dyDescent="0.45">
      <c r="A6041" s="187">
        <v>2023</v>
      </c>
      <c r="B6041" t="s">
        <v>310</v>
      </c>
      <c r="C6041" t="s">
        <v>322</v>
      </c>
      <c r="D6041" t="s">
        <v>35</v>
      </c>
      <c r="E6041" t="s">
        <v>349</v>
      </c>
      <c r="F6041" t="s">
        <v>349</v>
      </c>
      <c r="G6041" t="s">
        <v>36</v>
      </c>
      <c r="H6041" t="s">
        <v>43</v>
      </c>
      <c r="I6041" s="187"/>
      <c r="J6041" s="187">
        <v>653.86041201132775</v>
      </c>
      <c r="K6041" s="187">
        <v>3711.6761139730265</v>
      </c>
      <c r="L6041" s="187">
        <v>4161.1676620400904</v>
      </c>
      <c r="M6041" s="187">
        <v>8526.7041015625</v>
      </c>
      <c r="N6041" s="187">
        <v>4161.16748046875</v>
      </c>
      <c r="O6041" t="s">
        <v>6155</v>
      </c>
    </row>
    <row r="6042" spans="1:15" hidden="1" x14ac:dyDescent="0.45">
      <c r="A6042" s="187">
        <v>2023</v>
      </c>
      <c r="B6042" t="s">
        <v>309</v>
      </c>
      <c r="C6042" t="s">
        <v>322</v>
      </c>
      <c r="D6042" t="s">
        <v>35</v>
      </c>
      <c r="E6042" t="s">
        <v>349</v>
      </c>
      <c r="F6042" t="s">
        <v>349</v>
      </c>
      <c r="G6042" t="s">
        <v>37</v>
      </c>
      <c r="H6042" t="s">
        <v>43</v>
      </c>
      <c r="I6042" s="187"/>
      <c r="J6042" s="187">
        <v>517.41899999999998</v>
      </c>
      <c r="K6042" s="187">
        <v>3548.7332646060522</v>
      </c>
      <c r="L6042" s="187">
        <v>1341</v>
      </c>
      <c r="M6042" s="187">
        <v>5407.15234375</v>
      </c>
      <c r="N6042" s="187">
        <v>1341</v>
      </c>
      <c r="O6042" t="s">
        <v>6165</v>
      </c>
    </row>
    <row r="6043" spans="1:15" hidden="1" x14ac:dyDescent="0.45">
      <c r="A6043" s="187">
        <v>2023</v>
      </c>
      <c r="B6043" t="s">
        <v>316</v>
      </c>
      <c r="C6043" t="s">
        <v>322</v>
      </c>
      <c r="D6043" t="s">
        <v>35</v>
      </c>
      <c r="E6043" t="s">
        <v>349</v>
      </c>
      <c r="F6043" t="s">
        <v>349</v>
      </c>
      <c r="G6043" t="s">
        <v>37</v>
      </c>
      <c r="H6043" t="s">
        <v>43</v>
      </c>
      <c r="I6043" s="187">
        <v>4493</v>
      </c>
      <c r="J6043" s="187">
        <v>495</v>
      </c>
      <c r="K6043" s="187">
        <v>4615.3574093784728</v>
      </c>
      <c r="L6043" s="187">
        <v>3221</v>
      </c>
      <c r="M6043" s="187">
        <v>12824.357421875</v>
      </c>
      <c r="N6043" s="187">
        <v>7714</v>
      </c>
      <c r="O6043" t="s">
        <v>6170</v>
      </c>
    </row>
    <row r="6044" spans="1:15" hidden="1" x14ac:dyDescent="0.45">
      <c r="A6044" s="187">
        <v>2023</v>
      </c>
      <c r="B6044" t="s">
        <v>312</v>
      </c>
      <c r="C6044" t="s">
        <v>322</v>
      </c>
      <c r="D6044" t="s">
        <v>35</v>
      </c>
      <c r="E6044" t="s">
        <v>349</v>
      </c>
      <c r="F6044" t="s">
        <v>349</v>
      </c>
      <c r="G6044" t="s">
        <v>37</v>
      </c>
      <c r="H6044" t="s">
        <v>43</v>
      </c>
      <c r="I6044" s="187">
        <v>4122.5353166379427</v>
      </c>
      <c r="J6044" s="187">
        <v>689</v>
      </c>
      <c r="K6044" s="187">
        <v>3801.2155131050572</v>
      </c>
      <c r="L6044" s="187">
        <v>1940</v>
      </c>
      <c r="M6044" s="187">
        <v>10552.7509765625</v>
      </c>
      <c r="N6044" s="187">
        <v>6062.53515625</v>
      </c>
      <c r="O6044" t="s">
        <v>6168</v>
      </c>
    </row>
    <row r="6045" spans="1:15" hidden="1" x14ac:dyDescent="0.45">
      <c r="A6045" s="187">
        <v>2023</v>
      </c>
      <c r="B6045" t="s">
        <v>314</v>
      </c>
      <c r="C6045" t="s">
        <v>322</v>
      </c>
      <c r="D6045" t="s">
        <v>35</v>
      </c>
      <c r="E6045" t="s">
        <v>349</v>
      </c>
      <c r="F6045" t="s">
        <v>349</v>
      </c>
      <c r="G6045" t="s">
        <v>37</v>
      </c>
      <c r="H6045" t="s">
        <v>43</v>
      </c>
      <c r="I6045" s="187">
        <v>3700.4840134517331</v>
      </c>
      <c r="J6045" s="187">
        <v>480</v>
      </c>
      <c r="K6045" s="187">
        <v>4373.7223929279207</v>
      </c>
      <c r="L6045" s="187">
        <v>2094</v>
      </c>
      <c r="M6045" s="187">
        <v>10648.20703125</v>
      </c>
      <c r="N6045" s="187">
        <v>5794.484375</v>
      </c>
      <c r="O6045" t="s">
        <v>6164</v>
      </c>
    </row>
    <row r="6046" spans="1:15" hidden="1" x14ac:dyDescent="0.45">
      <c r="A6046" s="187">
        <v>2023</v>
      </c>
      <c r="B6046" t="s">
        <v>311</v>
      </c>
      <c r="C6046" t="s">
        <v>322</v>
      </c>
      <c r="D6046" t="s">
        <v>35</v>
      </c>
      <c r="E6046" t="s">
        <v>349</v>
      </c>
      <c r="F6046" t="s">
        <v>349</v>
      </c>
      <c r="G6046" t="s">
        <v>37</v>
      </c>
      <c r="H6046" t="s">
        <v>43</v>
      </c>
      <c r="I6046" s="187"/>
      <c r="J6046" s="187">
        <v>739</v>
      </c>
      <c r="K6046" s="187">
        <v>3791.1100000411202</v>
      </c>
      <c r="L6046" s="187">
        <v>3934</v>
      </c>
      <c r="M6046" s="187">
        <v>8464.109375</v>
      </c>
      <c r="N6046" s="187">
        <v>3934</v>
      </c>
      <c r="O6046" t="s">
        <v>6167</v>
      </c>
    </row>
    <row r="6047" spans="1:15" hidden="1" x14ac:dyDescent="0.45">
      <c r="A6047" s="187">
        <v>2023</v>
      </c>
      <c r="B6047" t="s">
        <v>8570</v>
      </c>
      <c r="C6047" t="s">
        <v>322</v>
      </c>
      <c r="D6047" t="s">
        <v>35</v>
      </c>
      <c r="E6047" t="s">
        <v>349</v>
      </c>
      <c r="F6047" t="s">
        <v>349</v>
      </c>
      <c r="G6047" t="s">
        <v>37</v>
      </c>
      <c r="H6047" t="s">
        <v>43</v>
      </c>
      <c r="I6047" s="187">
        <v>2899.644434016001</v>
      </c>
      <c r="J6047" s="187">
        <v>109</v>
      </c>
      <c r="K6047" s="187">
        <v>6581.7570014576404</v>
      </c>
      <c r="L6047" s="187">
        <v>3715</v>
      </c>
      <c r="M6047" s="187">
        <v>13305.4013671875</v>
      </c>
      <c r="N6047" s="187">
        <v>6614.64453125</v>
      </c>
      <c r="O6047" t="s">
        <v>8908</v>
      </c>
    </row>
    <row r="6048" spans="1:15" hidden="1" x14ac:dyDescent="0.45">
      <c r="A6048" s="187">
        <v>2023</v>
      </c>
      <c r="B6048" t="s">
        <v>310</v>
      </c>
      <c r="C6048" t="s">
        <v>322</v>
      </c>
      <c r="D6048" t="s">
        <v>35</v>
      </c>
      <c r="E6048" t="s">
        <v>349</v>
      </c>
      <c r="F6048" t="s">
        <v>349</v>
      </c>
      <c r="G6048" t="s">
        <v>37</v>
      </c>
      <c r="H6048" t="s">
        <v>43</v>
      </c>
      <c r="I6048" s="187"/>
      <c r="J6048" s="187">
        <v>599</v>
      </c>
      <c r="K6048" s="187">
        <v>3405.5768088272348</v>
      </c>
      <c r="L6048" s="187">
        <v>4015</v>
      </c>
      <c r="M6048" s="187">
        <v>8019.5771484375</v>
      </c>
      <c r="N6048" s="187">
        <v>4015</v>
      </c>
      <c r="O6048" t="s">
        <v>6171</v>
      </c>
    </row>
    <row r="6049" spans="1:15" hidden="1" x14ac:dyDescent="0.45">
      <c r="A6049" s="187">
        <v>2023</v>
      </c>
      <c r="B6049" t="s">
        <v>317</v>
      </c>
      <c r="C6049" t="s">
        <v>322</v>
      </c>
      <c r="D6049" t="s">
        <v>35</v>
      </c>
      <c r="E6049" t="s">
        <v>349</v>
      </c>
      <c r="F6049" t="s">
        <v>349</v>
      </c>
      <c r="G6049" t="s">
        <v>37</v>
      </c>
      <c r="H6049" t="s">
        <v>43</v>
      </c>
      <c r="I6049" s="187">
        <v>5119.2018468000006</v>
      </c>
      <c r="J6049" s="187">
        <v>495</v>
      </c>
      <c r="K6049" s="187">
        <v>4497.7821123707399</v>
      </c>
      <c r="L6049" s="187">
        <v>3670</v>
      </c>
      <c r="M6049" s="187">
        <v>13781.9833984375</v>
      </c>
      <c r="N6049" s="187">
        <v>8789.201171875</v>
      </c>
      <c r="O6049" t="s">
        <v>6166</v>
      </c>
    </row>
    <row r="6050" spans="1:15" hidden="1" x14ac:dyDescent="0.45">
      <c r="A6050" s="187">
        <v>2023</v>
      </c>
      <c r="B6050" t="s">
        <v>313</v>
      </c>
      <c r="C6050" t="s">
        <v>322</v>
      </c>
      <c r="D6050" t="s">
        <v>35</v>
      </c>
      <c r="E6050" t="s">
        <v>349</v>
      </c>
      <c r="F6050" t="s">
        <v>349</v>
      </c>
      <c r="G6050" t="s">
        <v>37</v>
      </c>
      <c r="H6050" t="s">
        <v>43</v>
      </c>
      <c r="I6050" s="187">
        <v>4158.2173165843069</v>
      </c>
      <c r="J6050" s="187">
        <v>507</v>
      </c>
      <c r="K6050" s="187">
        <v>2681.3600505372792</v>
      </c>
      <c r="L6050" s="187">
        <v>1920</v>
      </c>
      <c r="M6050" s="187">
        <v>9266.5771484375</v>
      </c>
      <c r="N6050" s="187">
        <v>6078.21728515625</v>
      </c>
      <c r="O6050" t="s">
        <v>6172</v>
      </c>
    </row>
    <row r="6051" spans="1:15" hidden="1" x14ac:dyDescent="0.45">
      <c r="A6051" s="187">
        <v>2023</v>
      </c>
      <c r="B6051" t="s">
        <v>315</v>
      </c>
      <c r="C6051" t="s">
        <v>322</v>
      </c>
      <c r="D6051" t="s">
        <v>35</v>
      </c>
      <c r="E6051" t="s">
        <v>349</v>
      </c>
      <c r="F6051" t="s">
        <v>349</v>
      </c>
      <c r="G6051" t="s">
        <v>37</v>
      </c>
      <c r="H6051" t="s">
        <v>43</v>
      </c>
      <c r="I6051" s="187">
        <v>4492.9743098166</v>
      </c>
      <c r="J6051" s="187">
        <v>403</v>
      </c>
      <c r="K6051" s="187">
        <v>3945.1787999478802</v>
      </c>
      <c r="L6051" s="187">
        <v>2707</v>
      </c>
      <c r="M6051" s="187">
        <v>11548.1533203125</v>
      </c>
      <c r="N6051" s="187">
        <v>7199.97412109375</v>
      </c>
      <c r="O6051" t="s">
        <v>6169</v>
      </c>
    </row>
    <row r="6052" spans="1:15" hidden="1" x14ac:dyDescent="0.45">
      <c r="A6052" s="187">
        <v>2023</v>
      </c>
      <c r="B6052" t="s">
        <v>312</v>
      </c>
      <c r="C6052" t="s">
        <v>322</v>
      </c>
      <c r="D6052" t="s">
        <v>35</v>
      </c>
      <c r="E6052" t="s">
        <v>46</v>
      </c>
      <c r="F6052" t="s">
        <v>46</v>
      </c>
      <c r="G6052" t="s">
        <v>37</v>
      </c>
      <c r="H6052" t="s">
        <v>43</v>
      </c>
      <c r="I6052" s="187">
        <v>12119.89710551069</v>
      </c>
      <c r="J6052" s="187">
        <v>1057</v>
      </c>
      <c r="K6052" s="187">
        <v>14376.68872490877</v>
      </c>
      <c r="L6052" s="187">
        <v>19376</v>
      </c>
      <c r="M6052" s="187">
        <v>46929.5859375</v>
      </c>
      <c r="N6052" s="187">
        <v>31495.8984375</v>
      </c>
      <c r="O6052" t="s">
        <v>6175</v>
      </c>
    </row>
    <row r="6053" spans="1:15" hidden="1" x14ac:dyDescent="0.45">
      <c r="A6053" s="187">
        <v>2023</v>
      </c>
      <c r="B6053" t="s">
        <v>314</v>
      </c>
      <c r="C6053" t="s">
        <v>322</v>
      </c>
      <c r="D6053" t="s">
        <v>35</v>
      </c>
      <c r="E6053" t="s">
        <v>46</v>
      </c>
      <c r="F6053" t="s">
        <v>46</v>
      </c>
      <c r="G6053" t="s">
        <v>37</v>
      </c>
      <c r="H6053" t="s">
        <v>43</v>
      </c>
      <c r="I6053" s="187">
        <v>16181.900962582489</v>
      </c>
      <c r="J6053" s="187">
        <v>860</v>
      </c>
      <c r="K6053" s="187">
        <v>17223.84031656912</v>
      </c>
      <c r="L6053" s="187">
        <v>32788</v>
      </c>
      <c r="M6053" s="187">
        <v>67053.7421875</v>
      </c>
      <c r="N6053" s="187">
        <v>48969.90234375</v>
      </c>
      <c r="O6053" t="s">
        <v>6176</v>
      </c>
    </row>
    <row r="6054" spans="1:15" hidden="1" x14ac:dyDescent="0.45">
      <c r="A6054" s="187">
        <v>2023</v>
      </c>
      <c r="B6054" t="s">
        <v>313</v>
      </c>
      <c r="C6054" t="s">
        <v>322</v>
      </c>
      <c r="D6054" t="s">
        <v>35</v>
      </c>
      <c r="E6054" t="s">
        <v>46</v>
      </c>
      <c r="F6054" t="s">
        <v>46</v>
      </c>
      <c r="G6054" t="s">
        <v>37</v>
      </c>
      <c r="H6054" t="s">
        <v>43</v>
      </c>
      <c r="I6054" s="187">
        <v>12476.259001692331</v>
      </c>
      <c r="J6054" s="187">
        <v>866</v>
      </c>
      <c r="K6054" s="187">
        <v>15562.26263511982</v>
      </c>
      <c r="L6054" s="187"/>
      <c r="M6054" s="187">
        <v>28904.521484375</v>
      </c>
      <c r="N6054" s="187">
        <v>12476.2587890625</v>
      </c>
      <c r="O6054" t="s">
        <v>6177</v>
      </c>
    </row>
    <row r="6055" spans="1:15" hidden="1" x14ac:dyDescent="0.45">
      <c r="A6055" s="187">
        <v>2023</v>
      </c>
      <c r="B6055" t="s">
        <v>316</v>
      </c>
      <c r="C6055" t="s">
        <v>322</v>
      </c>
      <c r="D6055" t="s">
        <v>35</v>
      </c>
      <c r="E6055" t="s">
        <v>46</v>
      </c>
      <c r="F6055" t="s">
        <v>46</v>
      </c>
      <c r="G6055" t="s">
        <v>37</v>
      </c>
      <c r="H6055" t="s">
        <v>43</v>
      </c>
      <c r="I6055" s="187">
        <v>16508</v>
      </c>
      <c r="J6055" s="187">
        <v>899</v>
      </c>
      <c r="K6055" s="187">
        <v>17924.676728392169</v>
      </c>
      <c r="L6055" s="187">
        <v>23507</v>
      </c>
      <c r="M6055" s="187">
        <v>58838.67578125</v>
      </c>
      <c r="N6055" s="187">
        <v>40015</v>
      </c>
      <c r="O6055" t="s">
        <v>6173</v>
      </c>
    </row>
    <row r="6056" spans="1:15" hidden="1" x14ac:dyDescent="0.45">
      <c r="A6056" s="187">
        <v>2023</v>
      </c>
      <c r="B6056" t="s">
        <v>315</v>
      </c>
      <c r="C6056" t="s">
        <v>322</v>
      </c>
      <c r="D6056" t="s">
        <v>35</v>
      </c>
      <c r="E6056" t="s">
        <v>46</v>
      </c>
      <c r="F6056" t="s">
        <v>46</v>
      </c>
      <c r="G6056" t="s">
        <v>37</v>
      </c>
      <c r="H6056" t="s">
        <v>43</v>
      </c>
      <c r="I6056" s="187">
        <v>16786.687714080588</v>
      </c>
      <c r="J6056" s="187">
        <v>901</v>
      </c>
      <c r="K6056" s="187">
        <v>17520.443784445029</v>
      </c>
      <c r="L6056" s="187">
        <v>25725</v>
      </c>
      <c r="M6056" s="187">
        <v>60933.1328125</v>
      </c>
      <c r="N6056" s="187">
        <v>42511.6875</v>
      </c>
      <c r="O6056" t="s">
        <v>6174</v>
      </c>
    </row>
    <row r="6057" spans="1:15" hidden="1" x14ac:dyDescent="0.45">
      <c r="A6057" s="187">
        <v>2023</v>
      </c>
      <c r="B6057" t="s">
        <v>311</v>
      </c>
      <c r="C6057" t="s">
        <v>322</v>
      </c>
      <c r="D6057" t="s">
        <v>35</v>
      </c>
      <c r="E6057" t="s">
        <v>46</v>
      </c>
      <c r="F6057" t="s">
        <v>46</v>
      </c>
      <c r="G6057" t="s">
        <v>37</v>
      </c>
      <c r="H6057" t="s">
        <v>43</v>
      </c>
      <c r="I6057" s="187"/>
      <c r="J6057" s="187">
        <v>1097</v>
      </c>
      <c r="K6057" s="187">
        <v>14443.39651864671</v>
      </c>
      <c r="L6057" s="187">
        <v>26243</v>
      </c>
      <c r="M6057" s="187">
        <v>41783.3984375</v>
      </c>
      <c r="N6057" s="187">
        <v>26243</v>
      </c>
      <c r="O6057" t="s">
        <v>6179</v>
      </c>
    </row>
    <row r="6058" spans="1:15" hidden="1" x14ac:dyDescent="0.45">
      <c r="A6058" s="187">
        <v>2023</v>
      </c>
      <c r="B6058" t="s">
        <v>8570</v>
      </c>
      <c r="C6058" t="s">
        <v>322</v>
      </c>
      <c r="D6058" t="s">
        <v>35</v>
      </c>
      <c r="E6058" t="s">
        <v>46</v>
      </c>
      <c r="F6058" t="s">
        <v>46</v>
      </c>
      <c r="G6058" t="s">
        <v>37</v>
      </c>
      <c r="H6058" t="s">
        <v>43</v>
      </c>
      <c r="I6058" s="187"/>
      <c r="J6058" s="187">
        <v>922</v>
      </c>
      <c r="K6058" s="187">
        <v>19358.386980694951</v>
      </c>
      <c r="L6058" s="187">
        <v>11725</v>
      </c>
      <c r="M6058" s="187">
        <v>32005.38671875</v>
      </c>
      <c r="N6058" s="187">
        <v>11725</v>
      </c>
      <c r="O6058" t="s">
        <v>8909</v>
      </c>
    </row>
    <row r="6059" spans="1:15" hidden="1" x14ac:dyDescent="0.45">
      <c r="A6059" s="187">
        <v>2023</v>
      </c>
      <c r="B6059" t="s">
        <v>317</v>
      </c>
      <c r="C6059" t="s">
        <v>322</v>
      </c>
      <c r="D6059" t="s">
        <v>35</v>
      </c>
      <c r="E6059" t="s">
        <v>46</v>
      </c>
      <c r="F6059" t="s">
        <v>46</v>
      </c>
      <c r="G6059" t="s">
        <v>37</v>
      </c>
      <c r="H6059" t="s">
        <v>43</v>
      </c>
      <c r="I6059" s="187">
        <v>17479.257600396231</v>
      </c>
      <c r="J6059" s="187">
        <v>1287</v>
      </c>
      <c r="K6059" s="187">
        <v>18785.306873885002</v>
      </c>
      <c r="L6059" s="187">
        <v>9032</v>
      </c>
      <c r="M6059" s="187">
        <v>46583.56640625</v>
      </c>
      <c r="N6059" s="187">
        <v>26511.2578125</v>
      </c>
      <c r="O6059" t="s">
        <v>6178</v>
      </c>
    </row>
    <row r="6060" spans="1:15" hidden="1" x14ac:dyDescent="0.45">
      <c r="A6060" s="187">
        <v>2023</v>
      </c>
      <c r="B6060" t="s">
        <v>315</v>
      </c>
      <c r="C6060" t="s">
        <v>322</v>
      </c>
      <c r="D6060" t="s">
        <v>35</v>
      </c>
      <c r="E6060" t="s">
        <v>350</v>
      </c>
      <c r="F6060" t="s">
        <v>350</v>
      </c>
      <c r="G6060" t="s">
        <v>37</v>
      </c>
      <c r="H6060" t="s">
        <v>43</v>
      </c>
      <c r="I6060" s="187">
        <v>16565.121497057538</v>
      </c>
      <c r="J6060" s="187">
        <v>901</v>
      </c>
      <c r="K6060" s="187">
        <v>17607.375748021888</v>
      </c>
      <c r="L6060" s="187">
        <v>25298</v>
      </c>
      <c r="M6060" s="187">
        <v>60371.49609375</v>
      </c>
      <c r="N6060" s="187">
        <v>41863.12109375</v>
      </c>
      <c r="O6060" t="s">
        <v>6180</v>
      </c>
    </row>
    <row r="6061" spans="1:15" hidden="1" x14ac:dyDescent="0.45">
      <c r="A6061" s="187">
        <v>2023</v>
      </c>
      <c r="B6061" t="s">
        <v>313</v>
      </c>
      <c r="C6061" t="s">
        <v>322</v>
      </c>
      <c r="D6061" t="s">
        <v>35</v>
      </c>
      <c r="E6061" t="s">
        <v>350</v>
      </c>
      <c r="F6061" t="s">
        <v>350</v>
      </c>
      <c r="G6061" t="s">
        <v>37</v>
      </c>
      <c r="H6061" t="s">
        <v>43</v>
      </c>
      <c r="I6061" s="187">
        <v>12219.69414494426</v>
      </c>
      <c r="J6061" s="187">
        <v>866</v>
      </c>
      <c r="K6061" s="187">
        <v>15659.821169615991</v>
      </c>
      <c r="L6061" s="187">
        <v>24863.490264351691</v>
      </c>
      <c r="M6061" s="187">
        <v>53609.0078125</v>
      </c>
      <c r="N6061" s="187">
        <v>37083.18359375</v>
      </c>
      <c r="O6061" t="s">
        <v>6183</v>
      </c>
    </row>
    <row r="6062" spans="1:15" hidden="1" x14ac:dyDescent="0.45">
      <c r="A6062" s="187">
        <v>2023</v>
      </c>
      <c r="B6062" t="s">
        <v>311</v>
      </c>
      <c r="C6062" t="s">
        <v>322</v>
      </c>
      <c r="D6062" t="s">
        <v>35</v>
      </c>
      <c r="E6062" t="s">
        <v>350</v>
      </c>
      <c r="F6062" t="s">
        <v>350</v>
      </c>
      <c r="G6062" t="s">
        <v>37</v>
      </c>
      <c r="H6062" t="s">
        <v>43</v>
      </c>
      <c r="I6062" s="187"/>
      <c r="J6062" s="187">
        <v>1097</v>
      </c>
      <c r="K6062" s="187">
        <v>14426.2364177781</v>
      </c>
      <c r="L6062" s="187">
        <v>26243</v>
      </c>
      <c r="M6062" s="187">
        <v>41766.234375</v>
      </c>
      <c r="N6062" s="187">
        <v>26243</v>
      </c>
      <c r="O6062" t="s">
        <v>6186</v>
      </c>
    </row>
    <row r="6063" spans="1:15" hidden="1" x14ac:dyDescent="0.45">
      <c r="A6063" s="187">
        <v>2023</v>
      </c>
      <c r="B6063" t="s">
        <v>317</v>
      </c>
      <c r="C6063" t="s">
        <v>322</v>
      </c>
      <c r="D6063" t="s">
        <v>35</v>
      </c>
      <c r="E6063" t="s">
        <v>350</v>
      </c>
      <c r="F6063" t="s">
        <v>350</v>
      </c>
      <c r="G6063" t="s">
        <v>37</v>
      </c>
      <c r="H6063" t="s">
        <v>43</v>
      </c>
      <c r="I6063" s="187">
        <v>16102.62034108242</v>
      </c>
      <c r="J6063" s="187">
        <v>1287</v>
      </c>
      <c r="K6063" s="187">
        <v>18947.402527721861</v>
      </c>
      <c r="L6063" s="187">
        <v>9070</v>
      </c>
      <c r="M6063" s="187">
        <v>45407.0234375</v>
      </c>
      <c r="N6063" s="187">
        <v>25172.62109375</v>
      </c>
      <c r="O6063" t="s">
        <v>6185</v>
      </c>
    </row>
    <row r="6064" spans="1:15" hidden="1" x14ac:dyDescent="0.45">
      <c r="A6064" s="187">
        <v>2023</v>
      </c>
      <c r="B6064" t="s">
        <v>312</v>
      </c>
      <c r="C6064" t="s">
        <v>322</v>
      </c>
      <c r="D6064" t="s">
        <v>35</v>
      </c>
      <c r="E6064" t="s">
        <v>350</v>
      </c>
      <c r="F6064" t="s">
        <v>350</v>
      </c>
      <c r="G6064" t="s">
        <v>37</v>
      </c>
      <c r="H6064" t="s">
        <v>43</v>
      </c>
      <c r="I6064" s="187">
        <v>12366.0778701781</v>
      </c>
      <c r="J6064" s="187">
        <v>1057</v>
      </c>
      <c r="K6064" s="187">
        <v>14389.537179686149</v>
      </c>
      <c r="L6064" s="187">
        <v>19374</v>
      </c>
      <c r="M6064" s="187">
        <v>47186.6171875</v>
      </c>
      <c r="N6064" s="187">
        <v>31740.078125</v>
      </c>
      <c r="O6064" t="s">
        <v>6188</v>
      </c>
    </row>
    <row r="6065" spans="1:15" hidden="1" x14ac:dyDescent="0.45">
      <c r="A6065" s="187">
        <v>2023</v>
      </c>
      <c r="B6065" t="s">
        <v>314</v>
      </c>
      <c r="C6065" t="s">
        <v>322</v>
      </c>
      <c r="D6065" t="s">
        <v>35</v>
      </c>
      <c r="E6065" t="s">
        <v>350</v>
      </c>
      <c r="F6065" t="s">
        <v>350</v>
      </c>
      <c r="G6065" t="s">
        <v>37</v>
      </c>
      <c r="H6065" t="s">
        <v>43</v>
      </c>
      <c r="I6065" s="187">
        <v>16073.91682126008</v>
      </c>
      <c r="J6065" s="187">
        <v>860</v>
      </c>
      <c r="K6065" s="187">
        <v>17427.82356418929</v>
      </c>
      <c r="L6065" s="187">
        <v>27045</v>
      </c>
      <c r="M6065" s="187">
        <v>61406.7421875</v>
      </c>
      <c r="N6065" s="187">
        <v>43118.91796875</v>
      </c>
      <c r="O6065" t="s">
        <v>6182</v>
      </c>
    </row>
    <row r="6066" spans="1:15" hidden="1" x14ac:dyDescent="0.45">
      <c r="A6066" s="187">
        <v>2023</v>
      </c>
      <c r="B6066" t="s">
        <v>316</v>
      </c>
      <c r="C6066" t="s">
        <v>322</v>
      </c>
      <c r="D6066" t="s">
        <v>35</v>
      </c>
      <c r="E6066" t="s">
        <v>350</v>
      </c>
      <c r="F6066" t="s">
        <v>350</v>
      </c>
      <c r="G6066" t="s">
        <v>37</v>
      </c>
      <c r="H6066" t="s">
        <v>43</v>
      </c>
      <c r="I6066" s="187">
        <v>16421</v>
      </c>
      <c r="J6066" s="187">
        <v>899</v>
      </c>
      <c r="K6066" s="187">
        <v>18131.726192117421</v>
      </c>
      <c r="L6066" s="187">
        <v>24162</v>
      </c>
      <c r="M6066" s="187">
        <v>59613.7265625</v>
      </c>
      <c r="N6066" s="187">
        <v>40583</v>
      </c>
      <c r="O6066" t="s">
        <v>6187</v>
      </c>
    </row>
    <row r="6067" spans="1:15" hidden="1" x14ac:dyDescent="0.45">
      <c r="A6067" s="187">
        <v>2023</v>
      </c>
      <c r="B6067" t="s">
        <v>309</v>
      </c>
      <c r="C6067" t="s">
        <v>322</v>
      </c>
      <c r="D6067" t="s">
        <v>35</v>
      </c>
      <c r="E6067" t="s">
        <v>350</v>
      </c>
      <c r="F6067" t="s">
        <v>350</v>
      </c>
      <c r="G6067" t="s">
        <v>37</v>
      </c>
      <c r="H6067" t="s">
        <v>43</v>
      </c>
      <c r="I6067" s="187"/>
      <c r="J6067" s="187">
        <v>974.67300000000012</v>
      </c>
      <c r="K6067" s="187">
        <v>15593.489732849361</v>
      </c>
      <c r="L6067" s="187">
        <v>19645</v>
      </c>
      <c r="M6067" s="187">
        <v>36213.1640625</v>
      </c>
      <c r="N6067" s="187">
        <v>19645</v>
      </c>
      <c r="O6067" t="s">
        <v>6184</v>
      </c>
    </row>
    <row r="6068" spans="1:15" hidden="1" x14ac:dyDescent="0.45">
      <c r="A6068" s="187">
        <v>2023</v>
      </c>
      <c r="B6068" t="s">
        <v>8570</v>
      </c>
      <c r="C6068" t="s">
        <v>322</v>
      </c>
      <c r="D6068" t="s">
        <v>35</v>
      </c>
      <c r="E6068" t="s">
        <v>350</v>
      </c>
      <c r="F6068" t="s">
        <v>350</v>
      </c>
      <c r="G6068" t="s">
        <v>37</v>
      </c>
      <c r="H6068" t="s">
        <v>43</v>
      </c>
      <c r="I6068" s="187">
        <v>11579.15534506648</v>
      </c>
      <c r="J6068" s="187">
        <v>922</v>
      </c>
      <c r="K6068" s="187">
        <v>19252.369017245841</v>
      </c>
      <c r="L6068" s="187">
        <v>11732</v>
      </c>
      <c r="M6068" s="187">
        <v>43485.5234375</v>
      </c>
      <c r="N6068" s="187">
        <v>23311.15625</v>
      </c>
      <c r="O6068" t="s">
        <v>8910</v>
      </c>
    </row>
    <row r="6069" spans="1:15" hidden="1" x14ac:dyDescent="0.45">
      <c r="A6069" s="187">
        <v>2023</v>
      </c>
      <c r="B6069" t="s">
        <v>310</v>
      </c>
      <c r="C6069" t="s">
        <v>322</v>
      </c>
      <c r="D6069" t="s">
        <v>35</v>
      </c>
      <c r="E6069" t="s">
        <v>350</v>
      </c>
      <c r="F6069" t="s">
        <v>350</v>
      </c>
      <c r="G6069" t="s">
        <v>37</v>
      </c>
      <c r="H6069" t="s">
        <v>43</v>
      </c>
      <c r="I6069" s="187"/>
      <c r="J6069" s="187">
        <v>875</v>
      </c>
      <c r="K6069" s="187">
        <v>14964.989163928931</v>
      </c>
      <c r="L6069" s="187">
        <v>26037</v>
      </c>
      <c r="M6069" s="187">
        <v>41876.98828125</v>
      </c>
      <c r="N6069" s="187">
        <v>26037</v>
      </c>
      <c r="O6069" t="s">
        <v>6181</v>
      </c>
    </row>
    <row r="6070" spans="1:15" hidden="1" x14ac:dyDescent="0.45">
      <c r="A6070" s="187">
        <v>2023</v>
      </c>
      <c r="B6070" t="s">
        <v>311</v>
      </c>
      <c r="C6070" t="s">
        <v>322</v>
      </c>
      <c r="D6070" t="s">
        <v>35</v>
      </c>
      <c r="E6070" t="s">
        <v>16</v>
      </c>
      <c r="F6070" t="s">
        <v>16</v>
      </c>
      <c r="G6070" t="s">
        <v>36</v>
      </c>
      <c r="H6070" t="s">
        <v>43</v>
      </c>
      <c r="I6070" s="187"/>
      <c r="J6070" s="187">
        <v>127.5294122655004</v>
      </c>
      <c r="K6070" s="187">
        <v>5260.3480046679024</v>
      </c>
      <c r="L6070" s="187">
        <v>20771.990669804705</v>
      </c>
      <c r="M6070" s="187">
        <v>26159.8671875</v>
      </c>
      <c r="N6070" s="187">
        <v>20771.990234375</v>
      </c>
      <c r="O6070" t="s">
        <v>6193</v>
      </c>
    </row>
    <row r="6071" spans="1:15" hidden="1" x14ac:dyDescent="0.45">
      <c r="A6071" s="187">
        <v>2023</v>
      </c>
      <c r="B6071" t="s">
        <v>309</v>
      </c>
      <c r="C6071" t="s">
        <v>322</v>
      </c>
      <c r="D6071" t="s">
        <v>35</v>
      </c>
      <c r="E6071" t="s">
        <v>16</v>
      </c>
      <c r="F6071" t="s">
        <v>16</v>
      </c>
      <c r="G6071" t="s">
        <v>36</v>
      </c>
      <c r="H6071" t="s">
        <v>43</v>
      </c>
      <c r="I6071" s="187"/>
      <c r="J6071" s="187">
        <v>124.52039737671988</v>
      </c>
      <c r="K6071" s="187">
        <v>4887.5065352945503</v>
      </c>
      <c r="L6071" s="187">
        <v>13275.993856483901</v>
      </c>
      <c r="M6071" s="187">
        <v>18288.021484375</v>
      </c>
      <c r="N6071" s="187">
        <v>13275.994140625</v>
      </c>
      <c r="O6071" t="s">
        <v>6192</v>
      </c>
    </row>
    <row r="6072" spans="1:15" hidden="1" x14ac:dyDescent="0.45">
      <c r="A6072" s="187">
        <v>2023</v>
      </c>
      <c r="B6072" t="s">
        <v>8570</v>
      </c>
      <c r="C6072" t="s">
        <v>322</v>
      </c>
      <c r="D6072" t="s">
        <v>35</v>
      </c>
      <c r="E6072" t="s">
        <v>16</v>
      </c>
      <c r="F6072" t="s">
        <v>16</v>
      </c>
      <c r="G6072" t="s">
        <v>36</v>
      </c>
      <c r="H6072" t="s">
        <v>43</v>
      </c>
      <c r="I6072" s="187">
        <v>6155.4802320000008</v>
      </c>
      <c r="J6072" s="187">
        <v>175</v>
      </c>
      <c r="K6072" s="187">
        <v>7508.8658560684353</v>
      </c>
      <c r="L6072" s="187">
        <v>13301</v>
      </c>
      <c r="M6072" s="187">
        <v>27140.34765625</v>
      </c>
      <c r="N6072" s="187">
        <v>19456.48046875</v>
      </c>
      <c r="O6072" t="s">
        <v>8911</v>
      </c>
    </row>
    <row r="6073" spans="1:15" hidden="1" x14ac:dyDescent="0.45">
      <c r="A6073" s="187">
        <v>2023</v>
      </c>
      <c r="B6073" t="s">
        <v>316</v>
      </c>
      <c r="C6073" t="s">
        <v>322</v>
      </c>
      <c r="D6073" t="s">
        <v>35</v>
      </c>
      <c r="E6073" t="s">
        <v>16</v>
      </c>
      <c r="F6073" t="s">
        <v>16</v>
      </c>
      <c r="G6073" t="s">
        <v>36</v>
      </c>
      <c r="H6073" t="s">
        <v>43</v>
      </c>
      <c r="I6073" s="187">
        <v>10512.439333966018</v>
      </c>
      <c r="J6073" s="187">
        <v>131.07300679764938</v>
      </c>
      <c r="K6073" s="187">
        <v>7876.4980959587901</v>
      </c>
      <c r="L6073" s="187">
        <v>17786.27658628943</v>
      </c>
      <c r="M6073" s="187">
        <v>36306.2890625</v>
      </c>
      <c r="N6073" s="187">
        <v>28298.716796875</v>
      </c>
      <c r="O6073" t="s">
        <v>6196</v>
      </c>
    </row>
    <row r="6074" spans="1:15" hidden="1" x14ac:dyDescent="0.45">
      <c r="A6074" s="187">
        <v>2023</v>
      </c>
      <c r="B6074" t="s">
        <v>315</v>
      </c>
      <c r="C6074" t="s">
        <v>322</v>
      </c>
      <c r="D6074" t="s">
        <v>35</v>
      </c>
      <c r="E6074" t="s">
        <v>16</v>
      </c>
      <c r="F6074" t="s">
        <v>16</v>
      </c>
      <c r="G6074" t="s">
        <v>36</v>
      </c>
      <c r="H6074" t="s">
        <v>43</v>
      </c>
      <c r="I6074" s="187">
        <v>10598.556311098948</v>
      </c>
      <c r="J6074" s="187">
        <v>249.2154359607004</v>
      </c>
      <c r="K6074" s="187">
        <v>7707.8252623746703</v>
      </c>
      <c r="L6074" s="187">
        <v>17599.140968570187</v>
      </c>
      <c r="M6074" s="187">
        <v>36154.73828125</v>
      </c>
      <c r="N6074" s="187">
        <v>28197.697265625</v>
      </c>
      <c r="O6074" t="s">
        <v>6190</v>
      </c>
    </row>
    <row r="6075" spans="1:15" hidden="1" x14ac:dyDescent="0.45">
      <c r="A6075" s="187">
        <v>2023</v>
      </c>
      <c r="B6075" t="s">
        <v>314</v>
      </c>
      <c r="C6075" t="s">
        <v>322</v>
      </c>
      <c r="D6075" t="s">
        <v>35</v>
      </c>
      <c r="E6075" t="s">
        <v>16</v>
      </c>
      <c r="F6075" t="s">
        <v>16</v>
      </c>
      <c r="G6075" t="s">
        <v>36</v>
      </c>
      <c r="H6075" t="s">
        <v>43</v>
      </c>
      <c r="I6075" s="187">
        <v>10898.168529198552</v>
      </c>
      <c r="J6075" s="187">
        <v>139.77847933186797</v>
      </c>
      <c r="K6075" s="187">
        <v>7052.8352194774452</v>
      </c>
      <c r="L6075" s="187">
        <v>20008.1244956958</v>
      </c>
      <c r="M6075" s="187">
        <v>38098.90625</v>
      </c>
      <c r="N6075" s="187">
        <v>30906.29296875</v>
      </c>
      <c r="O6075" t="s">
        <v>6195</v>
      </c>
    </row>
    <row r="6076" spans="1:15" hidden="1" x14ac:dyDescent="0.45">
      <c r="A6076" s="187">
        <v>2023</v>
      </c>
      <c r="B6076" t="s">
        <v>312</v>
      </c>
      <c r="C6076" t="s">
        <v>322</v>
      </c>
      <c r="D6076" t="s">
        <v>35</v>
      </c>
      <c r="E6076" t="s">
        <v>16</v>
      </c>
      <c r="F6076" t="s">
        <v>16</v>
      </c>
      <c r="G6076" t="s">
        <v>36</v>
      </c>
      <c r="H6076" t="s">
        <v>43</v>
      </c>
      <c r="I6076" s="187">
        <v>6016.7796766896399</v>
      </c>
      <c r="J6076" s="187">
        <v>129.84029477510072</v>
      </c>
      <c r="K6076" s="187">
        <v>4957.4142432563176</v>
      </c>
      <c r="L6076" s="187">
        <v>18340.869067659944</v>
      </c>
      <c r="M6076" s="187">
        <v>29444.90234375</v>
      </c>
      <c r="N6076" s="187">
        <v>24357.6484375</v>
      </c>
      <c r="O6076" t="s">
        <v>6194</v>
      </c>
    </row>
    <row r="6077" spans="1:15" hidden="1" x14ac:dyDescent="0.45">
      <c r="A6077" s="187">
        <v>2023</v>
      </c>
      <c r="B6077" t="s">
        <v>310</v>
      </c>
      <c r="C6077" t="s">
        <v>322</v>
      </c>
      <c r="D6077" t="s">
        <v>35</v>
      </c>
      <c r="E6077" t="s">
        <v>16</v>
      </c>
      <c r="F6077" t="s">
        <v>16</v>
      </c>
      <c r="G6077" t="s">
        <v>36</v>
      </c>
      <c r="H6077" t="s">
        <v>43</v>
      </c>
      <c r="I6077" s="187"/>
      <c r="J6077" s="187">
        <v>104.61766592181245</v>
      </c>
      <c r="K6077" s="187">
        <v>5458.5267885303037</v>
      </c>
      <c r="L6077" s="187">
        <v>18684.715133635702</v>
      </c>
      <c r="M6077" s="187">
        <v>24247.859375</v>
      </c>
      <c r="N6077" s="187">
        <v>18684.71484375</v>
      </c>
      <c r="O6077" t="s">
        <v>6197</v>
      </c>
    </row>
    <row r="6078" spans="1:15" hidden="1" x14ac:dyDescent="0.45">
      <c r="A6078" s="187">
        <v>2023</v>
      </c>
      <c r="B6078" t="s">
        <v>313</v>
      </c>
      <c r="C6078" t="s">
        <v>322</v>
      </c>
      <c r="D6078" t="s">
        <v>35</v>
      </c>
      <c r="E6078" t="s">
        <v>16</v>
      </c>
      <c r="F6078" t="s">
        <v>16</v>
      </c>
      <c r="G6078" t="s">
        <v>36</v>
      </c>
      <c r="H6078" t="s">
        <v>43</v>
      </c>
      <c r="I6078" s="187">
        <v>5828.5630462569561</v>
      </c>
      <c r="J6078" s="187">
        <v>125.77864682586659</v>
      </c>
      <c r="K6078" s="187">
        <v>5845.5772903801626</v>
      </c>
      <c r="L6078" s="187">
        <v>21406.327797887963</v>
      </c>
      <c r="M6078" s="187">
        <v>33206.24609375</v>
      </c>
      <c r="N6078" s="187">
        <v>27234.890625</v>
      </c>
      <c r="O6078" t="s">
        <v>6189</v>
      </c>
    </row>
    <row r="6079" spans="1:15" hidden="1" x14ac:dyDescent="0.45">
      <c r="A6079" s="187">
        <v>2023</v>
      </c>
      <c r="B6079" t="s">
        <v>317</v>
      </c>
      <c r="C6079" t="s">
        <v>322</v>
      </c>
      <c r="D6079" t="s">
        <v>35</v>
      </c>
      <c r="E6079" t="s">
        <v>16</v>
      </c>
      <c r="F6079" t="s">
        <v>16</v>
      </c>
      <c r="G6079" t="s">
        <v>36</v>
      </c>
      <c r="H6079" t="s">
        <v>43</v>
      </c>
      <c r="I6079" s="187">
        <v>6682.9487568219256</v>
      </c>
      <c r="J6079" s="187">
        <v>212.8602918502699</v>
      </c>
      <c r="K6079" s="187">
        <v>7726.4965478576805</v>
      </c>
      <c r="L6079" s="187">
        <v>15875.920142923938</v>
      </c>
      <c r="M6079" s="187">
        <v>30498.2265625</v>
      </c>
      <c r="N6079" s="187">
        <v>22558.869140625</v>
      </c>
      <c r="O6079" t="s">
        <v>6191</v>
      </c>
    </row>
    <row r="6080" spans="1:15" hidden="1" x14ac:dyDescent="0.45">
      <c r="A6080" s="187">
        <v>2023</v>
      </c>
      <c r="B6080" t="s">
        <v>313</v>
      </c>
      <c r="C6080" t="s">
        <v>322</v>
      </c>
      <c r="D6080" t="s">
        <v>35</v>
      </c>
      <c r="E6080" t="s">
        <v>16</v>
      </c>
      <c r="F6080" t="s">
        <v>16</v>
      </c>
      <c r="G6080" t="s">
        <v>37</v>
      </c>
      <c r="H6080" t="s">
        <v>43</v>
      </c>
      <c r="I6080" s="187">
        <v>5468.2622943420929</v>
      </c>
      <c r="J6080" s="187">
        <v>118</v>
      </c>
      <c r="K6080" s="187">
        <v>5470.9654021549122</v>
      </c>
      <c r="L6080" s="187">
        <v>20235</v>
      </c>
      <c r="M6080" s="187">
        <v>31292.2265625</v>
      </c>
      <c r="N6080" s="187">
        <v>25703.26171875</v>
      </c>
      <c r="O6080" t="s">
        <v>6206</v>
      </c>
    </row>
    <row r="6081" spans="1:15" hidden="1" x14ac:dyDescent="0.45">
      <c r="A6081" s="187">
        <v>2023</v>
      </c>
      <c r="B6081" t="s">
        <v>312</v>
      </c>
      <c r="C6081" t="s">
        <v>322</v>
      </c>
      <c r="D6081" t="s">
        <v>35</v>
      </c>
      <c r="E6081" t="s">
        <v>16</v>
      </c>
      <c r="F6081" t="s">
        <v>16</v>
      </c>
      <c r="G6081" t="s">
        <v>37</v>
      </c>
      <c r="H6081" t="s">
        <v>43</v>
      </c>
      <c r="I6081" s="187">
        <v>5495.6040556253347</v>
      </c>
      <c r="J6081" s="187">
        <v>121</v>
      </c>
      <c r="K6081" s="187">
        <v>4590.8680167796801</v>
      </c>
      <c r="L6081" s="187">
        <v>17045</v>
      </c>
      <c r="M6081" s="187">
        <v>27252.47265625</v>
      </c>
      <c r="N6081" s="187">
        <v>22540.603515625</v>
      </c>
      <c r="O6081" t="s">
        <v>6205</v>
      </c>
    </row>
    <row r="6082" spans="1:15" hidden="1" x14ac:dyDescent="0.45">
      <c r="A6082" s="187">
        <v>2023</v>
      </c>
      <c r="B6082" t="s">
        <v>311</v>
      </c>
      <c r="C6082" t="s">
        <v>322</v>
      </c>
      <c r="D6082" t="s">
        <v>35</v>
      </c>
      <c r="E6082" t="s">
        <v>16</v>
      </c>
      <c r="F6082" t="s">
        <v>16</v>
      </c>
      <c r="G6082" t="s">
        <v>37</v>
      </c>
      <c r="H6082" t="s">
        <v>43</v>
      </c>
      <c r="I6082" s="187"/>
      <c r="J6082" s="187">
        <v>117</v>
      </c>
      <c r="K6082" s="187">
        <v>4797.5974648954016</v>
      </c>
      <c r="L6082" s="187">
        <v>20069</v>
      </c>
      <c r="M6082" s="187">
        <v>24983.59765625</v>
      </c>
      <c r="N6082" s="187">
        <v>20069</v>
      </c>
      <c r="O6082" t="s">
        <v>6202</v>
      </c>
    </row>
    <row r="6083" spans="1:15" hidden="1" x14ac:dyDescent="0.45">
      <c r="A6083" s="187">
        <v>2023</v>
      </c>
      <c r="B6083" t="s">
        <v>315</v>
      </c>
      <c r="C6083" t="s">
        <v>322</v>
      </c>
      <c r="D6083" t="s">
        <v>35</v>
      </c>
      <c r="E6083" t="s">
        <v>16</v>
      </c>
      <c r="F6083" t="s">
        <v>16</v>
      </c>
      <c r="G6083" t="s">
        <v>37</v>
      </c>
      <c r="H6083" t="s">
        <v>43</v>
      </c>
      <c r="I6083" s="187">
        <v>10129.32003462538</v>
      </c>
      <c r="J6083" s="187">
        <v>233</v>
      </c>
      <c r="K6083" s="187">
        <v>7346.7927803201592</v>
      </c>
      <c r="L6083" s="187">
        <v>16817</v>
      </c>
      <c r="M6083" s="187">
        <v>34526.11328125</v>
      </c>
      <c r="N6083" s="187">
        <v>26946.3203125</v>
      </c>
      <c r="O6083" t="s">
        <v>6199</v>
      </c>
    </row>
    <row r="6084" spans="1:15" hidden="1" x14ac:dyDescent="0.45">
      <c r="A6084" s="187">
        <v>2023</v>
      </c>
      <c r="B6084" t="s">
        <v>316</v>
      </c>
      <c r="C6084" t="s">
        <v>322</v>
      </c>
      <c r="D6084" t="s">
        <v>35</v>
      </c>
      <c r="E6084" t="s">
        <v>16</v>
      </c>
      <c r="F6084" t="s">
        <v>16</v>
      </c>
      <c r="G6084" t="s">
        <v>37</v>
      </c>
      <c r="H6084" t="s">
        <v>43</v>
      </c>
      <c r="I6084" s="187">
        <v>10129</v>
      </c>
      <c r="J6084" s="187">
        <v>119</v>
      </c>
      <c r="K6084" s="187">
        <v>7453.0846712693856</v>
      </c>
      <c r="L6084" s="187">
        <v>17458</v>
      </c>
      <c r="M6084" s="187">
        <v>35159.0859375</v>
      </c>
      <c r="N6084" s="187">
        <v>27587</v>
      </c>
      <c r="O6084" t="s">
        <v>6201</v>
      </c>
    </row>
    <row r="6085" spans="1:15" hidden="1" x14ac:dyDescent="0.45">
      <c r="A6085" s="187">
        <v>2023</v>
      </c>
      <c r="B6085" t="s">
        <v>314</v>
      </c>
      <c r="C6085" t="s">
        <v>322</v>
      </c>
      <c r="D6085" t="s">
        <v>35</v>
      </c>
      <c r="E6085" t="s">
        <v>16</v>
      </c>
      <c r="F6085" t="s">
        <v>16</v>
      </c>
      <c r="G6085" t="s">
        <v>37</v>
      </c>
      <c r="H6085" t="s">
        <v>43</v>
      </c>
      <c r="I6085" s="187">
        <v>10334.94523132828</v>
      </c>
      <c r="J6085" s="187">
        <v>132</v>
      </c>
      <c r="K6085" s="187">
        <v>6697.3910346914772</v>
      </c>
      <c r="L6085" s="187">
        <v>20120</v>
      </c>
      <c r="M6085" s="187">
        <v>37284.3359375</v>
      </c>
      <c r="N6085" s="187">
        <v>30454.9453125</v>
      </c>
      <c r="O6085" t="s">
        <v>6203</v>
      </c>
    </row>
    <row r="6086" spans="1:15" hidden="1" x14ac:dyDescent="0.45">
      <c r="A6086" s="187">
        <v>2023</v>
      </c>
      <c r="B6086" t="s">
        <v>309</v>
      </c>
      <c r="C6086" t="s">
        <v>322</v>
      </c>
      <c r="D6086" t="s">
        <v>35</v>
      </c>
      <c r="E6086" t="s">
        <v>16</v>
      </c>
      <c r="F6086" t="s">
        <v>16</v>
      </c>
      <c r="G6086" t="s">
        <v>37</v>
      </c>
      <c r="H6086" t="s">
        <v>43</v>
      </c>
      <c r="I6086" s="187"/>
      <c r="J6086" s="187">
        <v>113.11020000000001</v>
      </c>
      <c r="K6086" s="187">
        <v>4603.4167908469708</v>
      </c>
      <c r="L6086" s="187">
        <v>13155</v>
      </c>
      <c r="M6086" s="187">
        <v>17871.52734375</v>
      </c>
      <c r="N6086" s="187">
        <v>13155</v>
      </c>
      <c r="O6086" t="s">
        <v>6200</v>
      </c>
    </row>
    <row r="6087" spans="1:15" hidden="1" x14ac:dyDescent="0.45">
      <c r="A6087" s="187">
        <v>2023</v>
      </c>
      <c r="B6087" t="s">
        <v>310</v>
      </c>
      <c r="C6087" t="s">
        <v>322</v>
      </c>
      <c r="D6087" t="s">
        <v>35</v>
      </c>
      <c r="E6087" t="s">
        <v>16</v>
      </c>
      <c r="F6087" t="s">
        <v>16</v>
      </c>
      <c r="G6087" t="s">
        <v>37</v>
      </c>
      <c r="H6087" t="s">
        <v>43</v>
      </c>
      <c r="I6087" s="187"/>
      <c r="J6087" s="187">
        <v>96</v>
      </c>
      <c r="K6087" s="187">
        <v>5008.365943191804</v>
      </c>
      <c r="L6087" s="187">
        <v>18027</v>
      </c>
      <c r="M6087" s="187">
        <v>23131.365234375</v>
      </c>
      <c r="N6087" s="187">
        <v>18027</v>
      </c>
      <c r="O6087" t="s">
        <v>6198</v>
      </c>
    </row>
    <row r="6088" spans="1:15" hidden="1" x14ac:dyDescent="0.45">
      <c r="A6088" s="187">
        <v>2023</v>
      </c>
      <c r="B6088" t="s">
        <v>8570</v>
      </c>
      <c r="C6088" t="s">
        <v>322</v>
      </c>
      <c r="D6088" t="s">
        <v>35</v>
      </c>
      <c r="E6088" t="s">
        <v>16</v>
      </c>
      <c r="F6088" t="s">
        <v>16</v>
      </c>
      <c r="G6088" t="s">
        <v>37</v>
      </c>
      <c r="H6088" t="s">
        <v>43</v>
      </c>
      <c r="I6088" s="187">
        <v>6278.5898366400024</v>
      </c>
      <c r="J6088" s="187">
        <v>175</v>
      </c>
      <c r="K6088" s="187">
        <v>7680.8702680279648</v>
      </c>
      <c r="L6088" s="187">
        <v>14096</v>
      </c>
      <c r="M6088" s="187">
        <v>28230.4609375</v>
      </c>
      <c r="N6088" s="187">
        <v>20374.58984375</v>
      </c>
      <c r="O6088" t="s">
        <v>8912</v>
      </c>
    </row>
    <row r="6089" spans="1:15" hidden="1" x14ac:dyDescent="0.45">
      <c r="A6089" s="187">
        <v>2023</v>
      </c>
      <c r="B6089" t="s">
        <v>317</v>
      </c>
      <c r="C6089" t="s">
        <v>322</v>
      </c>
      <c r="D6089" t="s">
        <v>35</v>
      </c>
      <c r="E6089" t="s">
        <v>16</v>
      </c>
      <c r="F6089" t="s">
        <v>16</v>
      </c>
      <c r="G6089" t="s">
        <v>37</v>
      </c>
      <c r="H6089" t="s">
        <v>43</v>
      </c>
      <c r="I6089" s="187">
        <v>6434.8739999999998</v>
      </c>
      <c r="J6089" s="187">
        <v>197</v>
      </c>
      <c r="K6089" s="187">
        <v>7398.8133800289679</v>
      </c>
      <c r="L6089" s="187">
        <v>15179</v>
      </c>
      <c r="M6089" s="187">
        <v>29209.6875</v>
      </c>
      <c r="N6089" s="187">
        <v>21613.875</v>
      </c>
      <c r="O6089" t="s">
        <v>6204</v>
      </c>
    </row>
    <row r="6090" spans="1:15" hidden="1" x14ac:dyDescent="0.45">
      <c r="A6090" s="187">
        <v>2023</v>
      </c>
      <c r="B6090" t="s">
        <v>314</v>
      </c>
      <c r="C6090" t="s">
        <v>322</v>
      </c>
      <c r="D6090" t="s">
        <v>35</v>
      </c>
      <c r="E6090" t="s">
        <v>351</v>
      </c>
      <c r="F6090" t="s">
        <v>351</v>
      </c>
      <c r="G6090" t="s">
        <v>37</v>
      </c>
      <c r="H6090" t="s">
        <v>43</v>
      </c>
      <c r="I6090" s="187">
        <v>67.617036220925357</v>
      </c>
      <c r="J6090" s="187">
        <v>0</v>
      </c>
      <c r="K6090" s="187">
        <v>57.219219234112749</v>
      </c>
      <c r="L6090" s="187">
        <v>623</v>
      </c>
      <c r="M6090" s="187">
        <v>747.83624267578125</v>
      </c>
      <c r="N6090" s="187">
        <v>690.6170654296875</v>
      </c>
      <c r="O6090" t="s">
        <v>6213</v>
      </c>
    </row>
    <row r="6091" spans="1:15" hidden="1" x14ac:dyDescent="0.45">
      <c r="A6091" s="187">
        <v>2023</v>
      </c>
      <c r="B6091" t="s">
        <v>313</v>
      </c>
      <c r="C6091" t="s">
        <v>322</v>
      </c>
      <c r="D6091" t="s">
        <v>35</v>
      </c>
      <c r="E6091" t="s">
        <v>351</v>
      </c>
      <c r="F6091" t="s">
        <v>351</v>
      </c>
      <c r="G6091" t="s">
        <v>37</v>
      </c>
      <c r="H6091" t="s">
        <v>43</v>
      </c>
      <c r="I6091" s="187">
        <v>46.252561838080901</v>
      </c>
      <c r="J6091" s="187">
        <v>0</v>
      </c>
      <c r="K6091" s="187">
        <v>179.51630730438711</v>
      </c>
      <c r="L6091" s="187">
        <v>456</v>
      </c>
      <c r="M6091" s="187">
        <v>681.76885986328125</v>
      </c>
      <c r="N6091" s="187">
        <v>502.2525634765625</v>
      </c>
      <c r="O6091" t="s">
        <v>6215</v>
      </c>
    </row>
    <row r="6092" spans="1:15" hidden="1" x14ac:dyDescent="0.45">
      <c r="A6092" s="187">
        <v>2023</v>
      </c>
      <c r="B6092" t="s">
        <v>312</v>
      </c>
      <c r="C6092" t="s">
        <v>322</v>
      </c>
      <c r="D6092" t="s">
        <v>35</v>
      </c>
      <c r="E6092" t="s">
        <v>351</v>
      </c>
      <c r="F6092" t="s">
        <v>351</v>
      </c>
      <c r="G6092" t="s">
        <v>37</v>
      </c>
      <c r="H6092" t="s">
        <v>43</v>
      </c>
      <c r="I6092" s="187">
        <v>675.66905983618665</v>
      </c>
      <c r="J6092" s="187">
        <v>0</v>
      </c>
      <c r="K6092" s="187">
        <v>56.01291088157457</v>
      </c>
      <c r="L6092" s="187">
        <v>96</v>
      </c>
      <c r="M6092" s="187">
        <v>827.6820068359375</v>
      </c>
      <c r="N6092" s="187">
        <v>771.6690673828125</v>
      </c>
      <c r="O6092" t="s">
        <v>6211</v>
      </c>
    </row>
    <row r="6093" spans="1:15" hidden="1" x14ac:dyDescent="0.45">
      <c r="A6093" s="187">
        <v>2023</v>
      </c>
      <c r="B6093" t="s">
        <v>309</v>
      </c>
      <c r="C6093" t="s">
        <v>322</v>
      </c>
      <c r="D6093" t="s">
        <v>35</v>
      </c>
      <c r="E6093" t="s">
        <v>351</v>
      </c>
      <c r="F6093" t="s">
        <v>351</v>
      </c>
      <c r="G6093" t="s">
        <v>37</v>
      </c>
      <c r="H6093" t="s">
        <v>43</v>
      </c>
      <c r="I6093" s="187"/>
      <c r="J6093" s="187">
        <v>0</v>
      </c>
      <c r="K6093" s="187">
        <v>211.57750073231611</v>
      </c>
      <c r="L6093" s="187">
        <v>158</v>
      </c>
      <c r="M6093" s="187">
        <v>369.5775146484375</v>
      </c>
      <c r="N6093" s="187">
        <v>158</v>
      </c>
      <c r="O6093" t="s">
        <v>6207</v>
      </c>
    </row>
    <row r="6094" spans="1:15" hidden="1" x14ac:dyDescent="0.45">
      <c r="A6094" s="187">
        <v>2023</v>
      </c>
      <c r="B6094" t="s">
        <v>316</v>
      </c>
      <c r="C6094" t="s">
        <v>322</v>
      </c>
      <c r="D6094" t="s">
        <v>35</v>
      </c>
      <c r="E6094" t="s">
        <v>351</v>
      </c>
      <c r="F6094" t="s">
        <v>351</v>
      </c>
      <c r="G6094" t="s">
        <v>37</v>
      </c>
      <c r="H6094" t="s">
        <v>43</v>
      </c>
      <c r="I6094" s="187">
        <v>70</v>
      </c>
      <c r="J6094" s="187"/>
      <c r="K6094" s="187">
        <v>54.763751025471251</v>
      </c>
      <c r="L6094" s="187">
        <v>249</v>
      </c>
      <c r="M6094" s="187">
        <v>373.76373291015625</v>
      </c>
      <c r="N6094" s="187">
        <v>319</v>
      </c>
      <c r="O6094" t="s">
        <v>6214</v>
      </c>
    </row>
    <row r="6095" spans="1:15" hidden="1" x14ac:dyDescent="0.45">
      <c r="A6095" s="187">
        <v>2023</v>
      </c>
      <c r="B6095" t="s">
        <v>315</v>
      </c>
      <c r="C6095" t="s">
        <v>322</v>
      </c>
      <c r="D6095" t="s">
        <v>35</v>
      </c>
      <c r="E6095" t="s">
        <v>351</v>
      </c>
      <c r="F6095" t="s">
        <v>351</v>
      </c>
      <c r="G6095" t="s">
        <v>37</v>
      </c>
      <c r="H6095" t="s">
        <v>43</v>
      </c>
      <c r="I6095" s="187">
        <v>70.432322774189885</v>
      </c>
      <c r="J6095" s="187">
        <v>0</v>
      </c>
      <c r="K6095" s="187">
        <v>67.866934388979161</v>
      </c>
      <c r="L6095" s="187">
        <v>172</v>
      </c>
      <c r="M6095" s="187">
        <v>310.29925537109375</v>
      </c>
      <c r="N6095" s="187">
        <v>242.43231201171875</v>
      </c>
      <c r="O6095" t="s">
        <v>6208</v>
      </c>
    </row>
    <row r="6096" spans="1:15" hidden="1" x14ac:dyDescent="0.45">
      <c r="A6096" s="187">
        <v>2023</v>
      </c>
      <c r="B6096" t="s">
        <v>317</v>
      </c>
      <c r="C6096" t="s">
        <v>322</v>
      </c>
      <c r="D6096" t="s">
        <v>35</v>
      </c>
      <c r="E6096" t="s">
        <v>351</v>
      </c>
      <c r="F6096" t="s">
        <v>351</v>
      </c>
      <c r="G6096" t="s">
        <v>37</v>
      </c>
      <c r="H6096" t="s">
        <v>43</v>
      </c>
      <c r="I6096" s="187">
        <v>68.02347780618949</v>
      </c>
      <c r="J6096" s="187"/>
      <c r="K6096" s="187">
        <v>57.6</v>
      </c>
      <c r="L6096" s="187">
        <v>234</v>
      </c>
      <c r="M6096" s="187">
        <v>359.62347412109375</v>
      </c>
      <c r="N6096" s="187">
        <v>302.02346801757813</v>
      </c>
      <c r="O6096" t="s">
        <v>6209</v>
      </c>
    </row>
    <row r="6097" spans="1:15" hidden="1" x14ac:dyDescent="0.45">
      <c r="A6097" s="187">
        <v>2023</v>
      </c>
      <c r="B6097" t="s">
        <v>8570</v>
      </c>
      <c r="C6097" t="s">
        <v>322</v>
      </c>
      <c r="D6097" t="s">
        <v>35</v>
      </c>
      <c r="E6097" t="s">
        <v>351</v>
      </c>
      <c r="F6097" t="s">
        <v>351</v>
      </c>
      <c r="G6097" t="s">
        <v>37</v>
      </c>
      <c r="H6097" t="s">
        <v>43</v>
      </c>
      <c r="I6097" s="187">
        <v>48.781714364077949</v>
      </c>
      <c r="J6097" s="187"/>
      <c r="K6097" s="187">
        <v>88.759691066059219</v>
      </c>
      <c r="L6097" s="187">
        <v>245</v>
      </c>
      <c r="M6097" s="187">
        <v>382.54141235351563</v>
      </c>
      <c r="N6097" s="187">
        <v>293.78170776367188</v>
      </c>
      <c r="O6097" t="s">
        <v>8913</v>
      </c>
    </row>
    <row r="6098" spans="1:15" hidden="1" x14ac:dyDescent="0.45">
      <c r="A6098" s="187">
        <v>2023</v>
      </c>
      <c r="B6098" t="s">
        <v>311</v>
      </c>
      <c r="C6098" t="s">
        <v>322</v>
      </c>
      <c r="D6098" t="s">
        <v>35</v>
      </c>
      <c r="E6098" t="s">
        <v>351</v>
      </c>
      <c r="F6098" t="s">
        <v>351</v>
      </c>
      <c r="G6098" t="s">
        <v>37</v>
      </c>
      <c r="H6098" t="s">
        <v>43</v>
      </c>
      <c r="I6098" s="187"/>
      <c r="J6098" s="187">
        <v>0</v>
      </c>
      <c r="K6098" s="187">
        <v>57.718979397166251</v>
      </c>
      <c r="L6098" s="187">
        <v>173</v>
      </c>
      <c r="M6098" s="187">
        <v>230.71897888183594</v>
      </c>
      <c r="N6098" s="187">
        <v>173</v>
      </c>
      <c r="O6098" t="s">
        <v>6212</v>
      </c>
    </row>
    <row r="6099" spans="1:15" hidden="1" x14ac:dyDescent="0.45">
      <c r="A6099" s="187">
        <v>2023</v>
      </c>
      <c r="B6099" t="s">
        <v>310</v>
      </c>
      <c r="C6099" t="s">
        <v>322</v>
      </c>
      <c r="D6099" t="s">
        <v>35</v>
      </c>
      <c r="E6099" t="s">
        <v>351</v>
      </c>
      <c r="F6099" t="s">
        <v>351</v>
      </c>
      <c r="G6099" t="s">
        <v>37</v>
      </c>
      <c r="H6099" t="s">
        <v>43</v>
      </c>
      <c r="I6099" s="187"/>
      <c r="J6099" s="187">
        <v>0</v>
      </c>
      <c r="K6099" s="187">
        <v>34.861139725923849</v>
      </c>
      <c r="L6099" s="187">
        <v>192</v>
      </c>
      <c r="M6099" s="187">
        <v>226.86114501953125</v>
      </c>
      <c r="N6099" s="187">
        <v>192</v>
      </c>
      <c r="O6099" t="s">
        <v>6210</v>
      </c>
    </row>
    <row r="6100" spans="1:15" hidden="1" x14ac:dyDescent="0.45">
      <c r="A6100" s="187">
        <v>2023</v>
      </c>
      <c r="B6100" t="s">
        <v>315</v>
      </c>
      <c r="C6100" t="s">
        <v>322</v>
      </c>
      <c r="D6100" t="s">
        <v>35</v>
      </c>
      <c r="E6100" t="s">
        <v>352</v>
      </c>
      <c r="F6100" t="s">
        <v>361</v>
      </c>
      <c r="G6100" t="s">
        <v>36</v>
      </c>
      <c r="H6100" t="s">
        <v>43</v>
      </c>
      <c r="I6100" s="187">
        <v>0</v>
      </c>
      <c r="J6100" s="187">
        <v>0</v>
      </c>
      <c r="K6100" s="187">
        <v>0</v>
      </c>
      <c r="L6100" s="187"/>
      <c r="M6100" s="187">
        <v>0</v>
      </c>
      <c r="N6100" s="187">
        <v>0</v>
      </c>
      <c r="O6100" t="s">
        <v>6217</v>
      </c>
    </row>
    <row r="6101" spans="1:15" hidden="1" x14ac:dyDescent="0.45">
      <c r="A6101" s="187">
        <v>2023</v>
      </c>
      <c r="B6101" t="s">
        <v>8570</v>
      </c>
      <c r="C6101" t="s">
        <v>322</v>
      </c>
      <c r="D6101" t="s">
        <v>35</v>
      </c>
      <c r="E6101" t="s">
        <v>352</v>
      </c>
      <c r="F6101" t="s">
        <v>361</v>
      </c>
      <c r="G6101" t="s">
        <v>36</v>
      </c>
      <c r="H6101" t="s">
        <v>43</v>
      </c>
      <c r="I6101" s="187">
        <v>0</v>
      </c>
      <c r="J6101" s="187"/>
      <c r="K6101" s="187">
        <v>0</v>
      </c>
      <c r="L6101" s="187"/>
      <c r="M6101" s="187">
        <v>0</v>
      </c>
      <c r="N6101" s="187">
        <v>0</v>
      </c>
      <c r="O6101" t="s">
        <v>8914</v>
      </c>
    </row>
    <row r="6102" spans="1:15" hidden="1" x14ac:dyDescent="0.45">
      <c r="A6102" s="187">
        <v>2023</v>
      </c>
      <c r="B6102" t="s">
        <v>314</v>
      </c>
      <c r="C6102" t="s">
        <v>322</v>
      </c>
      <c r="D6102" t="s">
        <v>35</v>
      </c>
      <c r="E6102" t="s">
        <v>352</v>
      </c>
      <c r="F6102" t="s">
        <v>361</v>
      </c>
      <c r="G6102" t="s">
        <v>36</v>
      </c>
      <c r="H6102" t="s">
        <v>43</v>
      </c>
      <c r="I6102" s="187">
        <v>0</v>
      </c>
      <c r="J6102" s="187">
        <v>0</v>
      </c>
      <c r="K6102" s="187">
        <v>0</v>
      </c>
      <c r="L6102" s="187"/>
      <c r="M6102" s="187">
        <v>0</v>
      </c>
      <c r="N6102" s="187">
        <v>0</v>
      </c>
      <c r="O6102" t="s">
        <v>6219</v>
      </c>
    </row>
    <row r="6103" spans="1:15" hidden="1" x14ac:dyDescent="0.45">
      <c r="A6103" s="187">
        <v>2023</v>
      </c>
      <c r="B6103" t="s">
        <v>313</v>
      </c>
      <c r="C6103" t="s">
        <v>322</v>
      </c>
      <c r="D6103" t="s">
        <v>35</v>
      </c>
      <c r="E6103" t="s">
        <v>352</v>
      </c>
      <c r="F6103" t="s">
        <v>361</v>
      </c>
      <c r="G6103" t="s">
        <v>36</v>
      </c>
      <c r="H6103" t="s">
        <v>43</v>
      </c>
      <c r="I6103" s="187"/>
      <c r="J6103" s="187">
        <v>0</v>
      </c>
      <c r="K6103" s="187">
        <v>0</v>
      </c>
      <c r="L6103" s="187"/>
      <c r="M6103" s="187">
        <v>0</v>
      </c>
      <c r="N6103" s="187">
        <v>0</v>
      </c>
      <c r="O6103" t="s">
        <v>6221</v>
      </c>
    </row>
    <row r="6104" spans="1:15" hidden="1" x14ac:dyDescent="0.45">
      <c r="A6104" s="187">
        <v>2023</v>
      </c>
      <c r="B6104" t="s">
        <v>309</v>
      </c>
      <c r="C6104" t="s">
        <v>322</v>
      </c>
      <c r="D6104" t="s">
        <v>35</v>
      </c>
      <c r="E6104" t="s">
        <v>352</v>
      </c>
      <c r="F6104" t="s">
        <v>361</v>
      </c>
      <c r="G6104" t="s">
        <v>36</v>
      </c>
      <c r="H6104" t="s">
        <v>43</v>
      </c>
      <c r="I6104" s="187"/>
      <c r="J6104" s="187">
        <v>0</v>
      </c>
      <c r="K6104" s="187">
        <v>0</v>
      </c>
      <c r="L6104" s="187">
        <v>0</v>
      </c>
      <c r="M6104" s="187">
        <v>0</v>
      </c>
      <c r="N6104" s="187">
        <v>0</v>
      </c>
      <c r="O6104" t="s">
        <v>6216</v>
      </c>
    </row>
    <row r="6105" spans="1:15" hidden="1" x14ac:dyDescent="0.45">
      <c r="A6105" s="187">
        <v>2023</v>
      </c>
      <c r="B6105" t="s">
        <v>317</v>
      </c>
      <c r="C6105" t="s">
        <v>322</v>
      </c>
      <c r="D6105" t="s">
        <v>35</v>
      </c>
      <c r="E6105" t="s">
        <v>352</v>
      </c>
      <c r="F6105" t="s">
        <v>361</v>
      </c>
      <c r="G6105" t="s">
        <v>36</v>
      </c>
      <c r="H6105" t="s">
        <v>43</v>
      </c>
      <c r="I6105" s="187">
        <v>0</v>
      </c>
      <c r="J6105" s="187"/>
      <c r="K6105" s="187">
        <v>0</v>
      </c>
      <c r="L6105" s="187"/>
      <c r="M6105" s="187">
        <v>0</v>
      </c>
      <c r="N6105" s="187">
        <v>0</v>
      </c>
      <c r="O6105" t="s">
        <v>6220</v>
      </c>
    </row>
    <row r="6106" spans="1:15" hidden="1" x14ac:dyDescent="0.45">
      <c r="A6106" s="187">
        <v>2023</v>
      </c>
      <c r="B6106" t="s">
        <v>310</v>
      </c>
      <c r="C6106" t="s">
        <v>322</v>
      </c>
      <c r="D6106" t="s">
        <v>35</v>
      </c>
      <c r="E6106" t="s">
        <v>352</v>
      </c>
      <c r="F6106" t="s">
        <v>361</v>
      </c>
      <c r="G6106" t="s">
        <v>36</v>
      </c>
      <c r="H6106" t="s">
        <v>43</v>
      </c>
      <c r="I6106" s="187"/>
      <c r="J6106" s="187">
        <v>0</v>
      </c>
      <c r="K6106" s="187">
        <v>0</v>
      </c>
      <c r="L6106" s="187"/>
      <c r="M6106" s="187">
        <v>0</v>
      </c>
      <c r="N6106" s="187">
        <v>0</v>
      </c>
      <c r="O6106" t="s">
        <v>6224</v>
      </c>
    </row>
    <row r="6107" spans="1:15" hidden="1" x14ac:dyDescent="0.45">
      <c r="A6107" s="187">
        <v>2023</v>
      </c>
      <c r="B6107" t="s">
        <v>316</v>
      </c>
      <c r="C6107" t="s">
        <v>322</v>
      </c>
      <c r="D6107" t="s">
        <v>35</v>
      </c>
      <c r="E6107" t="s">
        <v>352</v>
      </c>
      <c r="F6107" t="s">
        <v>361</v>
      </c>
      <c r="G6107" t="s">
        <v>36</v>
      </c>
      <c r="H6107" t="s">
        <v>43</v>
      </c>
      <c r="I6107" s="187">
        <v>0</v>
      </c>
      <c r="J6107" s="187"/>
      <c r="K6107" s="187">
        <v>0</v>
      </c>
      <c r="L6107" s="187"/>
      <c r="M6107" s="187">
        <v>0</v>
      </c>
      <c r="N6107" s="187">
        <v>0</v>
      </c>
      <c r="O6107" t="s">
        <v>6223</v>
      </c>
    </row>
    <row r="6108" spans="1:15" hidden="1" x14ac:dyDescent="0.45">
      <c r="A6108" s="187">
        <v>2023</v>
      </c>
      <c r="B6108" t="s">
        <v>311</v>
      </c>
      <c r="C6108" t="s">
        <v>322</v>
      </c>
      <c r="D6108" t="s">
        <v>35</v>
      </c>
      <c r="E6108" t="s">
        <v>352</v>
      </c>
      <c r="F6108" t="s">
        <v>361</v>
      </c>
      <c r="G6108" t="s">
        <v>36</v>
      </c>
      <c r="H6108" t="s">
        <v>43</v>
      </c>
      <c r="I6108" s="187"/>
      <c r="J6108" s="187">
        <v>0</v>
      </c>
      <c r="K6108" s="187">
        <v>0</v>
      </c>
      <c r="L6108" s="187"/>
      <c r="M6108" s="187">
        <v>0</v>
      </c>
      <c r="N6108" s="187">
        <v>0</v>
      </c>
      <c r="O6108" t="s">
        <v>6222</v>
      </c>
    </row>
    <row r="6109" spans="1:15" hidden="1" x14ac:dyDescent="0.45">
      <c r="A6109" s="187">
        <v>2023</v>
      </c>
      <c r="B6109" t="s">
        <v>312</v>
      </c>
      <c r="C6109" t="s">
        <v>322</v>
      </c>
      <c r="D6109" t="s">
        <v>35</v>
      </c>
      <c r="E6109" t="s">
        <v>352</v>
      </c>
      <c r="F6109" t="s">
        <v>361</v>
      </c>
      <c r="G6109" t="s">
        <v>36</v>
      </c>
      <c r="H6109" t="s">
        <v>43</v>
      </c>
      <c r="I6109" s="187"/>
      <c r="J6109" s="187">
        <v>0</v>
      </c>
      <c r="K6109" s="187">
        <v>0</v>
      </c>
      <c r="L6109" s="187"/>
      <c r="M6109" s="187">
        <v>0</v>
      </c>
      <c r="N6109" s="187">
        <v>0</v>
      </c>
      <c r="O6109" t="s">
        <v>6218</v>
      </c>
    </row>
    <row r="6110" spans="1:15" hidden="1" x14ac:dyDescent="0.45">
      <c r="A6110" s="187">
        <v>2023</v>
      </c>
      <c r="B6110" t="s">
        <v>309</v>
      </c>
      <c r="C6110" t="s">
        <v>322</v>
      </c>
      <c r="D6110" t="s">
        <v>35</v>
      </c>
      <c r="E6110" t="s">
        <v>353</v>
      </c>
      <c r="F6110" t="s">
        <v>383</v>
      </c>
      <c r="G6110" t="s">
        <v>36</v>
      </c>
      <c r="H6110" t="s">
        <v>43</v>
      </c>
      <c r="I6110" s="187"/>
      <c r="J6110" s="187">
        <v>874.29215179399068</v>
      </c>
      <c r="K6110" s="187">
        <v>15762.602169049796</v>
      </c>
      <c r="L6110" s="187">
        <v>23164.767967305328</v>
      </c>
      <c r="M6110" s="187">
        <v>39801.6640625</v>
      </c>
      <c r="N6110" s="187">
        <v>23164.767578125</v>
      </c>
      <c r="O6110" t="s">
        <v>6225</v>
      </c>
    </row>
    <row r="6111" spans="1:15" hidden="1" x14ac:dyDescent="0.45">
      <c r="A6111" s="187">
        <v>2023</v>
      </c>
      <c r="B6111" t="s">
        <v>315</v>
      </c>
      <c r="C6111" t="s">
        <v>322</v>
      </c>
      <c r="D6111" t="s">
        <v>35</v>
      </c>
      <c r="E6111" t="s">
        <v>353</v>
      </c>
      <c r="F6111" t="s">
        <v>383</v>
      </c>
      <c r="G6111" t="s">
        <v>36</v>
      </c>
      <c r="H6111" t="s">
        <v>43</v>
      </c>
      <c r="I6111" s="187">
        <v>18608.566982363092</v>
      </c>
      <c r="J6111" s="187">
        <v>860.92605150060137</v>
      </c>
      <c r="K6111" s="187">
        <v>17413.449309576088</v>
      </c>
      <c r="L6111" s="187">
        <v>31755.710528574156</v>
      </c>
      <c r="M6111" s="187">
        <v>68638.6484375</v>
      </c>
      <c r="N6111" s="187">
        <v>50364.27734375</v>
      </c>
      <c r="O6111" t="s">
        <v>6228</v>
      </c>
    </row>
    <row r="6112" spans="1:15" hidden="1" x14ac:dyDescent="0.45">
      <c r="A6112" s="187">
        <v>2023</v>
      </c>
      <c r="B6112" t="s">
        <v>314</v>
      </c>
      <c r="C6112" t="s">
        <v>322</v>
      </c>
      <c r="D6112" t="s">
        <v>35</v>
      </c>
      <c r="E6112" t="s">
        <v>353</v>
      </c>
      <c r="F6112" t="s">
        <v>383</v>
      </c>
      <c r="G6112" t="s">
        <v>36</v>
      </c>
      <c r="H6112" t="s">
        <v>43</v>
      </c>
      <c r="I6112" s="187">
        <v>18086.276828839862</v>
      </c>
      <c r="J6112" s="187">
        <v>832.84677268571329</v>
      </c>
      <c r="K6112" s="187">
        <v>17579.681178553008</v>
      </c>
      <c r="L6112" s="187">
        <v>32774.558941339739</v>
      </c>
      <c r="M6112" s="187">
        <v>69273.3671875</v>
      </c>
      <c r="N6112" s="187">
        <v>50860.8359375</v>
      </c>
      <c r="O6112" t="s">
        <v>6231</v>
      </c>
    </row>
    <row r="6113" spans="1:15" hidden="1" x14ac:dyDescent="0.45">
      <c r="A6113" s="187">
        <v>2023</v>
      </c>
      <c r="B6113" t="s">
        <v>313</v>
      </c>
      <c r="C6113" t="s">
        <v>322</v>
      </c>
      <c r="D6113" t="s">
        <v>35</v>
      </c>
      <c r="E6113" t="s">
        <v>353</v>
      </c>
      <c r="F6113" t="s">
        <v>383</v>
      </c>
      <c r="G6113" t="s">
        <v>36</v>
      </c>
      <c r="H6113" t="s">
        <v>43</v>
      </c>
      <c r="I6113" s="187">
        <v>13879.594334986949</v>
      </c>
      <c r="J6113" s="187">
        <v>862.48214966308524</v>
      </c>
      <c r="K6113" s="187">
        <v>15847.994493140875</v>
      </c>
      <c r="L6113" s="187">
        <v>29390.277141644161</v>
      </c>
      <c r="M6113" s="187">
        <v>59980.34765625</v>
      </c>
      <c r="N6113" s="187">
        <v>43269.87109375</v>
      </c>
      <c r="O6113" t="s">
        <v>6232</v>
      </c>
    </row>
    <row r="6114" spans="1:15" hidden="1" x14ac:dyDescent="0.45">
      <c r="A6114" s="187">
        <v>2023</v>
      </c>
      <c r="B6114" t="s">
        <v>311</v>
      </c>
      <c r="C6114" t="s">
        <v>322</v>
      </c>
      <c r="D6114" t="s">
        <v>35</v>
      </c>
      <c r="E6114" t="s">
        <v>353</v>
      </c>
      <c r="F6114" t="s">
        <v>383</v>
      </c>
      <c r="G6114" t="s">
        <v>36</v>
      </c>
      <c r="H6114" t="s">
        <v>43</v>
      </c>
      <c r="I6114" s="187"/>
      <c r="J6114" s="187">
        <v>1103.1294160965783</v>
      </c>
      <c r="K6114" s="187">
        <v>15229.27775771817</v>
      </c>
      <c r="L6114" s="187">
        <v>33355.31777804163</v>
      </c>
      <c r="M6114" s="187">
        <v>49687.7265625</v>
      </c>
      <c r="N6114" s="187">
        <v>33355.31640625</v>
      </c>
      <c r="O6114" t="s">
        <v>6230</v>
      </c>
    </row>
    <row r="6115" spans="1:15" hidden="1" x14ac:dyDescent="0.45">
      <c r="A6115" s="187">
        <v>2023</v>
      </c>
      <c r="B6115" t="s">
        <v>312</v>
      </c>
      <c r="C6115" t="s">
        <v>322</v>
      </c>
      <c r="D6115" t="s">
        <v>35</v>
      </c>
      <c r="E6115" t="s">
        <v>353</v>
      </c>
      <c r="F6115" t="s">
        <v>383</v>
      </c>
      <c r="G6115" t="s">
        <v>36</v>
      </c>
      <c r="H6115" t="s">
        <v>43</v>
      </c>
      <c r="I6115" s="187">
        <v>13733.002909038485</v>
      </c>
      <c r="J6115" s="187">
        <v>1057.270971740106</v>
      </c>
      <c r="K6115" s="187">
        <v>15044.687596419502</v>
      </c>
      <c r="L6115" s="187">
        <v>23187.003498361082</v>
      </c>
      <c r="M6115" s="187">
        <v>53021.96484375</v>
      </c>
      <c r="N6115" s="187">
        <v>36920.0078125</v>
      </c>
      <c r="O6115" t="s">
        <v>6229</v>
      </c>
    </row>
    <row r="6116" spans="1:15" hidden="1" x14ac:dyDescent="0.45">
      <c r="A6116" s="187">
        <v>2023</v>
      </c>
      <c r="B6116" t="s">
        <v>317</v>
      </c>
      <c r="C6116" t="s">
        <v>322</v>
      </c>
      <c r="D6116" t="s">
        <v>35</v>
      </c>
      <c r="E6116" t="s">
        <v>353</v>
      </c>
      <c r="F6116" t="s">
        <v>383</v>
      </c>
      <c r="G6116" t="s">
        <v>36</v>
      </c>
      <c r="H6116" t="s">
        <v>43</v>
      </c>
      <c r="I6116" s="187">
        <v>18101.797648288004</v>
      </c>
      <c r="J6116" s="187">
        <v>1212.3312053604204</v>
      </c>
      <c r="K6116" s="187">
        <v>18104.716325026628</v>
      </c>
      <c r="L6116" s="187">
        <v>27434.125939484027</v>
      </c>
      <c r="M6116" s="187">
        <v>64852.96875</v>
      </c>
      <c r="N6116" s="187">
        <v>45535.921875</v>
      </c>
      <c r="O6116" t="s">
        <v>6226</v>
      </c>
    </row>
    <row r="6117" spans="1:15" hidden="1" x14ac:dyDescent="0.45">
      <c r="A6117" s="187">
        <v>2023</v>
      </c>
      <c r="B6117" t="s">
        <v>310</v>
      </c>
      <c r="C6117" t="s">
        <v>322</v>
      </c>
      <c r="D6117" t="s">
        <v>35</v>
      </c>
      <c r="E6117" t="s">
        <v>353</v>
      </c>
      <c r="F6117" t="s">
        <v>383</v>
      </c>
      <c r="G6117" t="s">
        <v>36</v>
      </c>
      <c r="H6117" t="s">
        <v>43</v>
      </c>
      <c r="I6117" s="187"/>
      <c r="J6117" s="187">
        <v>810.7869108940464</v>
      </c>
      <c r="K6117" s="187">
        <v>15744.019743176426</v>
      </c>
      <c r="L6117" s="187">
        <v>32662.943021613868</v>
      </c>
      <c r="M6117" s="187">
        <v>49217.75</v>
      </c>
      <c r="N6117" s="187">
        <v>32662.943359375</v>
      </c>
      <c r="O6117" t="s">
        <v>6227</v>
      </c>
    </row>
    <row r="6118" spans="1:15" hidden="1" x14ac:dyDescent="0.45">
      <c r="A6118" s="187">
        <v>2023</v>
      </c>
      <c r="B6118" t="s">
        <v>8570</v>
      </c>
      <c r="C6118" t="s">
        <v>322</v>
      </c>
      <c r="D6118" t="s">
        <v>35</v>
      </c>
      <c r="E6118" t="s">
        <v>353</v>
      </c>
      <c r="F6118" t="s">
        <v>383</v>
      </c>
      <c r="G6118" t="s">
        <v>36</v>
      </c>
      <c r="H6118" t="s">
        <v>43</v>
      </c>
      <c r="I6118" s="187">
        <v>12364.270207140249</v>
      </c>
      <c r="J6118" s="187">
        <v>653</v>
      </c>
      <c r="K6118" s="187">
        <v>16517.856022724391</v>
      </c>
      <c r="L6118" s="187">
        <v>22138</v>
      </c>
      <c r="M6118" s="187">
        <v>51673.125</v>
      </c>
      <c r="N6118" s="187">
        <v>34502.26953125</v>
      </c>
      <c r="O6118" t="s">
        <v>8915</v>
      </c>
    </row>
    <row r="6119" spans="1:15" hidden="1" x14ac:dyDescent="0.45">
      <c r="A6119" s="187">
        <v>2023</v>
      </c>
      <c r="B6119" t="s">
        <v>316</v>
      </c>
      <c r="C6119" t="s">
        <v>322</v>
      </c>
      <c r="D6119" t="s">
        <v>35</v>
      </c>
      <c r="E6119" t="s">
        <v>353</v>
      </c>
      <c r="F6119" t="s">
        <v>383</v>
      </c>
      <c r="G6119" t="s">
        <v>36</v>
      </c>
      <c r="H6119" t="s">
        <v>43</v>
      </c>
      <c r="I6119" s="187">
        <v>18456.923082385147</v>
      </c>
      <c r="J6119" s="187">
        <v>929.62703980853848</v>
      </c>
      <c r="K6119" s="187">
        <v>18256.648730650879</v>
      </c>
      <c r="L6119" s="187">
        <v>29645.630066880109</v>
      </c>
      <c r="M6119" s="187">
        <v>67288.828125</v>
      </c>
      <c r="N6119" s="187">
        <v>48102.5546875</v>
      </c>
      <c r="O6119" t="s">
        <v>6233</v>
      </c>
    </row>
    <row r="6120" spans="1:15" hidden="1" x14ac:dyDescent="0.45">
      <c r="A6120" s="187">
        <v>2023</v>
      </c>
      <c r="B6120" t="s">
        <v>317</v>
      </c>
      <c r="C6120" t="s">
        <v>322</v>
      </c>
      <c r="D6120" t="s">
        <v>35</v>
      </c>
      <c r="E6120" t="s">
        <v>353</v>
      </c>
      <c r="F6120" t="s">
        <v>383</v>
      </c>
      <c r="G6120" t="s">
        <v>37</v>
      </c>
      <c r="H6120" t="s">
        <v>43</v>
      </c>
      <c r="I6120" s="187">
        <v>17430.28274715623</v>
      </c>
      <c r="J6120" s="187">
        <v>1122</v>
      </c>
      <c r="K6120" s="187">
        <v>17336.889566640271</v>
      </c>
      <c r="L6120" s="187">
        <v>26230</v>
      </c>
      <c r="M6120" s="187">
        <v>62119.171875</v>
      </c>
      <c r="N6120" s="187">
        <v>43660.28125</v>
      </c>
      <c r="O6120" t="s">
        <v>6235</v>
      </c>
    </row>
    <row r="6121" spans="1:15" hidden="1" x14ac:dyDescent="0.45">
      <c r="A6121" s="187">
        <v>2023</v>
      </c>
      <c r="B6121" t="s">
        <v>312</v>
      </c>
      <c r="C6121" t="s">
        <v>322</v>
      </c>
      <c r="D6121" t="s">
        <v>35</v>
      </c>
      <c r="E6121" t="s">
        <v>353</v>
      </c>
      <c r="F6121" t="s">
        <v>383</v>
      </c>
      <c r="G6121" t="s">
        <v>37</v>
      </c>
      <c r="H6121" t="s">
        <v>43</v>
      </c>
      <c r="I6121" s="187">
        <v>12543.445254480341</v>
      </c>
      <c r="J6121" s="187">
        <v>982</v>
      </c>
      <c r="K6121" s="187">
        <v>13932.298516872819</v>
      </c>
      <c r="L6121" s="187">
        <v>21549</v>
      </c>
      <c r="M6121" s="187">
        <v>49006.7421875</v>
      </c>
      <c r="N6121" s="187">
        <v>34092.4453125</v>
      </c>
      <c r="O6121" t="s">
        <v>6240</v>
      </c>
    </row>
    <row r="6122" spans="1:15" hidden="1" x14ac:dyDescent="0.45">
      <c r="A6122" s="187">
        <v>2023</v>
      </c>
      <c r="B6122" t="s">
        <v>311</v>
      </c>
      <c r="C6122" t="s">
        <v>322</v>
      </c>
      <c r="D6122" t="s">
        <v>35</v>
      </c>
      <c r="E6122" t="s">
        <v>353</v>
      </c>
      <c r="F6122" t="s">
        <v>383</v>
      </c>
      <c r="G6122" t="s">
        <v>37</v>
      </c>
      <c r="H6122" t="s">
        <v>43</v>
      </c>
      <c r="I6122" s="187"/>
      <c r="J6122" s="187">
        <v>1015</v>
      </c>
      <c r="K6122" s="187">
        <v>13889.564777421851</v>
      </c>
      <c r="L6122" s="187">
        <v>32227</v>
      </c>
      <c r="M6122" s="187">
        <v>47131.5625</v>
      </c>
      <c r="N6122" s="187">
        <v>32227</v>
      </c>
      <c r="O6122" t="s">
        <v>6241</v>
      </c>
    </row>
    <row r="6123" spans="1:15" hidden="1" x14ac:dyDescent="0.45">
      <c r="A6123" s="187">
        <v>2023</v>
      </c>
      <c r="B6123" t="s">
        <v>316</v>
      </c>
      <c r="C6123" t="s">
        <v>322</v>
      </c>
      <c r="D6123" t="s">
        <v>35</v>
      </c>
      <c r="E6123" t="s">
        <v>353</v>
      </c>
      <c r="F6123" t="s">
        <v>383</v>
      </c>
      <c r="G6123" t="s">
        <v>37</v>
      </c>
      <c r="H6123" t="s">
        <v>43</v>
      </c>
      <c r="I6123" s="187">
        <v>17784</v>
      </c>
      <c r="J6123" s="187">
        <v>844</v>
      </c>
      <c r="K6123" s="187">
        <v>17275.234139011169</v>
      </c>
      <c r="L6123" s="187">
        <v>29099</v>
      </c>
      <c r="M6123" s="187">
        <v>65002.234375</v>
      </c>
      <c r="N6123" s="187">
        <v>46883</v>
      </c>
      <c r="O6123" t="s">
        <v>6234</v>
      </c>
    </row>
    <row r="6124" spans="1:15" hidden="1" x14ac:dyDescent="0.45">
      <c r="A6124" s="187">
        <v>2023</v>
      </c>
      <c r="B6124" t="s">
        <v>8570</v>
      </c>
      <c r="C6124" t="s">
        <v>322</v>
      </c>
      <c r="D6124" t="s">
        <v>35</v>
      </c>
      <c r="E6124" t="s">
        <v>353</v>
      </c>
      <c r="F6124" t="s">
        <v>383</v>
      </c>
      <c r="G6124" t="s">
        <v>37</v>
      </c>
      <c r="H6124" t="s">
        <v>43</v>
      </c>
      <c r="I6124" s="187">
        <v>12611.55561128306</v>
      </c>
      <c r="J6124" s="187">
        <v>653</v>
      </c>
      <c r="K6124" s="187">
        <v>16896.227958843709</v>
      </c>
      <c r="L6124" s="187">
        <v>23460</v>
      </c>
      <c r="M6124" s="187">
        <v>53620.78125</v>
      </c>
      <c r="N6124" s="187">
        <v>36071.5546875</v>
      </c>
      <c r="O6124" t="s">
        <v>8916</v>
      </c>
    </row>
    <row r="6125" spans="1:15" hidden="1" x14ac:dyDescent="0.45">
      <c r="A6125" s="187">
        <v>2023</v>
      </c>
      <c r="B6125" t="s">
        <v>314</v>
      </c>
      <c r="C6125" t="s">
        <v>322</v>
      </c>
      <c r="D6125" t="s">
        <v>35</v>
      </c>
      <c r="E6125" t="s">
        <v>353</v>
      </c>
      <c r="F6125" t="s">
        <v>383</v>
      </c>
      <c r="G6125" t="s">
        <v>37</v>
      </c>
      <c r="H6125" t="s">
        <v>43</v>
      </c>
      <c r="I6125" s="187">
        <v>17151.568170734441</v>
      </c>
      <c r="J6125" s="187">
        <v>788</v>
      </c>
      <c r="K6125" s="187">
        <v>16693.711883814409</v>
      </c>
      <c r="L6125" s="187">
        <v>32958</v>
      </c>
      <c r="M6125" s="187">
        <v>67591.28125</v>
      </c>
      <c r="N6125" s="187">
        <v>50109.5703125</v>
      </c>
      <c r="O6125" t="s">
        <v>6238</v>
      </c>
    </row>
    <row r="6126" spans="1:15" hidden="1" x14ac:dyDescent="0.45">
      <c r="A6126" s="187">
        <v>2023</v>
      </c>
      <c r="B6126" t="s">
        <v>309</v>
      </c>
      <c r="C6126" t="s">
        <v>322</v>
      </c>
      <c r="D6126" t="s">
        <v>35</v>
      </c>
      <c r="E6126" t="s">
        <v>353</v>
      </c>
      <c r="F6126" t="s">
        <v>383</v>
      </c>
      <c r="G6126" t="s">
        <v>37</v>
      </c>
      <c r="H6126" t="s">
        <v>43</v>
      </c>
      <c r="I6126" s="187"/>
      <c r="J6126" s="187">
        <v>794.17800000000011</v>
      </c>
      <c r="K6126" s="187">
        <v>14846.389865353231</v>
      </c>
      <c r="L6126" s="187">
        <v>22955</v>
      </c>
      <c r="M6126" s="187">
        <v>38595.56640625</v>
      </c>
      <c r="N6126" s="187">
        <v>22955</v>
      </c>
      <c r="O6126" t="s">
        <v>6242</v>
      </c>
    </row>
    <row r="6127" spans="1:15" hidden="1" x14ac:dyDescent="0.45">
      <c r="A6127" s="187">
        <v>2023</v>
      </c>
      <c r="B6127" t="s">
        <v>315</v>
      </c>
      <c r="C6127" t="s">
        <v>322</v>
      </c>
      <c r="D6127" t="s">
        <v>35</v>
      </c>
      <c r="E6127" t="s">
        <v>353</v>
      </c>
      <c r="F6127" t="s">
        <v>383</v>
      </c>
      <c r="G6127" t="s">
        <v>37</v>
      </c>
      <c r="H6127" t="s">
        <v>43</v>
      </c>
      <c r="I6127" s="187">
        <v>17784.698671905659</v>
      </c>
      <c r="J6127" s="187">
        <v>805</v>
      </c>
      <c r="K6127" s="187">
        <v>16597.80798256581</v>
      </c>
      <c r="L6127" s="187">
        <v>30344</v>
      </c>
      <c r="M6127" s="187">
        <v>65531.5078125</v>
      </c>
      <c r="N6127" s="187">
        <v>48128.69921875</v>
      </c>
      <c r="O6127" t="s">
        <v>6236</v>
      </c>
    </row>
    <row r="6128" spans="1:15" hidden="1" x14ac:dyDescent="0.45">
      <c r="A6128" s="187">
        <v>2023</v>
      </c>
      <c r="B6128" t="s">
        <v>310</v>
      </c>
      <c r="C6128" t="s">
        <v>322</v>
      </c>
      <c r="D6128" t="s">
        <v>35</v>
      </c>
      <c r="E6128" t="s">
        <v>353</v>
      </c>
      <c r="F6128" t="s">
        <v>383</v>
      </c>
      <c r="G6128" t="s">
        <v>37</v>
      </c>
      <c r="H6128" t="s">
        <v>43</v>
      </c>
      <c r="I6128" s="187"/>
      <c r="J6128" s="187">
        <v>743</v>
      </c>
      <c r="K6128" s="187">
        <v>14445.62156520897</v>
      </c>
      <c r="L6128" s="187">
        <v>31512</v>
      </c>
      <c r="M6128" s="187">
        <v>46700.62109375</v>
      </c>
      <c r="N6128" s="187">
        <v>31512</v>
      </c>
      <c r="O6128" t="s">
        <v>6239</v>
      </c>
    </row>
    <row r="6129" spans="1:15" hidden="1" x14ac:dyDescent="0.45">
      <c r="A6129" s="187">
        <v>2023</v>
      </c>
      <c r="B6129" t="s">
        <v>313</v>
      </c>
      <c r="C6129" t="s">
        <v>322</v>
      </c>
      <c r="D6129" t="s">
        <v>35</v>
      </c>
      <c r="E6129" t="s">
        <v>353</v>
      </c>
      <c r="F6129" t="s">
        <v>383</v>
      </c>
      <c r="G6129" t="s">
        <v>37</v>
      </c>
      <c r="H6129" t="s">
        <v>43</v>
      </c>
      <c r="I6129" s="187">
        <v>13021.607857791589</v>
      </c>
      <c r="J6129" s="187">
        <v>810</v>
      </c>
      <c r="K6129" s="187">
        <v>14832.381005072049</v>
      </c>
      <c r="L6129" s="187">
        <v>27781</v>
      </c>
      <c r="M6129" s="187">
        <v>56444.98828125</v>
      </c>
      <c r="N6129" s="187">
        <v>40802.609375</v>
      </c>
      <c r="O6129" t="s">
        <v>6237</v>
      </c>
    </row>
    <row r="6130" spans="1:15" hidden="1" x14ac:dyDescent="0.45">
      <c r="A6130" s="187">
        <v>2023</v>
      </c>
      <c r="B6130" t="s">
        <v>317</v>
      </c>
      <c r="C6130" t="s">
        <v>322</v>
      </c>
      <c r="D6130" t="s">
        <v>35</v>
      </c>
      <c r="E6130" t="s">
        <v>38</v>
      </c>
      <c r="F6130" t="s">
        <v>38</v>
      </c>
      <c r="G6130" t="s">
        <v>36</v>
      </c>
      <c r="H6130" t="s">
        <v>43</v>
      </c>
      <c r="I6130" s="187">
        <v>649.04020359705657</v>
      </c>
      <c r="J6130" s="187">
        <v>178.28400078829713</v>
      </c>
      <c r="K6130" s="187">
        <v>2561.4818121034859</v>
      </c>
      <c r="L6130" s="187">
        <v>2761.7812485750756</v>
      </c>
      <c r="M6130" s="187">
        <v>6150.58740234375</v>
      </c>
      <c r="N6130" s="187">
        <v>3410.821533203125</v>
      </c>
      <c r="O6130" t="s">
        <v>6251</v>
      </c>
    </row>
    <row r="6131" spans="1:15" hidden="1" x14ac:dyDescent="0.45">
      <c r="A6131" s="187">
        <v>2023</v>
      </c>
      <c r="B6131" t="s">
        <v>8570</v>
      </c>
      <c r="C6131" t="s">
        <v>322</v>
      </c>
      <c r="D6131" t="s">
        <v>35</v>
      </c>
      <c r="E6131" t="s">
        <v>38</v>
      </c>
      <c r="F6131" t="s">
        <v>38</v>
      </c>
      <c r="G6131" t="s">
        <v>36</v>
      </c>
      <c r="H6131" t="s">
        <v>43</v>
      </c>
      <c r="I6131" s="187">
        <v>383.27519999999998</v>
      </c>
      <c r="J6131" s="187">
        <v>269</v>
      </c>
      <c r="K6131" s="187">
        <v>2817.4245022241612</v>
      </c>
      <c r="L6131" s="187">
        <v>5223</v>
      </c>
      <c r="M6131" s="187">
        <v>8692.69921875</v>
      </c>
      <c r="N6131" s="187">
        <v>5606.275390625</v>
      </c>
      <c r="O6131" t="s">
        <v>8917</v>
      </c>
    </row>
    <row r="6132" spans="1:15" hidden="1" x14ac:dyDescent="0.45">
      <c r="A6132" s="187">
        <v>2023</v>
      </c>
      <c r="B6132" t="s">
        <v>309</v>
      </c>
      <c r="C6132" t="s">
        <v>322</v>
      </c>
      <c r="D6132" t="s">
        <v>35</v>
      </c>
      <c r="E6132" t="s">
        <v>38</v>
      </c>
      <c r="F6132" t="s">
        <v>38</v>
      </c>
      <c r="G6132" t="s">
        <v>36</v>
      </c>
      <c r="H6132" t="s">
        <v>43</v>
      </c>
      <c r="I6132" s="187"/>
      <c r="J6132" s="187">
        <v>198.70276177136154</v>
      </c>
      <c r="K6132" s="187">
        <v>1368.18341950287</v>
      </c>
      <c r="L6132" s="187">
        <v>1597.5702046417466</v>
      </c>
      <c r="M6132" s="187">
        <v>3164.45654296875</v>
      </c>
      <c r="N6132" s="187">
        <v>1597.5701904296875</v>
      </c>
      <c r="O6132" t="s">
        <v>6246</v>
      </c>
    </row>
    <row r="6133" spans="1:15" hidden="1" x14ac:dyDescent="0.45">
      <c r="A6133" s="187">
        <v>2023</v>
      </c>
      <c r="B6133" t="s">
        <v>316</v>
      </c>
      <c r="C6133" t="s">
        <v>322</v>
      </c>
      <c r="D6133" t="s">
        <v>35</v>
      </c>
      <c r="E6133" t="s">
        <v>38</v>
      </c>
      <c r="F6133" t="s">
        <v>38</v>
      </c>
      <c r="G6133" t="s">
        <v>36</v>
      </c>
      <c r="H6133" t="s">
        <v>43</v>
      </c>
      <c r="I6133" s="187">
        <v>362.13775539279027</v>
      </c>
      <c r="J6133" s="187">
        <v>60.579961124964001</v>
      </c>
      <c r="K6133" s="187">
        <v>1842.2759164985866</v>
      </c>
      <c r="L6133" s="187">
        <v>2423.1984449985598</v>
      </c>
      <c r="M6133" s="187">
        <v>4688.19189453125</v>
      </c>
      <c r="N6133" s="187">
        <v>2785.336181640625</v>
      </c>
      <c r="O6133" t="s">
        <v>6248</v>
      </c>
    </row>
    <row r="6134" spans="1:15" hidden="1" x14ac:dyDescent="0.45">
      <c r="A6134" s="187">
        <v>2023</v>
      </c>
      <c r="B6134" t="s">
        <v>311</v>
      </c>
      <c r="C6134" t="s">
        <v>322</v>
      </c>
      <c r="D6134" t="s">
        <v>35</v>
      </c>
      <c r="E6134" t="s">
        <v>38</v>
      </c>
      <c r="F6134" t="s">
        <v>38</v>
      </c>
      <c r="G6134" t="s">
        <v>36</v>
      </c>
      <c r="H6134" t="s">
        <v>43</v>
      </c>
      <c r="I6134" s="187"/>
      <c r="J6134" s="187">
        <v>89.270588585850277</v>
      </c>
      <c r="K6134" s="187">
        <v>1313.8652080619563</v>
      </c>
      <c r="L6134" s="187">
        <v>2134.8423613244768</v>
      </c>
      <c r="M6134" s="187">
        <v>3537.97802734375</v>
      </c>
      <c r="N6134" s="187">
        <v>2134.84228515625</v>
      </c>
      <c r="O6134" t="s">
        <v>6250</v>
      </c>
    </row>
    <row r="6135" spans="1:15" hidden="1" x14ac:dyDescent="0.45">
      <c r="A6135" s="187">
        <v>2023</v>
      </c>
      <c r="B6135" t="s">
        <v>313</v>
      </c>
      <c r="C6135" t="s">
        <v>322</v>
      </c>
      <c r="D6135" t="s">
        <v>35</v>
      </c>
      <c r="E6135" t="s">
        <v>38</v>
      </c>
      <c r="F6135" t="s">
        <v>38</v>
      </c>
      <c r="G6135" t="s">
        <v>36</v>
      </c>
      <c r="H6135" t="s">
        <v>43</v>
      </c>
      <c r="I6135" s="187">
        <v>313.56976021250898</v>
      </c>
      <c r="J6135" s="187">
        <v>59.894593726603141</v>
      </c>
      <c r="K6135" s="187">
        <v>1095.5906748702034</v>
      </c>
      <c r="L6135" s="187">
        <v>1769.2862986838568</v>
      </c>
      <c r="M6135" s="187">
        <v>3238.34130859375</v>
      </c>
      <c r="N6135" s="187">
        <v>2082.85595703125</v>
      </c>
      <c r="O6135" t="s">
        <v>6247</v>
      </c>
    </row>
    <row r="6136" spans="1:15" hidden="1" x14ac:dyDescent="0.45">
      <c r="A6136" s="187">
        <v>2023</v>
      </c>
      <c r="B6136" t="s">
        <v>310</v>
      </c>
      <c r="C6136" t="s">
        <v>322</v>
      </c>
      <c r="D6136" t="s">
        <v>35</v>
      </c>
      <c r="E6136" t="s">
        <v>38</v>
      </c>
      <c r="F6136" t="s">
        <v>38</v>
      </c>
      <c r="G6136" t="s">
        <v>36</v>
      </c>
      <c r="H6136" t="s">
        <v>43</v>
      </c>
      <c r="I6136" s="187"/>
      <c r="J6136" s="187">
        <v>143.84929064249212</v>
      </c>
      <c r="K6136" s="187">
        <v>1314.3403380850243</v>
      </c>
      <c r="L6136" s="187">
        <v>1297.2590574304743</v>
      </c>
      <c r="M6136" s="187">
        <v>2755.44873046875</v>
      </c>
      <c r="N6136" s="187">
        <v>1297.259033203125</v>
      </c>
      <c r="O6136" t="s">
        <v>6249</v>
      </c>
    </row>
    <row r="6137" spans="1:15" hidden="1" x14ac:dyDescent="0.45">
      <c r="A6137" s="187">
        <v>2023</v>
      </c>
      <c r="B6137" t="s">
        <v>312</v>
      </c>
      <c r="C6137" t="s">
        <v>322</v>
      </c>
      <c r="D6137" t="s">
        <v>35</v>
      </c>
      <c r="E6137" t="s">
        <v>38</v>
      </c>
      <c r="F6137" t="s">
        <v>38</v>
      </c>
      <c r="G6137" t="s">
        <v>36</v>
      </c>
      <c r="H6137" t="s">
        <v>43</v>
      </c>
      <c r="I6137" s="187">
        <v>323.69556459703392</v>
      </c>
      <c r="J6137" s="187">
        <v>80.377325336967118</v>
      </c>
      <c r="K6137" s="187">
        <v>1288.8979707904175</v>
      </c>
      <c r="L6137" s="187">
        <v>1851.1516312221504</v>
      </c>
      <c r="M6137" s="187">
        <v>3544.12255859375</v>
      </c>
      <c r="N6137" s="187">
        <v>2174.84716796875</v>
      </c>
      <c r="O6137" t="s">
        <v>6244</v>
      </c>
    </row>
    <row r="6138" spans="1:15" hidden="1" x14ac:dyDescent="0.45">
      <c r="A6138" s="187">
        <v>2023</v>
      </c>
      <c r="B6138" t="s">
        <v>314</v>
      </c>
      <c r="C6138" t="s">
        <v>322</v>
      </c>
      <c r="D6138" t="s">
        <v>35</v>
      </c>
      <c r="E6138" t="s">
        <v>38</v>
      </c>
      <c r="F6138" t="s">
        <v>38</v>
      </c>
      <c r="G6138" t="s">
        <v>36</v>
      </c>
      <c r="H6138" t="s">
        <v>43</v>
      </c>
      <c r="I6138" s="187">
        <v>480.49201716527944</v>
      </c>
      <c r="J6138" s="187">
        <v>75.713342971428489</v>
      </c>
      <c r="K6138" s="187">
        <v>1090.6208286960048</v>
      </c>
      <c r="L6138" s="187">
        <v>2178.2146362549424</v>
      </c>
      <c r="M6138" s="187">
        <v>3825.040771484375</v>
      </c>
      <c r="N6138" s="187">
        <v>2658.70654296875</v>
      </c>
      <c r="O6138" t="s">
        <v>6245</v>
      </c>
    </row>
    <row r="6139" spans="1:15" hidden="1" x14ac:dyDescent="0.45">
      <c r="A6139" s="187">
        <v>2023</v>
      </c>
      <c r="B6139" t="s">
        <v>315</v>
      </c>
      <c r="C6139" t="s">
        <v>322</v>
      </c>
      <c r="D6139" t="s">
        <v>35</v>
      </c>
      <c r="E6139" t="s">
        <v>38</v>
      </c>
      <c r="F6139" t="s">
        <v>38</v>
      </c>
      <c r="G6139" t="s">
        <v>36</v>
      </c>
      <c r="H6139" t="s">
        <v>43</v>
      </c>
      <c r="I6139" s="187">
        <v>467.65616397256287</v>
      </c>
      <c r="J6139" s="187">
        <v>101.95176925665017</v>
      </c>
      <c r="K6139" s="187">
        <v>1934.3970808173533</v>
      </c>
      <c r="L6139" s="187">
        <v>2182.9006595284986</v>
      </c>
      <c r="M6139" s="187">
        <v>4686.90576171875</v>
      </c>
      <c r="N6139" s="187">
        <v>2650.556884765625</v>
      </c>
      <c r="O6139" t="s">
        <v>6243</v>
      </c>
    </row>
    <row r="6140" spans="1:15" hidden="1" x14ac:dyDescent="0.45">
      <c r="A6140" s="187">
        <v>2023</v>
      </c>
      <c r="B6140" t="s">
        <v>315</v>
      </c>
      <c r="C6140" t="s">
        <v>322</v>
      </c>
      <c r="D6140" t="s">
        <v>35</v>
      </c>
      <c r="E6140" t="s">
        <v>38</v>
      </c>
      <c r="F6140" t="s">
        <v>38</v>
      </c>
      <c r="G6140" t="s">
        <v>37</v>
      </c>
      <c r="H6140" t="s">
        <v>43</v>
      </c>
      <c r="I6140" s="187">
        <v>478.7810862537649</v>
      </c>
      <c r="J6140" s="187">
        <v>96</v>
      </c>
      <c r="K6140" s="187">
        <v>1843.7904368427421</v>
      </c>
      <c r="L6140" s="187">
        <v>2086</v>
      </c>
      <c r="M6140" s="187">
        <v>4504.5712890625</v>
      </c>
      <c r="N6140" s="187">
        <v>2564.781005859375</v>
      </c>
      <c r="O6140" t="s">
        <v>6252</v>
      </c>
    </row>
    <row r="6141" spans="1:15" hidden="1" x14ac:dyDescent="0.45">
      <c r="A6141" s="187">
        <v>2023</v>
      </c>
      <c r="B6141" t="s">
        <v>309</v>
      </c>
      <c r="C6141" t="s">
        <v>322</v>
      </c>
      <c r="D6141" t="s">
        <v>35</v>
      </c>
      <c r="E6141" t="s">
        <v>38</v>
      </c>
      <c r="F6141" t="s">
        <v>38</v>
      </c>
      <c r="G6141" t="s">
        <v>37</v>
      </c>
      <c r="H6141" t="s">
        <v>43</v>
      </c>
      <c r="I6141" s="187"/>
      <c r="J6141" s="187">
        <v>180.495</v>
      </c>
      <c r="K6141" s="187">
        <v>1288.65679888413</v>
      </c>
      <c r="L6141" s="187">
        <v>1583</v>
      </c>
      <c r="M6141" s="187">
        <v>3052.15185546875</v>
      </c>
      <c r="N6141" s="187">
        <v>1583</v>
      </c>
      <c r="O6141" t="s">
        <v>6259</v>
      </c>
    </row>
    <row r="6142" spans="1:15" hidden="1" x14ac:dyDescent="0.45">
      <c r="A6142" s="187">
        <v>2023</v>
      </c>
      <c r="B6142" t="s">
        <v>314</v>
      </c>
      <c r="C6142" t="s">
        <v>322</v>
      </c>
      <c r="D6142" t="s">
        <v>35</v>
      </c>
      <c r="E6142" t="s">
        <v>38</v>
      </c>
      <c r="F6142" t="s">
        <v>38</v>
      </c>
      <c r="G6142" t="s">
        <v>37</v>
      </c>
      <c r="H6142" t="s">
        <v>43</v>
      </c>
      <c r="I6142" s="187">
        <v>488.50034230471653</v>
      </c>
      <c r="J6142" s="187">
        <v>72</v>
      </c>
      <c r="K6142" s="187">
        <v>1035.656432208209</v>
      </c>
      <c r="L6142" s="187">
        <v>2190</v>
      </c>
      <c r="M6142" s="187">
        <v>3786.15673828125</v>
      </c>
      <c r="N6142" s="187">
        <v>2678.500244140625</v>
      </c>
      <c r="O6142" t="s">
        <v>6258</v>
      </c>
    </row>
    <row r="6143" spans="1:15" hidden="1" x14ac:dyDescent="0.45">
      <c r="A6143" s="187">
        <v>2023</v>
      </c>
      <c r="B6143" t="s">
        <v>316</v>
      </c>
      <c r="C6143" t="s">
        <v>322</v>
      </c>
      <c r="D6143" t="s">
        <v>35</v>
      </c>
      <c r="E6143" t="s">
        <v>38</v>
      </c>
      <c r="F6143" t="s">
        <v>38</v>
      </c>
      <c r="G6143" t="s">
        <v>37</v>
      </c>
      <c r="H6143" t="s">
        <v>43</v>
      </c>
      <c r="I6143" s="187">
        <v>349</v>
      </c>
      <c r="J6143" s="187">
        <v>55</v>
      </c>
      <c r="K6143" s="187">
        <v>1743.241504819151</v>
      </c>
      <c r="L6143" s="187">
        <v>2379</v>
      </c>
      <c r="M6143" s="187">
        <v>4526.2412109375</v>
      </c>
      <c r="N6143" s="187">
        <v>2728</v>
      </c>
      <c r="O6143" t="s">
        <v>6254</v>
      </c>
    </row>
    <row r="6144" spans="1:15" hidden="1" x14ac:dyDescent="0.45">
      <c r="A6144" s="187">
        <v>2023</v>
      </c>
      <c r="B6144" t="s">
        <v>311</v>
      </c>
      <c r="C6144" t="s">
        <v>322</v>
      </c>
      <c r="D6144" t="s">
        <v>35</v>
      </c>
      <c r="E6144" t="s">
        <v>38</v>
      </c>
      <c r="F6144" t="s">
        <v>38</v>
      </c>
      <c r="G6144" t="s">
        <v>37</v>
      </c>
      <c r="H6144" t="s">
        <v>43</v>
      </c>
      <c r="I6144" s="187"/>
      <c r="J6144" s="187">
        <v>82</v>
      </c>
      <c r="K6144" s="187">
        <v>1198.285053730064</v>
      </c>
      <c r="L6144" s="187">
        <v>2063</v>
      </c>
      <c r="M6144" s="187">
        <v>3343.28515625</v>
      </c>
      <c r="N6144" s="187">
        <v>2063</v>
      </c>
      <c r="O6144" t="s">
        <v>6260</v>
      </c>
    </row>
    <row r="6145" spans="1:15" hidden="1" x14ac:dyDescent="0.45">
      <c r="A6145" s="187">
        <v>2023</v>
      </c>
      <c r="B6145" t="s">
        <v>312</v>
      </c>
      <c r="C6145" t="s">
        <v>322</v>
      </c>
      <c r="D6145" t="s">
        <v>35</v>
      </c>
      <c r="E6145" t="s">
        <v>38</v>
      </c>
      <c r="F6145" t="s">
        <v>38</v>
      </c>
      <c r="G6145" t="s">
        <v>37</v>
      </c>
      <c r="H6145" t="s">
        <v>43</v>
      </c>
      <c r="I6145" s="187">
        <v>295.65693829196738</v>
      </c>
      <c r="J6145" s="187">
        <v>75</v>
      </c>
      <c r="K6145" s="187">
        <v>1193.598150294421</v>
      </c>
      <c r="L6145" s="187">
        <v>1720</v>
      </c>
      <c r="M6145" s="187">
        <v>3284.255126953125</v>
      </c>
      <c r="N6145" s="187">
        <v>2015.656982421875</v>
      </c>
      <c r="O6145" t="s">
        <v>6253</v>
      </c>
    </row>
    <row r="6146" spans="1:15" hidden="1" x14ac:dyDescent="0.45">
      <c r="A6146" s="187">
        <v>2023</v>
      </c>
      <c r="B6146" t="s">
        <v>310</v>
      </c>
      <c r="C6146" t="s">
        <v>322</v>
      </c>
      <c r="D6146" t="s">
        <v>35</v>
      </c>
      <c r="E6146" t="s">
        <v>38</v>
      </c>
      <c r="F6146" t="s">
        <v>38</v>
      </c>
      <c r="G6146" t="s">
        <v>37</v>
      </c>
      <c r="H6146" t="s">
        <v>43</v>
      </c>
      <c r="I6146" s="187"/>
      <c r="J6146" s="187">
        <v>132</v>
      </c>
      <c r="K6146" s="187">
        <v>1205.9476195775189</v>
      </c>
      <c r="L6146" s="187">
        <v>1252</v>
      </c>
      <c r="M6146" s="187">
        <v>2589.94775390625</v>
      </c>
      <c r="N6146" s="187">
        <v>1252</v>
      </c>
      <c r="O6146" t="s">
        <v>6255</v>
      </c>
    </row>
    <row r="6147" spans="1:15" hidden="1" x14ac:dyDescent="0.45">
      <c r="A6147" s="187">
        <v>2023</v>
      </c>
      <c r="B6147" t="s">
        <v>313</v>
      </c>
      <c r="C6147" t="s">
        <v>322</v>
      </c>
      <c r="D6147" t="s">
        <v>35</v>
      </c>
      <c r="E6147" t="s">
        <v>38</v>
      </c>
      <c r="F6147" t="s">
        <v>38</v>
      </c>
      <c r="G6147" t="s">
        <v>37</v>
      </c>
      <c r="H6147" t="s">
        <v>43</v>
      </c>
      <c r="I6147" s="187">
        <v>294.18600825071383</v>
      </c>
      <c r="J6147" s="187">
        <v>56</v>
      </c>
      <c r="K6147" s="187">
        <v>1025.380108651103</v>
      </c>
      <c r="L6147" s="187">
        <v>1672.490264351693</v>
      </c>
      <c r="M6147" s="187">
        <v>3048.056396484375</v>
      </c>
      <c r="N6147" s="187">
        <v>1966.67626953125</v>
      </c>
      <c r="O6147" t="s">
        <v>6256</v>
      </c>
    </row>
    <row r="6148" spans="1:15" hidden="1" x14ac:dyDescent="0.45">
      <c r="A6148" s="187">
        <v>2023</v>
      </c>
      <c r="B6148" t="s">
        <v>8570</v>
      </c>
      <c r="C6148" t="s">
        <v>322</v>
      </c>
      <c r="D6148" t="s">
        <v>35</v>
      </c>
      <c r="E6148" t="s">
        <v>38</v>
      </c>
      <c r="F6148" t="s">
        <v>38</v>
      </c>
      <c r="G6148" t="s">
        <v>37</v>
      </c>
      <c r="H6148" t="s">
        <v>43</v>
      </c>
      <c r="I6148" s="187">
        <v>390.94070399999998</v>
      </c>
      <c r="J6148" s="187">
        <v>269</v>
      </c>
      <c r="K6148" s="187">
        <v>2881.962803218551</v>
      </c>
      <c r="L6148" s="187">
        <v>5535</v>
      </c>
      <c r="M6148" s="187">
        <v>9076.9033203125</v>
      </c>
      <c r="N6148" s="187">
        <v>5925.94091796875</v>
      </c>
      <c r="O6148" t="s">
        <v>8918</v>
      </c>
    </row>
    <row r="6149" spans="1:15" hidden="1" x14ac:dyDescent="0.45">
      <c r="A6149" s="187">
        <v>2023</v>
      </c>
      <c r="B6149" t="s">
        <v>317</v>
      </c>
      <c r="C6149" t="s">
        <v>322</v>
      </c>
      <c r="D6149" t="s">
        <v>35</v>
      </c>
      <c r="E6149" t="s">
        <v>38</v>
      </c>
      <c r="F6149" t="s">
        <v>38</v>
      </c>
      <c r="G6149" t="s">
        <v>37</v>
      </c>
      <c r="H6149" t="s">
        <v>43</v>
      </c>
      <c r="I6149" s="187">
        <v>625.82140799999991</v>
      </c>
      <c r="J6149" s="187">
        <v>165</v>
      </c>
      <c r="K6149" s="187">
        <v>2452.848556484103</v>
      </c>
      <c r="L6149" s="187">
        <v>2641</v>
      </c>
      <c r="M6149" s="187">
        <v>5884.669921875</v>
      </c>
      <c r="N6149" s="187">
        <v>3266.8212890625</v>
      </c>
      <c r="O6149" t="s">
        <v>6257</v>
      </c>
    </row>
    <row r="6150" spans="1:15" hidden="1" x14ac:dyDescent="0.45">
      <c r="A6150" s="187">
        <v>2023</v>
      </c>
      <c r="B6150" t="s">
        <v>314</v>
      </c>
      <c r="C6150" t="s">
        <v>322</v>
      </c>
      <c r="D6150" t="s">
        <v>35</v>
      </c>
      <c r="E6150" t="s">
        <v>354</v>
      </c>
      <c r="F6150" t="s">
        <v>384</v>
      </c>
      <c r="G6150" t="s">
        <v>36</v>
      </c>
      <c r="H6150" t="s">
        <v>43</v>
      </c>
      <c r="I6150" s="187">
        <v>0</v>
      </c>
      <c r="J6150" s="187">
        <v>0</v>
      </c>
      <c r="K6150" s="187">
        <v>0</v>
      </c>
      <c r="L6150" s="187">
        <v>0</v>
      </c>
      <c r="M6150" s="187">
        <v>0</v>
      </c>
      <c r="N6150" s="187">
        <v>0</v>
      </c>
      <c r="O6150" t="s">
        <v>6263</v>
      </c>
    </row>
    <row r="6151" spans="1:15" hidden="1" x14ac:dyDescent="0.45">
      <c r="A6151" s="187">
        <v>2023</v>
      </c>
      <c r="B6151" t="s">
        <v>315</v>
      </c>
      <c r="C6151" t="s">
        <v>322</v>
      </c>
      <c r="D6151" t="s">
        <v>35</v>
      </c>
      <c r="E6151" t="s">
        <v>354</v>
      </c>
      <c r="F6151" t="s">
        <v>384</v>
      </c>
      <c r="G6151" t="s">
        <v>36</v>
      </c>
      <c r="H6151" t="s">
        <v>43</v>
      </c>
      <c r="I6151" s="187">
        <v>0</v>
      </c>
      <c r="J6151" s="187">
        <v>0</v>
      </c>
      <c r="K6151" s="187">
        <v>0</v>
      </c>
      <c r="L6151" s="187">
        <v>0</v>
      </c>
      <c r="M6151" s="187">
        <v>0</v>
      </c>
      <c r="N6151" s="187">
        <v>0</v>
      </c>
      <c r="O6151" t="s">
        <v>6261</v>
      </c>
    </row>
    <row r="6152" spans="1:15" hidden="1" x14ac:dyDescent="0.45">
      <c r="A6152" s="187">
        <v>2023</v>
      </c>
      <c r="B6152" t="s">
        <v>316</v>
      </c>
      <c r="C6152" t="s">
        <v>322</v>
      </c>
      <c r="D6152" t="s">
        <v>35</v>
      </c>
      <c r="E6152" t="s">
        <v>354</v>
      </c>
      <c r="F6152" t="s">
        <v>384</v>
      </c>
      <c r="G6152" t="s">
        <v>36</v>
      </c>
      <c r="H6152" t="s">
        <v>43</v>
      </c>
      <c r="I6152" s="187">
        <v>0</v>
      </c>
      <c r="J6152" s="187">
        <v>44.058153545428361</v>
      </c>
      <c r="K6152" s="187">
        <v>0</v>
      </c>
      <c r="L6152" s="187">
        <v>0</v>
      </c>
      <c r="M6152" s="187">
        <v>44.058155059814453</v>
      </c>
      <c r="N6152" s="187">
        <v>0</v>
      </c>
      <c r="O6152" t="s">
        <v>6268</v>
      </c>
    </row>
    <row r="6153" spans="1:15" hidden="1" x14ac:dyDescent="0.45">
      <c r="A6153" s="187">
        <v>2023</v>
      </c>
      <c r="B6153" t="s">
        <v>317</v>
      </c>
      <c r="C6153" t="s">
        <v>322</v>
      </c>
      <c r="D6153" t="s">
        <v>35</v>
      </c>
      <c r="E6153" t="s">
        <v>354</v>
      </c>
      <c r="F6153" t="s">
        <v>384</v>
      </c>
      <c r="G6153" t="s">
        <v>36</v>
      </c>
      <c r="H6153" t="s">
        <v>43</v>
      </c>
      <c r="I6153" s="187">
        <v>0</v>
      </c>
      <c r="J6153" s="187">
        <v>43.220363827465974</v>
      </c>
      <c r="K6153" s="187">
        <v>0</v>
      </c>
      <c r="L6153" s="187">
        <v>0</v>
      </c>
      <c r="M6153" s="187">
        <v>43.220363616943359</v>
      </c>
      <c r="N6153" s="187">
        <v>0</v>
      </c>
      <c r="O6153" t="s">
        <v>6267</v>
      </c>
    </row>
    <row r="6154" spans="1:15" hidden="1" x14ac:dyDescent="0.45">
      <c r="A6154" s="187">
        <v>2023</v>
      </c>
      <c r="B6154" t="s">
        <v>8570</v>
      </c>
      <c r="C6154" t="s">
        <v>322</v>
      </c>
      <c r="D6154" t="s">
        <v>35</v>
      </c>
      <c r="E6154" t="s">
        <v>354</v>
      </c>
      <c r="F6154" t="s">
        <v>384</v>
      </c>
      <c r="G6154" t="s">
        <v>36</v>
      </c>
      <c r="H6154" t="s">
        <v>43</v>
      </c>
      <c r="I6154" s="187">
        <v>0</v>
      </c>
      <c r="J6154" s="187">
        <v>0</v>
      </c>
      <c r="K6154" s="187">
        <v>0</v>
      </c>
      <c r="L6154" s="187">
        <v>0</v>
      </c>
      <c r="M6154" s="187">
        <v>0</v>
      </c>
      <c r="N6154" s="187">
        <v>0</v>
      </c>
      <c r="O6154" t="s">
        <v>8919</v>
      </c>
    </row>
    <row r="6155" spans="1:15" hidden="1" x14ac:dyDescent="0.45">
      <c r="A6155" s="187">
        <v>2023</v>
      </c>
      <c r="B6155" t="s">
        <v>312</v>
      </c>
      <c r="C6155" t="s">
        <v>322</v>
      </c>
      <c r="D6155" t="s">
        <v>35</v>
      </c>
      <c r="E6155" t="s">
        <v>354</v>
      </c>
      <c r="F6155" t="s">
        <v>384</v>
      </c>
      <c r="G6155" t="s">
        <v>36</v>
      </c>
      <c r="H6155" t="s">
        <v>43</v>
      </c>
      <c r="I6155" s="187"/>
      <c r="J6155" s="187">
        <v>0</v>
      </c>
      <c r="K6155" s="187">
        <v>0</v>
      </c>
      <c r="L6155" s="187">
        <v>0</v>
      </c>
      <c r="M6155" s="187">
        <v>0</v>
      </c>
      <c r="N6155" s="187">
        <v>0</v>
      </c>
      <c r="O6155" t="s">
        <v>6264</v>
      </c>
    </row>
    <row r="6156" spans="1:15" hidden="1" x14ac:dyDescent="0.45">
      <c r="A6156" s="187">
        <v>2023</v>
      </c>
      <c r="B6156" t="s">
        <v>313</v>
      </c>
      <c r="C6156" t="s">
        <v>322</v>
      </c>
      <c r="D6156" t="s">
        <v>35</v>
      </c>
      <c r="E6156" t="s">
        <v>354</v>
      </c>
      <c r="F6156" t="s">
        <v>384</v>
      </c>
      <c r="G6156" t="s">
        <v>36</v>
      </c>
      <c r="H6156" t="s">
        <v>43</v>
      </c>
      <c r="I6156" s="187"/>
      <c r="J6156" s="187">
        <v>0</v>
      </c>
      <c r="K6156" s="187">
        <v>0</v>
      </c>
      <c r="L6156" s="187">
        <v>0</v>
      </c>
      <c r="M6156" s="187">
        <v>0</v>
      </c>
      <c r="N6156" s="187">
        <v>0</v>
      </c>
      <c r="O6156" t="s">
        <v>6265</v>
      </c>
    </row>
    <row r="6157" spans="1:15" hidden="1" x14ac:dyDescent="0.45">
      <c r="A6157" s="187">
        <v>2023</v>
      </c>
      <c r="B6157" t="s">
        <v>309</v>
      </c>
      <c r="C6157" t="s">
        <v>322</v>
      </c>
      <c r="D6157" t="s">
        <v>35</v>
      </c>
      <c r="E6157" t="s">
        <v>354</v>
      </c>
      <c r="F6157" t="s">
        <v>384</v>
      </c>
      <c r="G6157" t="s">
        <v>36</v>
      </c>
      <c r="H6157" t="s">
        <v>43</v>
      </c>
      <c r="I6157" s="187"/>
      <c r="J6157" s="187">
        <v>0</v>
      </c>
      <c r="K6157" s="187">
        <v>0</v>
      </c>
      <c r="L6157" s="187">
        <v>0</v>
      </c>
      <c r="M6157" s="187">
        <v>0</v>
      </c>
      <c r="N6157" s="187">
        <v>0</v>
      </c>
      <c r="O6157" t="s">
        <v>6266</v>
      </c>
    </row>
    <row r="6158" spans="1:15" hidden="1" x14ac:dyDescent="0.45">
      <c r="A6158" s="187">
        <v>2023</v>
      </c>
      <c r="B6158" t="s">
        <v>310</v>
      </c>
      <c r="C6158" t="s">
        <v>322</v>
      </c>
      <c r="D6158" t="s">
        <v>35</v>
      </c>
      <c r="E6158" t="s">
        <v>354</v>
      </c>
      <c r="F6158" t="s">
        <v>384</v>
      </c>
      <c r="G6158" t="s">
        <v>36</v>
      </c>
      <c r="H6158" t="s">
        <v>43</v>
      </c>
      <c r="I6158" s="187"/>
      <c r="J6158" s="187">
        <v>0</v>
      </c>
      <c r="K6158" s="187">
        <v>0</v>
      </c>
      <c r="L6158" s="187">
        <v>0</v>
      </c>
      <c r="M6158" s="187">
        <v>0</v>
      </c>
      <c r="N6158" s="187">
        <v>0</v>
      </c>
      <c r="O6158" t="s">
        <v>6262</v>
      </c>
    </row>
    <row r="6159" spans="1:15" hidden="1" x14ac:dyDescent="0.45">
      <c r="A6159" s="187">
        <v>2023</v>
      </c>
      <c r="B6159" t="s">
        <v>311</v>
      </c>
      <c r="C6159" t="s">
        <v>322</v>
      </c>
      <c r="D6159" t="s">
        <v>35</v>
      </c>
      <c r="E6159" t="s">
        <v>354</v>
      </c>
      <c r="F6159" t="s">
        <v>384</v>
      </c>
      <c r="G6159" t="s">
        <v>36</v>
      </c>
      <c r="H6159" t="s">
        <v>43</v>
      </c>
      <c r="I6159" s="187"/>
      <c r="J6159" s="187">
        <v>0</v>
      </c>
      <c r="K6159" s="187">
        <v>0</v>
      </c>
      <c r="L6159" s="187">
        <v>0</v>
      </c>
      <c r="M6159" s="187">
        <v>0</v>
      </c>
      <c r="N6159" s="187">
        <v>0</v>
      </c>
      <c r="O6159" t="s">
        <v>6269</v>
      </c>
    </row>
    <row r="6160" spans="1:15" hidden="1" x14ac:dyDescent="0.45">
      <c r="A6160" s="187">
        <v>2023</v>
      </c>
      <c r="B6160" t="s">
        <v>316</v>
      </c>
      <c r="C6160" t="s">
        <v>322</v>
      </c>
      <c r="D6160" t="s">
        <v>35</v>
      </c>
      <c r="E6160" t="s">
        <v>354</v>
      </c>
      <c r="F6160" t="s">
        <v>384</v>
      </c>
      <c r="G6160" t="s">
        <v>37</v>
      </c>
      <c r="H6160" t="s">
        <v>43</v>
      </c>
      <c r="I6160" s="187">
        <v>0</v>
      </c>
      <c r="J6160" s="187">
        <v>40</v>
      </c>
      <c r="K6160" s="187">
        <v>0</v>
      </c>
      <c r="L6160" s="187">
        <v>0</v>
      </c>
      <c r="M6160" s="187">
        <v>40</v>
      </c>
      <c r="N6160" s="187">
        <v>0</v>
      </c>
      <c r="O6160" t="s">
        <v>6278</v>
      </c>
    </row>
    <row r="6161" spans="1:15" hidden="1" x14ac:dyDescent="0.45">
      <c r="A6161" s="187">
        <v>2023</v>
      </c>
      <c r="B6161" t="s">
        <v>310</v>
      </c>
      <c r="C6161" t="s">
        <v>322</v>
      </c>
      <c r="D6161" t="s">
        <v>35</v>
      </c>
      <c r="E6161" t="s">
        <v>354</v>
      </c>
      <c r="F6161" t="s">
        <v>384</v>
      </c>
      <c r="G6161" t="s">
        <v>37</v>
      </c>
      <c r="H6161" t="s">
        <v>43</v>
      </c>
      <c r="I6161" s="187"/>
      <c r="J6161" s="187">
        <v>0</v>
      </c>
      <c r="K6161" s="187">
        <v>0</v>
      </c>
      <c r="L6161" s="187">
        <v>0</v>
      </c>
      <c r="M6161" s="187">
        <v>0</v>
      </c>
      <c r="N6161" s="187">
        <v>0</v>
      </c>
      <c r="O6161" t="s">
        <v>6277</v>
      </c>
    </row>
    <row r="6162" spans="1:15" hidden="1" x14ac:dyDescent="0.45">
      <c r="A6162" s="187">
        <v>2023</v>
      </c>
      <c r="B6162" t="s">
        <v>311</v>
      </c>
      <c r="C6162" t="s">
        <v>322</v>
      </c>
      <c r="D6162" t="s">
        <v>35</v>
      </c>
      <c r="E6162" t="s">
        <v>354</v>
      </c>
      <c r="F6162" t="s">
        <v>384</v>
      </c>
      <c r="G6162" t="s">
        <v>37</v>
      </c>
      <c r="H6162" t="s">
        <v>43</v>
      </c>
      <c r="I6162" s="187"/>
      <c r="J6162" s="187">
        <v>0</v>
      </c>
      <c r="K6162" s="187">
        <v>0</v>
      </c>
      <c r="L6162" s="187">
        <v>0</v>
      </c>
      <c r="M6162" s="187">
        <v>0</v>
      </c>
      <c r="N6162" s="187">
        <v>0</v>
      </c>
      <c r="O6162" t="s">
        <v>6276</v>
      </c>
    </row>
    <row r="6163" spans="1:15" hidden="1" x14ac:dyDescent="0.45">
      <c r="A6163" s="187">
        <v>2023</v>
      </c>
      <c r="B6163" t="s">
        <v>317</v>
      </c>
      <c r="C6163" t="s">
        <v>322</v>
      </c>
      <c r="D6163" t="s">
        <v>35</v>
      </c>
      <c r="E6163" t="s">
        <v>354</v>
      </c>
      <c r="F6163" t="s">
        <v>384</v>
      </c>
      <c r="G6163" t="s">
        <v>37</v>
      </c>
      <c r="H6163" t="s">
        <v>43</v>
      </c>
      <c r="I6163" s="187">
        <v>0</v>
      </c>
      <c r="J6163" s="187">
        <v>40</v>
      </c>
      <c r="K6163" s="187">
        <v>0</v>
      </c>
      <c r="L6163" s="187">
        <v>0</v>
      </c>
      <c r="M6163" s="187">
        <v>40</v>
      </c>
      <c r="N6163" s="187">
        <v>0</v>
      </c>
      <c r="O6163" t="s">
        <v>6273</v>
      </c>
    </row>
    <row r="6164" spans="1:15" hidden="1" x14ac:dyDescent="0.45">
      <c r="A6164" s="187">
        <v>2023</v>
      </c>
      <c r="B6164" t="s">
        <v>312</v>
      </c>
      <c r="C6164" t="s">
        <v>322</v>
      </c>
      <c r="D6164" t="s">
        <v>35</v>
      </c>
      <c r="E6164" t="s">
        <v>354</v>
      </c>
      <c r="F6164" t="s">
        <v>384</v>
      </c>
      <c r="G6164" t="s">
        <v>37</v>
      </c>
      <c r="H6164" t="s">
        <v>43</v>
      </c>
      <c r="I6164" s="187"/>
      <c r="J6164" s="187">
        <v>0</v>
      </c>
      <c r="K6164" s="187">
        <v>0</v>
      </c>
      <c r="L6164" s="187">
        <v>0</v>
      </c>
      <c r="M6164" s="187">
        <v>0</v>
      </c>
      <c r="N6164" s="187">
        <v>0</v>
      </c>
      <c r="O6164" t="s">
        <v>6272</v>
      </c>
    </row>
    <row r="6165" spans="1:15" hidden="1" x14ac:dyDescent="0.45">
      <c r="A6165" s="187">
        <v>2023</v>
      </c>
      <c r="B6165" t="s">
        <v>8570</v>
      </c>
      <c r="C6165" t="s">
        <v>322</v>
      </c>
      <c r="D6165" t="s">
        <v>35</v>
      </c>
      <c r="E6165" t="s">
        <v>354</v>
      </c>
      <c r="F6165" t="s">
        <v>384</v>
      </c>
      <c r="G6165" t="s">
        <v>37</v>
      </c>
      <c r="H6165" t="s">
        <v>43</v>
      </c>
      <c r="I6165" s="187">
        <v>0</v>
      </c>
      <c r="J6165" s="187">
        <v>0</v>
      </c>
      <c r="K6165" s="187">
        <v>0</v>
      </c>
      <c r="L6165" s="187">
        <v>0</v>
      </c>
      <c r="M6165" s="187">
        <v>0</v>
      </c>
      <c r="N6165" s="187">
        <v>0</v>
      </c>
      <c r="O6165" t="s">
        <v>8920</v>
      </c>
    </row>
    <row r="6166" spans="1:15" hidden="1" x14ac:dyDescent="0.45">
      <c r="A6166" s="187">
        <v>2023</v>
      </c>
      <c r="B6166" t="s">
        <v>315</v>
      </c>
      <c r="C6166" t="s">
        <v>322</v>
      </c>
      <c r="D6166" t="s">
        <v>35</v>
      </c>
      <c r="E6166" t="s">
        <v>354</v>
      </c>
      <c r="F6166" t="s">
        <v>384</v>
      </c>
      <c r="G6166" t="s">
        <v>37</v>
      </c>
      <c r="H6166" t="s">
        <v>43</v>
      </c>
      <c r="I6166" s="187">
        <v>0</v>
      </c>
      <c r="J6166" s="187">
        <v>0</v>
      </c>
      <c r="K6166" s="187">
        <v>0</v>
      </c>
      <c r="L6166" s="187">
        <v>0</v>
      </c>
      <c r="M6166" s="187">
        <v>0</v>
      </c>
      <c r="N6166" s="187">
        <v>0</v>
      </c>
      <c r="O6166" t="s">
        <v>6274</v>
      </c>
    </row>
    <row r="6167" spans="1:15" hidden="1" x14ac:dyDescent="0.45">
      <c r="A6167" s="187">
        <v>2023</v>
      </c>
      <c r="B6167" t="s">
        <v>314</v>
      </c>
      <c r="C6167" t="s">
        <v>322</v>
      </c>
      <c r="D6167" t="s">
        <v>35</v>
      </c>
      <c r="E6167" t="s">
        <v>354</v>
      </c>
      <c r="F6167" t="s">
        <v>384</v>
      </c>
      <c r="G6167" t="s">
        <v>37</v>
      </c>
      <c r="H6167" t="s">
        <v>43</v>
      </c>
      <c r="I6167" s="187">
        <v>0</v>
      </c>
      <c r="J6167" s="187">
        <v>0</v>
      </c>
      <c r="K6167" s="187">
        <v>0</v>
      </c>
      <c r="L6167" s="187">
        <v>0</v>
      </c>
      <c r="M6167" s="187">
        <v>0</v>
      </c>
      <c r="N6167" s="187">
        <v>0</v>
      </c>
      <c r="O6167" t="s">
        <v>6275</v>
      </c>
    </row>
    <row r="6168" spans="1:15" hidden="1" x14ac:dyDescent="0.45">
      <c r="A6168" s="187">
        <v>2023</v>
      </c>
      <c r="B6168" t="s">
        <v>313</v>
      </c>
      <c r="C6168" t="s">
        <v>322</v>
      </c>
      <c r="D6168" t="s">
        <v>35</v>
      </c>
      <c r="E6168" t="s">
        <v>354</v>
      </c>
      <c r="F6168" t="s">
        <v>384</v>
      </c>
      <c r="G6168" t="s">
        <v>37</v>
      </c>
      <c r="H6168" t="s">
        <v>43</v>
      </c>
      <c r="I6168" s="187"/>
      <c r="J6168" s="187">
        <v>0</v>
      </c>
      <c r="K6168" s="187">
        <v>0</v>
      </c>
      <c r="L6168" s="187">
        <v>0</v>
      </c>
      <c r="M6168" s="187">
        <v>0</v>
      </c>
      <c r="N6168" s="187">
        <v>0</v>
      </c>
      <c r="O6168" t="s">
        <v>6271</v>
      </c>
    </row>
    <row r="6169" spans="1:15" hidden="1" x14ac:dyDescent="0.45">
      <c r="A6169" s="187">
        <v>2023</v>
      </c>
      <c r="B6169" t="s">
        <v>309</v>
      </c>
      <c r="C6169" t="s">
        <v>322</v>
      </c>
      <c r="D6169" t="s">
        <v>35</v>
      </c>
      <c r="E6169" t="s">
        <v>354</v>
      </c>
      <c r="F6169" t="s">
        <v>384</v>
      </c>
      <c r="G6169" t="s">
        <v>37</v>
      </c>
      <c r="H6169" t="s">
        <v>43</v>
      </c>
      <c r="I6169" s="187"/>
      <c r="J6169" s="187">
        <v>0</v>
      </c>
      <c r="K6169" s="187">
        <v>0</v>
      </c>
      <c r="L6169" s="187">
        <v>0</v>
      </c>
      <c r="M6169" s="187">
        <v>0</v>
      </c>
      <c r="N6169" s="187">
        <v>0</v>
      </c>
      <c r="O6169" t="s">
        <v>6270</v>
      </c>
    </row>
    <row r="6170" spans="1:15" hidden="1" x14ac:dyDescent="0.45">
      <c r="A6170" s="187">
        <v>2023</v>
      </c>
      <c r="B6170" t="s">
        <v>313</v>
      </c>
      <c r="C6170" t="s">
        <v>322</v>
      </c>
      <c r="D6170" t="s">
        <v>35</v>
      </c>
      <c r="E6170" t="s">
        <v>354</v>
      </c>
      <c r="F6170" t="s">
        <v>385</v>
      </c>
      <c r="G6170" t="s">
        <v>36</v>
      </c>
      <c r="H6170" t="s">
        <v>43</v>
      </c>
      <c r="I6170" s="187"/>
      <c r="J6170" s="187">
        <v>47.915674981282514</v>
      </c>
      <c r="K6170" s="187">
        <v>3083.5724851394825</v>
      </c>
      <c r="L6170" s="187">
        <v>0</v>
      </c>
      <c r="M6170" s="187">
        <v>3131.48828125</v>
      </c>
      <c r="N6170" s="187">
        <v>0</v>
      </c>
      <c r="O6170" t="s">
        <v>6281</v>
      </c>
    </row>
    <row r="6171" spans="1:15" hidden="1" x14ac:dyDescent="0.45">
      <c r="A6171" s="187">
        <v>2023</v>
      </c>
      <c r="B6171" t="s">
        <v>315</v>
      </c>
      <c r="C6171" t="s">
        <v>322</v>
      </c>
      <c r="D6171" t="s">
        <v>35</v>
      </c>
      <c r="E6171" t="s">
        <v>354</v>
      </c>
      <c r="F6171" t="s">
        <v>385</v>
      </c>
      <c r="G6171" t="s">
        <v>36</v>
      </c>
      <c r="H6171" t="s">
        <v>43</v>
      </c>
      <c r="I6171" s="187">
        <v>0</v>
      </c>
      <c r="J6171" s="187">
        <v>45.311897447400071</v>
      </c>
      <c r="K6171" s="187">
        <v>1443.9848493312938</v>
      </c>
      <c r="L6171" s="187">
        <v>391.94791292001059</v>
      </c>
      <c r="M6171" s="187">
        <v>1881.24462890625</v>
      </c>
      <c r="N6171" s="187">
        <v>391.94790649414063</v>
      </c>
      <c r="O6171" t="s">
        <v>6287</v>
      </c>
    </row>
    <row r="6172" spans="1:15" hidden="1" x14ac:dyDescent="0.45">
      <c r="A6172" s="187">
        <v>2023</v>
      </c>
      <c r="B6172" t="s">
        <v>310</v>
      </c>
      <c r="C6172" t="s">
        <v>322</v>
      </c>
      <c r="D6172" t="s">
        <v>35</v>
      </c>
      <c r="E6172" t="s">
        <v>354</v>
      </c>
      <c r="F6172" t="s">
        <v>385</v>
      </c>
      <c r="G6172" t="s">
        <v>36</v>
      </c>
      <c r="H6172" t="s">
        <v>43</v>
      </c>
      <c r="I6172" s="187"/>
      <c r="J6172" s="187">
        <v>0</v>
      </c>
      <c r="K6172" s="187">
        <v>2177.4713611844481</v>
      </c>
      <c r="L6172" s="187">
        <v>0</v>
      </c>
      <c r="M6172" s="187">
        <v>2177.471435546875</v>
      </c>
      <c r="N6172" s="187">
        <v>0</v>
      </c>
      <c r="O6172" t="s">
        <v>6282</v>
      </c>
    </row>
    <row r="6173" spans="1:15" hidden="1" x14ac:dyDescent="0.45">
      <c r="A6173" s="187">
        <v>2023</v>
      </c>
      <c r="B6173" t="s">
        <v>311</v>
      </c>
      <c r="C6173" t="s">
        <v>322</v>
      </c>
      <c r="D6173" t="s">
        <v>35</v>
      </c>
      <c r="E6173" t="s">
        <v>354</v>
      </c>
      <c r="F6173" t="s">
        <v>385</v>
      </c>
      <c r="G6173" t="s">
        <v>36</v>
      </c>
      <c r="H6173" t="s">
        <v>43</v>
      </c>
      <c r="I6173" s="187"/>
      <c r="J6173" s="187">
        <v>51.011764906200156</v>
      </c>
      <c r="K6173" s="187">
        <v>2102.2358901965767</v>
      </c>
      <c r="L6173" s="187">
        <v>0</v>
      </c>
      <c r="M6173" s="187">
        <v>2153.24755859375</v>
      </c>
      <c r="N6173" s="187">
        <v>0</v>
      </c>
      <c r="O6173" t="s">
        <v>6283</v>
      </c>
    </row>
    <row r="6174" spans="1:15" hidden="1" x14ac:dyDescent="0.45">
      <c r="A6174" s="187">
        <v>2023</v>
      </c>
      <c r="B6174" t="s">
        <v>316</v>
      </c>
      <c r="C6174" t="s">
        <v>322</v>
      </c>
      <c r="D6174" t="s">
        <v>35</v>
      </c>
      <c r="E6174" t="s">
        <v>354</v>
      </c>
      <c r="F6174" t="s">
        <v>385</v>
      </c>
      <c r="G6174" t="s">
        <v>36</v>
      </c>
      <c r="H6174" t="s">
        <v>43</v>
      </c>
      <c r="I6174" s="187">
        <v>0</v>
      </c>
      <c r="J6174" s="187">
        <v>22.029076772714181</v>
      </c>
      <c r="K6174" s="187">
        <v>1238.398139920507</v>
      </c>
      <c r="L6174" s="187">
        <v>872.35144019948154</v>
      </c>
      <c r="M6174" s="187">
        <v>2132.778564453125</v>
      </c>
      <c r="N6174" s="187">
        <v>872.3514404296875</v>
      </c>
      <c r="O6174" t="s">
        <v>6279</v>
      </c>
    </row>
    <row r="6175" spans="1:15" hidden="1" x14ac:dyDescent="0.45">
      <c r="A6175" s="187">
        <v>2023</v>
      </c>
      <c r="B6175" t="s">
        <v>8570</v>
      </c>
      <c r="C6175" t="s">
        <v>322</v>
      </c>
      <c r="D6175" t="s">
        <v>35</v>
      </c>
      <c r="E6175" t="s">
        <v>354</v>
      </c>
      <c r="F6175" t="s">
        <v>385</v>
      </c>
      <c r="G6175" t="s">
        <v>36</v>
      </c>
      <c r="H6175" t="s">
        <v>43</v>
      </c>
      <c r="I6175" s="187">
        <v>52.002231600000009</v>
      </c>
      <c r="J6175" s="187">
        <v>107</v>
      </c>
      <c r="K6175" s="187">
        <v>743.91201720994184</v>
      </c>
      <c r="L6175" s="187">
        <v>525</v>
      </c>
      <c r="M6175" s="187">
        <v>1427.914306640625</v>
      </c>
      <c r="N6175" s="187">
        <v>577.00225830078125</v>
      </c>
      <c r="O6175" t="s">
        <v>8921</v>
      </c>
    </row>
    <row r="6176" spans="1:15" hidden="1" x14ac:dyDescent="0.45">
      <c r="A6176" s="187">
        <v>2023</v>
      </c>
      <c r="B6176" t="s">
        <v>309</v>
      </c>
      <c r="C6176" t="s">
        <v>322</v>
      </c>
      <c r="D6176" t="s">
        <v>35</v>
      </c>
      <c r="E6176" t="s">
        <v>354</v>
      </c>
      <c r="F6176" t="s">
        <v>385</v>
      </c>
      <c r="G6176" t="s">
        <v>36</v>
      </c>
      <c r="H6176" t="s">
        <v>43</v>
      </c>
      <c r="I6176" s="187"/>
      <c r="J6176" s="187">
        <v>59.610828531408458</v>
      </c>
      <c r="K6176" s="187">
        <v>2210.3588704592362</v>
      </c>
      <c r="L6176" s="187">
        <v>0</v>
      </c>
      <c r="M6176" s="187">
        <v>2269.9697265625</v>
      </c>
      <c r="N6176" s="187">
        <v>0</v>
      </c>
      <c r="O6176" t="s">
        <v>6285</v>
      </c>
    </row>
    <row r="6177" spans="1:15" hidden="1" x14ac:dyDescent="0.45">
      <c r="A6177" s="187">
        <v>2023</v>
      </c>
      <c r="B6177" t="s">
        <v>312</v>
      </c>
      <c r="C6177" t="s">
        <v>322</v>
      </c>
      <c r="D6177" t="s">
        <v>35</v>
      </c>
      <c r="E6177" t="s">
        <v>354</v>
      </c>
      <c r="F6177" t="s">
        <v>385</v>
      </c>
      <c r="G6177" t="s">
        <v>36</v>
      </c>
      <c r="H6177" t="s">
        <v>43</v>
      </c>
      <c r="I6177" s="187"/>
      <c r="J6177" s="187">
        <v>43.280098258366905</v>
      </c>
      <c r="K6177" s="187">
        <v>3521.9459079637172</v>
      </c>
      <c r="L6177" s="187">
        <v>0</v>
      </c>
      <c r="M6177" s="187">
        <v>3565.22607421875</v>
      </c>
      <c r="N6177" s="187">
        <v>0</v>
      </c>
      <c r="O6177" t="s">
        <v>6286</v>
      </c>
    </row>
    <row r="6178" spans="1:15" hidden="1" x14ac:dyDescent="0.45">
      <c r="A6178" s="187">
        <v>2023</v>
      </c>
      <c r="B6178" t="s">
        <v>317</v>
      </c>
      <c r="C6178" t="s">
        <v>322</v>
      </c>
      <c r="D6178" t="s">
        <v>35</v>
      </c>
      <c r="E6178" t="s">
        <v>354</v>
      </c>
      <c r="F6178" t="s">
        <v>385</v>
      </c>
      <c r="G6178" t="s">
        <v>36</v>
      </c>
      <c r="H6178" t="s">
        <v>43</v>
      </c>
      <c r="I6178" s="187">
        <v>54.025454784332467</v>
      </c>
      <c r="J6178" s="187">
        <v>21.610181913732987</v>
      </c>
      <c r="K6178" s="187">
        <v>913.37121180423753</v>
      </c>
      <c r="L6178" s="187">
        <v>1658.5814618790066</v>
      </c>
      <c r="M6178" s="187">
        <v>2647.58837890625</v>
      </c>
      <c r="N6178" s="187">
        <v>1712.60693359375</v>
      </c>
      <c r="O6178" t="s">
        <v>6284</v>
      </c>
    </row>
    <row r="6179" spans="1:15" hidden="1" x14ac:dyDescent="0.45">
      <c r="A6179" s="187">
        <v>2023</v>
      </c>
      <c r="B6179" t="s">
        <v>314</v>
      </c>
      <c r="C6179" t="s">
        <v>322</v>
      </c>
      <c r="D6179" t="s">
        <v>35</v>
      </c>
      <c r="E6179" t="s">
        <v>354</v>
      </c>
      <c r="F6179" t="s">
        <v>385</v>
      </c>
      <c r="G6179" t="s">
        <v>36</v>
      </c>
      <c r="H6179" t="s">
        <v>43</v>
      </c>
      <c r="I6179" s="187">
        <v>0</v>
      </c>
      <c r="J6179" s="187">
        <v>46.592826443955992</v>
      </c>
      <c r="K6179" s="187">
        <v>1474.9911357129399</v>
      </c>
      <c r="L6179" s="187">
        <v>0</v>
      </c>
      <c r="M6179" s="187">
        <v>1521.583984375</v>
      </c>
      <c r="N6179" s="187">
        <v>0</v>
      </c>
      <c r="O6179" t="s">
        <v>6280</v>
      </c>
    </row>
    <row r="6180" spans="1:15" hidden="1" x14ac:dyDescent="0.45">
      <c r="A6180" s="187">
        <v>2023</v>
      </c>
      <c r="B6180" t="s">
        <v>313</v>
      </c>
      <c r="C6180" t="s">
        <v>322</v>
      </c>
      <c r="D6180" t="s">
        <v>35</v>
      </c>
      <c r="E6180" t="s">
        <v>354</v>
      </c>
      <c r="F6180" t="s">
        <v>385</v>
      </c>
      <c r="G6180" t="s">
        <v>37</v>
      </c>
      <c r="H6180" t="s">
        <v>43</v>
      </c>
      <c r="I6180" s="187"/>
      <c r="J6180" s="187">
        <v>45</v>
      </c>
      <c r="K6180" s="187">
        <v>2885.9627617955621</v>
      </c>
      <c r="L6180" s="187">
        <v>0</v>
      </c>
      <c r="M6180" s="187">
        <v>2930.962646484375</v>
      </c>
      <c r="N6180" s="187">
        <v>0</v>
      </c>
      <c r="O6180" t="s">
        <v>6296</v>
      </c>
    </row>
    <row r="6181" spans="1:15" hidden="1" x14ac:dyDescent="0.45">
      <c r="A6181" s="187">
        <v>2023</v>
      </c>
      <c r="B6181" t="s">
        <v>314</v>
      </c>
      <c r="C6181" t="s">
        <v>322</v>
      </c>
      <c r="D6181" t="s">
        <v>35</v>
      </c>
      <c r="E6181" t="s">
        <v>354</v>
      </c>
      <c r="F6181" t="s">
        <v>385</v>
      </c>
      <c r="G6181" t="s">
        <v>37</v>
      </c>
      <c r="H6181" t="s">
        <v>43</v>
      </c>
      <c r="I6181" s="187">
        <v>0</v>
      </c>
      <c r="J6181" s="187">
        <v>44</v>
      </c>
      <c r="K6181" s="187">
        <v>1400.6554954370761</v>
      </c>
      <c r="L6181" s="187">
        <v>0</v>
      </c>
      <c r="M6181" s="187">
        <v>1444.655517578125</v>
      </c>
      <c r="N6181" s="187">
        <v>0</v>
      </c>
      <c r="O6181" t="s">
        <v>6288</v>
      </c>
    </row>
    <row r="6182" spans="1:15" hidden="1" x14ac:dyDescent="0.45">
      <c r="A6182" s="187">
        <v>2023</v>
      </c>
      <c r="B6182" t="s">
        <v>309</v>
      </c>
      <c r="C6182" t="s">
        <v>322</v>
      </c>
      <c r="D6182" t="s">
        <v>35</v>
      </c>
      <c r="E6182" t="s">
        <v>354</v>
      </c>
      <c r="F6182" t="s">
        <v>385</v>
      </c>
      <c r="G6182" t="s">
        <v>37</v>
      </c>
      <c r="H6182" t="s">
        <v>43</v>
      </c>
      <c r="I6182" s="187"/>
      <c r="J6182" s="187">
        <v>54.148499999999999</v>
      </c>
      <c r="K6182" s="187">
        <v>2081.8802112264339</v>
      </c>
      <c r="L6182" s="187">
        <v>0</v>
      </c>
      <c r="M6182" s="187">
        <v>2136.02880859375</v>
      </c>
      <c r="N6182" s="187">
        <v>0</v>
      </c>
      <c r="O6182" t="s">
        <v>6290</v>
      </c>
    </row>
    <row r="6183" spans="1:15" hidden="1" x14ac:dyDescent="0.45">
      <c r="A6183" s="187">
        <v>2023</v>
      </c>
      <c r="B6183" t="s">
        <v>311</v>
      </c>
      <c r="C6183" t="s">
        <v>322</v>
      </c>
      <c r="D6183" t="s">
        <v>35</v>
      </c>
      <c r="E6183" t="s">
        <v>354</v>
      </c>
      <c r="F6183" t="s">
        <v>385</v>
      </c>
      <c r="G6183" t="s">
        <v>37</v>
      </c>
      <c r="H6183" t="s">
        <v>43</v>
      </c>
      <c r="I6183" s="187"/>
      <c r="J6183" s="187">
        <v>47</v>
      </c>
      <c r="K6183" s="187">
        <v>1917.303107792382</v>
      </c>
      <c r="L6183" s="187">
        <v>0</v>
      </c>
      <c r="M6183" s="187">
        <v>1964.3031005859375</v>
      </c>
      <c r="N6183" s="187">
        <v>0</v>
      </c>
      <c r="O6183" t="s">
        <v>6295</v>
      </c>
    </row>
    <row r="6184" spans="1:15" hidden="1" x14ac:dyDescent="0.45">
      <c r="A6184" s="187">
        <v>2023</v>
      </c>
      <c r="B6184" t="s">
        <v>312</v>
      </c>
      <c r="C6184" t="s">
        <v>322</v>
      </c>
      <c r="D6184" t="s">
        <v>35</v>
      </c>
      <c r="E6184" t="s">
        <v>354</v>
      </c>
      <c r="F6184" t="s">
        <v>385</v>
      </c>
      <c r="G6184" t="s">
        <v>37</v>
      </c>
      <c r="H6184" t="s">
        <v>43</v>
      </c>
      <c r="I6184" s="187"/>
      <c r="J6184" s="187">
        <v>40</v>
      </c>
      <c r="K6184" s="187">
        <v>3261.5367674173008</v>
      </c>
      <c r="L6184" s="187">
        <v>0</v>
      </c>
      <c r="M6184" s="187">
        <v>3301.536865234375</v>
      </c>
      <c r="N6184" s="187">
        <v>0</v>
      </c>
      <c r="O6184" t="s">
        <v>6291</v>
      </c>
    </row>
    <row r="6185" spans="1:15" hidden="1" x14ac:dyDescent="0.45">
      <c r="A6185" s="187">
        <v>2023</v>
      </c>
      <c r="B6185" t="s">
        <v>317</v>
      </c>
      <c r="C6185" t="s">
        <v>322</v>
      </c>
      <c r="D6185" t="s">
        <v>35</v>
      </c>
      <c r="E6185" t="s">
        <v>354</v>
      </c>
      <c r="F6185" t="s">
        <v>385</v>
      </c>
      <c r="G6185" t="s">
        <v>37</v>
      </c>
      <c r="H6185" t="s">
        <v>43</v>
      </c>
      <c r="I6185" s="187">
        <v>52.02</v>
      </c>
      <c r="J6185" s="187">
        <v>20</v>
      </c>
      <c r="K6185" s="187">
        <v>874.63484918066945</v>
      </c>
      <c r="L6185" s="187">
        <v>1586</v>
      </c>
      <c r="M6185" s="187">
        <v>2532.65478515625</v>
      </c>
      <c r="N6185" s="187">
        <v>1638.02001953125</v>
      </c>
      <c r="O6185" t="s">
        <v>6293</v>
      </c>
    </row>
    <row r="6186" spans="1:15" hidden="1" x14ac:dyDescent="0.45">
      <c r="A6186" s="187">
        <v>2023</v>
      </c>
      <c r="B6186" t="s">
        <v>310</v>
      </c>
      <c r="C6186" t="s">
        <v>322</v>
      </c>
      <c r="D6186" t="s">
        <v>35</v>
      </c>
      <c r="E6186" t="s">
        <v>354</v>
      </c>
      <c r="F6186" t="s">
        <v>385</v>
      </c>
      <c r="G6186" t="s">
        <v>37</v>
      </c>
      <c r="H6186" t="s">
        <v>43</v>
      </c>
      <c r="I6186" s="187"/>
      <c r="J6186" s="187">
        <v>0</v>
      </c>
      <c r="K6186" s="187">
        <v>1997.8968373933719</v>
      </c>
      <c r="L6186" s="187">
        <v>0</v>
      </c>
      <c r="M6186" s="187">
        <v>1997.8968505859375</v>
      </c>
      <c r="N6186" s="187">
        <v>0</v>
      </c>
      <c r="O6186" t="s">
        <v>6289</v>
      </c>
    </row>
    <row r="6187" spans="1:15" hidden="1" x14ac:dyDescent="0.45">
      <c r="A6187" s="187">
        <v>2023</v>
      </c>
      <c r="B6187" t="s">
        <v>8570</v>
      </c>
      <c r="C6187" t="s">
        <v>322</v>
      </c>
      <c r="D6187" t="s">
        <v>35</v>
      </c>
      <c r="E6187" t="s">
        <v>354</v>
      </c>
      <c r="F6187" t="s">
        <v>385</v>
      </c>
      <c r="G6187" t="s">
        <v>37</v>
      </c>
      <c r="H6187" t="s">
        <v>43</v>
      </c>
      <c r="I6187" s="187">
        <v>53.042276232000013</v>
      </c>
      <c r="J6187" s="187">
        <v>107</v>
      </c>
      <c r="K6187" s="187">
        <v>760.95269306199657</v>
      </c>
      <c r="L6187" s="187">
        <v>556</v>
      </c>
      <c r="M6187" s="187">
        <v>1476.994873046875</v>
      </c>
      <c r="N6187" s="187">
        <v>609.04229736328125</v>
      </c>
      <c r="O6187" t="s">
        <v>8922</v>
      </c>
    </row>
    <row r="6188" spans="1:15" hidden="1" x14ac:dyDescent="0.45">
      <c r="A6188" s="187">
        <v>2023</v>
      </c>
      <c r="B6188" t="s">
        <v>316</v>
      </c>
      <c r="C6188" t="s">
        <v>322</v>
      </c>
      <c r="D6188" t="s">
        <v>35</v>
      </c>
      <c r="E6188" t="s">
        <v>354</v>
      </c>
      <c r="F6188" t="s">
        <v>385</v>
      </c>
      <c r="G6188" t="s">
        <v>37</v>
      </c>
      <c r="H6188" t="s">
        <v>43</v>
      </c>
      <c r="I6188" s="187">
        <v>0</v>
      </c>
      <c r="J6188" s="187">
        <v>20</v>
      </c>
      <c r="K6188" s="187">
        <v>1171.826118805976</v>
      </c>
      <c r="L6188" s="187">
        <v>856</v>
      </c>
      <c r="M6188" s="187">
        <v>2047.826171875</v>
      </c>
      <c r="N6188" s="187">
        <v>856</v>
      </c>
      <c r="O6188" t="s">
        <v>6292</v>
      </c>
    </row>
    <row r="6189" spans="1:15" hidden="1" x14ac:dyDescent="0.45">
      <c r="A6189" s="187">
        <v>2023</v>
      </c>
      <c r="B6189" t="s">
        <v>315</v>
      </c>
      <c r="C6189" t="s">
        <v>322</v>
      </c>
      <c r="D6189" t="s">
        <v>35</v>
      </c>
      <c r="E6189" t="s">
        <v>354</v>
      </c>
      <c r="F6189" t="s">
        <v>385</v>
      </c>
      <c r="G6189" t="s">
        <v>37</v>
      </c>
      <c r="H6189" t="s">
        <v>43</v>
      </c>
      <c r="I6189" s="187">
        <v>0</v>
      </c>
      <c r="J6189" s="187">
        <v>42</v>
      </c>
      <c r="K6189" s="187">
        <v>1376.348983641913</v>
      </c>
      <c r="L6189" s="187">
        <v>375</v>
      </c>
      <c r="M6189" s="187">
        <v>1793.3489990234375</v>
      </c>
      <c r="N6189" s="187">
        <v>375</v>
      </c>
      <c r="O6189" t="s">
        <v>6294</v>
      </c>
    </row>
    <row r="6190" spans="1:15" hidden="1" x14ac:dyDescent="0.45">
      <c r="A6190" s="187">
        <v>2023</v>
      </c>
      <c r="B6190" t="s">
        <v>8570</v>
      </c>
      <c r="C6190" t="s">
        <v>322</v>
      </c>
      <c r="D6190" t="s">
        <v>35</v>
      </c>
      <c r="E6190" t="s">
        <v>354</v>
      </c>
      <c r="F6190" t="s">
        <v>386</v>
      </c>
      <c r="G6190" t="s">
        <v>36</v>
      </c>
      <c r="H6190" t="s">
        <v>43</v>
      </c>
      <c r="I6190" s="187">
        <v>52.002231600000009</v>
      </c>
      <c r="J6190" s="187">
        <v>0</v>
      </c>
      <c r="K6190" s="187">
        <v>211.41899693833631</v>
      </c>
      <c r="L6190" s="187">
        <v>298</v>
      </c>
      <c r="M6190" s="187">
        <v>561.4212646484375</v>
      </c>
      <c r="N6190" s="187">
        <v>350.00222778320313</v>
      </c>
      <c r="O6190" t="s">
        <v>8923</v>
      </c>
    </row>
    <row r="6191" spans="1:15" hidden="1" x14ac:dyDescent="0.45">
      <c r="A6191" s="187">
        <v>2023</v>
      </c>
      <c r="B6191" t="s">
        <v>314</v>
      </c>
      <c r="C6191" t="s">
        <v>322</v>
      </c>
      <c r="D6191" t="s">
        <v>35</v>
      </c>
      <c r="E6191" t="s">
        <v>354</v>
      </c>
      <c r="F6191" t="s">
        <v>386</v>
      </c>
      <c r="G6191" t="s">
        <v>36</v>
      </c>
      <c r="H6191" t="s">
        <v>43</v>
      </c>
      <c r="I6191" s="187">
        <v>0</v>
      </c>
      <c r="J6191" s="187">
        <v>58.241033054944985</v>
      </c>
      <c r="K6191" s="187">
        <v>2809.1787632330975</v>
      </c>
      <c r="L6191" s="187">
        <v>59.405853716043886</v>
      </c>
      <c r="M6191" s="187">
        <v>2926.825439453125</v>
      </c>
      <c r="N6191" s="187">
        <v>59.405853271484375</v>
      </c>
      <c r="O6191" t="s">
        <v>6299</v>
      </c>
    </row>
    <row r="6192" spans="1:15" hidden="1" x14ac:dyDescent="0.45">
      <c r="A6192" s="187">
        <v>2023</v>
      </c>
      <c r="B6192" t="s">
        <v>317</v>
      </c>
      <c r="C6192" t="s">
        <v>322</v>
      </c>
      <c r="D6192" t="s">
        <v>35</v>
      </c>
      <c r="E6192" t="s">
        <v>354</v>
      </c>
      <c r="F6192" t="s">
        <v>386</v>
      </c>
      <c r="G6192" t="s">
        <v>36</v>
      </c>
      <c r="H6192" t="s">
        <v>43</v>
      </c>
      <c r="I6192" s="187">
        <v>54.025454784332467</v>
      </c>
      <c r="J6192" s="187">
        <v>21.610181913732987</v>
      </c>
      <c r="K6192" s="187">
        <v>3092.7785099959251</v>
      </c>
      <c r="L6192" s="187">
        <v>918.43273133365187</v>
      </c>
      <c r="M6192" s="187">
        <v>4086.8466796875</v>
      </c>
      <c r="N6192" s="187">
        <v>972.45819091796875</v>
      </c>
      <c r="O6192" t="s">
        <v>6301</v>
      </c>
    </row>
    <row r="6193" spans="1:15" hidden="1" x14ac:dyDescent="0.45">
      <c r="A6193" s="187">
        <v>2023</v>
      </c>
      <c r="B6193" t="s">
        <v>313</v>
      </c>
      <c r="C6193" t="s">
        <v>322</v>
      </c>
      <c r="D6193" t="s">
        <v>35</v>
      </c>
      <c r="E6193" t="s">
        <v>354</v>
      </c>
      <c r="F6193" t="s">
        <v>386</v>
      </c>
      <c r="G6193" t="s">
        <v>36</v>
      </c>
      <c r="H6193" t="s">
        <v>43</v>
      </c>
      <c r="I6193" s="187"/>
      <c r="J6193" s="187">
        <v>59.894593726603141</v>
      </c>
      <c r="K6193" s="187">
        <v>1955.5972158699101</v>
      </c>
      <c r="L6193" s="187">
        <v>0</v>
      </c>
      <c r="M6193" s="187">
        <v>2015.4918212890625</v>
      </c>
      <c r="N6193" s="187">
        <v>0</v>
      </c>
      <c r="O6193" t="s">
        <v>6297</v>
      </c>
    </row>
    <row r="6194" spans="1:15" hidden="1" x14ac:dyDescent="0.45">
      <c r="A6194" s="187">
        <v>2023</v>
      </c>
      <c r="B6194" t="s">
        <v>310</v>
      </c>
      <c r="C6194" t="s">
        <v>322</v>
      </c>
      <c r="D6194" t="s">
        <v>35</v>
      </c>
      <c r="E6194" t="s">
        <v>354</v>
      </c>
      <c r="F6194" t="s">
        <v>386</v>
      </c>
      <c r="G6194" t="s">
        <v>36</v>
      </c>
      <c r="H6194" t="s">
        <v>43</v>
      </c>
      <c r="I6194" s="187"/>
      <c r="J6194" s="187">
        <v>0</v>
      </c>
      <c r="K6194" s="187">
        <v>1855.8380569865133</v>
      </c>
      <c r="L6194" s="187">
        <v>102.00222427376713</v>
      </c>
      <c r="M6194" s="187">
        <v>1957.8402099609375</v>
      </c>
      <c r="N6194" s="187">
        <v>102.00222778320313</v>
      </c>
      <c r="O6194" t="s">
        <v>6302</v>
      </c>
    </row>
    <row r="6195" spans="1:15" hidden="1" x14ac:dyDescent="0.45">
      <c r="A6195" s="187">
        <v>2023</v>
      </c>
      <c r="B6195" t="s">
        <v>311</v>
      </c>
      <c r="C6195" t="s">
        <v>322</v>
      </c>
      <c r="D6195" t="s">
        <v>35</v>
      </c>
      <c r="E6195" t="s">
        <v>354</v>
      </c>
      <c r="F6195" t="s">
        <v>386</v>
      </c>
      <c r="G6195" t="s">
        <v>36</v>
      </c>
      <c r="H6195" t="s">
        <v>43</v>
      </c>
      <c r="I6195" s="187"/>
      <c r="J6195" s="187">
        <v>63.764706132750199</v>
      </c>
      <c r="K6195" s="187">
        <v>1788.1324700731086</v>
      </c>
      <c r="L6195" s="187">
        <v>98.197647444435304</v>
      </c>
      <c r="M6195" s="187">
        <v>1950.0948486328125</v>
      </c>
      <c r="N6195" s="187">
        <v>98.197647094726563</v>
      </c>
      <c r="O6195" t="s">
        <v>6298</v>
      </c>
    </row>
    <row r="6196" spans="1:15" hidden="1" x14ac:dyDescent="0.45">
      <c r="A6196" s="187">
        <v>2023</v>
      </c>
      <c r="B6196" t="s">
        <v>316</v>
      </c>
      <c r="C6196" t="s">
        <v>322</v>
      </c>
      <c r="D6196" t="s">
        <v>35</v>
      </c>
      <c r="E6196" t="s">
        <v>354</v>
      </c>
      <c r="F6196" t="s">
        <v>386</v>
      </c>
      <c r="G6196" t="s">
        <v>36</v>
      </c>
      <c r="H6196" t="s">
        <v>43</v>
      </c>
      <c r="I6196" s="187">
        <v>0</v>
      </c>
      <c r="J6196" s="187">
        <v>22.029076772714181</v>
      </c>
      <c r="K6196" s="187">
        <v>1769.0451226923803</v>
      </c>
      <c r="L6196" s="187">
        <v>411.94373564975518</v>
      </c>
      <c r="M6196" s="187">
        <v>2203.01806640625</v>
      </c>
      <c r="N6196" s="187">
        <v>411.9437255859375</v>
      </c>
      <c r="O6196" t="s">
        <v>6305</v>
      </c>
    </row>
    <row r="6197" spans="1:15" hidden="1" x14ac:dyDescent="0.45">
      <c r="A6197" s="187">
        <v>2023</v>
      </c>
      <c r="B6197" t="s">
        <v>309</v>
      </c>
      <c r="C6197" t="s">
        <v>322</v>
      </c>
      <c r="D6197" t="s">
        <v>35</v>
      </c>
      <c r="E6197" t="s">
        <v>354</v>
      </c>
      <c r="F6197" t="s">
        <v>386</v>
      </c>
      <c r="G6197" t="s">
        <v>36</v>
      </c>
      <c r="H6197" t="s">
        <v>43</v>
      </c>
      <c r="I6197" s="187"/>
      <c r="J6197" s="187">
        <v>74.182364394641638</v>
      </c>
      <c r="K6197" s="187">
        <v>753.54710689092667</v>
      </c>
      <c r="L6197" s="187">
        <v>102.00075104263225</v>
      </c>
      <c r="M6197" s="187">
        <v>929.730224609375</v>
      </c>
      <c r="N6197" s="187">
        <v>102.00074768066406</v>
      </c>
      <c r="O6197" t="s">
        <v>6304</v>
      </c>
    </row>
    <row r="6198" spans="1:15" hidden="1" x14ac:dyDescent="0.45">
      <c r="A6198" s="187">
        <v>2023</v>
      </c>
      <c r="B6198" t="s">
        <v>312</v>
      </c>
      <c r="C6198" t="s">
        <v>322</v>
      </c>
      <c r="D6198" t="s">
        <v>35</v>
      </c>
      <c r="E6198" t="s">
        <v>354</v>
      </c>
      <c r="F6198" t="s">
        <v>386</v>
      </c>
      <c r="G6198" t="s">
        <v>36</v>
      </c>
      <c r="H6198" t="s">
        <v>43</v>
      </c>
      <c r="I6198" s="187"/>
      <c r="J6198" s="187">
        <v>61.828711797667012</v>
      </c>
      <c r="K6198" s="187">
        <v>696.78785948922484</v>
      </c>
      <c r="L6198" s="187">
        <v>0</v>
      </c>
      <c r="M6198" s="187">
        <v>758.6165771484375</v>
      </c>
      <c r="N6198" s="187">
        <v>0</v>
      </c>
      <c r="O6198" t="s">
        <v>6300</v>
      </c>
    </row>
    <row r="6199" spans="1:15" hidden="1" x14ac:dyDescent="0.45">
      <c r="A6199" s="187">
        <v>2023</v>
      </c>
      <c r="B6199" t="s">
        <v>315</v>
      </c>
      <c r="C6199" t="s">
        <v>322</v>
      </c>
      <c r="D6199" t="s">
        <v>35</v>
      </c>
      <c r="E6199" t="s">
        <v>354</v>
      </c>
      <c r="F6199" t="s">
        <v>386</v>
      </c>
      <c r="G6199" t="s">
        <v>36</v>
      </c>
      <c r="H6199" t="s">
        <v>43</v>
      </c>
      <c r="I6199" s="187">
        <v>0</v>
      </c>
      <c r="J6199" s="187">
        <v>56.639871809250089</v>
      </c>
      <c r="K6199" s="187">
        <v>2089.8603052505464</v>
      </c>
      <c r="L6199" s="187">
        <v>362.49517957920057</v>
      </c>
      <c r="M6199" s="187">
        <v>2508.995361328125</v>
      </c>
      <c r="N6199" s="187">
        <v>362.49517822265625</v>
      </c>
      <c r="O6199" t="s">
        <v>6303</v>
      </c>
    </row>
    <row r="6200" spans="1:15" hidden="1" x14ac:dyDescent="0.45">
      <c r="A6200" s="187">
        <v>2023</v>
      </c>
      <c r="B6200" t="s">
        <v>309</v>
      </c>
      <c r="C6200" t="s">
        <v>322</v>
      </c>
      <c r="D6200" t="s">
        <v>35</v>
      </c>
      <c r="E6200" t="s">
        <v>354</v>
      </c>
      <c r="F6200" t="s">
        <v>386</v>
      </c>
      <c r="G6200" t="s">
        <v>37</v>
      </c>
      <c r="H6200" t="s">
        <v>43</v>
      </c>
      <c r="I6200" s="187"/>
      <c r="J6200" s="187">
        <v>67.384799999999998</v>
      </c>
      <c r="K6200" s="187">
        <v>709.74665292121051</v>
      </c>
      <c r="L6200" s="187">
        <v>101</v>
      </c>
      <c r="M6200" s="187">
        <v>878.1314697265625</v>
      </c>
      <c r="N6200" s="187">
        <v>101</v>
      </c>
      <c r="O6200" t="s">
        <v>6311</v>
      </c>
    </row>
    <row r="6201" spans="1:15" hidden="1" x14ac:dyDescent="0.45">
      <c r="A6201" s="187">
        <v>2023</v>
      </c>
      <c r="B6201" t="s">
        <v>8570</v>
      </c>
      <c r="C6201" t="s">
        <v>322</v>
      </c>
      <c r="D6201" t="s">
        <v>35</v>
      </c>
      <c r="E6201" t="s">
        <v>354</v>
      </c>
      <c r="F6201" t="s">
        <v>386</v>
      </c>
      <c r="G6201" t="s">
        <v>37</v>
      </c>
      <c r="H6201" t="s">
        <v>43</v>
      </c>
      <c r="I6201" s="187">
        <v>53.042276232000013</v>
      </c>
      <c r="J6201" s="187">
        <v>0</v>
      </c>
      <c r="K6201" s="187">
        <v>216.26193872774951</v>
      </c>
      <c r="L6201" s="187">
        <v>316</v>
      </c>
      <c r="M6201" s="187">
        <v>585.30419921875</v>
      </c>
      <c r="N6201" s="187">
        <v>369.04226684570313</v>
      </c>
      <c r="O6201" t="s">
        <v>8924</v>
      </c>
    </row>
    <row r="6202" spans="1:15" hidden="1" x14ac:dyDescent="0.45">
      <c r="A6202" s="187">
        <v>2023</v>
      </c>
      <c r="B6202" t="s">
        <v>313</v>
      </c>
      <c r="C6202" t="s">
        <v>322</v>
      </c>
      <c r="D6202" t="s">
        <v>35</v>
      </c>
      <c r="E6202" t="s">
        <v>354</v>
      </c>
      <c r="F6202" t="s">
        <v>386</v>
      </c>
      <c r="G6202" t="s">
        <v>37</v>
      </c>
      <c r="H6202" t="s">
        <v>43</v>
      </c>
      <c r="I6202" s="187"/>
      <c r="J6202" s="187">
        <v>56</v>
      </c>
      <c r="K6202" s="187">
        <v>1830.2734147714859</v>
      </c>
      <c r="L6202" s="187">
        <v>0</v>
      </c>
      <c r="M6202" s="187">
        <v>1886.2734375</v>
      </c>
      <c r="N6202" s="187">
        <v>0</v>
      </c>
      <c r="O6202" t="s">
        <v>6313</v>
      </c>
    </row>
    <row r="6203" spans="1:15" hidden="1" x14ac:dyDescent="0.45">
      <c r="A6203" s="187">
        <v>2023</v>
      </c>
      <c r="B6203" t="s">
        <v>316</v>
      </c>
      <c r="C6203" t="s">
        <v>322</v>
      </c>
      <c r="D6203" t="s">
        <v>35</v>
      </c>
      <c r="E6203" t="s">
        <v>354</v>
      </c>
      <c r="F6203" t="s">
        <v>386</v>
      </c>
      <c r="G6203" t="s">
        <v>37</v>
      </c>
      <c r="H6203" t="s">
        <v>43</v>
      </c>
      <c r="I6203" s="187">
        <v>0</v>
      </c>
      <c r="J6203" s="187">
        <v>20</v>
      </c>
      <c r="K6203" s="187">
        <v>1673.94734640858</v>
      </c>
      <c r="L6203" s="187">
        <v>404</v>
      </c>
      <c r="M6203" s="187">
        <v>2097.947265625</v>
      </c>
      <c r="N6203" s="187">
        <v>404</v>
      </c>
      <c r="O6203" t="s">
        <v>6308</v>
      </c>
    </row>
    <row r="6204" spans="1:15" hidden="1" x14ac:dyDescent="0.45">
      <c r="A6204" s="187">
        <v>2023</v>
      </c>
      <c r="B6204" t="s">
        <v>317</v>
      </c>
      <c r="C6204" t="s">
        <v>322</v>
      </c>
      <c r="D6204" t="s">
        <v>35</v>
      </c>
      <c r="E6204" t="s">
        <v>354</v>
      </c>
      <c r="F6204" t="s">
        <v>386</v>
      </c>
      <c r="G6204" t="s">
        <v>37</v>
      </c>
      <c r="H6204" t="s">
        <v>43</v>
      </c>
      <c r="I6204" s="187">
        <v>52.02</v>
      </c>
      <c r="J6204" s="187">
        <v>20</v>
      </c>
      <c r="K6204" s="187">
        <v>2961.6127930023631</v>
      </c>
      <c r="L6204" s="187">
        <v>878</v>
      </c>
      <c r="M6204" s="187">
        <v>3911.6328125</v>
      </c>
      <c r="N6204" s="187">
        <v>930.02001953125</v>
      </c>
      <c r="O6204" t="s">
        <v>6312</v>
      </c>
    </row>
    <row r="6205" spans="1:15" hidden="1" x14ac:dyDescent="0.45">
      <c r="A6205" s="187">
        <v>2023</v>
      </c>
      <c r="B6205" t="s">
        <v>310</v>
      </c>
      <c r="C6205" t="s">
        <v>322</v>
      </c>
      <c r="D6205" t="s">
        <v>35</v>
      </c>
      <c r="E6205" t="s">
        <v>354</v>
      </c>
      <c r="F6205" t="s">
        <v>386</v>
      </c>
      <c r="G6205" t="s">
        <v>37</v>
      </c>
      <c r="H6205" t="s">
        <v>43</v>
      </c>
      <c r="I6205" s="187"/>
      <c r="J6205" s="187">
        <v>0</v>
      </c>
      <c r="K6205" s="187">
        <v>1702.7884044136169</v>
      </c>
      <c r="L6205" s="187">
        <v>98</v>
      </c>
      <c r="M6205" s="187">
        <v>1800.7884521484375</v>
      </c>
      <c r="N6205" s="187">
        <v>98</v>
      </c>
      <c r="O6205" t="s">
        <v>6314</v>
      </c>
    </row>
    <row r="6206" spans="1:15" hidden="1" x14ac:dyDescent="0.45">
      <c r="A6206" s="187">
        <v>2023</v>
      </c>
      <c r="B6206" t="s">
        <v>311</v>
      </c>
      <c r="C6206" t="s">
        <v>322</v>
      </c>
      <c r="D6206" t="s">
        <v>35</v>
      </c>
      <c r="E6206" t="s">
        <v>354</v>
      </c>
      <c r="F6206" t="s">
        <v>386</v>
      </c>
      <c r="G6206" t="s">
        <v>37</v>
      </c>
      <c r="H6206" t="s">
        <v>43</v>
      </c>
      <c r="I6206" s="187"/>
      <c r="J6206" s="187">
        <v>59</v>
      </c>
      <c r="K6206" s="187">
        <v>1630.8312297413279</v>
      </c>
      <c r="L6206" s="187">
        <v>95</v>
      </c>
      <c r="M6206" s="187">
        <v>1784.8311767578125</v>
      </c>
      <c r="N6206" s="187">
        <v>95</v>
      </c>
      <c r="O6206" t="s">
        <v>6307</v>
      </c>
    </row>
    <row r="6207" spans="1:15" hidden="1" x14ac:dyDescent="0.45">
      <c r="A6207" s="187">
        <v>2023</v>
      </c>
      <c r="B6207" t="s">
        <v>315</v>
      </c>
      <c r="C6207" t="s">
        <v>322</v>
      </c>
      <c r="D6207" t="s">
        <v>35</v>
      </c>
      <c r="E6207" t="s">
        <v>354</v>
      </c>
      <c r="F6207" t="s">
        <v>386</v>
      </c>
      <c r="G6207" t="s">
        <v>37</v>
      </c>
      <c r="H6207" t="s">
        <v>43</v>
      </c>
      <c r="I6207" s="187">
        <v>0</v>
      </c>
      <c r="J6207" s="187">
        <v>53</v>
      </c>
      <c r="K6207" s="187">
        <v>1991.971805256276</v>
      </c>
      <c r="L6207" s="187">
        <v>346</v>
      </c>
      <c r="M6207" s="187">
        <v>2390.9716796875</v>
      </c>
      <c r="N6207" s="187">
        <v>346</v>
      </c>
      <c r="O6207" t="s">
        <v>6310</v>
      </c>
    </row>
    <row r="6208" spans="1:15" hidden="1" x14ac:dyDescent="0.45">
      <c r="A6208" s="187">
        <v>2023</v>
      </c>
      <c r="B6208" t="s">
        <v>314</v>
      </c>
      <c r="C6208" t="s">
        <v>322</v>
      </c>
      <c r="D6208" t="s">
        <v>35</v>
      </c>
      <c r="E6208" t="s">
        <v>354</v>
      </c>
      <c r="F6208" t="s">
        <v>386</v>
      </c>
      <c r="G6208" t="s">
        <v>37</v>
      </c>
      <c r="H6208" t="s">
        <v>43</v>
      </c>
      <c r="I6208" s="187">
        <v>0</v>
      </c>
      <c r="J6208" s="187">
        <v>55</v>
      </c>
      <c r="K6208" s="187">
        <v>2667.6036059604698</v>
      </c>
      <c r="L6208" s="187">
        <v>60</v>
      </c>
      <c r="M6208" s="187">
        <v>2782.603515625</v>
      </c>
      <c r="N6208" s="187">
        <v>60</v>
      </c>
      <c r="O6208" t="s">
        <v>6309</v>
      </c>
    </row>
    <row r="6209" spans="1:15" hidden="1" x14ac:dyDescent="0.45">
      <c r="A6209" s="187">
        <v>2023</v>
      </c>
      <c r="B6209" t="s">
        <v>312</v>
      </c>
      <c r="C6209" t="s">
        <v>322</v>
      </c>
      <c r="D6209" t="s">
        <v>35</v>
      </c>
      <c r="E6209" t="s">
        <v>354</v>
      </c>
      <c r="F6209" t="s">
        <v>386</v>
      </c>
      <c r="G6209" t="s">
        <v>37</v>
      </c>
      <c r="H6209" t="s">
        <v>43</v>
      </c>
      <c r="I6209" s="187"/>
      <c r="J6209" s="187">
        <v>57</v>
      </c>
      <c r="K6209" s="187">
        <v>645.26806549622881</v>
      </c>
      <c r="L6209" s="187">
        <v>0</v>
      </c>
      <c r="M6209" s="187">
        <v>702.26806640625</v>
      </c>
      <c r="N6209" s="187">
        <v>0</v>
      </c>
      <c r="O6209" t="s">
        <v>6306</v>
      </c>
    </row>
    <row r="6210" spans="1:15" hidden="1" x14ac:dyDescent="0.45">
      <c r="A6210" s="187">
        <v>2023</v>
      </c>
      <c r="B6210" t="s">
        <v>313</v>
      </c>
      <c r="C6210" t="s">
        <v>322</v>
      </c>
      <c r="D6210" t="s">
        <v>35</v>
      </c>
      <c r="E6210" t="s">
        <v>354</v>
      </c>
      <c r="F6210" t="s">
        <v>387</v>
      </c>
      <c r="G6210" t="s">
        <v>36</v>
      </c>
      <c r="H6210" t="s">
        <v>43</v>
      </c>
      <c r="I6210" s="187">
        <v>0</v>
      </c>
      <c r="J6210" s="187">
        <v>107.81026870788565</v>
      </c>
      <c r="K6210" s="187">
        <v>5039.1697010093922</v>
      </c>
      <c r="L6210" s="187">
        <v>0</v>
      </c>
      <c r="M6210" s="187">
        <v>5146.97998046875</v>
      </c>
      <c r="N6210" s="187">
        <v>0</v>
      </c>
      <c r="O6210" t="s">
        <v>6316</v>
      </c>
    </row>
    <row r="6211" spans="1:15" hidden="1" x14ac:dyDescent="0.45">
      <c r="A6211" s="187">
        <v>2023</v>
      </c>
      <c r="B6211" t="s">
        <v>309</v>
      </c>
      <c r="C6211" t="s">
        <v>322</v>
      </c>
      <c r="D6211" t="s">
        <v>35</v>
      </c>
      <c r="E6211" t="s">
        <v>354</v>
      </c>
      <c r="F6211" t="s">
        <v>387</v>
      </c>
      <c r="G6211" t="s">
        <v>36</v>
      </c>
      <c r="H6211" t="s">
        <v>43</v>
      </c>
      <c r="I6211" s="187"/>
      <c r="J6211" s="187">
        <v>133.7931929260501</v>
      </c>
      <c r="K6211" s="187">
        <v>2963.9059773501631</v>
      </c>
      <c r="L6211" s="187">
        <v>102.00075104263225</v>
      </c>
      <c r="M6211" s="187">
        <v>3199.699951171875</v>
      </c>
      <c r="N6211" s="187">
        <v>102.00074768066406</v>
      </c>
      <c r="O6211" t="s">
        <v>6318</v>
      </c>
    </row>
    <row r="6212" spans="1:15" hidden="1" x14ac:dyDescent="0.45">
      <c r="A6212" s="187">
        <v>2023</v>
      </c>
      <c r="B6212" t="s">
        <v>317</v>
      </c>
      <c r="C6212" t="s">
        <v>322</v>
      </c>
      <c r="D6212" t="s">
        <v>35</v>
      </c>
      <c r="E6212" t="s">
        <v>354</v>
      </c>
      <c r="F6212" t="s">
        <v>387</v>
      </c>
      <c r="G6212" t="s">
        <v>36</v>
      </c>
      <c r="H6212" t="s">
        <v>43</v>
      </c>
      <c r="I6212" s="187">
        <v>108.05090956866493</v>
      </c>
      <c r="J6212" s="187">
        <v>86.440727654931948</v>
      </c>
      <c r="K6212" s="187">
        <v>4006.1497218001623</v>
      </c>
      <c r="L6212" s="187">
        <v>2577.0141932126585</v>
      </c>
      <c r="M6212" s="187">
        <v>6777.65576171875</v>
      </c>
      <c r="N6212" s="187">
        <v>2685.065185546875</v>
      </c>
      <c r="O6212" t="s">
        <v>6319</v>
      </c>
    </row>
    <row r="6213" spans="1:15" hidden="1" x14ac:dyDescent="0.45">
      <c r="A6213" s="187">
        <v>2023</v>
      </c>
      <c r="B6213" t="s">
        <v>316</v>
      </c>
      <c r="C6213" t="s">
        <v>322</v>
      </c>
      <c r="D6213" t="s">
        <v>35</v>
      </c>
      <c r="E6213" t="s">
        <v>354</v>
      </c>
      <c r="F6213" t="s">
        <v>387</v>
      </c>
      <c r="G6213" t="s">
        <v>36</v>
      </c>
      <c r="H6213" t="s">
        <v>43</v>
      </c>
      <c r="I6213" s="187">
        <v>0</v>
      </c>
      <c r="J6213" s="187">
        <v>88.116307090856722</v>
      </c>
      <c r="K6213" s="187">
        <v>3007.4432626128873</v>
      </c>
      <c r="L6213" s="187">
        <v>1284.2951758492368</v>
      </c>
      <c r="M6213" s="187">
        <v>4379.85498046875</v>
      </c>
      <c r="N6213" s="187">
        <v>1284.295166015625</v>
      </c>
      <c r="O6213" t="s">
        <v>6320</v>
      </c>
    </row>
    <row r="6214" spans="1:15" hidden="1" x14ac:dyDescent="0.45">
      <c r="A6214" s="187">
        <v>2023</v>
      </c>
      <c r="B6214" t="s">
        <v>8570</v>
      </c>
      <c r="C6214" t="s">
        <v>322</v>
      </c>
      <c r="D6214" t="s">
        <v>35</v>
      </c>
      <c r="E6214" t="s">
        <v>354</v>
      </c>
      <c r="F6214" t="s">
        <v>387</v>
      </c>
      <c r="G6214" t="s">
        <v>36</v>
      </c>
      <c r="H6214" t="s">
        <v>43</v>
      </c>
      <c r="I6214" s="187">
        <v>104.0044632</v>
      </c>
      <c r="J6214" s="187">
        <v>107</v>
      </c>
      <c r="K6214" s="187">
        <v>955.33101414827809</v>
      </c>
      <c r="L6214" s="187">
        <v>823</v>
      </c>
      <c r="M6214" s="187">
        <v>1989.33544921875</v>
      </c>
      <c r="N6214" s="187">
        <v>927.00445556640625</v>
      </c>
      <c r="O6214" t="s">
        <v>8925</v>
      </c>
    </row>
    <row r="6215" spans="1:15" hidden="1" x14ac:dyDescent="0.45">
      <c r="A6215" s="187">
        <v>2023</v>
      </c>
      <c r="B6215" t="s">
        <v>311</v>
      </c>
      <c r="C6215" t="s">
        <v>322</v>
      </c>
      <c r="D6215" t="s">
        <v>35</v>
      </c>
      <c r="E6215" t="s">
        <v>354</v>
      </c>
      <c r="F6215" t="s">
        <v>387</v>
      </c>
      <c r="G6215" t="s">
        <v>36</v>
      </c>
      <c r="H6215" t="s">
        <v>43</v>
      </c>
      <c r="I6215" s="187"/>
      <c r="J6215" s="187">
        <v>114.77647103895036</v>
      </c>
      <c r="K6215" s="187">
        <v>3890.3683602696851</v>
      </c>
      <c r="L6215" s="187">
        <v>98.197647444435304</v>
      </c>
      <c r="M6215" s="187">
        <v>4103.34228515625</v>
      </c>
      <c r="N6215" s="187">
        <v>98.197647094726563</v>
      </c>
      <c r="O6215" t="s">
        <v>6317</v>
      </c>
    </row>
    <row r="6216" spans="1:15" hidden="1" x14ac:dyDescent="0.45">
      <c r="A6216" s="187">
        <v>2023</v>
      </c>
      <c r="B6216" t="s">
        <v>315</v>
      </c>
      <c r="C6216" t="s">
        <v>322</v>
      </c>
      <c r="D6216" t="s">
        <v>35</v>
      </c>
      <c r="E6216" t="s">
        <v>354</v>
      </c>
      <c r="F6216" t="s">
        <v>387</v>
      </c>
      <c r="G6216" t="s">
        <v>36</v>
      </c>
      <c r="H6216" t="s">
        <v>43</v>
      </c>
      <c r="I6216" s="187">
        <v>0</v>
      </c>
      <c r="J6216" s="187">
        <v>101.95176925665017</v>
      </c>
      <c r="K6216" s="187">
        <v>3533.8451545818407</v>
      </c>
      <c r="L6216" s="187">
        <v>754.44309249921116</v>
      </c>
      <c r="M6216" s="187">
        <v>4390.23974609375</v>
      </c>
      <c r="N6216" s="187">
        <v>754.443115234375</v>
      </c>
      <c r="O6216" t="s">
        <v>6322</v>
      </c>
    </row>
    <row r="6217" spans="1:15" hidden="1" x14ac:dyDescent="0.45">
      <c r="A6217" s="187">
        <v>2023</v>
      </c>
      <c r="B6217" t="s">
        <v>310</v>
      </c>
      <c r="C6217" t="s">
        <v>322</v>
      </c>
      <c r="D6217" t="s">
        <v>35</v>
      </c>
      <c r="E6217" t="s">
        <v>354</v>
      </c>
      <c r="F6217" t="s">
        <v>387</v>
      </c>
      <c r="G6217" t="s">
        <v>36</v>
      </c>
      <c r="H6217" t="s">
        <v>43</v>
      </c>
      <c r="I6217" s="187"/>
      <c r="J6217" s="187">
        <v>0</v>
      </c>
      <c r="K6217" s="187">
        <v>4033.3094181709616</v>
      </c>
      <c r="L6217" s="187">
        <v>102.00222427376713</v>
      </c>
      <c r="M6217" s="187">
        <v>4135.3115234375</v>
      </c>
      <c r="N6217" s="187">
        <v>102.00222778320313</v>
      </c>
      <c r="O6217" t="s">
        <v>6315</v>
      </c>
    </row>
    <row r="6218" spans="1:15" hidden="1" x14ac:dyDescent="0.45">
      <c r="A6218" s="187">
        <v>2023</v>
      </c>
      <c r="B6218" t="s">
        <v>314</v>
      </c>
      <c r="C6218" t="s">
        <v>322</v>
      </c>
      <c r="D6218" t="s">
        <v>35</v>
      </c>
      <c r="E6218" t="s">
        <v>354</v>
      </c>
      <c r="F6218" t="s">
        <v>387</v>
      </c>
      <c r="G6218" t="s">
        <v>36</v>
      </c>
      <c r="H6218" t="s">
        <v>43</v>
      </c>
      <c r="I6218" s="187">
        <v>0</v>
      </c>
      <c r="J6218" s="187">
        <v>104.83385949890098</v>
      </c>
      <c r="K6218" s="187">
        <v>4284.1698989460374</v>
      </c>
      <c r="L6218" s="187">
        <v>59.405853716043886</v>
      </c>
      <c r="M6218" s="187">
        <v>4448.40966796875</v>
      </c>
      <c r="N6218" s="187">
        <v>59.405853271484375</v>
      </c>
      <c r="O6218" t="s">
        <v>6323</v>
      </c>
    </row>
    <row r="6219" spans="1:15" hidden="1" x14ac:dyDescent="0.45">
      <c r="A6219" s="187">
        <v>2023</v>
      </c>
      <c r="B6219" t="s">
        <v>312</v>
      </c>
      <c r="C6219" t="s">
        <v>322</v>
      </c>
      <c r="D6219" t="s">
        <v>35</v>
      </c>
      <c r="E6219" t="s">
        <v>354</v>
      </c>
      <c r="F6219" t="s">
        <v>387</v>
      </c>
      <c r="G6219" t="s">
        <v>36</v>
      </c>
      <c r="H6219" t="s">
        <v>43</v>
      </c>
      <c r="I6219" s="187">
        <v>0</v>
      </c>
      <c r="J6219" s="187">
        <v>105.10881005603392</v>
      </c>
      <c r="K6219" s="187">
        <v>4218.7337674529426</v>
      </c>
      <c r="L6219" s="187">
        <v>0</v>
      </c>
      <c r="M6219" s="187">
        <v>4323.8427734375</v>
      </c>
      <c r="N6219" s="187">
        <v>0</v>
      </c>
      <c r="O6219" t="s">
        <v>6321</v>
      </c>
    </row>
    <row r="6220" spans="1:15" hidden="1" x14ac:dyDescent="0.45">
      <c r="A6220" s="187">
        <v>2023</v>
      </c>
      <c r="B6220" t="s">
        <v>8570</v>
      </c>
      <c r="C6220" t="s">
        <v>322</v>
      </c>
      <c r="D6220" t="s">
        <v>35</v>
      </c>
      <c r="E6220" t="s">
        <v>354</v>
      </c>
      <c r="F6220" t="s">
        <v>387</v>
      </c>
      <c r="G6220" t="s">
        <v>37</v>
      </c>
      <c r="H6220" t="s">
        <v>43</v>
      </c>
      <c r="I6220" s="187">
        <v>106.084552464</v>
      </c>
      <c r="J6220" s="187">
        <v>107</v>
      </c>
      <c r="K6220" s="187">
        <v>977.21463178974614</v>
      </c>
      <c r="L6220" s="187">
        <v>872</v>
      </c>
      <c r="M6220" s="187">
        <v>2062.29931640625</v>
      </c>
      <c r="N6220" s="187">
        <v>978.08453369140625</v>
      </c>
      <c r="O6220" t="s">
        <v>8926</v>
      </c>
    </row>
    <row r="6221" spans="1:15" hidden="1" x14ac:dyDescent="0.45">
      <c r="A6221" s="187">
        <v>2023</v>
      </c>
      <c r="B6221" t="s">
        <v>313</v>
      </c>
      <c r="C6221" t="s">
        <v>322</v>
      </c>
      <c r="D6221" t="s">
        <v>35</v>
      </c>
      <c r="E6221" t="s">
        <v>354</v>
      </c>
      <c r="F6221" t="s">
        <v>387</v>
      </c>
      <c r="G6221" t="s">
        <v>37</v>
      </c>
      <c r="H6221" t="s">
        <v>43</v>
      </c>
      <c r="I6221" s="187">
        <v>0</v>
      </c>
      <c r="J6221" s="187">
        <v>101</v>
      </c>
      <c r="K6221" s="187">
        <v>4716.2361765670476</v>
      </c>
      <c r="L6221" s="187">
        <v>0</v>
      </c>
      <c r="M6221" s="187">
        <v>4817.236328125</v>
      </c>
      <c r="N6221" s="187">
        <v>0</v>
      </c>
      <c r="O6221" t="s">
        <v>6332</v>
      </c>
    </row>
    <row r="6222" spans="1:15" hidden="1" x14ac:dyDescent="0.45">
      <c r="A6222" s="187">
        <v>2023</v>
      </c>
      <c r="B6222" t="s">
        <v>314</v>
      </c>
      <c r="C6222" t="s">
        <v>322</v>
      </c>
      <c r="D6222" t="s">
        <v>35</v>
      </c>
      <c r="E6222" t="s">
        <v>354</v>
      </c>
      <c r="F6222" t="s">
        <v>387</v>
      </c>
      <c r="G6222" t="s">
        <v>37</v>
      </c>
      <c r="H6222" t="s">
        <v>43</v>
      </c>
      <c r="I6222" s="187">
        <v>0</v>
      </c>
      <c r="J6222" s="187">
        <v>99</v>
      </c>
      <c r="K6222" s="187">
        <v>4068.2591013975461</v>
      </c>
      <c r="L6222" s="187">
        <v>60</v>
      </c>
      <c r="M6222" s="187">
        <v>4227.25927734375</v>
      </c>
      <c r="N6222" s="187">
        <v>60</v>
      </c>
      <c r="O6222" t="s">
        <v>6331</v>
      </c>
    </row>
    <row r="6223" spans="1:15" hidden="1" x14ac:dyDescent="0.45">
      <c r="A6223" s="187">
        <v>2023</v>
      </c>
      <c r="B6223" t="s">
        <v>312</v>
      </c>
      <c r="C6223" t="s">
        <v>322</v>
      </c>
      <c r="D6223" t="s">
        <v>35</v>
      </c>
      <c r="E6223" t="s">
        <v>354</v>
      </c>
      <c r="F6223" t="s">
        <v>387</v>
      </c>
      <c r="G6223" t="s">
        <v>37</v>
      </c>
      <c r="H6223" t="s">
        <v>43</v>
      </c>
      <c r="I6223" s="187">
        <v>0</v>
      </c>
      <c r="J6223" s="187">
        <v>97</v>
      </c>
      <c r="K6223" s="187">
        <v>3906.8048329135299</v>
      </c>
      <c r="L6223" s="187">
        <v>0</v>
      </c>
      <c r="M6223" s="187">
        <v>4003.804931640625</v>
      </c>
      <c r="N6223" s="187">
        <v>0</v>
      </c>
      <c r="O6223" t="s">
        <v>6328</v>
      </c>
    </row>
    <row r="6224" spans="1:15" hidden="1" x14ac:dyDescent="0.45">
      <c r="A6224" s="187">
        <v>2023</v>
      </c>
      <c r="B6224" t="s">
        <v>309</v>
      </c>
      <c r="C6224" t="s">
        <v>322</v>
      </c>
      <c r="D6224" t="s">
        <v>35</v>
      </c>
      <c r="E6224" t="s">
        <v>354</v>
      </c>
      <c r="F6224" t="s">
        <v>387</v>
      </c>
      <c r="G6224" t="s">
        <v>37</v>
      </c>
      <c r="H6224" t="s">
        <v>43</v>
      </c>
      <c r="I6224" s="187"/>
      <c r="J6224" s="187">
        <v>121.5333</v>
      </c>
      <c r="K6224" s="187">
        <v>2791.626864147644</v>
      </c>
      <c r="L6224" s="187">
        <v>101</v>
      </c>
      <c r="M6224" s="187">
        <v>3014.16015625</v>
      </c>
      <c r="N6224" s="187">
        <v>101</v>
      </c>
      <c r="O6224" t="s">
        <v>6324</v>
      </c>
    </row>
    <row r="6225" spans="1:15" hidden="1" x14ac:dyDescent="0.45">
      <c r="A6225" s="187">
        <v>2023</v>
      </c>
      <c r="B6225" t="s">
        <v>316</v>
      </c>
      <c r="C6225" t="s">
        <v>322</v>
      </c>
      <c r="D6225" t="s">
        <v>35</v>
      </c>
      <c r="E6225" t="s">
        <v>354</v>
      </c>
      <c r="F6225" t="s">
        <v>387</v>
      </c>
      <c r="G6225" t="s">
        <v>37</v>
      </c>
      <c r="H6225" t="s">
        <v>43</v>
      </c>
      <c r="I6225" s="187">
        <v>0</v>
      </c>
      <c r="J6225" s="187">
        <v>80</v>
      </c>
      <c r="K6225" s="187">
        <v>2845.773465214555</v>
      </c>
      <c r="L6225" s="187">
        <v>1260</v>
      </c>
      <c r="M6225" s="187">
        <v>4185.7734375</v>
      </c>
      <c r="N6225" s="187">
        <v>1260</v>
      </c>
      <c r="O6225" t="s">
        <v>6326</v>
      </c>
    </row>
    <row r="6226" spans="1:15" hidden="1" x14ac:dyDescent="0.45">
      <c r="A6226" s="187">
        <v>2023</v>
      </c>
      <c r="B6226" t="s">
        <v>311</v>
      </c>
      <c r="C6226" t="s">
        <v>322</v>
      </c>
      <c r="D6226" t="s">
        <v>35</v>
      </c>
      <c r="E6226" t="s">
        <v>354</v>
      </c>
      <c r="F6226" t="s">
        <v>387</v>
      </c>
      <c r="G6226" t="s">
        <v>37</v>
      </c>
      <c r="H6226" t="s">
        <v>43</v>
      </c>
      <c r="I6226" s="187"/>
      <c r="J6226" s="187">
        <v>106</v>
      </c>
      <c r="K6226" s="187">
        <v>3548.1343375337101</v>
      </c>
      <c r="L6226" s="187">
        <v>95</v>
      </c>
      <c r="M6226" s="187">
        <v>3749.13427734375</v>
      </c>
      <c r="N6226" s="187">
        <v>95</v>
      </c>
      <c r="O6226" t="s">
        <v>6330</v>
      </c>
    </row>
    <row r="6227" spans="1:15" hidden="1" x14ac:dyDescent="0.45">
      <c r="A6227" s="187">
        <v>2023</v>
      </c>
      <c r="B6227" t="s">
        <v>315</v>
      </c>
      <c r="C6227" t="s">
        <v>322</v>
      </c>
      <c r="D6227" t="s">
        <v>35</v>
      </c>
      <c r="E6227" t="s">
        <v>354</v>
      </c>
      <c r="F6227" t="s">
        <v>387</v>
      </c>
      <c r="G6227" t="s">
        <v>37</v>
      </c>
      <c r="H6227" t="s">
        <v>43</v>
      </c>
      <c r="I6227" s="187">
        <v>0</v>
      </c>
      <c r="J6227" s="187">
        <v>95</v>
      </c>
      <c r="K6227" s="187">
        <v>3368.3207888981892</v>
      </c>
      <c r="L6227" s="187">
        <v>721</v>
      </c>
      <c r="M6227" s="187">
        <v>4184.32080078125</v>
      </c>
      <c r="N6227" s="187">
        <v>721</v>
      </c>
      <c r="O6227" t="s">
        <v>6327</v>
      </c>
    </row>
    <row r="6228" spans="1:15" hidden="1" x14ac:dyDescent="0.45">
      <c r="A6228" s="187">
        <v>2023</v>
      </c>
      <c r="B6228" t="s">
        <v>317</v>
      </c>
      <c r="C6228" t="s">
        <v>322</v>
      </c>
      <c r="D6228" t="s">
        <v>35</v>
      </c>
      <c r="E6228" t="s">
        <v>354</v>
      </c>
      <c r="F6228" t="s">
        <v>387</v>
      </c>
      <c r="G6228" t="s">
        <v>37</v>
      </c>
      <c r="H6228" t="s">
        <v>43</v>
      </c>
      <c r="I6228" s="187">
        <v>104.04</v>
      </c>
      <c r="J6228" s="187">
        <v>80</v>
      </c>
      <c r="K6228" s="187">
        <v>3836.247642183032</v>
      </c>
      <c r="L6228" s="187">
        <v>2464</v>
      </c>
      <c r="M6228" s="187">
        <v>6484.28759765625</v>
      </c>
      <c r="N6228" s="187">
        <v>2568.0400390625</v>
      </c>
      <c r="O6228" t="s">
        <v>6329</v>
      </c>
    </row>
    <row r="6229" spans="1:15" hidden="1" x14ac:dyDescent="0.45">
      <c r="A6229" s="187">
        <v>2023</v>
      </c>
      <c r="B6229" t="s">
        <v>310</v>
      </c>
      <c r="C6229" t="s">
        <v>322</v>
      </c>
      <c r="D6229" t="s">
        <v>35</v>
      </c>
      <c r="E6229" t="s">
        <v>354</v>
      </c>
      <c r="F6229" t="s">
        <v>387</v>
      </c>
      <c r="G6229" t="s">
        <v>37</v>
      </c>
      <c r="H6229" t="s">
        <v>43</v>
      </c>
      <c r="I6229" s="187"/>
      <c r="J6229" s="187">
        <v>0</v>
      </c>
      <c r="K6229" s="187">
        <v>3700.6852418069889</v>
      </c>
      <c r="L6229" s="187">
        <v>98</v>
      </c>
      <c r="M6229" s="187">
        <v>3798.685302734375</v>
      </c>
      <c r="N6229" s="187">
        <v>98</v>
      </c>
      <c r="O6229" t="s">
        <v>6325</v>
      </c>
    </row>
    <row r="6230" spans="1:15" hidden="1" x14ac:dyDescent="0.45">
      <c r="A6230" s="187">
        <v>2023</v>
      </c>
      <c r="B6230" t="s">
        <v>309</v>
      </c>
      <c r="C6230" t="s">
        <v>322</v>
      </c>
      <c r="D6230" t="s">
        <v>35</v>
      </c>
      <c r="E6230" t="s">
        <v>17</v>
      </c>
      <c r="F6230" t="s">
        <v>17</v>
      </c>
      <c r="G6230" t="s">
        <v>36</v>
      </c>
      <c r="H6230" t="s">
        <v>43</v>
      </c>
      <c r="I6230" s="187"/>
      <c r="J6230" s="187">
        <v>46.363977746651024</v>
      </c>
      <c r="K6230" s="187">
        <v>3992.7447005722643</v>
      </c>
      <c r="L6230" s="187">
        <v>4269.4600079273214</v>
      </c>
      <c r="M6230" s="187">
        <v>8308.568359375</v>
      </c>
      <c r="N6230" s="187">
        <v>4269.4599609375</v>
      </c>
      <c r="O6230" t="s">
        <v>6336</v>
      </c>
    </row>
    <row r="6231" spans="1:15" hidden="1" x14ac:dyDescent="0.45">
      <c r="A6231" s="187">
        <v>2023</v>
      </c>
      <c r="B6231" t="s">
        <v>8570</v>
      </c>
      <c r="C6231" t="s">
        <v>322</v>
      </c>
      <c r="D6231" t="s">
        <v>35</v>
      </c>
      <c r="E6231" t="s">
        <v>17</v>
      </c>
      <c r="F6231" t="s">
        <v>17</v>
      </c>
      <c r="G6231" t="s">
        <v>36</v>
      </c>
      <c r="H6231" t="s">
        <v>43</v>
      </c>
      <c r="I6231" s="187">
        <v>2741.974535140248</v>
      </c>
      <c r="J6231" s="187">
        <v>231</v>
      </c>
      <c r="K6231" s="187">
        <v>1493.0349730104399</v>
      </c>
      <c r="L6231" s="187">
        <v>1274</v>
      </c>
      <c r="M6231" s="187">
        <v>5740.009765625</v>
      </c>
      <c r="N6231" s="187">
        <v>4015.974609375</v>
      </c>
      <c r="O6231" t="s">
        <v>8927</v>
      </c>
    </row>
    <row r="6232" spans="1:15" hidden="1" x14ac:dyDescent="0.45">
      <c r="A6232" s="187">
        <v>2023</v>
      </c>
      <c r="B6232" t="s">
        <v>312</v>
      </c>
      <c r="C6232" t="s">
        <v>322</v>
      </c>
      <c r="D6232" t="s">
        <v>35</v>
      </c>
      <c r="E6232" t="s">
        <v>17</v>
      </c>
      <c r="F6232" t="s">
        <v>17</v>
      </c>
      <c r="G6232" t="s">
        <v>36</v>
      </c>
      <c r="H6232" t="s">
        <v>43</v>
      </c>
      <c r="I6232" s="187">
        <v>2256.7479806148458</v>
      </c>
      <c r="J6232" s="187">
        <v>80.377325336967118</v>
      </c>
      <c r="K6232" s="187">
        <v>1624.4680779122264</v>
      </c>
      <c r="L6232" s="187">
        <v>639.30887998787694</v>
      </c>
      <c r="M6232" s="187">
        <v>4600.90234375</v>
      </c>
      <c r="N6232" s="187">
        <v>2896.056884765625</v>
      </c>
      <c r="O6232" t="s">
        <v>6338</v>
      </c>
    </row>
    <row r="6233" spans="1:15" hidden="1" x14ac:dyDescent="0.45">
      <c r="A6233" s="187">
        <v>2023</v>
      </c>
      <c r="B6233" t="s">
        <v>316</v>
      </c>
      <c r="C6233" t="s">
        <v>322</v>
      </c>
      <c r="D6233" t="s">
        <v>35</v>
      </c>
      <c r="E6233" t="s">
        <v>17</v>
      </c>
      <c r="F6233" t="s">
        <v>17</v>
      </c>
      <c r="G6233" t="s">
        <v>36</v>
      </c>
      <c r="H6233" t="s">
        <v>43</v>
      </c>
      <c r="I6233" s="187">
        <v>2422.46663906817</v>
      </c>
      <c r="J6233" s="187">
        <v>165.21807579535636</v>
      </c>
      <c r="K6233" s="187">
        <v>2366.2152556686765</v>
      </c>
      <c r="L6233" s="187">
        <v>2274.5021767827393</v>
      </c>
      <c r="M6233" s="187">
        <v>7228.40185546875</v>
      </c>
      <c r="N6233" s="187">
        <v>4696.96875</v>
      </c>
      <c r="O6233" t="s">
        <v>6334</v>
      </c>
    </row>
    <row r="6234" spans="1:15" hidden="1" x14ac:dyDescent="0.45">
      <c r="A6234" s="187">
        <v>2023</v>
      </c>
      <c r="B6234" t="s">
        <v>317</v>
      </c>
      <c r="C6234" t="s">
        <v>322</v>
      </c>
      <c r="D6234" t="s">
        <v>35</v>
      </c>
      <c r="E6234" t="s">
        <v>17</v>
      </c>
      <c r="F6234" t="s">
        <v>17</v>
      </c>
      <c r="G6234" t="s">
        <v>36</v>
      </c>
      <c r="H6234" t="s">
        <v>43</v>
      </c>
      <c r="I6234" s="187">
        <v>5076.2604997854532</v>
      </c>
      <c r="J6234" s="187">
        <v>162.07636435299739</v>
      </c>
      <c r="K6234" s="187">
        <v>1544.3871036396602</v>
      </c>
      <c r="L6234" s="187">
        <v>1970.8485905324483</v>
      </c>
      <c r="M6234" s="187">
        <v>8753.572265625</v>
      </c>
      <c r="N6234" s="187">
        <v>7047.109375</v>
      </c>
      <c r="O6234" t="s">
        <v>6339</v>
      </c>
    </row>
    <row r="6235" spans="1:15" hidden="1" x14ac:dyDescent="0.45">
      <c r="A6235" s="187">
        <v>2023</v>
      </c>
      <c r="B6235" t="s">
        <v>315</v>
      </c>
      <c r="C6235" t="s">
        <v>322</v>
      </c>
      <c r="D6235" t="s">
        <v>35</v>
      </c>
      <c r="E6235" t="s">
        <v>17</v>
      </c>
      <c r="F6235" t="s">
        <v>17</v>
      </c>
      <c r="G6235" t="s">
        <v>36</v>
      </c>
      <c r="H6235" t="s">
        <v>43</v>
      </c>
      <c r="I6235" s="187">
        <v>2442.3112724148637</v>
      </c>
      <c r="J6235" s="187">
        <v>79.295820532950131</v>
      </c>
      <c r="K6235" s="187">
        <v>1903.529409548742</v>
      </c>
      <c r="L6235" s="187">
        <v>7072.0543941029664</v>
      </c>
      <c r="M6235" s="187">
        <v>11497.19140625</v>
      </c>
      <c r="N6235" s="187">
        <v>9514.365234375</v>
      </c>
      <c r="O6235" t="s">
        <v>6335</v>
      </c>
    </row>
    <row r="6236" spans="1:15" hidden="1" x14ac:dyDescent="0.45">
      <c r="A6236" s="187">
        <v>2023</v>
      </c>
      <c r="B6236" t="s">
        <v>314</v>
      </c>
      <c r="C6236" t="s">
        <v>322</v>
      </c>
      <c r="D6236" t="s">
        <v>35</v>
      </c>
      <c r="E6236" t="s">
        <v>17</v>
      </c>
      <c r="F6236" t="s">
        <v>17</v>
      </c>
      <c r="G6236" t="s">
        <v>36</v>
      </c>
      <c r="H6236" t="s">
        <v>43</v>
      </c>
      <c r="I6236" s="187">
        <v>2394.8712792193378</v>
      </c>
      <c r="J6236" s="187">
        <v>81.537446276922978</v>
      </c>
      <c r="K6236" s="187">
        <v>1507.4461232001197</v>
      </c>
      <c r="L6236" s="187">
        <v>7191.6027616246074</v>
      </c>
      <c r="M6236" s="187">
        <v>11175.45703125</v>
      </c>
      <c r="N6236" s="187">
        <v>9586.4736328125</v>
      </c>
      <c r="O6236" t="s">
        <v>6333</v>
      </c>
    </row>
    <row r="6237" spans="1:15" hidden="1" x14ac:dyDescent="0.45">
      <c r="A6237" s="187">
        <v>2023</v>
      </c>
      <c r="B6237" t="s">
        <v>310</v>
      </c>
      <c r="C6237" t="s">
        <v>322</v>
      </c>
      <c r="D6237" t="s">
        <v>35</v>
      </c>
      <c r="E6237" t="s">
        <v>17</v>
      </c>
      <c r="F6237" t="s">
        <v>17</v>
      </c>
      <c r="G6237" t="s">
        <v>36</v>
      </c>
      <c r="H6237" t="s">
        <v>43</v>
      </c>
      <c r="I6237" s="187"/>
      <c r="J6237" s="187">
        <v>52.308832960906223</v>
      </c>
      <c r="K6237" s="187">
        <v>2392.0403779432131</v>
      </c>
      <c r="L6237" s="187">
        <v>4243.5540739535172</v>
      </c>
      <c r="M6237" s="187">
        <v>6687.9033203125</v>
      </c>
      <c r="N6237" s="187">
        <v>4243.55419921875</v>
      </c>
      <c r="O6237" t="s">
        <v>6337</v>
      </c>
    </row>
    <row r="6238" spans="1:15" hidden="1" x14ac:dyDescent="0.45">
      <c r="A6238" s="187">
        <v>2023</v>
      </c>
      <c r="B6238" t="s">
        <v>311</v>
      </c>
      <c r="C6238" t="s">
        <v>322</v>
      </c>
      <c r="D6238" t="s">
        <v>35</v>
      </c>
      <c r="E6238" t="s">
        <v>17</v>
      </c>
      <c r="F6238" t="s">
        <v>17</v>
      </c>
      <c r="G6238" t="s">
        <v>36</v>
      </c>
      <c r="H6238" t="s">
        <v>43</v>
      </c>
      <c r="I6238" s="187"/>
      <c r="J6238" s="187">
        <v>57.388235519475181</v>
      </c>
      <c r="K6238" s="187">
        <v>1778.4439931184008</v>
      </c>
      <c r="L6238" s="187">
        <v>3384.6306015263804</v>
      </c>
      <c r="M6238" s="187">
        <v>5220.462890625</v>
      </c>
      <c r="N6238" s="187">
        <v>3384.630615234375</v>
      </c>
      <c r="O6238" t="s">
        <v>6341</v>
      </c>
    </row>
    <row r="6239" spans="1:15" hidden="1" x14ac:dyDescent="0.45">
      <c r="A6239" s="187">
        <v>2023</v>
      </c>
      <c r="B6239" t="s">
        <v>313</v>
      </c>
      <c r="C6239" t="s">
        <v>322</v>
      </c>
      <c r="D6239" t="s">
        <v>35</v>
      </c>
      <c r="E6239" t="s">
        <v>17</v>
      </c>
      <c r="F6239" t="s">
        <v>17</v>
      </c>
      <c r="G6239" t="s">
        <v>36</v>
      </c>
      <c r="H6239" t="s">
        <v>43</v>
      </c>
      <c r="I6239" s="187">
        <v>2702.4440689443336</v>
      </c>
      <c r="J6239" s="187">
        <v>77.862971844584081</v>
      </c>
      <c r="K6239" s="187">
        <v>1965.9452655138064</v>
      </c>
      <c r="L6239" s="187">
        <v>3043.8432531859717</v>
      </c>
      <c r="M6239" s="187">
        <v>7790.095703125</v>
      </c>
      <c r="N6239" s="187">
        <v>5746.287109375</v>
      </c>
      <c r="O6239" t="s">
        <v>6340</v>
      </c>
    </row>
    <row r="6240" spans="1:15" hidden="1" x14ac:dyDescent="0.45">
      <c r="A6240" s="187">
        <v>2023</v>
      </c>
      <c r="B6240" t="s">
        <v>314</v>
      </c>
      <c r="C6240" t="s">
        <v>322</v>
      </c>
      <c r="D6240" t="s">
        <v>35</v>
      </c>
      <c r="E6240" t="s">
        <v>17</v>
      </c>
      <c r="F6240" t="s">
        <v>17</v>
      </c>
      <c r="G6240" t="s">
        <v>37</v>
      </c>
      <c r="H6240" t="s">
        <v>43</v>
      </c>
      <c r="I6240" s="187">
        <v>2271.1030243751529</v>
      </c>
      <c r="J6240" s="187">
        <v>77</v>
      </c>
      <c r="K6240" s="187">
        <v>1431.47483765386</v>
      </c>
      <c r="L6240" s="187">
        <v>7232</v>
      </c>
      <c r="M6240" s="187">
        <v>11011.578125</v>
      </c>
      <c r="N6240" s="187">
        <v>9503.103515625</v>
      </c>
      <c r="O6240" t="s">
        <v>6349</v>
      </c>
    </row>
    <row r="6241" spans="1:15" hidden="1" x14ac:dyDescent="0.45">
      <c r="A6241" s="187">
        <v>2023</v>
      </c>
      <c r="B6241" t="s">
        <v>317</v>
      </c>
      <c r="C6241" t="s">
        <v>322</v>
      </c>
      <c r="D6241" t="s">
        <v>35</v>
      </c>
      <c r="E6241" t="s">
        <v>17</v>
      </c>
      <c r="F6241" t="s">
        <v>17</v>
      </c>
      <c r="G6241" t="s">
        <v>37</v>
      </c>
      <c r="H6241" t="s">
        <v>43</v>
      </c>
      <c r="I6241" s="187">
        <v>4887.8269003562273</v>
      </c>
      <c r="J6241" s="187">
        <v>150</v>
      </c>
      <c r="K6241" s="187">
        <v>1478.88915701665</v>
      </c>
      <c r="L6241" s="187">
        <v>1884</v>
      </c>
      <c r="M6241" s="187">
        <v>8400.7158203125</v>
      </c>
      <c r="N6241" s="187">
        <v>6771.82666015625</v>
      </c>
      <c r="O6241" t="s">
        <v>6344</v>
      </c>
    </row>
    <row r="6242" spans="1:15" hidden="1" x14ac:dyDescent="0.45">
      <c r="A6242" s="187">
        <v>2023</v>
      </c>
      <c r="B6242" t="s">
        <v>8570</v>
      </c>
      <c r="C6242" t="s">
        <v>322</v>
      </c>
      <c r="D6242" t="s">
        <v>35</v>
      </c>
      <c r="E6242" t="s">
        <v>17</v>
      </c>
      <c r="F6242" t="s">
        <v>17</v>
      </c>
      <c r="G6242" t="s">
        <v>37</v>
      </c>
      <c r="H6242" t="s">
        <v>43</v>
      </c>
      <c r="I6242" s="187">
        <v>2796.814025843054</v>
      </c>
      <c r="J6242" s="187">
        <v>231</v>
      </c>
      <c r="K6242" s="187">
        <v>1527.2356908672029</v>
      </c>
      <c r="L6242" s="187">
        <v>1350</v>
      </c>
      <c r="M6242" s="187">
        <v>5905.0498046875</v>
      </c>
      <c r="N6242" s="187">
        <v>4146.81396484375</v>
      </c>
      <c r="O6242" t="s">
        <v>8928</v>
      </c>
    </row>
    <row r="6243" spans="1:15" hidden="1" x14ac:dyDescent="0.45">
      <c r="A6243" s="187">
        <v>2023</v>
      </c>
      <c r="B6243" t="s">
        <v>311</v>
      </c>
      <c r="C6243" t="s">
        <v>322</v>
      </c>
      <c r="D6243" t="s">
        <v>35</v>
      </c>
      <c r="E6243" t="s">
        <v>17</v>
      </c>
      <c r="F6243" t="s">
        <v>17</v>
      </c>
      <c r="G6243" t="s">
        <v>37</v>
      </c>
      <c r="H6243" t="s">
        <v>43</v>
      </c>
      <c r="I6243" s="187"/>
      <c r="J6243" s="187">
        <v>53</v>
      </c>
      <c r="K6243" s="187">
        <v>1621.9950439157219</v>
      </c>
      <c r="L6243" s="187">
        <v>3270</v>
      </c>
      <c r="M6243" s="187">
        <v>4944.9951171875</v>
      </c>
      <c r="N6243" s="187">
        <v>3270</v>
      </c>
      <c r="O6243" t="s">
        <v>6343</v>
      </c>
    </row>
    <row r="6244" spans="1:15" hidden="1" x14ac:dyDescent="0.45">
      <c r="A6244" s="187">
        <v>2023</v>
      </c>
      <c r="B6244" t="s">
        <v>315</v>
      </c>
      <c r="C6244" t="s">
        <v>322</v>
      </c>
      <c r="D6244" t="s">
        <v>35</v>
      </c>
      <c r="E6244" t="s">
        <v>17</v>
      </c>
      <c r="F6244" t="s">
        <v>17</v>
      </c>
      <c r="G6244" t="s">
        <v>37</v>
      </c>
      <c r="H6244" t="s">
        <v>43</v>
      </c>
      <c r="I6244" s="187">
        <v>2334.1813522806242</v>
      </c>
      <c r="J6244" s="187">
        <v>74</v>
      </c>
      <c r="K6244" s="187">
        <v>1814.368599073724</v>
      </c>
      <c r="L6244" s="187">
        <v>6758</v>
      </c>
      <c r="M6244" s="187">
        <v>10980.5498046875</v>
      </c>
      <c r="N6244" s="187">
        <v>9092.181640625</v>
      </c>
      <c r="O6244" t="s">
        <v>6347</v>
      </c>
    </row>
    <row r="6245" spans="1:15" hidden="1" x14ac:dyDescent="0.45">
      <c r="A6245" s="187">
        <v>2023</v>
      </c>
      <c r="B6245" t="s">
        <v>312</v>
      </c>
      <c r="C6245" t="s">
        <v>322</v>
      </c>
      <c r="D6245" t="s">
        <v>35</v>
      </c>
      <c r="E6245" t="s">
        <v>17</v>
      </c>
      <c r="F6245" t="s">
        <v>17</v>
      </c>
      <c r="G6245" t="s">
        <v>37</v>
      </c>
      <c r="H6245" t="s">
        <v>43</v>
      </c>
      <c r="I6245" s="187">
        <v>2061.2676583189709</v>
      </c>
      <c r="J6245" s="187">
        <v>75</v>
      </c>
      <c r="K6245" s="187">
        <v>1504.3565409753089</v>
      </c>
      <c r="L6245" s="187">
        <v>594</v>
      </c>
      <c r="M6245" s="187">
        <v>4234.6240234375</v>
      </c>
      <c r="N6245" s="187">
        <v>2655.267578125</v>
      </c>
      <c r="O6245" t="s">
        <v>6345</v>
      </c>
    </row>
    <row r="6246" spans="1:15" hidden="1" x14ac:dyDescent="0.45">
      <c r="A6246" s="187">
        <v>2023</v>
      </c>
      <c r="B6246" t="s">
        <v>310</v>
      </c>
      <c r="C6246" t="s">
        <v>322</v>
      </c>
      <c r="D6246" t="s">
        <v>35</v>
      </c>
      <c r="E6246" t="s">
        <v>17</v>
      </c>
      <c r="F6246" t="s">
        <v>17</v>
      </c>
      <c r="G6246" t="s">
        <v>37</v>
      </c>
      <c r="H6246" t="s">
        <v>43</v>
      </c>
      <c r="I6246" s="187"/>
      <c r="J6246" s="187">
        <v>48</v>
      </c>
      <c r="K6246" s="187">
        <v>2194.7704990298471</v>
      </c>
      <c r="L6246" s="187">
        <v>4094</v>
      </c>
      <c r="M6246" s="187">
        <v>6336.7705078125</v>
      </c>
      <c r="N6246" s="187">
        <v>4094</v>
      </c>
      <c r="O6246" t="s">
        <v>6350</v>
      </c>
    </row>
    <row r="6247" spans="1:15" hidden="1" x14ac:dyDescent="0.45">
      <c r="A6247" s="187">
        <v>2023</v>
      </c>
      <c r="B6247" t="s">
        <v>309</v>
      </c>
      <c r="C6247" t="s">
        <v>322</v>
      </c>
      <c r="D6247" t="s">
        <v>35</v>
      </c>
      <c r="E6247" t="s">
        <v>17</v>
      </c>
      <c r="F6247" t="s">
        <v>17</v>
      </c>
      <c r="G6247" t="s">
        <v>37</v>
      </c>
      <c r="H6247" t="s">
        <v>43</v>
      </c>
      <c r="I6247" s="187"/>
      <c r="J6247" s="187">
        <v>42.115499999999997</v>
      </c>
      <c r="K6247" s="187">
        <v>3760.663615168326</v>
      </c>
      <c r="L6247" s="187">
        <v>4231</v>
      </c>
      <c r="M6247" s="187">
        <v>8033.779296875</v>
      </c>
      <c r="N6247" s="187">
        <v>4231</v>
      </c>
      <c r="O6247" t="s">
        <v>6342</v>
      </c>
    </row>
    <row r="6248" spans="1:15" hidden="1" x14ac:dyDescent="0.45">
      <c r="A6248" s="187">
        <v>2023</v>
      </c>
      <c r="B6248" t="s">
        <v>313</v>
      </c>
      <c r="C6248" t="s">
        <v>322</v>
      </c>
      <c r="D6248" t="s">
        <v>35</v>
      </c>
      <c r="E6248" t="s">
        <v>17</v>
      </c>
      <c r="F6248" t="s">
        <v>17</v>
      </c>
      <c r="G6248" t="s">
        <v>37</v>
      </c>
      <c r="H6248" t="s">
        <v>43</v>
      </c>
      <c r="I6248" s="187">
        <v>2535.388720598432</v>
      </c>
      <c r="J6248" s="187">
        <v>73</v>
      </c>
      <c r="K6248" s="187">
        <v>1839.9583130748081</v>
      </c>
      <c r="L6248" s="187">
        <v>2877</v>
      </c>
      <c r="M6248" s="187">
        <v>7325.34716796875</v>
      </c>
      <c r="N6248" s="187">
        <v>5412.388671875</v>
      </c>
      <c r="O6248" t="s">
        <v>6348</v>
      </c>
    </row>
    <row r="6249" spans="1:15" hidden="1" x14ac:dyDescent="0.45">
      <c r="A6249" s="187">
        <v>2023</v>
      </c>
      <c r="B6249" t="s">
        <v>316</v>
      </c>
      <c r="C6249" t="s">
        <v>322</v>
      </c>
      <c r="D6249" t="s">
        <v>35</v>
      </c>
      <c r="E6249" t="s">
        <v>17</v>
      </c>
      <c r="F6249" t="s">
        <v>17</v>
      </c>
      <c r="G6249" t="s">
        <v>37</v>
      </c>
      <c r="H6249" t="s">
        <v>43</v>
      </c>
      <c r="I6249" s="187">
        <v>2334</v>
      </c>
      <c r="J6249" s="187">
        <v>150</v>
      </c>
      <c r="K6249" s="187">
        <v>2239.0156686505552</v>
      </c>
      <c r="L6249" s="187">
        <v>2233</v>
      </c>
      <c r="M6249" s="187">
        <v>6956.015625</v>
      </c>
      <c r="N6249" s="187">
        <v>4567</v>
      </c>
      <c r="O6249" t="s">
        <v>6346</v>
      </c>
    </row>
    <row r="6250" spans="1:15" hidden="1" x14ac:dyDescent="0.45">
      <c r="A6250" s="187">
        <v>2023</v>
      </c>
      <c r="B6250" t="s">
        <v>313</v>
      </c>
      <c r="C6250" t="s">
        <v>322</v>
      </c>
      <c r="D6250" t="s">
        <v>35</v>
      </c>
      <c r="E6250" t="s">
        <v>45</v>
      </c>
      <c r="F6250" t="s">
        <v>45</v>
      </c>
      <c r="G6250" t="s">
        <v>37</v>
      </c>
      <c r="H6250" t="s">
        <v>43</v>
      </c>
      <c r="I6250" s="187">
        <v>1142.352282936125</v>
      </c>
      <c r="J6250" s="187">
        <v>0</v>
      </c>
      <c r="K6250" s="187">
        <v>377.45625141155477</v>
      </c>
      <c r="L6250" s="187">
        <v>5046</v>
      </c>
      <c r="M6250" s="187">
        <v>6565.80859375</v>
      </c>
      <c r="N6250" s="187">
        <v>6188.3525390625</v>
      </c>
      <c r="O6250" t="s">
        <v>6354</v>
      </c>
    </row>
    <row r="6251" spans="1:15" hidden="1" x14ac:dyDescent="0.45">
      <c r="A6251" s="187">
        <v>2023</v>
      </c>
      <c r="B6251" t="s">
        <v>312</v>
      </c>
      <c r="C6251" t="s">
        <v>322</v>
      </c>
      <c r="D6251" t="s">
        <v>35</v>
      </c>
      <c r="E6251" t="s">
        <v>45</v>
      </c>
      <c r="F6251" t="s">
        <v>45</v>
      </c>
      <c r="G6251" t="s">
        <v>37</v>
      </c>
      <c r="H6251" t="s">
        <v>43</v>
      </c>
      <c r="I6251" s="187">
        <v>1148.6933824303951</v>
      </c>
      <c r="J6251" s="187">
        <v>0</v>
      </c>
      <c r="K6251" s="187">
        <v>792.37239836266974</v>
      </c>
      <c r="L6251" s="187">
        <v>3991</v>
      </c>
      <c r="M6251" s="187">
        <v>5932.06591796875</v>
      </c>
      <c r="N6251" s="187">
        <v>5139.693359375</v>
      </c>
      <c r="O6251" t="s">
        <v>6353</v>
      </c>
    </row>
    <row r="6252" spans="1:15" hidden="1" x14ac:dyDescent="0.45">
      <c r="A6252" s="187">
        <v>2023</v>
      </c>
      <c r="B6252" t="s">
        <v>310</v>
      </c>
      <c r="C6252" t="s">
        <v>322</v>
      </c>
      <c r="D6252" t="s">
        <v>35</v>
      </c>
      <c r="E6252" t="s">
        <v>45</v>
      </c>
      <c r="F6252" t="s">
        <v>45</v>
      </c>
      <c r="G6252" t="s">
        <v>37</v>
      </c>
      <c r="H6252" t="s">
        <v>43</v>
      </c>
      <c r="I6252" s="187"/>
      <c r="J6252" s="187">
        <v>0</v>
      </c>
      <c r="K6252" s="187">
        <v>721.44116058348391</v>
      </c>
      <c r="L6252" s="187">
        <v>6919</v>
      </c>
      <c r="M6252" s="187">
        <v>7640.44140625</v>
      </c>
      <c r="N6252" s="187">
        <v>6919</v>
      </c>
      <c r="O6252" t="s">
        <v>6355</v>
      </c>
    </row>
    <row r="6253" spans="1:15" hidden="1" x14ac:dyDescent="0.45">
      <c r="A6253" s="187">
        <v>2023</v>
      </c>
      <c r="B6253" t="s">
        <v>314</v>
      </c>
      <c r="C6253" t="s">
        <v>322</v>
      </c>
      <c r="D6253" t="s">
        <v>35</v>
      </c>
      <c r="E6253" t="s">
        <v>45</v>
      </c>
      <c r="F6253" t="s">
        <v>45</v>
      </c>
      <c r="G6253" t="s">
        <v>37</v>
      </c>
      <c r="H6253" t="s">
        <v>43</v>
      </c>
      <c r="I6253" s="187">
        <v>1633.768728</v>
      </c>
      <c r="J6253" s="187">
        <v>0</v>
      </c>
      <c r="K6253" s="187">
        <v>358.76397106744372</v>
      </c>
      <c r="L6253" s="187">
        <v>8726</v>
      </c>
      <c r="M6253" s="187">
        <v>10718.5322265625</v>
      </c>
      <c r="N6253" s="187">
        <v>10359.7685546875</v>
      </c>
      <c r="O6253" t="s">
        <v>6352</v>
      </c>
    </row>
    <row r="6254" spans="1:15" hidden="1" x14ac:dyDescent="0.45">
      <c r="A6254" s="187">
        <v>2023</v>
      </c>
      <c r="B6254" t="s">
        <v>316</v>
      </c>
      <c r="C6254" t="s">
        <v>322</v>
      </c>
      <c r="D6254" t="s">
        <v>35</v>
      </c>
      <c r="E6254" t="s">
        <v>45</v>
      </c>
      <c r="F6254" t="s">
        <v>45</v>
      </c>
      <c r="G6254" t="s">
        <v>37</v>
      </c>
      <c r="H6254" t="s">
        <v>43</v>
      </c>
      <c r="I6254" s="187">
        <v>1782</v>
      </c>
      <c r="J6254" s="187"/>
      <c r="K6254" s="187">
        <v>941.5132027383703</v>
      </c>
      <c r="L6254" s="187">
        <v>7565</v>
      </c>
      <c r="M6254" s="187">
        <v>10288.513671875</v>
      </c>
      <c r="N6254" s="187">
        <v>9347</v>
      </c>
      <c r="O6254" t="s">
        <v>6358</v>
      </c>
    </row>
    <row r="6255" spans="1:15" hidden="1" x14ac:dyDescent="0.45">
      <c r="A6255" s="187">
        <v>2023</v>
      </c>
      <c r="B6255" t="s">
        <v>309</v>
      </c>
      <c r="C6255" t="s">
        <v>322</v>
      </c>
      <c r="D6255" t="s">
        <v>35</v>
      </c>
      <c r="E6255" t="s">
        <v>45</v>
      </c>
      <c r="F6255" t="s">
        <v>45</v>
      </c>
      <c r="G6255" t="s">
        <v>37</v>
      </c>
      <c r="H6255" t="s">
        <v>43</v>
      </c>
      <c r="I6255" s="187"/>
      <c r="J6255" s="187">
        <v>0</v>
      </c>
      <c r="K6255" s="187">
        <v>753.13443212031655</v>
      </c>
      <c r="L6255" s="187">
        <v>5051</v>
      </c>
      <c r="M6255" s="187">
        <v>5804.13427734375</v>
      </c>
      <c r="N6255" s="187">
        <v>5051</v>
      </c>
      <c r="O6255" t="s">
        <v>6351</v>
      </c>
    </row>
    <row r="6256" spans="1:15" hidden="1" x14ac:dyDescent="0.45">
      <c r="A6256" s="187">
        <v>2023</v>
      </c>
      <c r="B6256" t="s">
        <v>8570</v>
      </c>
      <c r="C6256" t="s">
        <v>322</v>
      </c>
      <c r="D6256" t="s">
        <v>35</v>
      </c>
      <c r="E6256" t="s">
        <v>45</v>
      </c>
      <c r="F6256" t="s">
        <v>45</v>
      </c>
      <c r="G6256" t="s">
        <v>37</v>
      </c>
      <c r="H6256" t="s">
        <v>43</v>
      </c>
      <c r="I6256" s="187">
        <v>1472.1226845806609</v>
      </c>
      <c r="J6256" s="187"/>
      <c r="K6256" s="187">
        <v>614.58143588247594</v>
      </c>
      <c r="L6256" s="187">
        <v>17508</v>
      </c>
      <c r="M6256" s="187">
        <v>19594.703125</v>
      </c>
      <c r="N6256" s="187">
        <v>18980.123046875</v>
      </c>
      <c r="O6256" t="s">
        <v>8929</v>
      </c>
    </row>
    <row r="6257" spans="1:15" hidden="1" x14ac:dyDescent="0.45">
      <c r="A6257" s="187">
        <v>2023</v>
      </c>
      <c r="B6257" t="s">
        <v>311</v>
      </c>
      <c r="C6257" t="s">
        <v>322</v>
      </c>
      <c r="D6257" t="s">
        <v>35</v>
      </c>
      <c r="E6257" t="s">
        <v>45</v>
      </c>
      <c r="F6257" t="s">
        <v>45</v>
      </c>
      <c r="G6257" t="s">
        <v>37</v>
      </c>
      <c r="H6257" t="s">
        <v>43</v>
      </c>
      <c r="I6257" s="187"/>
      <c r="J6257" s="187">
        <v>0</v>
      </c>
      <c r="K6257" s="187">
        <v>719.33239277098687</v>
      </c>
      <c r="L6257" s="187">
        <v>8220</v>
      </c>
      <c r="M6257" s="187">
        <v>8939.33203125</v>
      </c>
      <c r="N6257" s="187">
        <v>8220</v>
      </c>
      <c r="O6257" t="s">
        <v>6356</v>
      </c>
    </row>
    <row r="6258" spans="1:15" hidden="1" x14ac:dyDescent="0.45">
      <c r="A6258" s="187">
        <v>2023</v>
      </c>
      <c r="B6258" t="s">
        <v>317</v>
      </c>
      <c r="C6258" t="s">
        <v>322</v>
      </c>
      <c r="D6258" t="s">
        <v>35</v>
      </c>
      <c r="E6258" t="s">
        <v>45</v>
      </c>
      <c r="F6258" t="s">
        <v>45</v>
      </c>
      <c r="G6258" t="s">
        <v>37</v>
      </c>
      <c r="H6258" t="s">
        <v>43</v>
      </c>
      <c r="I6258" s="187">
        <v>2021.5072918799999</v>
      </c>
      <c r="J6258" s="187"/>
      <c r="K6258" s="187">
        <v>899.9355954025134</v>
      </c>
      <c r="L6258" s="187">
        <v>20035</v>
      </c>
      <c r="M6258" s="187">
        <v>22956.443359375</v>
      </c>
      <c r="N6258" s="187">
        <v>22056.5078125</v>
      </c>
      <c r="O6258" t="s">
        <v>6359</v>
      </c>
    </row>
    <row r="6259" spans="1:15" hidden="1" x14ac:dyDescent="0.45">
      <c r="A6259" s="187">
        <v>2023</v>
      </c>
      <c r="B6259" t="s">
        <v>315</v>
      </c>
      <c r="C6259" t="s">
        <v>322</v>
      </c>
      <c r="D6259" t="s">
        <v>35</v>
      </c>
      <c r="E6259" t="s">
        <v>45</v>
      </c>
      <c r="F6259" t="s">
        <v>45</v>
      </c>
      <c r="G6259" t="s">
        <v>37</v>
      </c>
      <c r="H6259" t="s">
        <v>43</v>
      </c>
      <c r="I6259" s="187">
        <v>1768.790583876083</v>
      </c>
      <c r="J6259" s="187">
        <v>0</v>
      </c>
      <c r="K6259" s="187">
        <v>902.08960577563664</v>
      </c>
      <c r="L6259" s="187">
        <v>7304</v>
      </c>
      <c r="M6259" s="187">
        <v>9974.8798828125</v>
      </c>
      <c r="N6259" s="187">
        <v>9072.791015625</v>
      </c>
      <c r="O6259" t="s">
        <v>6357</v>
      </c>
    </row>
    <row r="6260" spans="1:15" hidden="1" x14ac:dyDescent="0.45">
      <c r="A6260" s="187">
        <v>2023</v>
      </c>
      <c r="B6260" t="s">
        <v>309</v>
      </c>
      <c r="C6260" t="s">
        <v>322</v>
      </c>
      <c r="D6260" t="s">
        <v>35</v>
      </c>
      <c r="E6260" t="s">
        <v>355</v>
      </c>
      <c r="F6260" t="s">
        <v>355</v>
      </c>
      <c r="G6260" t="s">
        <v>37</v>
      </c>
      <c r="H6260" t="s">
        <v>43</v>
      </c>
      <c r="I6260" s="187"/>
      <c r="J6260" s="187">
        <v>974.67300000000012</v>
      </c>
      <c r="K6260" s="187">
        <v>14813.815246206899</v>
      </c>
      <c r="L6260" s="187">
        <v>19645</v>
      </c>
      <c r="M6260" s="187">
        <v>35433.48828125</v>
      </c>
      <c r="N6260" s="187">
        <v>19645</v>
      </c>
      <c r="O6260" t="s">
        <v>6361</v>
      </c>
    </row>
    <row r="6261" spans="1:15" hidden="1" x14ac:dyDescent="0.45">
      <c r="A6261" s="187">
        <v>2023</v>
      </c>
      <c r="B6261" t="s">
        <v>313</v>
      </c>
      <c r="C6261" t="s">
        <v>322</v>
      </c>
      <c r="D6261" t="s">
        <v>35</v>
      </c>
      <c r="E6261" t="s">
        <v>355</v>
      </c>
      <c r="F6261" t="s">
        <v>355</v>
      </c>
      <c r="G6261" t="s">
        <v>37</v>
      </c>
      <c r="H6261" t="s">
        <v>43</v>
      </c>
      <c r="I6261" s="187"/>
      <c r="J6261" s="187"/>
      <c r="K6261" s="187"/>
      <c r="L6261" s="187">
        <v>24865</v>
      </c>
      <c r="M6261" s="187">
        <v>24865</v>
      </c>
      <c r="N6261" s="187">
        <v>24865</v>
      </c>
      <c r="O6261" t="s">
        <v>6360</v>
      </c>
    </row>
    <row r="6262" spans="1:15" hidden="1" x14ac:dyDescent="0.45">
      <c r="A6262" s="187">
        <v>2023</v>
      </c>
      <c r="B6262" t="s">
        <v>310</v>
      </c>
      <c r="C6262" t="s">
        <v>322</v>
      </c>
      <c r="D6262" t="s">
        <v>35</v>
      </c>
      <c r="E6262" t="s">
        <v>355</v>
      </c>
      <c r="F6262" t="s">
        <v>355</v>
      </c>
      <c r="G6262" t="s">
        <v>37</v>
      </c>
      <c r="H6262" t="s">
        <v>43</v>
      </c>
      <c r="I6262" s="187"/>
      <c r="J6262" s="187">
        <v>875</v>
      </c>
      <c r="K6262" s="187">
        <v>14945.137308040161</v>
      </c>
      <c r="L6262" s="187">
        <v>26037</v>
      </c>
      <c r="M6262" s="187">
        <v>41857.13671875</v>
      </c>
      <c r="N6262" s="187">
        <v>26037</v>
      </c>
      <c r="O6262" t="s">
        <v>6362</v>
      </c>
    </row>
    <row r="6263" spans="1:15" hidden="1" x14ac:dyDescent="0.45">
      <c r="A6263" s="187">
        <v>2023</v>
      </c>
      <c r="B6263" t="s">
        <v>8570</v>
      </c>
      <c r="C6263" t="s">
        <v>322</v>
      </c>
      <c r="D6263" t="s">
        <v>35</v>
      </c>
      <c r="E6263" t="s">
        <v>355</v>
      </c>
      <c r="F6263" t="s">
        <v>355</v>
      </c>
      <c r="G6263" t="s">
        <v>37</v>
      </c>
      <c r="H6263" t="s">
        <v>43</v>
      </c>
      <c r="I6263" s="187">
        <v>12171.9869666379</v>
      </c>
      <c r="J6263" s="187"/>
      <c r="K6263" s="187"/>
      <c r="L6263" s="187"/>
      <c r="M6263" s="187">
        <v>12171.9873046875</v>
      </c>
      <c r="N6263" s="187">
        <v>12171.9873046875</v>
      </c>
      <c r="O6263" t="s">
        <v>8930</v>
      </c>
    </row>
    <row r="6264" spans="1:15" hidden="1" x14ac:dyDescent="0.45">
      <c r="A6264" s="187">
        <v>2023</v>
      </c>
      <c r="B6264" t="s">
        <v>315</v>
      </c>
      <c r="C6264" t="s">
        <v>322</v>
      </c>
      <c r="D6264" t="s">
        <v>35</v>
      </c>
      <c r="E6264" t="s">
        <v>356</v>
      </c>
      <c r="F6264" t="s">
        <v>356</v>
      </c>
      <c r="G6264" t="s">
        <v>37</v>
      </c>
      <c r="H6264" t="s">
        <v>43</v>
      </c>
      <c r="I6264" s="187"/>
      <c r="J6264" s="187">
        <v>0</v>
      </c>
      <c r="K6264" s="187">
        <v>0</v>
      </c>
      <c r="L6264" s="187">
        <v>0</v>
      </c>
      <c r="M6264" s="187">
        <v>0</v>
      </c>
      <c r="N6264" s="187">
        <v>0</v>
      </c>
      <c r="O6264" t="s">
        <v>6367</v>
      </c>
    </row>
    <row r="6265" spans="1:15" hidden="1" x14ac:dyDescent="0.45">
      <c r="A6265" s="187">
        <v>2023</v>
      </c>
      <c r="B6265" t="s">
        <v>312</v>
      </c>
      <c r="C6265" t="s">
        <v>322</v>
      </c>
      <c r="D6265" t="s">
        <v>35</v>
      </c>
      <c r="E6265" t="s">
        <v>356</v>
      </c>
      <c r="F6265" t="s">
        <v>356</v>
      </c>
      <c r="G6265" t="s">
        <v>37</v>
      </c>
      <c r="H6265" t="s">
        <v>43</v>
      </c>
      <c r="I6265" s="187">
        <v>0</v>
      </c>
      <c r="J6265" s="187">
        <v>0</v>
      </c>
      <c r="K6265" s="187">
        <v>0</v>
      </c>
      <c r="L6265" s="187">
        <v>0</v>
      </c>
      <c r="M6265" s="187">
        <v>0</v>
      </c>
      <c r="N6265" s="187">
        <v>0</v>
      </c>
      <c r="O6265" t="s">
        <v>6370</v>
      </c>
    </row>
    <row r="6266" spans="1:15" hidden="1" x14ac:dyDescent="0.45">
      <c r="A6266" s="187">
        <v>2023</v>
      </c>
      <c r="B6266" t="s">
        <v>317</v>
      </c>
      <c r="C6266" t="s">
        <v>322</v>
      </c>
      <c r="D6266" t="s">
        <v>35</v>
      </c>
      <c r="E6266" t="s">
        <v>356</v>
      </c>
      <c r="F6266" t="s">
        <v>356</v>
      </c>
      <c r="G6266" t="s">
        <v>37</v>
      </c>
      <c r="H6266" t="s">
        <v>43</v>
      </c>
      <c r="I6266" s="187"/>
      <c r="J6266" s="187"/>
      <c r="K6266" s="187">
        <v>0</v>
      </c>
      <c r="L6266" s="187">
        <v>0</v>
      </c>
      <c r="M6266" s="187">
        <v>0</v>
      </c>
      <c r="N6266" s="187">
        <v>0</v>
      </c>
      <c r="O6266" t="s">
        <v>6371</v>
      </c>
    </row>
    <row r="6267" spans="1:15" hidden="1" x14ac:dyDescent="0.45">
      <c r="A6267" s="187">
        <v>2023</v>
      </c>
      <c r="B6267" t="s">
        <v>313</v>
      </c>
      <c r="C6267" t="s">
        <v>322</v>
      </c>
      <c r="D6267" t="s">
        <v>35</v>
      </c>
      <c r="E6267" t="s">
        <v>356</v>
      </c>
      <c r="F6267" t="s">
        <v>356</v>
      </c>
      <c r="G6267" t="s">
        <v>37</v>
      </c>
      <c r="H6267" t="s">
        <v>43</v>
      </c>
      <c r="I6267" s="187"/>
      <c r="J6267" s="187">
        <v>0</v>
      </c>
      <c r="K6267" s="187">
        <v>0</v>
      </c>
      <c r="L6267" s="187">
        <v>0</v>
      </c>
      <c r="M6267" s="187">
        <v>0</v>
      </c>
      <c r="N6267" s="187">
        <v>0</v>
      </c>
      <c r="O6267" t="s">
        <v>6366</v>
      </c>
    </row>
    <row r="6268" spans="1:15" hidden="1" x14ac:dyDescent="0.45">
      <c r="A6268" s="187">
        <v>2023</v>
      </c>
      <c r="B6268" t="s">
        <v>316</v>
      </c>
      <c r="C6268" t="s">
        <v>322</v>
      </c>
      <c r="D6268" t="s">
        <v>35</v>
      </c>
      <c r="E6268" t="s">
        <v>356</v>
      </c>
      <c r="F6268" t="s">
        <v>356</v>
      </c>
      <c r="G6268" t="s">
        <v>37</v>
      </c>
      <c r="H6268" t="s">
        <v>43</v>
      </c>
      <c r="I6268" s="187"/>
      <c r="J6268" s="187"/>
      <c r="K6268" s="187">
        <v>0</v>
      </c>
      <c r="L6268" s="187">
        <v>0</v>
      </c>
      <c r="M6268" s="187">
        <v>0</v>
      </c>
      <c r="N6268" s="187">
        <v>0</v>
      </c>
      <c r="O6268" t="s">
        <v>6369</v>
      </c>
    </row>
    <row r="6269" spans="1:15" hidden="1" x14ac:dyDescent="0.45">
      <c r="A6269" s="187">
        <v>2023</v>
      </c>
      <c r="B6269" t="s">
        <v>310</v>
      </c>
      <c r="C6269" t="s">
        <v>322</v>
      </c>
      <c r="D6269" t="s">
        <v>35</v>
      </c>
      <c r="E6269" t="s">
        <v>356</v>
      </c>
      <c r="F6269" t="s">
        <v>356</v>
      </c>
      <c r="G6269" t="s">
        <v>37</v>
      </c>
      <c r="H6269" t="s">
        <v>43</v>
      </c>
      <c r="I6269" s="187"/>
      <c r="J6269" s="187">
        <v>0</v>
      </c>
      <c r="K6269" s="187">
        <v>0</v>
      </c>
      <c r="L6269" s="187">
        <v>0</v>
      </c>
      <c r="M6269" s="187">
        <v>0</v>
      </c>
      <c r="N6269" s="187">
        <v>0</v>
      </c>
      <c r="O6269" t="s">
        <v>6363</v>
      </c>
    </row>
    <row r="6270" spans="1:15" hidden="1" x14ac:dyDescent="0.45">
      <c r="A6270" s="187">
        <v>2023</v>
      </c>
      <c r="B6270" t="s">
        <v>309</v>
      </c>
      <c r="C6270" t="s">
        <v>322</v>
      </c>
      <c r="D6270" t="s">
        <v>35</v>
      </c>
      <c r="E6270" t="s">
        <v>356</v>
      </c>
      <c r="F6270" t="s">
        <v>356</v>
      </c>
      <c r="G6270" t="s">
        <v>37</v>
      </c>
      <c r="H6270" t="s">
        <v>43</v>
      </c>
      <c r="I6270" s="187"/>
      <c r="J6270" s="187">
        <v>0</v>
      </c>
      <c r="K6270" s="187">
        <v>0</v>
      </c>
      <c r="L6270" s="187">
        <v>0</v>
      </c>
      <c r="M6270" s="187">
        <v>0</v>
      </c>
      <c r="N6270" s="187">
        <v>0</v>
      </c>
      <c r="O6270" t="s">
        <v>6365</v>
      </c>
    </row>
    <row r="6271" spans="1:15" hidden="1" x14ac:dyDescent="0.45">
      <c r="A6271" s="187">
        <v>2023</v>
      </c>
      <c r="B6271" t="s">
        <v>8570</v>
      </c>
      <c r="C6271" t="s">
        <v>322</v>
      </c>
      <c r="D6271" t="s">
        <v>35</v>
      </c>
      <c r="E6271" t="s">
        <v>356</v>
      </c>
      <c r="F6271" t="s">
        <v>356</v>
      </c>
      <c r="G6271" t="s">
        <v>37</v>
      </c>
      <c r="H6271" t="s">
        <v>43</v>
      </c>
      <c r="I6271" s="187">
        <v>0</v>
      </c>
      <c r="J6271" s="187"/>
      <c r="K6271" s="187">
        <v>0</v>
      </c>
      <c r="L6271" s="187">
        <v>0</v>
      </c>
      <c r="M6271" s="187">
        <v>0</v>
      </c>
      <c r="N6271" s="187">
        <v>0</v>
      </c>
      <c r="O6271" t="s">
        <v>8931</v>
      </c>
    </row>
    <row r="6272" spans="1:15" hidden="1" x14ac:dyDescent="0.45">
      <c r="A6272" s="187">
        <v>2023</v>
      </c>
      <c r="B6272" t="s">
        <v>314</v>
      </c>
      <c r="C6272" t="s">
        <v>322</v>
      </c>
      <c r="D6272" t="s">
        <v>35</v>
      </c>
      <c r="E6272" t="s">
        <v>356</v>
      </c>
      <c r="F6272" t="s">
        <v>356</v>
      </c>
      <c r="G6272" t="s">
        <v>37</v>
      </c>
      <c r="H6272" t="s">
        <v>43</v>
      </c>
      <c r="I6272" s="187"/>
      <c r="J6272" s="187">
        <v>0</v>
      </c>
      <c r="K6272" s="187">
        <v>0</v>
      </c>
      <c r="L6272" s="187">
        <v>0</v>
      </c>
      <c r="M6272" s="187">
        <v>0</v>
      </c>
      <c r="N6272" s="187">
        <v>0</v>
      </c>
      <c r="O6272" t="s">
        <v>6364</v>
      </c>
    </row>
    <row r="6273" spans="1:15" hidden="1" x14ac:dyDescent="0.45">
      <c r="A6273" s="187">
        <v>2023</v>
      </c>
      <c r="B6273" t="s">
        <v>311</v>
      </c>
      <c r="C6273" t="s">
        <v>322</v>
      </c>
      <c r="D6273" t="s">
        <v>35</v>
      </c>
      <c r="E6273" t="s">
        <v>356</v>
      </c>
      <c r="F6273" t="s">
        <v>356</v>
      </c>
      <c r="G6273" t="s">
        <v>37</v>
      </c>
      <c r="H6273" t="s">
        <v>43</v>
      </c>
      <c r="I6273" s="187"/>
      <c r="J6273" s="187">
        <v>0</v>
      </c>
      <c r="K6273" s="187">
        <v>0</v>
      </c>
      <c r="L6273" s="187">
        <v>0</v>
      </c>
      <c r="M6273" s="187">
        <v>0</v>
      </c>
      <c r="N6273" s="187">
        <v>0</v>
      </c>
      <c r="O6273" t="s">
        <v>6368</v>
      </c>
    </row>
    <row r="6274" spans="1:15" hidden="1" x14ac:dyDescent="0.45">
      <c r="A6274" s="187">
        <v>2023</v>
      </c>
      <c r="B6274" t="s">
        <v>315</v>
      </c>
      <c r="C6274" t="s">
        <v>323</v>
      </c>
      <c r="D6274" t="s">
        <v>35</v>
      </c>
      <c r="E6274" t="s">
        <v>349</v>
      </c>
      <c r="F6274" t="s">
        <v>388</v>
      </c>
      <c r="G6274" t="s">
        <v>36</v>
      </c>
      <c r="H6274" t="s">
        <v>43</v>
      </c>
      <c r="I6274" s="187">
        <v>4701.1093601677576</v>
      </c>
      <c r="J6274" s="187">
        <v>430.46302575030069</v>
      </c>
      <c r="K6274" s="187">
        <v>4139.0508386569873</v>
      </c>
      <c r="L6274" s="187">
        <v>2833.1263878986897</v>
      </c>
      <c r="M6274" s="187">
        <v>12103.7490234375</v>
      </c>
      <c r="N6274" s="187">
        <v>7534.23583984375</v>
      </c>
      <c r="O6274" t="s">
        <v>6374</v>
      </c>
    </row>
    <row r="6275" spans="1:15" hidden="1" x14ac:dyDescent="0.45">
      <c r="A6275" s="187">
        <v>2023</v>
      </c>
      <c r="B6275" t="s">
        <v>8570</v>
      </c>
      <c r="C6275" t="s">
        <v>323</v>
      </c>
      <c r="D6275" t="s">
        <v>35</v>
      </c>
      <c r="E6275" t="s">
        <v>349</v>
      </c>
      <c r="F6275" t="s">
        <v>388</v>
      </c>
      <c r="G6275" t="s">
        <v>36</v>
      </c>
      <c r="H6275" t="s">
        <v>43</v>
      </c>
      <c r="I6275" s="187">
        <v>2842.7886607999999</v>
      </c>
      <c r="J6275" s="187">
        <v>109</v>
      </c>
      <c r="K6275" s="187">
        <v>6434.3659893468603</v>
      </c>
      <c r="L6275" s="187">
        <v>3506</v>
      </c>
      <c r="M6275" s="187">
        <v>12892.154296875</v>
      </c>
      <c r="N6275" s="187">
        <v>6348.78857421875</v>
      </c>
      <c r="O6275" t="s">
        <v>8932</v>
      </c>
    </row>
    <row r="6276" spans="1:15" hidden="1" x14ac:dyDescent="0.45">
      <c r="A6276" s="187">
        <v>2023</v>
      </c>
      <c r="B6276" t="s">
        <v>316</v>
      </c>
      <c r="C6276" t="s">
        <v>323</v>
      </c>
      <c r="D6276" t="s">
        <v>35</v>
      </c>
      <c r="E6276" t="s">
        <v>349</v>
      </c>
      <c r="F6276" t="s">
        <v>388</v>
      </c>
      <c r="G6276" t="s">
        <v>36</v>
      </c>
      <c r="H6276" t="s">
        <v>43</v>
      </c>
      <c r="I6276" s="187">
        <v>4662.4684178448588</v>
      </c>
      <c r="J6276" s="187">
        <v>545.21965012467604</v>
      </c>
      <c r="K6276" s="187">
        <v>4877.5581454580906</v>
      </c>
      <c r="L6276" s="187">
        <v>3281.2309852957774</v>
      </c>
      <c r="M6276" s="187">
        <v>13366.4775390625</v>
      </c>
      <c r="N6276" s="187">
        <v>7943.69921875</v>
      </c>
      <c r="O6276" t="s">
        <v>6375</v>
      </c>
    </row>
    <row r="6277" spans="1:15" hidden="1" x14ac:dyDescent="0.45">
      <c r="A6277" s="187">
        <v>2023</v>
      </c>
      <c r="B6277" t="s">
        <v>314</v>
      </c>
      <c r="C6277" t="s">
        <v>323</v>
      </c>
      <c r="D6277" t="s">
        <v>35</v>
      </c>
      <c r="E6277" t="s">
        <v>349</v>
      </c>
      <c r="F6277" t="s">
        <v>388</v>
      </c>
      <c r="G6277" t="s">
        <v>36</v>
      </c>
      <c r="H6277" t="s">
        <v>43</v>
      </c>
      <c r="I6277" s="187">
        <v>3902.1492146813143</v>
      </c>
      <c r="J6277" s="187">
        <v>506.69698757802138</v>
      </c>
      <c r="K6277" s="187">
        <v>4605.8447495861674</v>
      </c>
      <c r="L6277" s="187">
        <v>2082.699342044833</v>
      </c>
      <c r="M6277" s="187">
        <v>11097.390625</v>
      </c>
      <c r="N6277" s="187">
        <v>5984.8486328125</v>
      </c>
      <c r="O6277" t="s">
        <v>6372</v>
      </c>
    </row>
    <row r="6278" spans="1:15" hidden="1" x14ac:dyDescent="0.45">
      <c r="A6278" s="187">
        <v>2023</v>
      </c>
      <c r="B6278" t="s">
        <v>317</v>
      </c>
      <c r="C6278" t="s">
        <v>323</v>
      </c>
      <c r="D6278" t="s">
        <v>35</v>
      </c>
      <c r="E6278" t="s">
        <v>349</v>
      </c>
      <c r="F6278" t="s">
        <v>388</v>
      </c>
      <c r="G6278" t="s">
        <v>36</v>
      </c>
      <c r="H6278" t="s">
        <v>43</v>
      </c>
      <c r="I6278" s="187">
        <v>5316.1047507783151</v>
      </c>
      <c r="J6278" s="187">
        <v>534.8520023648914</v>
      </c>
      <c r="K6278" s="187">
        <v>4696.9826348171109</v>
      </c>
      <c r="L6278" s="187">
        <v>3837.9683078789785</v>
      </c>
      <c r="M6278" s="187">
        <v>14385.908203125</v>
      </c>
      <c r="N6278" s="187">
        <v>9154.0732421875</v>
      </c>
      <c r="O6278" t="s">
        <v>6373</v>
      </c>
    </row>
    <row r="6279" spans="1:15" hidden="1" x14ac:dyDescent="0.45">
      <c r="A6279" s="187">
        <v>2023</v>
      </c>
      <c r="B6279" t="s">
        <v>317</v>
      </c>
      <c r="C6279" t="s">
        <v>323</v>
      </c>
      <c r="D6279" t="s">
        <v>35</v>
      </c>
      <c r="E6279" t="s">
        <v>349</v>
      </c>
      <c r="F6279" t="s">
        <v>389</v>
      </c>
      <c r="G6279" t="s">
        <v>36</v>
      </c>
      <c r="H6279" t="s">
        <v>43</v>
      </c>
      <c r="I6279" s="187">
        <v>0</v>
      </c>
      <c r="J6279" s="187"/>
      <c r="K6279" s="187">
        <v>0</v>
      </c>
      <c r="L6279" s="187">
        <v>0</v>
      </c>
      <c r="M6279" s="187">
        <v>0</v>
      </c>
      <c r="N6279" s="187">
        <v>0</v>
      </c>
      <c r="O6279" t="s">
        <v>6377</v>
      </c>
    </row>
    <row r="6280" spans="1:15" hidden="1" x14ac:dyDescent="0.45">
      <c r="A6280" s="187">
        <v>2023</v>
      </c>
      <c r="B6280" t="s">
        <v>315</v>
      </c>
      <c r="C6280" t="s">
        <v>323</v>
      </c>
      <c r="D6280" t="s">
        <v>35</v>
      </c>
      <c r="E6280" t="s">
        <v>349</v>
      </c>
      <c r="F6280" t="s">
        <v>389</v>
      </c>
      <c r="G6280" t="s">
        <v>36</v>
      </c>
      <c r="H6280" t="s">
        <v>43</v>
      </c>
      <c r="I6280" s="187">
        <v>0</v>
      </c>
      <c r="J6280" s="187">
        <v>0</v>
      </c>
      <c r="K6280" s="187">
        <v>0</v>
      </c>
      <c r="L6280" s="187"/>
      <c r="M6280" s="187">
        <v>0</v>
      </c>
      <c r="N6280" s="187">
        <v>0</v>
      </c>
      <c r="O6280" t="s">
        <v>6379</v>
      </c>
    </row>
    <row r="6281" spans="1:15" hidden="1" x14ac:dyDescent="0.45">
      <c r="A6281" s="187">
        <v>2023</v>
      </c>
      <c r="B6281" t="s">
        <v>314</v>
      </c>
      <c r="C6281" t="s">
        <v>323</v>
      </c>
      <c r="D6281" t="s">
        <v>35</v>
      </c>
      <c r="E6281" t="s">
        <v>349</v>
      </c>
      <c r="F6281" t="s">
        <v>389</v>
      </c>
      <c r="G6281" t="s">
        <v>36</v>
      </c>
      <c r="H6281" t="s">
        <v>43</v>
      </c>
      <c r="I6281" s="187">
        <v>0</v>
      </c>
      <c r="J6281" s="187">
        <v>0</v>
      </c>
      <c r="K6281" s="187">
        <v>0</v>
      </c>
      <c r="L6281" s="187"/>
      <c r="M6281" s="187">
        <v>0</v>
      </c>
      <c r="N6281" s="187">
        <v>0</v>
      </c>
      <c r="O6281" t="s">
        <v>6378</v>
      </c>
    </row>
    <row r="6282" spans="1:15" hidden="1" x14ac:dyDescent="0.45">
      <c r="A6282" s="187">
        <v>2023</v>
      </c>
      <c r="B6282" t="s">
        <v>8570</v>
      </c>
      <c r="C6282" t="s">
        <v>323</v>
      </c>
      <c r="D6282" t="s">
        <v>35</v>
      </c>
      <c r="E6282" t="s">
        <v>349</v>
      </c>
      <c r="F6282" t="s">
        <v>389</v>
      </c>
      <c r="G6282" t="s">
        <v>36</v>
      </c>
      <c r="H6282" t="s">
        <v>43</v>
      </c>
      <c r="I6282" s="187">
        <v>0</v>
      </c>
      <c r="J6282" s="187"/>
      <c r="K6282" s="187">
        <v>0</v>
      </c>
      <c r="L6282" s="187">
        <v>0</v>
      </c>
      <c r="M6282" s="187">
        <v>0</v>
      </c>
      <c r="N6282" s="187">
        <v>0</v>
      </c>
      <c r="O6282" t="s">
        <v>8933</v>
      </c>
    </row>
    <row r="6283" spans="1:15" hidden="1" x14ac:dyDescent="0.45">
      <c r="A6283" s="187">
        <v>2023</v>
      </c>
      <c r="B6283" t="s">
        <v>316</v>
      </c>
      <c r="C6283" t="s">
        <v>323</v>
      </c>
      <c r="D6283" t="s">
        <v>35</v>
      </c>
      <c r="E6283" t="s">
        <v>349</v>
      </c>
      <c r="F6283" t="s">
        <v>389</v>
      </c>
      <c r="G6283" t="s">
        <v>36</v>
      </c>
      <c r="H6283" t="s">
        <v>43</v>
      </c>
      <c r="I6283" s="187">
        <v>0</v>
      </c>
      <c r="J6283" s="187"/>
      <c r="K6283" s="187">
        <v>0</v>
      </c>
      <c r="L6283" s="187"/>
      <c r="M6283" s="187">
        <v>0</v>
      </c>
      <c r="N6283" s="187">
        <v>0</v>
      </c>
      <c r="O6283" t="s">
        <v>6376</v>
      </c>
    </row>
    <row r="6284" spans="1:15" hidden="1" x14ac:dyDescent="0.45">
      <c r="A6284" s="187">
        <v>2023</v>
      </c>
      <c r="B6284" t="s">
        <v>315</v>
      </c>
      <c r="C6284" t="s">
        <v>323</v>
      </c>
      <c r="D6284" t="s">
        <v>35</v>
      </c>
      <c r="E6284" t="s">
        <v>349</v>
      </c>
      <c r="F6284" t="s">
        <v>390</v>
      </c>
      <c r="G6284" t="s">
        <v>36</v>
      </c>
      <c r="H6284" t="s">
        <v>43</v>
      </c>
      <c r="I6284" s="187">
        <v>4701.1093601677576</v>
      </c>
      <c r="J6284" s="187">
        <v>430.46302575030069</v>
      </c>
      <c r="K6284" s="187">
        <v>4139.0508386569873</v>
      </c>
      <c r="L6284" s="187">
        <v>2833.1263878986897</v>
      </c>
      <c r="M6284" s="187">
        <v>12103.7490234375</v>
      </c>
      <c r="N6284" s="187">
        <v>7534.23583984375</v>
      </c>
      <c r="O6284" t="s">
        <v>6383</v>
      </c>
    </row>
    <row r="6285" spans="1:15" hidden="1" x14ac:dyDescent="0.45">
      <c r="A6285" s="187">
        <v>2023</v>
      </c>
      <c r="B6285" t="s">
        <v>8570</v>
      </c>
      <c r="C6285" t="s">
        <v>323</v>
      </c>
      <c r="D6285" t="s">
        <v>35</v>
      </c>
      <c r="E6285" t="s">
        <v>349</v>
      </c>
      <c r="F6285" t="s">
        <v>390</v>
      </c>
      <c r="G6285" t="s">
        <v>36</v>
      </c>
      <c r="H6285" t="s">
        <v>43</v>
      </c>
      <c r="I6285" s="187">
        <v>2842.7886607999999</v>
      </c>
      <c r="J6285" s="187">
        <v>109</v>
      </c>
      <c r="K6285" s="187">
        <v>6434.3659893468603</v>
      </c>
      <c r="L6285" s="187">
        <v>3506</v>
      </c>
      <c r="M6285" s="187">
        <v>12892.154296875</v>
      </c>
      <c r="N6285" s="187">
        <v>6348.78857421875</v>
      </c>
      <c r="O6285" t="s">
        <v>8934</v>
      </c>
    </row>
    <row r="6286" spans="1:15" hidden="1" x14ac:dyDescent="0.45">
      <c r="A6286" s="187">
        <v>2023</v>
      </c>
      <c r="B6286" t="s">
        <v>314</v>
      </c>
      <c r="C6286" t="s">
        <v>323</v>
      </c>
      <c r="D6286" t="s">
        <v>35</v>
      </c>
      <c r="E6286" t="s">
        <v>349</v>
      </c>
      <c r="F6286" t="s">
        <v>390</v>
      </c>
      <c r="G6286" t="s">
        <v>36</v>
      </c>
      <c r="H6286" t="s">
        <v>43</v>
      </c>
      <c r="I6286" s="187">
        <v>3902.1492146813143</v>
      </c>
      <c r="J6286" s="187">
        <v>506.69698757802138</v>
      </c>
      <c r="K6286" s="187">
        <v>4605.8447495861674</v>
      </c>
      <c r="L6286" s="187">
        <v>2082.699342044833</v>
      </c>
      <c r="M6286" s="187">
        <v>11097.390625</v>
      </c>
      <c r="N6286" s="187">
        <v>5984.8486328125</v>
      </c>
      <c r="O6286" t="s">
        <v>6382</v>
      </c>
    </row>
    <row r="6287" spans="1:15" hidden="1" x14ac:dyDescent="0.45">
      <c r="A6287" s="187">
        <v>2023</v>
      </c>
      <c r="B6287" t="s">
        <v>317</v>
      </c>
      <c r="C6287" t="s">
        <v>323</v>
      </c>
      <c r="D6287" t="s">
        <v>35</v>
      </c>
      <c r="E6287" t="s">
        <v>349</v>
      </c>
      <c r="F6287" t="s">
        <v>390</v>
      </c>
      <c r="G6287" t="s">
        <v>36</v>
      </c>
      <c r="H6287" t="s">
        <v>43</v>
      </c>
      <c r="I6287" s="187">
        <v>5316.1047507783151</v>
      </c>
      <c r="J6287" s="187">
        <v>534.8520023648914</v>
      </c>
      <c r="K6287" s="187">
        <v>4696.9826348171109</v>
      </c>
      <c r="L6287" s="187">
        <v>3837.9683078789785</v>
      </c>
      <c r="M6287" s="187">
        <v>14385.908203125</v>
      </c>
      <c r="N6287" s="187">
        <v>9154.0732421875</v>
      </c>
      <c r="O6287" t="s">
        <v>6381</v>
      </c>
    </row>
    <row r="6288" spans="1:15" hidden="1" x14ac:dyDescent="0.45">
      <c r="A6288" s="187">
        <v>2023</v>
      </c>
      <c r="B6288" t="s">
        <v>316</v>
      </c>
      <c r="C6288" t="s">
        <v>323</v>
      </c>
      <c r="D6288" t="s">
        <v>35</v>
      </c>
      <c r="E6288" t="s">
        <v>349</v>
      </c>
      <c r="F6288" t="s">
        <v>390</v>
      </c>
      <c r="G6288" t="s">
        <v>36</v>
      </c>
      <c r="H6288" t="s">
        <v>43</v>
      </c>
      <c r="I6288" s="187">
        <v>4662.4684178448588</v>
      </c>
      <c r="J6288" s="187">
        <v>545.21965012467604</v>
      </c>
      <c r="K6288" s="187">
        <v>4877.5581454580906</v>
      </c>
      <c r="L6288" s="187">
        <v>3281.2309852957774</v>
      </c>
      <c r="M6288" s="187">
        <v>13366.4775390625</v>
      </c>
      <c r="N6288" s="187">
        <v>7943.69921875</v>
      </c>
      <c r="O6288" t="s">
        <v>6380</v>
      </c>
    </row>
    <row r="6289" spans="1:15" hidden="1" x14ac:dyDescent="0.45">
      <c r="A6289" s="187">
        <v>2023</v>
      </c>
      <c r="B6289" t="s">
        <v>315</v>
      </c>
      <c r="C6289" t="s">
        <v>323</v>
      </c>
      <c r="D6289" t="s">
        <v>35</v>
      </c>
      <c r="E6289" t="s">
        <v>349</v>
      </c>
      <c r="F6289" t="s">
        <v>391</v>
      </c>
      <c r="G6289" t="s">
        <v>36</v>
      </c>
      <c r="H6289" t="s">
        <v>43</v>
      </c>
      <c r="I6289" s="187">
        <v>385.15112830290059</v>
      </c>
      <c r="J6289" s="187">
        <v>5.6639871809250089</v>
      </c>
      <c r="K6289" s="187">
        <v>922.85001254223585</v>
      </c>
      <c r="L6289" s="187">
        <v>568.66431296487087</v>
      </c>
      <c r="M6289" s="187">
        <v>1882.3294677734375</v>
      </c>
      <c r="N6289" s="187">
        <v>953.8154296875</v>
      </c>
      <c r="O6289" t="s">
        <v>6387</v>
      </c>
    </row>
    <row r="6290" spans="1:15" hidden="1" x14ac:dyDescent="0.45">
      <c r="A6290" s="187">
        <v>2023</v>
      </c>
      <c r="B6290" t="s">
        <v>316</v>
      </c>
      <c r="C6290" t="s">
        <v>323</v>
      </c>
      <c r="D6290" t="s">
        <v>35</v>
      </c>
      <c r="E6290" t="s">
        <v>349</v>
      </c>
      <c r="F6290" t="s">
        <v>391</v>
      </c>
      <c r="G6290" t="s">
        <v>36</v>
      </c>
      <c r="H6290" t="s">
        <v>43</v>
      </c>
      <c r="I6290" s="187">
        <v>381.57885622624599</v>
      </c>
      <c r="J6290" s="187">
        <v>11.01453838635709</v>
      </c>
      <c r="K6290" s="187">
        <v>893.79514906636791</v>
      </c>
      <c r="L6290" s="187">
        <v>665.27811853596825</v>
      </c>
      <c r="M6290" s="187">
        <v>1951.6666259765625</v>
      </c>
      <c r="N6290" s="187">
        <v>1046.85693359375</v>
      </c>
      <c r="O6290" t="s">
        <v>6386</v>
      </c>
    </row>
    <row r="6291" spans="1:15" hidden="1" x14ac:dyDescent="0.45">
      <c r="A6291" s="187">
        <v>2023</v>
      </c>
      <c r="B6291" t="s">
        <v>314</v>
      </c>
      <c r="C6291" t="s">
        <v>323</v>
      </c>
      <c r="D6291" t="s">
        <v>35</v>
      </c>
      <c r="E6291" t="s">
        <v>349</v>
      </c>
      <c r="F6291" t="s">
        <v>391</v>
      </c>
      <c r="G6291" t="s">
        <v>36</v>
      </c>
      <c r="H6291" t="s">
        <v>43</v>
      </c>
      <c r="I6291" s="187">
        <v>396.0390247736259</v>
      </c>
      <c r="J6291" s="187">
        <v>0</v>
      </c>
      <c r="K6291" s="187">
        <v>1238.2105936038161</v>
      </c>
      <c r="L6291" s="187">
        <v>420.50025865670284</v>
      </c>
      <c r="M6291" s="187">
        <v>2054.75</v>
      </c>
      <c r="N6291" s="187">
        <v>816.539306640625</v>
      </c>
      <c r="O6291" t="s">
        <v>6384</v>
      </c>
    </row>
    <row r="6292" spans="1:15" hidden="1" x14ac:dyDescent="0.45">
      <c r="A6292" s="187">
        <v>2023</v>
      </c>
      <c r="B6292" t="s">
        <v>8570</v>
      </c>
      <c r="C6292" t="s">
        <v>323</v>
      </c>
      <c r="D6292" t="s">
        <v>35</v>
      </c>
      <c r="E6292" t="s">
        <v>349</v>
      </c>
      <c r="F6292" t="s">
        <v>391</v>
      </c>
      <c r="G6292" t="s">
        <v>36</v>
      </c>
      <c r="H6292" t="s">
        <v>43</v>
      </c>
      <c r="I6292" s="187">
        <v>419.46241251200001</v>
      </c>
      <c r="J6292" s="187">
        <v>14</v>
      </c>
      <c r="K6292" s="187">
        <v>2646.05999314061</v>
      </c>
      <c r="L6292" s="187">
        <v>1186</v>
      </c>
      <c r="M6292" s="187">
        <v>4265.5224609375</v>
      </c>
      <c r="N6292" s="187">
        <v>1605.46240234375</v>
      </c>
      <c r="O6292" t="s">
        <v>8935</v>
      </c>
    </row>
    <row r="6293" spans="1:15" hidden="1" x14ac:dyDescent="0.45">
      <c r="A6293" s="187">
        <v>2023</v>
      </c>
      <c r="B6293" t="s">
        <v>317</v>
      </c>
      <c r="C6293" t="s">
        <v>323</v>
      </c>
      <c r="D6293" t="s">
        <v>35</v>
      </c>
      <c r="E6293" t="s">
        <v>349</v>
      </c>
      <c r="F6293" t="s">
        <v>391</v>
      </c>
      <c r="G6293" t="s">
        <v>36</v>
      </c>
      <c r="H6293" t="s">
        <v>43</v>
      </c>
      <c r="I6293" s="187">
        <v>324.15272870599478</v>
      </c>
      <c r="J6293" s="187">
        <v>10.805090956866493</v>
      </c>
      <c r="K6293" s="187">
        <v>381.55391138857846</v>
      </c>
      <c r="L6293" s="187">
        <v>1619.6831344342872</v>
      </c>
      <c r="M6293" s="187">
        <v>2336.19482421875</v>
      </c>
      <c r="N6293" s="187">
        <v>1943.8358154296875</v>
      </c>
      <c r="O6293" t="s">
        <v>6385</v>
      </c>
    </row>
    <row r="6294" spans="1:15" hidden="1" x14ac:dyDescent="0.45">
      <c r="A6294" s="187">
        <v>2023</v>
      </c>
      <c r="B6294" t="s">
        <v>315</v>
      </c>
      <c r="C6294" t="s">
        <v>323</v>
      </c>
      <c r="D6294" t="s">
        <v>35</v>
      </c>
      <c r="E6294" t="s">
        <v>349</v>
      </c>
      <c r="F6294" t="s">
        <v>392</v>
      </c>
      <c r="G6294" t="s">
        <v>36</v>
      </c>
      <c r="H6294" t="s">
        <v>43</v>
      </c>
      <c r="I6294" s="187">
        <v>113.27974361850018</v>
      </c>
      <c r="J6294" s="187">
        <v>0</v>
      </c>
      <c r="K6294" s="187">
        <v>0.35480211501308823</v>
      </c>
      <c r="L6294" s="187">
        <v>0</v>
      </c>
      <c r="M6294" s="187">
        <v>113.63455200195313</v>
      </c>
      <c r="N6294" s="187">
        <v>113.27974700927734</v>
      </c>
      <c r="O6294" t="s">
        <v>6388</v>
      </c>
    </row>
    <row r="6295" spans="1:15" hidden="1" x14ac:dyDescent="0.45">
      <c r="A6295" s="187">
        <v>2023</v>
      </c>
      <c r="B6295" t="s">
        <v>8570</v>
      </c>
      <c r="C6295" t="s">
        <v>323</v>
      </c>
      <c r="D6295" t="s">
        <v>35</v>
      </c>
      <c r="E6295" t="s">
        <v>349</v>
      </c>
      <c r="F6295" t="s">
        <v>392</v>
      </c>
      <c r="G6295" t="s">
        <v>36</v>
      </c>
      <c r="H6295" t="s">
        <v>43</v>
      </c>
      <c r="I6295" s="187">
        <v>113.71154643200001</v>
      </c>
      <c r="J6295" s="187">
        <v>14</v>
      </c>
      <c r="K6295" s="187">
        <v>557.42522536655679</v>
      </c>
      <c r="L6295" s="187">
        <v>248</v>
      </c>
      <c r="M6295" s="187">
        <v>933.13677978515625</v>
      </c>
      <c r="N6295" s="187">
        <v>361.7115478515625</v>
      </c>
      <c r="O6295" t="s">
        <v>8936</v>
      </c>
    </row>
    <row r="6296" spans="1:15" hidden="1" x14ac:dyDescent="0.45">
      <c r="A6296" s="187">
        <v>2023</v>
      </c>
      <c r="B6296" t="s">
        <v>316</v>
      </c>
      <c r="C6296" t="s">
        <v>323</v>
      </c>
      <c r="D6296" t="s">
        <v>35</v>
      </c>
      <c r="E6296" t="s">
        <v>349</v>
      </c>
      <c r="F6296" t="s">
        <v>392</v>
      </c>
      <c r="G6296" t="s">
        <v>36</v>
      </c>
      <c r="H6296" t="s">
        <v>43</v>
      </c>
      <c r="I6296" s="187">
        <v>112.35930607922869</v>
      </c>
      <c r="J6296" s="187"/>
      <c r="K6296" s="187">
        <v>0.28602914625701209</v>
      </c>
      <c r="L6296" s="187">
        <v>0</v>
      </c>
      <c r="M6296" s="187">
        <v>112.64533233642578</v>
      </c>
      <c r="N6296" s="187">
        <v>112.35930633544922</v>
      </c>
      <c r="O6296" t="s">
        <v>6390</v>
      </c>
    </row>
    <row r="6297" spans="1:15" hidden="1" x14ac:dyDescent="0.45">
      <c r="A6297" s="187">
        <v>2023</v>
      </c>
      <c r="B6297" t="s">
        <v>314</v>
      </c>
      <c r="C6297" t="s">
        <v>323</v>
      </c>
      <c r="D6297" t="s">
        <v>35</v>
      </c>
      <c r="E6297" t="s">
        <v>349</v>
      </c>
      <c r="F6297" t="s">
        <v>392</v>
      </c>
      <c r="G6297" t="s">
        <v>36</v>
      </c>
      <c r="H6297" t="s">
        <v>43</v>
      </c>
      <c r="I6297" s="187">
        <v>116.48206610988997</v>
      </c>
      <c r="J6297" s="187">
        <v>0</v>
      </c>
      <c r="K6297" s="187">
        <v>0.67899226110546762</v>
      </c>
      <c r="L6297" s="187">
        <v>0</v>
      </c>
      <c r="M6297" s="187">
        <v>117.16105651855469</v>
      </c>
      <c r="N6297" s="187">
        <v>116.48206329345703</v>
      </c>
      <c r="O6297" t="s">
        <v>6389</v>
      </c>
    </row>
    <row r="6298" spans="1:15" hidden="1" x14ac:dyDescent="0.45">
      <c r="A6298" s="187">
        <v>2023</v>
      </c>
      <c r="B6298" t="s">
        <v>317</v>
      </c>
      <c r="C6298" t="s">
        <v>323</v>
      </c>
      <c r="D6298" t="s">
        <v>35</v>
      </c>
      <c r="E6298" t="s">
        <v>349</v>
      </c>
      <c r="F6298" t="s">
        <v>392</v>
      </c>
      <c r="G6298" t="s">
        <v>36</v>
      </c>
      <c r="H6298" t="s">
        <v>43</v>
      </c>
      <c r="I6298" s="187">
        <v>86.440727654931948</v>
      </c>
      <c r="J6298" s="187"/>
      <c r="K6298" s="187">
        <v>0.91253168315815736</v>
      </c>
      <c r="L6298" s="187">
        <v>267.96625573028905</v>
      </c>
      <c r="M6298" s="187">
        <v>355.31951904296875</v>
      </c>
      <c r="N6298" s="187">
        <v>354.406982421875</v>
      </c>
      <c r="O6298" t="s">
        <v>6391</v>
      </c>
    </row>
    <row r="6299" spans="1:15" hidden="1" x14ac:dyDescent="0.45">
      <c r="A6299" s="187">
        <v>2023</v>
      </c>
      <c r="B6299" t="s">
        <v>314</v>
      </c>
      <c r="C6299" t="s">
        <v>323</v>
      </c>
      <c r="D6299" t="s">
        <v>35</v>
      </c>
      <c r="E6299" t="s">
        <v>349</v>
      </c>
      <c r="F6299" t="s">
        <v>393</v>
      </c>
      <c r="G6299" t="s">
        <v>36</v>
      </c>
      <c r="H6299" t="s">
        <v>43</v>
      </c>
      <c r="I6299" s="187">
        <v>23.296413221977996</v>
      </c>
      <c r="J6299" s="187">
        <v>0</v>
      </c>
      <c r="K6299" s="187">
        <v>51.226067252971369</v>
      </c>
      <c r="L6299" s="187">
        <v>0</v>
      </c>
      <c r="M6299" s="187">
        <v>74.522483825683594</v>
      </c>
      <c r="N6299" s="187">
        <v>23.296413421630859</v>
      </c>
      <c r="O6299" t="s">
        <v>6394</v>
      </c>
    </row>
    <row r="6300" spans="1:15" hidden="1" x14ac:dyDescent="0.45">
      <c r="A6300" s="187">
        <v>2023</v>
      </c>
      <c r="B6300" t="s">
        <v>8570</v>
      </c>
      <c r="C6300" t="s">
        <v>323</v>
      </c>
      <c r="D6300" t="s">
        <v>35</v>
      </c>
      <c r="E6300" t="s">
        <v>349</v>
      </c>
      <c r="F6300" t="s">
        <v>393</v>
      </c>
      <c r="G6300" t="s">
        <v>36</v>
      </c>
      <c r="H6300" t="s">
        <v>43</v>
      </c>
      <c r="I6300" s="187">
        <v>21.472000000000001</v>
      </c>
      <c r="J6300" s="187"/>
      <c r="K6300" s="187">
        <v>27.812378185365851</v>
      </c>
      <c r="L6300" s="187">
        <v>0</v>
      </c>
      <c r="M6300" s="187">
        <v>49.284378051757813</v>
      </c>
      <c r="N6300" s="187">
        <v>21.472000122070313</v>
      </c>
      <c r="O6300" t="s">
        <v>8937</v>
      </c>
    </row>
    <row r="6301" spans="1:15" hidden="1" x14ac:dyDescent="0.45">
      <c r="A6301" s="187">
        <v>2023</v>
      </c>
      <c r="B6301" t="s">
        <v>317</v>
      </c>
      <c r="C6301" t="s">
        <v>323</v>
      </c>
      <c r="D6301" t="s">
        <v>35</v>
      </c>
      <c r="E6301" t="s">
        <v>349</v>
      </c>
      <c r="F6301" t="s">
        <v>393</v>
      </c>
      <c r="G6301" t="s">
        <v>36</v>
      </c>
      <c r="H6301" t="s">
        <v>43</v>
      </c>
      <c r="I6301" s="187">
        <v>21.610181913732987</v>
      </c>
      <c r="J6301" s="187"/>
      <c r="K6301" s="187">
        <v>56.959230670856442</v>
      </c>
      <c r="L6301" s="187">
        <v>0</v>
      </c>
      <c r="M6301" s="187">
        <v>78.569412231445313</v>
      </c>
      <c r="N6301" s="187">
        <v>21.61018180847168</v>
      </c>
      <c r="O6301" t="s">
        <v>6395</v>
      </c>
    </row>
    <row r="6302" spans="1:15" hidden="1" x14ac:dyDescent="0.45">
      <c r="A6302" s="187">
        <v>2023</v>
      </c>
      <c r="B6302" t="s">
        <v>315</v>
      </c>
      <c r="C6302" t="s">
        <v>323</v>
      </c>
      <c r="D6302" t="s">
        <v>35</v>
      </c>
      <c r="E6302" t="s">
        <v>349</v>
      </c>
      <c r="F6302" t="s">
        <v>393</v>
      </c>
      <c r="G6302" t="s">
        <v>36</v>
      </c>
      <c r="H6302" t="s">
        <v>43</v>
      </c>
      <c r="I6302" s="187">
        <v>22.655948723700035</v>
      </c>
      <c r="J6302" s="187">
        <v>0</v>
      </c>
      <c r="K6302" s="187">
        <v>24.575494900083466</v>
      </c>
      <c r="L6302" s="187">
        <v>0</v>
      </c>
      <c r="M6302" s="187">
        <v>47.2314453125</v>
      </c>
      <c r="N6302" s="187">
        <v>22.655948638916016</v>
      </c>
      <c r="O6302" t="s">
        <v>6393</v>
      </c>
    </row>
    <row r="6303" spans="1:15" hidden="1" x14ac:dyDescent="0.45">
      <c r="A6303" s="187">
        <v>2023</v>
      </c>
      <c r="B6303" t="s">
        <v>316</v>
      </c>
      <c r="C6303" t="s">
        <v>323</v>
      </c>
      <c r="D6303" t="s">
        <v>35</v>
      </c>
      <c r="E6303" t="s">
        <v>349</v>
      </c>
      <c r="F6303" t="s">
        <v>393</v>
      </c>
      <c r="G6303" t="s">
        <v>36</v>
      </c>
      <c r="H6303" t="s">
        <v>43</v>
      </c>
      <c r="I6303" s="187">
        <v>22.029076772714181</v>
      </c>
      <c r="J6303" s="187"/>
      <c r="K6303" s="187">
        <v>18.032726109364521</v>
      </c>
      <c r="L6303" s="187">
        <v>0</v>
      </c>
      <c r="M6303" s="187">
        <v>40.061801910400391</v>
      </c>
      <c r="N6303" s="187">
        <v>22.029077529907227</v>
      </c>
      <c r="O6303" t="s">
        <v>6392</v>
      </c>
    </row>
    <row r="6304" spans="1:15" hidden="1" x14ac:dyDescent="0.45">
      <c r="A6304" s="187">
        <v>2023</v>
      </c>
      <c r="B6304" t="s">
        <v>8570</v>
      </c>
      <c r="C6304" t="s">
        <v>323</v>
      </c>
      <c r="D6304" t="s">
        <v>35</v>
      </c>
      <c r="E6304" t="s">
        <v>349</v>
      </c>
      <c r="F6304" t="s">
        <v>394</v>
      </c>
      <c r="G6304" t="s">
        <v>36</v>
      </c>
      <c r="H6304" t="s">
        <v>43</v>
      </c>
      <c r="I6304" s="187">
        <v>0</v>
      </c>
      <c r="J6304" s="187"/>
      <c r="K6304" s="187">
        <v>13.48274782840951</v>
      </c>
      <c r="L6304" s="187">
        <v>0</v>
      </c>
      <c r="M6304" s="187">
        <v>13.482748031616211</v>
      </c>
      <c r="N6304" s="187">
        <v>0</v>
      </c>
      <c r="O6304" t="s">
        <v>8938</v>
      </c>
    </row>
    <row r="6305" spans="1:15" hidden="1" x14ac:dyDescent="0.45">
      <c r="A6305" s="187">
        <v>2023</v>
      </c>
      <c r="B6305" t="s">
        <v>316</v>
      </c>
      <c r="C6305" t="s">
        <v>323</v>
      </c>
      <c r="D6305" t="s">
        <v>35</v>
      </c>
      <c r="E6305" t="s">
        <v>349</v>
      </c>
      <c r="F6305" t="s">
        <v>394</v>
      </c>
      <c r="G6305" t="s">
        <v>36</v>
      </c>
      <c r="H6305" t="s">
        <v>43</v>
      </c>
      <c r="I6305" s="187">
        <v>0</v>
      </c>
      <c r="J6305" s="187"/>
      <c r="K6305" s="187">
        <v>8.3382596736610086</v>
      </c>
      <c r="L6305" s="187">
        <v>0</v>
      </c>
      <c r="M6305" s="187">
        <v>8.3382596969604492</v>
      </c>
      <c r="N6305" s="187">
        <v>0</v>
      </c>
      <c r="O6305" t="s">
        <v>6396</v>
      </c>
    </row>
    <row r="6306" spans="1:15" hidden="1" x14ac:dyDescent="0.45">
      <c r="A6306" s="187">
        <v>2023</v>
      </c>
      <c r="B6306" t="s">
        <v>314</v>
      </c>
      <c r="C6306" t="s">
        <v>323</v>
      </c>
      <c r="D6306" t="s">
        <v>35</v>
      </c>
      <c r="E6306" t="s">
        <v>349</v>
      </c>
      <c r="F6306" t="s">
        <v>394</v>
      </c>
      <c r="G6306" t="s">
        <v>36</v>
      </c>
      <c r="H6306" t="s">
        <v>43</v>
      </c>
      <c r="I6306" s="187">
        <v>0</v>
      </c>
      <c r="J6306" s="187">
        <v>0</v>
      </c>
      <c r="K6306" s="187">
        <v>22.058584380513999</v>
      </c>
      <c r="L6306" s="187">
        <v>0</v>
      </c>
      <c r="M6306" s="187">
        <v>22.058584213256836</v>
      </c>
      <c r="N6306" s="187">
        <v>0</v>
      </c>
      <c r="O6306" t="s">
        <v>6397</v>
      </c>
    </row>
    <row r="6307" spans="1:15" hidden="1" x14ac:dyDescent="0.45">
      <c r="A6307" s="187">
        <v>2023</v>
      </c>
      <c r="B6307" t="s">
        <v>317</v>
      </c>
      <c r="C6307" t="s">
        <v>323</v>
      </c>
      <c r="D6307" t="s">
        <v>35</v>
      </c>
      <c r="E6307" t="s">
        <v>349</v>
      </c>
      <c r="F6307" t="s">
        <v>394</v>
      </c>
      <c r="G6307" t="s">
        <v>36</v>
      </c>
      <c r="H6307" t="s">
        <v>43</v>
      </c>
      <c r="I6307" s="187">
        <v>0</v>
      </c>
      <c r="J6307" s="187"/>
      <c r="K6307" s="187">
        <v>26.847751431042933</v>
      </c>
      <c r="L6307" s="187">
        <v>0</v>
      </c>
      <c r="M6307" s="187">
        <v>26.847751617431641</v>
      </c>
      <c r="N6307" s="187">
        <v>0</v>
      </c>
      <c r="O6307" t="s">
        <v>6399</v>
      </c>
    </row>
    <row r="6308" spans="1:15" hidden="1" x14ac:dyDescent="0.45">
      <c r="A6308" s="187">
        <v>2023</v>
      </c>
      <c r="B6308" t="s">
        <v>315</v>
      </c>
      <c r="C6308" t="s">
        <v>323</v>
      </c>
      <c r="D6308" t="s">
        <v>35</v>
      </c>
      <c r="E6308" t="s">
        <v>349</v>
      </c>
      <c r="F6308" t="s">
        <v>394</v>
      </c>
      <c r="G6308" t="s">
        <v>36</v>
      </c>
      <c r="H6308" t="s">
        <v>43</v>
      </c>
      <c r="I6308" s="187">
        <v>0</v>
      </c>
      <c r="J6308" s="187">
        <v>0</v>
      </c>
      <c r="K6308" s="187">
        <v>11.196752740118194</v>
      </c>
      <c r="L6308" s="187">
        <v>0</v>
      </c>
      <c r="M6308" s="187">
        <v>11.196752548217773</v>
      </c>
      <c r="N6308" s="187">
        <v>0</v>
      </c>
      <c r="O6308" t="s">
        <v>6398</v>
      </c>
    </row>
    <row r="6309" spans="1:15" hidden="1" x14ac:dyDescent="0.45">
      <c r="A6309" s="187">
        <v>2023</v>
      </c>
      <c r="B6309" t="s">
        <v>315</v>
      </c>
      <c r="C6309" t="s">
        <v>323</v>
      </c>
      <c r="D6309" t="s">
        <v>35</v>
      </c>
      <c r="E6309" t="s">
        <v>349</v>
      </c>
      <c r="F6309" t="s">
        <v>395</v>
      </c>
      <c r="G6309" t="s">
        <v>36</v>
      </c>
      <c r="H6309" t="s">
        <v>43</v>
      </c>
      <c r="I6309" s="187">
        <v>0</v>
      </c>
      <c r="J6309" s="187">
        <v>0</v>
      </c>
      <c r="K6309" s="187">
        <v>6.5599162542346184E-2</v>
      </c>
      <c r="L6309" s="187">
        <v>60.038264117805099</v>
      </c>
      <c r="M6309" s="187">
        <v>60.103862762451172</v>
      </c>
      <c r="N6309" s="187">
        <v>60.038265228271484</v>
      </c>
      <c r="O6309" t="s">
        <v>6400</v>
      </c>
    </row>
    <row r="6310" spans="1:15" hidden="1" x14ac:dyDescent="0.45">
      <c r="A6310" s="187">
        <v>2023</v>
      </c>
      <c r="B6310" t="s">
        <v>314</v>
      </c>
      <c r="C6310" t="s">
        <v>323</v>
      </c>
      <c r="D6310" t="s">
        <v>35</v>
      </c>
      <c r="E6310" t="s">
        <v>349</v>
      </c>
      <c r="F6310" t="s">
        <v>395</v>
      </c>
      <c r="G6310" t="s">
        <v>36</v>
      </c>
      <c r="H6310" t="s">
        <v>43</v>
      </c>
      <c r="I6310" s="187">
        <v>0</v>
      </c>
      <c r="J6310" s="187">
        <v>0</v>
      </c>
      <c r="K6310" s="187">
        <v>0.10830131767128842</v>
      </c>
      <c r="L6310" s="187">
        <v>58.241033054944985</v>
      </c>
      <c r="M6310" s="187">
        <v>58.349334716796875</v>
      </c>
      <c r="N6310" s="187">
        <v>58.241031646728516</v>
      </c>
      <c r="O6310" t="s">
        <v>6401</v>
      </c>
    </row>
    <row r="6311" spans="1:15" hidden="1" x14ac:dyDescent="0.45">
      <c r="A6311" s="187">
        <v>2023</v>
      </c>
      <c r="B6311" t="s">
        <v>317</v>
      </c>
      <c r="C6311" t="s">
        <v>323</v>
      </c>
      <c r="D6311" t="s">
        <v>35</v>
      </c>
      <c r="E6311" t="s">
        <v>349</v>
      </c>
      <c r="F6311" t="s">
        <v>395</v>
      </c>
      <c r="G6311" t="s">
        <v>36</v>
      </c>
      <c r="H6311" t="s">
        <v>43</v>
      </c>
      <c r="I6311" s="187">
        <v>0</v>
      </c>
      <c r="J6311" s="187"/>
      <c r="K6311" s="187">
        <v>0.22367745191479319</v>
      </c>
      <c r="L6311" s="187">
        <v>687.20378485670892</v>
      </c>
      <c r="M6311" s="187">
        <v>687.427490234375</v>
      </c>
      <c r="N6311" s="187">
        <v>687.20379638671875</v>
      </c>
      <c r="O6311" t="s">
        <v>6403</v>
      </c>
    </row>
    <row r="6312" spans="1:15" hidden="1" x14ac:dyDescent="0.45">
      <c r="A6312" s="187">
        <v>2023</v>
      </c>
      <c r="B6312" t="s">
        <v>316</v>
      </c>
      <c r="C6312" t="s">
        <v>323</v>
      </c>
      <c r="D6312" t="s">
        <v>35</v>
      </c>
      <c r="E6312" t="s">
        <v>349</v>
      </c>
      <c r="F6312" t="s">
        <v>395</v>
      </c>
      <c r="G6312" t="s">
        <v>36</v>
      </c>
      <c r="H6312" t="s">
        <v>43</v>
      </c>
      <c r="I6312" s="187">
        <v>0</v>
      </c>
      <c r="J6312" s="187"/>
      <c r="K6312" s="187">
        <v>106.4728719316615</v>
      </c>
      <c r="L6312" s="187">
        <v>58.377053447692582</v>
      </c>
      <c r="M6312" s="187">
        <v>164.84992980957031</v>
      </c>
      <c r="N6312" s="187">
        <v>58.377052307128906</v>
      </c>
      <c r="O6312" t="s">
        <v>6402</v>
      </c>
    </row>
    <row r="6313" spans="1:15" hidden="1" x14ac:dyDescent="0.45">
      <c r="A6313" s="187">
        <v>2023</v>
      </c>
      <c r="B6313" t="s">
        <v>8570</v>
      </c>
      <c r="C6313" t="s">
        <v>323</v>
      </c>
      <c r="D6313" t="s">
        <v>35</v>
      </c>
      <c r="E6313" t="s">
        <v>349</v>
      </c>
      <c r="F6313" t="s">
        <v>395</v>
      </c>
      <c r="G6313" t="s">
        <v>36</v>
      </c>
      <c r="H6313" t="s">
        <v>43</v>
      </c>
      <c r="I6313" s="187">
        <v>0</v>
      </c>
      <c r="J6313" s="187"/>
      <c r="K6313" s="187">
        <v>441.16482303476357</v>
      </c>
      <c r="L6313" s="187">
        <v>581</v>
      </c>
      <c r="M6313" s="187">
        <v>1022.164794921875</v>
      </c>
      <c r="N6313" s="187">
        <v>581</v>
      </c>
      <c r="O6313" t="s">
        <v>8939</v>
      </c>
    </row>
    <row r="6314" spans="1:15" hidden="1" x14ac:dyDescent="0.45">
      <c r="A6314" s="187">
        <v>2023</v>
      </c>
      <c r="B6314" t="s">
        <v>315</v>
      </c>
      <c r="C6314" t="s">
        <v>323</v>
      </c>
      <c r="D6314" t="s">
        <v>35</v>
      </c>
      <c r="E6314" t="s">
        <v>349</v>
      </c>
      <c r="F6314" t="s">
        <v>396</v>
      </c>
      <c r="G6314" t="s">
        <v>36</v>
      </c>
      <c r="H6314" t="s">
        <v>43</v>
      </c>
      <c r="I6314" s="187">
        <v>249.2154359607004</v>
      </c>
      <c r="J6314" s="187">
        <v>5.6639871809250089</v>
      </c>
      <c r="K6314" s="187">
        <v>886.65736362447876</v>
      </c>
      <c r="L6314" s="187">
        <v>508.62604884706582</v>
      </c>
      <c r="M6314" s="187">
        <v>1650.162841796875</v>
      </c>
      <c r="N6314" s="187">
        <v>757.84149169921875</v>
      </c>
      <c r="O6314" t="s">
        <v>6404</v>
      </c>
    </row>
    <row r="6315" spans="1:15" hidden="1" x14ac:dyDescent="0.45">
      <c r="A6315" s="187">
        <v>2023</v>
      </c>
      <c r="B6315" t="s">
        <v>8570</v>
      </c>
      <c r="C6315" t="s">
        <v>323</v>
      </c>
      <c r="D6315" t="s">
        <v>35</v>
      </c>
      <c r="E6315" t="s">
        <v>349</v>
      </c>
      <c r="F6315" t="s">
        <v>396</v>
      </c>
      <c r="G6315" t="s">
        <v>36</v>
      </c>
      <c r="H6315" t="s">
        <v>43</v>
      </c>
      <c r="I6315" s="187">
        <v>284.27886608</v>
      </c>
      <c r="J6315" s="187"/>
      <c r="K6315" s="187">
        <v>1606.174818725515</v>
      </c>
      <c r="L6315" s="187">
        <v>357</v>
      </c>
      <c r="M6315" s="187">
        <v>2247.45361328125</v>
      </c>
      <c r="N6315" s="187">
        <v>641.27886962890625</v>
      </c>
      <c r="O6315" t="s">
        <v>8940</v>
      </c>
    </row>
    <row r="6316" spans="1:15" hidden="1" x14ac:dyDescent="0.45">
      <c r="A6316" s="187">
        <v>2023</v>
      </c>
      <c r="B6316" t="s">
        <v>317</v>
      </c>
      <c r="C6316" t="s">
        <v>323</v>
      </c>
      <c r="D6316" t="s">
        <v>35</v>
      </c>
      <c r="E6316" t="s">
        <v>349</v>
      </c>
      <c r="F6316" t="s">
        <v>396</v>
      </c>
      <c r="G6316" t="s">
        <v>36</v>
      </c>
      <c r="H6316" t="s">
        <v>43</v>
      </c>
      <c r="I6316" s="187">
        <v>216.10181913732987</v>
      </c>
      <c r="J6316" s="187">
        <v>10.805090956866493</v>
      </c>
      <c r="K6316" s="187">
        <v>296.61072015160619</v>
      </c>
      <c r="L6316" s="187">
        <v>664.51309384728938</v>
      </c>
      <c r="M6316" s="187">
        <v>1188.03076171875</v>
      </c>
      <c r="N6316" s="187">
        <v>880.61492919921875</v>
      </c>
      <c r="O6316" t="s">
        <v>6405</v>
      </c>
    </row>
    <row r="6317" spans="1:15" hidden="1" x14ac:dyDescent="0.45">
      <c r="A6317" s="187">
        <v>2023</v>
      </c>
      <c r="B6317" t="s">
        <v>316</v>
      </c>
      <c r="C6317" t="s">
        <v>323</v>
      </c>
      <c r="D6317" t="s">
        <v>35</v>
      </c>
      <c r="E6317" t="s">
        <v>349</v>
      </c>
      <c r="F6317" t="s">
        <v>396</v>
      </c>
      <c r="G6317" t="s">
        <v>36</v>
      </c>
      <c r="H6317" t="s">
        <v>43</v>
      </c>
      <c r="I6317" s="187">
        <v>247.19047337430308</v>
      </c>
      <c r="J6317" s="187">
        <v>11.01453838635709</v>
      </c>
      <c r="K6317" s="187">
        <v>760.6652622054238</v>
      </c>
      <c r="L6317" s="187">
        <v>606.90106508827569</v>
      </c>
      <c r="M6317" s="187">
        <v>1625.7713623046875</v>
      </c>
      <c r="N6317" s="187">
        <v>854.091552734375</v>
      </c>
      <c r="O6317" t="s">
        <v>6407</v>
      </c>
    </row>
    <row r="6318" spans="1:15" hidden="1" x14ac:dyDescent="0.45">
      <c r="A6318" s="187">
        <v>2023</v>
      </c>
      <c r="B6318" t="s">
        <v>314</v>
      </c>
      <c r="C6318" t="s">
        <v>323</v>
      </c>
      <c r="D6318" t="s">
        <v>35</v>
      </c>
      <c r="E6318" t="s">
        <v>349</v>
      </c>
      <c r="F6318" t="s">
        <v>396</v>
      </c>
      <c r="G6318" t="s">
        <v>36</v>
      </c>
      <c r="H6318" t="s">
        <v>43</v>
      </c>
      <c r="I6318" s="187">
        <v>256.26054544175793</v>
      </c>
      <c r="J6318" s="187">
        <v>0</v>
      </c>
      <c r="K6318" s="187">
        <v>1164.1386483915539</v>
      </c>
      <c r="L6318" s="187">
        <v>362.25922560175781</v>
      </c>
      <c r="M6318" s="187">
        <v>1782.658447265625</v>
      </c>
      <c r="N6318" s="187">
        <v>618.519775390625</v>
      </c>
      <c r="O6318" t="s">
        <v>6406</v>
      </c>
    </row>
    <row r="6319" spans="1:15" hidden="1" x14ac:dyDescent="0.45">
      <c r="A6319" s="187">
        <v>2023</v>
      </c>
      <c r="B6319" t="s">
        <v>317</v>
      </c>
      <c r="C6319" t="s">
        <v>323</v>
      </c>
      <c r="D6319" t="s">
        <v>35</v>
      </c>
      <c r="E6319" t="s">
        <v>349</v>
      </c>
      <c r="F6319" t="s">
        <v>397</v>
      </c>
      <c r="G6319" t="s">
        <v>36</v>
      </c>
      <c r="H6319" t="s">
        <v>43</v>
      </c>
      <c r="I6319" s="187">
        <v>0</v>
      </c>
      <c r="J6319" s="187"/>
      <c r="K6319" s="187">
        <v>6.6704150313082342E-2</v>
      </c>
      <c r="L6319" s="187">
        <v>0</v>
      </c>
      <c r="M6319" s="187">
        <v>6.6704154014587402E-2</v>
      </c>
      <c r="N6319" s="187">
        <v>0</v>
      </c>
      <c r="O6319" t="s">
        <v>6409</v>
      </c>
    </row>
    <row r="6320" spans="1:15" hidden="1" x14ac:dyDescent="0.45">
      <c r="A6320" s="187">
        <v>2023</v>
      </c>
      <c r="B6320" t="s">
        <v>8570</v>
      </c>
      <c r="C6320" t="s">
        <v>323</v>
      </c>
      <c r="D6320" t="s">
        <v>35</v>
      </c>
      <c r="E6320" t="s">
        <v>349</v>
      </c>
      <c r="F6320" t="s">
        <v>397</v>
      </c>
      <c r="G6320" t="s">
        <v>36</v>
      </c>
      <c r="H6320" t="s">
        <v>43</v>
      </c>
      <c r="I6320" s="187">
        <v>0</v>
      </c>
      <c r="J6320" s="187"/>
      <c r="K6320" s="187">
        <v>3.1758476932333503E-2</v>
      </c>
      <c r="L6320" s="187">
        <v>0</v>
      </c>
      <c r="M6320" s="187">
        <v>3.1758476048707962E-2</v>
      </c>
      <c r="N6320" s="187">
        <v>0</v>
      </c>
      <c r="O6320" t="s">
        <v>8941</v>
      </c>
    </row>
    <row r="6321" spans="1:15" hidden="1" x14ac:dyDescent="0.45">
      <c r="A6321" s="187">
        <v>2023</v>
      </c>
      <c r="B6321" t="s">
        <v>314</v>
      </c>
      <c r="C6321" t="s">
        <v>323</v>
      </c>
      <c r="D6321" t="s">
        <v>35</v>
      </c>
      <c r="E6321" t="s">
        <v>349</v>
      </c>
      <c r="F6321" t="s">
        <v>397</v>
      </c>
      <c r="G6321" t="s">
        <v>36</v>
      </c>
      <c r="H6321" t="s">
        <v>43</v>
      </c>
      <c r="I6321" s="187">
        <v>0</v>
      </c>
      <c r="J6321" s="187">
        <v>0</v>
      </c>
      <c r="K6321" s="187">
        <v>0.13637462090867603</v>
      </c>
      <c r="L6321" s="187"/>
      <c r="M6321" s="187">
        <v>0.13637462258338928</v>
      </c>
      <c r="N6321" s="187">
        <v>0</v>
      </c>
      <c r="O6321" t="s">
        <v>6411</v>
      </c>
    </row>
    <row r="6322" spans="1:15" hidden="1" x14ac:dyDescent="0.45">
      <c r="A6322" s="187">
        <v>2023</v>
      </c>
      <c r="B6322" t="s">
        <v>315</v>
      </c>
      <c r="C6322" t="s">
        <v>323</v>
      </c>
      <c r="D6322" t="s">
        <v>35</v>
      </c>
      <c r="E6322" t="s">
        <v>349</v>
      </c>
      <c r="F6322" t="s">
        <v>397</v>
      </c>
      <c r="G6322" t="s">
        <v>36</v>
      </c>
      <c r="H6322" t="s">
        <v>43</v>
      </c>
      <c r="I6322" s="187">
        <v>0</v>
      </c>
      <c r="J6322" s="187">
        <v>0</v>
      </c>
      <c r="K6322" s="187">
        <v>6.1002918687030498E-2</v>
      </c>
      <c r="L6322" s="187">
        <v>0</v>
      </c>
      <c r="M6322" s="187">
        <v>6.1002917587757111E-2</v>
      </c>
      <c r="N6322" s="187">
        <v>0</v>
      </c>
      <c r="O6322" t="s">
        <v>6408</v>
      </c>
    </row>
    <row r="6323" spans="1:15" hidden="1" x14ac:dyDescent="0.45">
      <c r="A6323" s="187">
        <v>2023</v>
      </c>
      <c r="B6323" t="s">
        <v>316</v>
      </c>
      <c r="C6323" t="s">
        <v>323</v>
      </c>
      <c r="D6323" t="s">
        <v>35</v>
      </c>
      <c r="E6323" t="s">
        <v>349</v>
      </c>
      <c r="F6323" t="s">
        <v>397</v>
      </c>
      <c r="G6323" t="s">
        <v>36</v>
      </c>
      <c r="H6323" t="s">
        <v>43</v>
      </c>
      <c r="I6323" s="187">
        <v>0</v>
      </c>
      <c r="J6323" s="187"/>
      <c r="K6323" s="187">
        <v>3.097801623952964E-2</v>
      </c>
      <c r="L6323" s="187">
        <v>0</v>
      </c>
      <c r="M6323" s="187">
        <v>3.0978016555309296E-2</v>
      </c>
      <c r="N6323" s="187">
        <v>0</v>
      </c>
      <c r="O6323" t="s">
        <v>6410</v>
      </c>
    </row>
    <row r="6324" spans="1:15" hidden="1" x14ac:dyDescent="0.45">
      <c r="A6324" s="187">
        <v>2023</v>
      </c>
      <c r="B6324" t="s">
        <v>314</v>
      </c>
      <c r="C6324" t="s">
        <v>323</v>
      </c>
      <c r="D6324" t="s">
        <v>35</v>
      </c>
      <c r="E6324" t="s">
        <v>349</v>
      </c>
      <c r="F6324" t="s">
        <v>398</v>
      </c>
      <c r="G6324" t="s">
        <v>36</v>
      </c>
      <c r="H6324" t="s">
        <v>43</v>
      </c>
      <c r="I6324" s="187">
        <v>0</v>
      </c>
      <c r="J6324" s="187">
        <v>506.69698757802138</v>
      </c>
      <c r="K6324" s="187">
        <v>14.877243861136437</v>
      </c>
      <c r="L6324" s="187">
        <v>0</v>
      </c>
      <c r="M6324" s="187">
        <v>521.57421875</v>
      </c>
      <c r="N6324" s="187">
        <v>0</v>
      </c>
      <c r="O6324" t="s">
        <v>6415</v>
      </c>
    </row>
    <row r="6325" spans="1:15" hidden="1" x14ac:dyDescent="0.45">
      <c r="A6325" s="187">
        <v>2023</v>
      </c>
      <c r="B6325" t="s">
        <v>8570</v>
      </c>
      <c r="C6325" t="s">
        <v>323</v>
      </c>
      <c r="D6325" t="s">
        <v>35</v>
      </c>
      <c r="E6325" t="s">
        <v>349</v>
      </c>
      <c r="F6325" t="s">
        <v>398</v>
      </c>
      <c r="G6325" t="s">
        <v>36</v>
      </c>
      <c r="H6325" t="s">
        <v>43</v>
      </c>
      <c r="I6325" s="187">
        <v>0</v>
      </c>
      <c r="J6325" s="187">
        <v>80</v>
      </c>
      <c r="K6325" s="187">
        <v>2.2738046088395372</v>
      </c>
      <c r="L6325" s="187">
        <v>0</v>
      </c>
      <c r="M6325" s="187">
        <v>82.2738037109375</v>
      </c>
      <c r="N6325" s="187">
        <v>0</v>
      </c>
      <c r="O6325" t="s">
        <v>8942</v>
      </c>
    </row>
    <row r="6326" spans="1:15" hidden="1" x14ac:dyDescent="0.45">
      <c r="A6326" s="187">
        <v>2023</v>
      </c>
      <c r="B6326" t="s">
        <v>316</v>
      </c>
      <c r="C6326" t="s">
        <v>323</v>
      </c>
      <c r="D6326" t="s">
        <v>35</v>
      </c>
      <c r="E6326" t="s">
        <v>349</v>
      </c>
      <c r="F6326" t="s">
        <v>398</v>
      </c>
      <c r="G6326" t="s">
        <v>36</v>
      </c>
      <c r="H6326" t="s">
        <v>43</v>
      </c>
      <c r="I6326" s="187">
        <v>0</v>
      </c>
      <c r="J6326" s="187">
        <v>523.1905733519618</v>
      </c>
      <c r="K6326" s="187">
        <v>2.8944960808249673</v>
      </c>
      <c r="L6326" s="187">
        <v>0</v>
      </c>
      <c r="M6326" s="187">
        <v>526.08502197265625</v>
      </c>
      <c r="N6326" s="187">
        <v>0</v>
      </c>
      <c r="O6326" t="s">
        <v>6414</v>
      </c>
    </row>
    <row r="6327" spans="1:15" hidden="1" x14ac:dyDescent="0.45">
      <c r="A6327" s="187">
        <v>2023</v>
      </c>
      <c r="B6327" t="s">
        <v>315</v>
      </c>
      <c r="C6327" t="s">
        <v>323</v>
      </c>
      <c r="D6327" t="s">
        <v>35</v>
      </c>
      <c r="E6327" t="s">
        <v>349</v>
      </c>
      <c r="F6327" t="s">
        <v>398</v>
      </c>
      <c r="G6327" t="s">
        <v>36</v>
      </c>
      <c r="H6327" t="s">
        <v>43</v>
      </c>
      <c r="I6327" s="187">
        <v>0</v>
      </c>
      <c r="J6327" s="187">
        <v>424.79903856937568</v>
      </c>
      <c r="K6327" s="187">
        <v>6.222784830120677</v>
      </c>
      <c r="L6327" s="187">
        <v>0</v>
      </c>
      <c r="M6327" s="187">
        <v>431.02182006835938</v>
      </c>
      <c r="N6327" s="187">
        <v>0</v>
      </c>
      <c r="O6327" t="s">
        <v>6412</v>
      </c>
    </row>
    <row r="6328" spans="1:15" hidden="1" x14ac:dyDescent="0.45">
      <c r="A6328" s="187">
        <v>2023</v>
      </c>
      <c r="B6328" t="s">
        <v>317</v>
      </c>
      <c r="C6328" t="s">
        <v>323</v>
      </c>
      <c r="D6328" t="s">
        <v>35</v>
      </c>
      <c r="E6328" t="s">
        <v>349</v>
      </c>
      <c r="F6328" t="s">
        <v>398</v>
      </c>
      <c r="G6328" t="s">
        <v>36</v>
      </c>
      <c r="H6328" t="s">
        <v>43</v>
      </c>
      <c r="I6328" s="187">
        <v>0</v>
      </c>
      <c r="J6328" s="187">
        <v>513.24182045115845</v>
      </c>
      <c r="K6328" s="187">
        <v>6.2091689537116848</v>
      </c>
      <c r="L6328" s="187">
        <v>0</v>
      </c>
      <c r="M6328" s="187">
        <v>519.45098876953125</v>
      </c>
      <c r="N6328" s="187">
        <v>0</v>
      </c>
      <c r="O6328" t="s">
        <v>6413</v>
      </c>
    </row>
    <row r="6329" spans="1:15" hidden="1" x14ac:dyDescent="0.45">
      <c r="A6329" s="187">
        <v>2023</v>
      </c>
      <c r="B6329" t="s">
        <v>314</v>
      </c>
      <c r="C6329" t="s">
        <v>323</v>
      </c>
      <c r="D6329" t="s">
        <v>35</v>
      </c>
      <c r="E6329" t="s">
        <v>349</v>
      </c>
      <c r="F6329" t="s">
        <v>399</v>
      </c>
      <c r="G6329" t="s">
        <v>36</v>
      </c>
      <c r="H6329" t="s">
        <v>43</v>
      </c>
      <c r="I6329" s="187">
        <v>0</v>
      </c>
      <c r="J6329" s="187">
        <v>349.44619832966993</v>
      </c>
      <c r="K6329" s="187">
        <v>10.288682069649086</v>
      </c>
      <c r="L6329" s="187"/>
      <c r="M6329" s="187">
        <v>359.73489379882813</v>
      </c>
      <c r="N6329" s="187">
        <v>0</v>
      </c>
      <c r="O6329" t="s">
        <v>6418</v>
      </c>
    </row>
    <row r="6330" spans="1:15" hidden="1" x14ac:dyDescent="0.45">
      <c r="A6330" s="187">
        <v>2023</v>
      </c>
      <c r="B6330" t="s">
        <v>316</v>
      </c>
      <c r="C6330" t="s">
        <v>323</v>
      </c>
      <c r="D6330" t="s">
        <v>35</v>
      </c>
      <c r="E6330" t="s">
        <v>349</v>
      </c>
      <c r="F6330" t="s">
        <v>399</v>
      </c>
      <c r="G6330" t="s">
        <v>36</v>
      </c>
      <c r="H6330" t="s">
        <v>43</v>
      </c>
      <c r="I6330" s="187">
        <v>0</v>
      </c>
      <c r="J6330" s="187">
        <v>468.11788142017633</v>
      </c>
      <c r="K6330" s="187">
        <v>1.9530110464929213</v>
      </c>
      <c r="L6330" s="187">
        <v>0</v>
      </c>
      <c r="M6330" s="187">
        <v>470.07089233398438</v>
      </c>
      <c r="N6330" s="187">
        <v>0</v>
      </c>
      <c r="O6330" t="s">
        <v>6416</v>
      </c>
    </row>
    <row r="6331" spans="1:15" hidden="1" x14ac:dyDescent="0.45">
      <c r="A6331" s="187">
        <v>2023</v>
      </c>
      <c r="B6331" t="s">
        <v>315</v>
      </c>
      <c r="C6331" t="s">
        <v>323</v>
      </c>
      <c r="D6331" t="s">
        <v>35</v>
      </c>
      <c r="E6331" t="s">
        <v>349</v>
      </c>
      <c r="F6331" t="s">
        <v>399</v>
      </c>
      <c r="G6331" t="s">
        <v>36</v>
      </c>
      <c r="H6331" t="s">
        <v>43</v>
      </c>
      <c r="I6331" s="187">
        <v>0</v>
      </c>
      <c r="J6331" s="187">
        <v>300.19132058902545</v>
      </c>
      <c r="K6331" s="187">
        <v>4.2253888960837251</v>
      </c>
      <c r="L6331" s="187">
        <v>0</v>
      </c>
      <c r="M6331" s="187">
        <v>304.41671752929688</v>
      </c>
      <c r="N6331" s="187">
        <v>0</v>
      </c>
      <c r="O6331" t="s">
        <v>6417</v>
      </c>
    </row>
    <row r="6332" spans="1:15" hidden="1" x14ac:dyDescent="0.45">
      <c r="A6332" s="187">
        <v>2023</v>
      </c>
      <c r="B6332" t="s">
        <v>8570</v>
      </c>
      <c r="C6332" t="s">
        <v>323</v>
      </c>
      <c r="D6332" t="s">
        <v>35</v>
      </c>
      <c r="E6332" t="s">
        <v>349</v>
      </c>
      <c r="F6332" t="s">
        <v>399</v>
      </c>
      <c r="G6332" t="s">
        <v>36</v>
      </c>
      <c r="H6332" t="s">
        <v>43</v>
      </c>
      <c r="I6332" s="187">
        <v>0</v>
      </c>
      <c r="J6332" s="187">
        <v>80</v>
      </c>
      <c r="K6332" s="187">
        <v>1.5060854613014001</v>
      </c>
      <c r="L6332" s="187">
        <v>0</v>
      </c>
      <c r="M6332" s="187">
        <v>81.506088256835938</v>
      </c>
      <c r="N6332" s="187">
        <v>0</v>
      </c>
      <c r="O6332" t="s">
        <v>8943</v>
      </c>
    </row>
    <row r="6333" spans="1:15" hidden="1" x14ac:dyDescent="0.45">
      <c r="A6333" s="187">
        <v>2023</v>
      </c>
      <c r="B6333" t="s">
        <v>317</v>
      </c>
      <c r="C6333" t="s">
        <v>323</v>
      </c>
      <c r="D6333" t="s">
        <v>35</v>
      </c>
      <c r="E6333" t="s">
        <v>349</v>
      </c>
      <c r="F6333" t="s">
        <v>399</v>
      </c>
      <c r="G6333" t="s">
        <v>36</v>
      </c>
      <c r="H6333" t="s">
        <v>43</v>
      </c>
      <c r="I6333" s="187">
        <v>0</v>
      </c>
      <c r="J6333" s="187">
        <v>459.21636566682594</v>
      </c>
      <c r="K6333" s="187">
        <v>4.1636001845295203</v>
      </c>
      <c r="L6333" s="187">
        <v>0</v>
      </c>
      <c r="M6333" s="187">
        <v>463.37997436523438</v>
      </c>
      <c r="N6333" s="187">
        <v>0</v>
      </c>
      <c r="O6333" t="s">
        <v>6419</v>
      </c>
    </row>
    <row r="6334" spans="1:15" hidden="1" x14ac:dyDescent="0.45">
      <c r="A6334" s="187">
        <v>2023</v>
      </c>
      <c r="B6334" t="s">
        <v>317</v>
      </c>
      <c r="C6334" t="s">
        <v>323</v>
      </c>
      <c r="D6334" t="s">
        <v>35</v>
      </c>
      <c r="E6334" t="s">
        <v>349</v>
      </c>
      <c r="F6334" t="s">
        <v>400</v>
      </c>
      <c r="G6334" t="s">
        <v>36</v>
      </c>
      <c r="H6334" t="s">
        <v>43</v>
      </c>
      <c r="I6334" s="187">
        <v>0</v>
      </c>
      <c r="J6334" s="187">
        <v>54.025454784332467</v>
      </c>
      <c r="K6334" s="187">
        <v>1.9625142667119557</v>
      </c>
      <c r="L6334" s="187">
        <v>0</v>
      </c>
      <c r="M6334" s="187">
        <v>55.987968444824219</v>
      </c>
      <c r="N6334" s="187">
        <v>0</v>
      </c>
      <c r="O6334" t="s">
        <v>6423</v>
      </c>
    </row>
    <row r="6335" spans="1:15" hidden="1" x14ac:dyDescent="0.45">
      <c r="A6335" s="187">
        <v>2023</v>
      </c>
      <c r="B6335" t="s">
        <v>316</v>
      </c>
      <c r="C6335" t="s">
        <v>323</v>
      </c>
      <c r="D6335" t="s">
        <v>35</v>
      </c>
      <c r="E6335" t="s">
        <v>349</v>
      </c>
      <c r="F6335" t="s">
        <v>400</v>
      </c>
      <c r="G6335" t="s">
        <v>36</v>
      </c>
      <c r="H6335" t="s">
        <v>43</v>
      </c>
      <c r="I6335" s="187">
        <v>0</v>
      </c>
      <c r="J6335" s="187">
        <v>55.07269193178545</v>
      </c>
      <c r="K6335" s="187">
        <v>0.90306441479913757</v>
      </c>
      <c r="L6335" s="187">
        <v>0</v>
      </c>
      <c r="M6335" s="187">
        <v>55.975757598876953</v>
      </c>
      <c r="N6335" s="187">
        <v>0</v>
      </c>
      <c r="O6335" t="s">
        <v>6420</v>
      </c>
    </row>
    <row r="6336" spans="1:15" hidden="1" x14ac:dyDescent="0.45">
      <c r="A6336" s="187">
        <v>2023</v>
      </c>
      <c r="B6336" t="s">
        <v>8570</v>
      </c>
      <c r="C6336" t="s">
        <v>323</v>
      </c>
      <c r="D6336" t="s">
        <v>35</v>
      </c>
      <c r="E6336" t="s">
        <v>349</v>
      </c>
      <c r="F6336" t="s">
        <v>400</v>
      </c>
      <c r="G6336" t="s">
        <v>36</v>
      </c>
      <c r="H6336" t="s">
        <v>43</v>
      </c>
      <c r="I6336" s="187">
        <v>0</v>
      </c>
      <c r="J6336" s="187">
        <v>0</v>
      </c>
      <c r="K6336" s="187">
        <v>0.73011269828932401</v>
      </c>
      <c r="L6336" s="187">
        <v>0</v>
      </c>
      <c r="M6336" s="187">
        <v>0.73011267185211182</v>
      </c>
      <c r="N6336" s="187">
        <v>0</v>
      </c>
      <c r="O6336" t="s">
        <v>8944</v>
      </c>
    </row>
    <row r="6337" spans="1:15" hidden="1" x14ac:dyDescent="0.45">
      <c r="A6337" s="187">
        <v>2023</v>
      </c>
      <c r="B6337" t="s">
        <v>314</v>
      </c>
      <c r="C6337" t="s">
        <v>323</v>
      </c>
      <c r="D6337" t="s">
        <v>35</v>
      </c>
      <c r="E6337" t="s">
        <v>349</v>
      </c>
      <c r="F6337" t="s">
        <v>400</v>
      </c>
      <c r="G6337" t="s">
        <v>36</v>
      </c>
      <c r="H6337" t="s">
        <v>43</v>
      </c>
      <c r="I6337" s="187">
        <v>0</v>
      </c>
      <c r="J6337" s="187">
        <v>157.25078924835148</v>
      </c>
      <c r="K6337" s="187">
        <v>4.4304350063974756</v>
      </c>
      <c r="L6337" s="187"/>
      <c r="M6337" s="187">
        <v>161.68122863769531</v>
      </c>
      <c r="N6337" s="187">
        <v>0</v>
      </c>
      <c r="O6337" t="s">
        <v>6421</v>
      </c>
    </row>
    <row r="6338" spans="1:15" hidden="1" x14ac:dyDescent="0.45">
      <c r="A6338" s="187">
        <v>2023</v>
      </c>
      <c r="B6338" t="s">
        <v>315</v>
      </c>
      <c r="C6338" t="s">
        <v>323</v>
      </c>
      <c r="D6338" t="s">
        <v>35</v>
      </c>
      <c r="E6338" t="s">
        <v>349</v>
      </c>
      <c r="F6338" t="s">
        <v>400</v>
      </c>
      <c r="G6338" t="s">
        <v>36</v>
      </c>
      <c r="H6338" t="s">
        <v>43</v>
      </c>
      <c r="I6338" s="187">
        <v>0</v>
      </c>
      <c r="J6338" s="187">
        <v>124.6077179803502</v>
      </c>
      <c r="K6338" s="187">
        <v>1.9251142201872709</v>
      </c>
      <c r="L6338" s="187">
        <v>0</v>
      </c>
      <c r="M6338" s="187">
        <v>126.5328369140625</v>
      </c>
      <c r="N6338" s="187">
        <v>0</v>
      </c>
      <c r="O6338" t="s">
        <v>6422</v>
      </c>
    </row>
    <row r="6339" spans="1:15" hidden="1" x14ac:dyDescent="0.45">
      <c r="A6339" s="187">
        <v>2023</v>
      </c>
      <c r="B6339" t="s">
        <v>314</v>
      </c>
      <c r="C6339" t="s">
        <v>323</v>
      </c>
      <c r="D6339" t="s">
        <v>35</v>
      </c>
      <c r="E6339" t="s">
        <v>349</v>
      </c>
      <c r="F6339" t="s">
        <v>401</v>
      </c>
      <c r="G6339" t="s">
        <v>36</v>
      </c>
      <c r="H6339" t="s">
        <v>43</v>
      </c>
      <c r="I6339" s="187">
        <v>0</v>
      </c>
      <c r="J6339" s="187">
        <v>0</v>
      </c>
      <c r="K6339" s="187">
        <v>2.1752164181202537E-2</v>
      </c>
      <c r="L6339" s="187"/>
      <c r="M6339" s="187">
        <v>2.1752163767814636E-2</v>
      </c>
      <c r="N6339" s="187">
        <v>0</v>
      </c>
      <c r="O6339" t="s">
        <v>6425</v>
      </c>
    </row>
    <row r="6340" spans="1:15" hidden="1" x14ac:dyDescent="0.45">
      <c r="A6340" s="187">
        <v>2023</v>
      </c>
      <c r="B6340" t="s">
        <v>8570</v>
      </c>
      <c r="C6340" t="s">
        <v>323</v>
      </c>
      <c r="D6340" t="s">
        <v>35</v>
      </c>
      <c r="E6340" t="s">
        <v>349</v>
      </c>
      <c r="F6340" t="s">
        <v>401</v>
      </c>
      <c r="G6340" t="s">
        <v>36</v>
      </c>
      <c r="H6340" t="s">
        <v>43</v>
      </c>
      <c r="I6340" s="187">
        <v>0</v>
      </c>
      <c r="J6340" s="187"/>
      <c r="K6340" s="187">
        <v>5.8479723164790998E-3</v>
      </c>
      <c r="L6340" s="187">
        <v>0</v>
      </c>
      <c r="M6340" s="187">
        <v>5.8479723520576954E-3</v>
      </c>
      <c r="N6340" s="187">
        <v>0</v>
      </c>
      <c r="O6340" t="s">
        <v>8945</v>
      </c>
    </row>
    <row r="6341" spans="1:15" hidden="1" x14ac:dyDescent="0.45">
      <c r="A6341" s="187">
        <v>2023</v>
      </c>
      <c r="B6341" t="s">
        <v>316</v>
      </c>
      <c r="C6341" t="s">
        <v>323</v>
      </c>
      <c r="D6341" t="s">
        <v>35</v>
      </c>
      <c r="E6341" t="s">
        <v>349</v>
      </c>
      <c r="F6341" t="s">
        <v>401</v>
      </c>
      <c r="G6341" t="s">
        <v>36</v>
      </c>
      <c r="H6341" t="s">
        <v>43</v>
      </c>
      <c r="I6341" s="187">
        <v>0</v>
      </c>
      <c r="J6341" s="187"/>
      <c r="K6341" s="187">
        <v>7.4426032933788628E-3</v>
      </c>
      <c r="L6341" s="187">
        <v>0</v>
      </c>
      <c r="M6341" s="187">
        <v>7.4426033534109592E-3</v>
      </c>
      <c r="N6341" s="187">
        <v>0</v>
      </c>
      <c r="O6341" t="s">
        <v>6427</v>
      </c>
    </row>
    <row r="6342" spans="1:15" hidden="1" x14ac:dyDescent="0.45">
      <c r="A6342" s="187">
        <v>2023</v>
      </c>
      <c r="B6342" t="s">
        <v>317</v>
      </c>
      <c r="C6342" t="s">
        <v>323</v>
      </c>
      <c r="D6342" t="s">
        <v>35</v>
      </c>
      <c r="E6342" t="s">
        <v>349</v>
      </c>
      <c r="F6342" t="s">
        <v>401</v>
      </c>
      <c r="G6342" t="s">
        <v>36</v>
      </c>
      <c r="H6342" t="s">
        <v>43</v>
      </c>
      <c r="I6342" s="187">
        <v>0</v>
      </c>
      <c r="J6342" s="187"/>
      <c r="K6342" s="187">
        <v>1.6350352157126866E-2</v>
      </c>
      <c r="L6342" s="187">
        <v>0</v>
      </c>
      <c r="M6342" s="187">
        <v>1.6350351274013519E-2</v>
      </c>
      <c r="N6342" s="187">
        <v>0</v>
      </c>
      <c r="O6342" t="s">
        <v>6424</v>
      </c>
    </row>
    <row r="6343" spans="1:15" hidden="1" x14ac:dyDescent="0.45">
      <c r="A6343" s="187">
        <v>2023</v>
      </c>
      <c r="B6343" t="s">
        <v>315</v>
      </c>
      <c r="C6343" t="s">
        <v>323</v>
      </c>
      <c r="D6343" t="s">
        <v>35</v>
      </c>
      <c r="E6343" t="s">
        <v>349</v>
      </c>
      <c r="F6343" t="s">
        <v>401</v>
      </c>
      <c r="G6343" t="s">
        <v>36</v>
      </c>
      <c r="H6343" t="s">
        <v>43</v>
      </c>
      <c r="I6343" s="187">
        <v>0</v>
      </c>
      <c r="J6343" s="187">
        <v>0</v>
      </c>
      <c r="K6343" s="187">
        <v>1.1278795162651265E-2</v>
      </c>
      <c r="L6343" s="187">
        <v>0</v>
      </c>
      <c r="M6343" s="187">
        <v>1.1278795078396797E-2</v>
      </c>
      <c r="N6343" s="187">
        <v>0</v>
      </c>
      <c r="O6343" t="s">
        <v>6426</v>
      </c>
    </row>
    <row r="6344" spans="1:15" hidden="1" x14ac:dyDescent="0.45">
      <c r="A6344" s="187">
        <v>2023</v>
      </c>
      <c r="B6344" t="s">
        <v>317</v>
      </c>
      <c r="C6344" t="s">
        <v>323</v>
      </c>
      <c r="D6344" t="s">
        <v>35</v>
      </c>
      <c r="E6344" t="s">
        <v>349</v>
      </c>
      <c r="F6344" t="s">
        <v>402</v>
      </c>
      <c r="G6344" t="s">
        <v>36</v>
      </c>
      <c r="H6344" t="s">
        <v>43</v>
      </c>
      <c r="I6344" s="187">
        <v>0</v>
      </c>
      <c r="J6344" s="187"/>
      <c r="K6344" s="187">
        <v>19.069416176269922</v>
      </c>
      <c r="L6344" s="187">
        <v>0</v>
      </c>
      <c r="M6344" s="187">
        <v>19.069416046142578</v>
      </c>
      <c r="N6344" s="187">
        <v>0</v>
      </c>
      <c r="O6344" t="s">
        <v>6430</v>
      </c>
    </row>
    <row r="6345" spans="1:15" hidden="1" x14ac:dyDescent="0.45">
      <c r="A6345" s="187">
        <v>2023</v>
      </c>
      <c r="B6345" t="s">
        <v>316</v>
      </c>
      <c r="C6345" t="s">
        <v>323</v>
      </c>
      <c r="D6345" t="s">
        <v>35</v>
      </c>
      <c r="E6345" t="s">
        <v>349</v>
      </c>
      <c r="F6345" t="s">
        <v>402</v>
      </c>
      <c r="G6345" t="s">
        <v>36</v>
      </c>
      <c r="H6345" t="s">
        <v>43</v>
      </c>
      <c r="I6345" s="187">
        <v>0</v>
      </c>
      <c r="J6345" s="187"/>
      <c r="K6345" s="187">
        <v>5.9032052322815893</v>
      </c>
      <c r="L6345" s="187">
        <v>0</v>
      </c>
      <c r="M6345" s="187">
        <v>5.903205394744873</v>
      </c>
      <c r="N6345" s="187">
        <v>0</v>
      </c>
      <c r="O6345" t="s">
        <v>6429</v>
      </c>
    </row>
    <row r="6346" spans="1:15" hidden="1" x14ac:dyDescent="0.45">
      <c r="A6346" s="187">
        <v>2023</v>
      </c>
      <c r="B6346" t="s">
        <v>8570</v>
      </c>
      <c r="C6346" t="s">
        <v>323</v>
      </c>
      <c r="D6346" t="s">
        <v>35</v>
      </c>
      <c r="E6346" t="s">
        <v>349</v>
      </c>
      <c r="F6346" t="s">
        <v>402</v>
      </c>
      <c r="G6346" t="s">
        <v>36</v>
      </c>
      <c r="H6346" t="s">
        <v>43</v>
      </c>
      <c r="I6346" s="187">
        <v>0</v>
      </c>
      <c r="J6346" s="187"/>
      <c r="K6346" s="187">
        <v>12.40697832156493</v>
      </c>
      <c r="L6346" s="187">
        <v>0</v>
      </c>
      <c r="M6346" s="187">
        <v>12.406978607177734</v>
      </c>
      <c r="N6346" s="187">
        <v>0</v>
      </c>
      <c r="O6346" t="s">
        <v>8946</v>
      </c>
    </row>
    <row r="6347" spans="1:15" hidden="1" x14ac:dyDescent="0.45">
      <c r="A6347" s="187">
        <v>2023</v>
      </c>
      <c r="B6347" t="s">
        <v>314</v>
      </c>
      <c r="C6347" t="s">
        <v>323</v>
      </c>
      <c r="D6347" t="s">
        <v>35</v>
      </c>
      <c r="E6347" t="s">
        <v>349</v>
      </c>
      <c r="F6347" t="s">
        <v>402</v>
      </c>
      <c r="G6347" t="s">
        <v>36</v>
      </c>
      <c r="H6347" t="s">
        <v>43</v>
      </c>
      <c r="I6347" s="187">
        <v>0</v>
      </c>
      <c r="J6347" s="187">
        <v>0</v>
      </c>
      <c r="K6347" s="187">
        <v>13.595447341034582</v>
      </c>
      <c r="L6347" s="187">
        <v>0</v>
      </c>
      <c r="M6347" s="187">
        <v>13.595447540283203</v>
      </c>
      <c r="N6347" s="187">
        <v>0</v>
      </c>
      <c r="O6347" t="s">
        <v>6431</v>
      </c>
    </row>
    <row r="6348" spans="1:15" hidden="1" x14ac:dyDescent="0.45">
      <c r="A6348" s="187">
        <v>2023</v>
      </c>
      <c r="B6348" t="s">
        <v>315</v>
      </c>
      <c r="C6348" t="s">
        <v>323</v>
      </c>
      <c r="D6348" t="s">
        <v>35</v>
      </c>
      <c r="E6348" t="s">
        <v>349</v>
      </c>
      <c r="F6348" t="s">
        <v>402</v>
      </c>
      <c r="G6348" t="s">
        <v>36</v>
      </c>
      <c r="H6348" t="s">
        <v>43</v>
      </c>
      <c r="I6348" s="187">
        <v>0</v>
      </c>
      <c r="J6348" s="187">
        <v>0</v>
      </c>
      <c r="K6348" s="187">
        <v>7.2282967156589431</v>
      </c>
      <c r="L6348" s="187">
        <v>0</v>
      </c>
      <c r="M6348" s="187">
        <v>7.2282967567443848</v>
      </c>
      <c r="N6348" s="187">
        <v>0</v>
      </c>
      <c r="O6348" t="s">
        <v>6428</v>
      </c>
    </row>
    <row r="6349" spans="1:15" hidden="1" x14ac:dyDescent="0.45">
      <c r="A6349" s="187">
        <v>2023</v>
      </c>
      <c r="B6349" t="s">
        <v>315</v>
      </c>
      <c r="C6349" t="s">
        <v>323</v>
      </c>
      <c r="D6349" t="s">
        <v>35</v>
      </c>
      <c r="E6349" t="s">
        <v>349</v>
      </c>
      <c r="F6349" t="s">
        <v>403</v>
      </c>
      <c r="G6349" t="s">
        <v>36</v>
      </c>
      <c r="H6349" t="s">
        <v>43</v>
      </c>
      <c r="I6349" s="187">
        <v>4032.7588728186065</v>
      </c>
      <c r="J6349" s="187">
        <v>0</v>
      </c>
      <c r="K6349" s="187">
        <v>1805.9547682293946</v>
      </c>
      <c r="L6349" s="187">
        <v>1532.6749311583073</v>
      </c>
      <c r="M6349" s="187">
        <v>7371.38818359375</v>
      </c>
      <c r="N6349" s="187">
        <v>5565.43359375</v>
      </c>
      <c r="O6349" t="s">
        <v>6432</v>
      </c>
    </row>
    <row r="6350" spans="1:15" hidden="1" x14ac:dyDescent="0.45">
      <c r="A6350" s="187">
        <v>2023</v>
      </c>
      <c r="B6350" t="s">
        <v>316</v>
      </c>
      <c r="C6350" t="s">
        <v>323</v>
      </c>
      <c r="D6350" t="s">
        <v>35</v>
      </c>
      <c r="E6350" t="s">
        <v>349</v>
      </c>
      <c r="F6350" t="s">
        <v>403</v>
      </c>
      <c r="G6350" t="s">
        <v>36</v>
      </c>
      <c r="H6350" t="s">
        <v>43</v>
      </c>
      <c r="I6350" s="187">
        <v>3999.9912964205409</v>
      </c>
      <c r="J6350" s="187"/>
      <c r="K6350" s="187">
        <v>2478.2971114840507</v>
      </c>
      <c r="L6350" s="187">
        <v>1841.6308181989054</v>
      </c>
      <c r="M6350" s="187">
        <v>8319.9189453125</v>
      </c>
      <c r="N6350" s="187">
        <v>5841.6220703125</v>
      </c>
      <c r="O6350" t="s">
        <v>6434</v>
      </c>
    </row>
    <row r="6351" spans="1:15" hidden="1" x14ac:dyDescent="0.45">
      <c r="A6351" s="187">
        <v>2023</v>
      </c>
      <c r="B6351" t="s">
        <v>8570</v>
      </c>
      <c r="C6351" t="s">
        <v>323</v>
      </c>
      <c r="D6351" t="s">
        <v>35</v>
      </c>
      <c r="E6351" t="s">
        <v>349</v>
      </c>
      <c r="F6351" t="s">
        <v>403</v>
      </c>
      <c r="G6351" t="s">
        <v>36</v>
      </c>
      <c r="H6351" t="s">
        <v>43</v>
      </c>
      <c r="I6351" s="187">
        <v>2082.1916089920001</v>
      </c>
      <c r="J6351" s="187">
        <v>15</v>
      </c>
      <c r="K6351" s="187">
        <v>2267.2339373387858</v>
      </c>
      <c r="L6351" s="187">
        <v>1547</v>
      </c>
      <c r="M6351" s="187">
        <v>5911.42578125</v>
      </c>
      <c r="N6351" s="187">
        <v>3629.191650390625</v>
      </c>
      <c r="O6351" t="s">
        <v>8947</v>
      </c>
    </row>
    <row r="6352" spans="1:15" hidden="1" x14ac:dyDescent="0.45">
      <c r="A6352" s="187">
        <v>2023</v>
      </c>
      <c r="B6352" t="s">
        <v>317</v>
      </c>
      <c r="C6352" t="s">
        <v>323</v>
      </c>
      <c r="D6352" t="s">
        <v>35</v>
      </c>
      <c r="E6352" t="s">
        <v>349</v>
      </c>
      <c r="F6352" t="s">
        <v>403</v>
      </c>
      <c r="G6352" t="s">
        <v>36</v>
      </c>
      <c r="H6352" t="s">
        <v>43</v>
      </c>
      <c r="I6352" s="187">
        <v>4740.1934027773304</v>
      </c>
      <c r="J6352" s="187"/>
      <c r="K6352" s="187">
        <v>2536.7996379621368</v>
      </c>
      <c r="L6352" s="187">
        <v>1526.7593522052355</v>
      </c>
      <c r="M6352" s="187">
        <v>8803.7529296875</v>
      </c>
      <c r="N6352" s="187">
        <v>6266.95263671875</v>
      </c>
      <c r="O6352" t="s">
        <v>6435</v>
      </c>
    </row>
    <row r="6353" spans="1:15" hidden="1" x14ac:dyDescent="0.45">
      <c r="A6353" s="187">
        <v>2023</v>
      </c>
      <c r="B6353" t="s">
        <v>314</v>
      </c>
      <c r="C6353" t="s">
        <v>323</v>
      </c>
      <c r="D6353" t="s">
        <v>35</v>
      </c>
      <c r="E6353" t="s">
        <v>349</v>
      </c>
      <c r="F6353" t="s">
        <v>403</v>
      </c>
      <c r="G6353" t="s">
        <v>36</v>
      </c>
      <c r="H6353" t="s">
        <v>43</v>
      </c>
      <c r="I6353" s="187">
        <v>3214.9050246329634</v>
      </c>
      <c r="J6353" s="187">
        <v>0</v>
      </c>
      <c r="K6353" s="187">
        <v>1930.1025855507201</v>
      </c>
      <c r="L6353" s="187">
        <v>1283.6323685309876</v>
      </c>
      <c r="M6353" s="187">
        <v>6428.64013671875</v>
      </c>
      <c r="N6353" s="187">
        <v>4498.53759765625</v>
      </c>
      <c r="O6353" t="s">
        <v>6433</v>
      </c>
    </row>
    <row r="6354" spans="1:15" hidden="1" x14ac:dyDescent="0.45">
      <c r="A6354" s="187">
        <v>2023</v>
      </c>
      <c r="B6354" t="s">
        <v>316</v>
      </c>
      <c r="C6354" t="s">
        <v>323</v>
      </c>
      <c r="D6354" t="s">
        <v>35</v>
      </c>
      <c r="E6354" t="s">
        <v>349</v>
      </c>
      <c r="F6354" t="s">
        <v>404</v>
      </c>
      <c r="G6354" t="s">
        <v>36</v>
      </c>
      <c r="H6354" t="s">
        <v>43</v>
      </c>
      <c r="I6354" s="187">
        <v>3999.9912964205409</v>
      </c>
      <c r="J6354" s="187">
        <v>11.01453838635709</v>
      </c>
      <c r="K6354" s="187">
        <v>3769.9123865218435</v>
      </c>
      <c r="L6354" s="187">
        <v>2172.0669697896183</v>
      </c>
      <c r="M6354" s="187">
        <v>9952.9853515625</v>
      </c>
      <c r="N6354" s="187">
        <v>6172.05810546875</v>
      </c>
      <c r="O6354" t="s">
        <v>6437</v>
      </c>
    </row>
    <row r="6355" spans="1:15" hidden="1" x14ac:dyDescent="0.45">
      <c r="A6355" s="187">
        <v>2023</v>
      </c>
      <c r="B6355" t="s">
        <v>314</v>
      </c>
      <c r="C6355" t="s">
        <v>323</v>
      </c>
      <c r="D6355" t="s">
        <v>35</v>
      </c>
      <c r="E6355" t="s">
        <v>349</v>
      </c>
      <c r="F6355" t="s">
        <v>404</v>
      </c>
      <c r="G6355" t="s">
        <v>36</v>
      </c>
      <c r="H6355" t="s">
        <v>43</v>
      </c>
      <c r="I6355" s="187">
        <v>3214.9050246329634</v>
      </c>
      <c r="J6355" s="187">
        <v>0</v>
      </c>
      <c r="K6355" s="187">
        <v>3093.9865374347346</v>
      </c>
      <c r="L6355" s="187">
        <v>1400.1144346408776</v>
      </c>
      <c r="M6355" s="187">
        <v>7709.005859375</v>
      </c>
      <c r="N6355" s="187">
        <v>4615.01953125</v>
      </c>
      <c r="O6355" t="s">
        <v>6438</v>
      </c>
    </row>
    <row r="6356" spans="1:15" hidden="1" x14ac:dyDescent="0.45">
      <c r="A6356" s="187">
        <v>2023</v>
      </c>
      <c r="B6356" t="s">
        <v>315</v>
      </c>
      <c r="C6356" t="s">
        <v>323</v>
      </c>
      <c r="D6356" t="s">
        <v>35</v>
      </c>
      <c r="E6356" t="s">
        <v>349</v>
      </c>
      <c r="F6356" t="s">
        <v>404</v>
      </c>
      <c r="G6356" t="s">
        <v>36</v>
      </c>
      <c r="H6356" t="s">
        <v>43</v>
      </c>
      <c r="I6356" s="187">
        <v>4032.7588728186065</v>
      </c>
      <c r="J6356" s="187">
        <v>0</v>
      </c>
      <c r="K6356" s="187">
        <v>2947.6541269894456</v>
      </c>
      <c r="L6356" s="187">
        <v>1815.8742902045578</v>
      </c>
      <c r="M6356" s="187">
        <v>8796.287109375</v>
      </c>
      <c r="N6356" s="187">
        <v>5848.63330078125</v>
      </c>
      <c r="O6356" t="s">
        <v>6439</v>
      </c>
    </row>
    <row r="6357" spans="1:15" hidden="1" x14ac:dyDescent="0.45">
      <c r="A6357" s="187">
        <v>2023</v>
      </c>
      <c r="B6357" t="s">
        <v>8570</v>
      </c>
      <c r="C6357" t="s">
        <v>323</v>
      </c>
      <c r="D6357" t="s">
        <v>35</v>
      </c>
      <c r="E6357" t="s">
        <v>349</v>
      </c>
      <c r="F6357" t="s">
        <v>404</v>
      </c>
      <c r="G6357" t="s">
        <v>36</v>
      </c>
      <c r="H6357" t="s">
        <v>43</v>
      </c>
      <c r="I6357" s="187">
        <v>2082.1916089920001</v>
      </c>
      <c r="J6357" s="187">
        <v>15</v>
      </c>
      <c r="K6357" s="187">
        <v>3381.0240343051159</v>
      </c>
      <c r="L6357" s="187">
        <v>2169</v>
      </c>
      <c r="M6357" s="187">
        <v>7647.2158203125</v>
      </c>
      <c r="N6357" s="187">
        <v>4251.19140625</v>
      </c>
      <c r="O6357" t="s">
        <v>8948</v>
      </c>
    </row>
    <row r="6358" spans="1:15" hidden="1" x14ac:dyDescent="0.45">
      <c r="A6358" s="187">
        <v>2023</v>
      </c>
      <c r="B6358" t="s">
        <v>317</v>
      </c>
      <c r="C6358" t="s">
        <v>323</v>
      </c>
      <c r="D6358" t="s">
        <v>35</v>
      </c>
      <c r="E6358" t="s">
        <v>349</v>
      </c>
      <c r="F6358" t="s">
        <v>404</v>
      </c>
      <c r="G6358" t="s">
        <v>36</v>
      </c>
      <c r="H6358" t="s">
        <v>43</v>
      </c>
      <c r="I6358" s="187">
        <v>4740.1934027773304</v>
      </c>
      <c r="J6358" s="187">
        <v>10.805090956866493</v>
      </c>
      <c r="K6358" s="187">
        <v>3881.2974154145854</v>
      </c>
      <c r="L6358" s="187">
        <v>2002.1833543073612</v>
      </c>
      <c r="M6358" s="187">
        <v>10634.4794921875</v>
      </c>
      <c r="N6358" s="187">
        <v>6742.376953125</v>
      </c>
      <c r="O6358" t="s">
        <v>6436</v>
      </c>
    </row>
    <row r="6359" spans="1:15" hidden="1" x14ac:dyDescent="0.45">
      <c r="A6359" s="187">
        <v>2023</v>
      </c>
      <c r="B6359" t="s">
        <v>316</v>
      </c>
      <c r="C6359" t="s">
        <v>323</v>
      </c>
      <c r="D6359" t="s">
        <v>35</v>
      </c>
      <c r="E6359" t="s">
        <v>349</v>
      </c>
      <c r="F6359" t="s">
        <v>405</v>
      </c>
      <c r="G6359" t="s">
        <v>36</v>
      </c>
      <c r="H6359" t="s">
        <v>43</v>
      </c>
      <c r="I6359" s="187">
        <v>0</v>
      </c>
      <c r="J6359" s="187"/>
      <c r="K6359" s="187">
        <v>1269.3598829473483</v>
      </c>
      <c r="L6359" s="187">
        <v>0</v>
      </c>
      <c r="M6359" s="187">
        <v>1269.35986328125</v>
      </c>
      <c r="N6359" s="187">
        <v>0</v>
      </c>
      <c r="O6359" t="s">
        <v>6440</v>
      </c>
    </row>
    <row r="6360" spans="1:15" hidden="1" x14ac:dyDescent="0.45">
      <c r="A6360" s="187">
        <v>2023</v>
      </c>
      <c r="B6360" t="s">
        <v>315</v>
      </c>
      <c r="C6360" t="s">
        <v>323</v>
      </c>
      <c r="D6360" t="s">
        <v>35</v>
      </c>
      <c r="E6360" t="s">
        <v>349</v>
      </c>
      <c r="F6360" t="s">
        <v>405</v>
      </c>
      <c r="G6360" t="s">
        <v>36</v>
      </c>
      <c r="H6360" t="s">
        <v>43</v>
      </c>
      <c r="I6360" s="187">
        <v>0</v>
      </c>
      <c r="J6360" s="187">
        <v>0</v>
      </c>
      <c r="K6360" s="187">
        <v>1133.1346263494215</v>
      </c>
      <c r="L6360" s="187">
        <v>0</v>
      </c>
      <c r="M6360" s="187">
        <v>1133.1346435546875</v>
      </c>
      <c r="N6360" s="187">
        <v>0</v>
      </c>
      <c r="O6360" t="s">
        <v>6442</v>
      </c>
    </row>
    <row r="6361" spans="1:15" hidden="1" x14ac:dyDescent="0.45">
      <c r="A6361" s="187">
        <v>2023</v>
      </c>
      <c r="B6361" t="s">
        <v>317</v>
      </c>
      <c r="C6361" t="s">
        <v>323</v>
      </c>
      <c r="D6361" t="s">
        <v>35</v>
      </c>
      <c r="E6361" t="s">
        <v>349</v>
      </c>
      <c r="F6361" t="s">
        <v>405</v>
      </c>
      <c r="G6361" t="s">
        <v>36</v>
      </c>
      <c r="H6361" t="s">
        <v>43</v>
      </c>
      <c r="I6361" s="187">
        <v>0</v>
      </c>
      <c r="J6361" s="187"/>
      <c r="K6361" s="187">
        <v>1320.7541143447754</v>
      </c>
      <c r="L6361" s="187">
        <v>142.6272006306377</v>
      </c>
      <c r="M6361" s="187">
        <v>1463.38134765625</v>
      </c>
      <c r="N6361" s="187">
        <v>142.627197265625</v>
      </c>
      <c r="O6361" t="s">
        <v>6441</v>
      </c>
    </row>
    <row r="6362" spans="1:15" hidden="1" x14ac:dyDescent="0.45">
      <c r="A6362" s="187">
        <v>2023</v>
      </c>
      <c r="B6362" t="s">
        <v>8570</v>
      </c>
      <c r="C6362" t="s">
        <v>323</v>
      </c>
      <c r="D6362" t="s">
        <v>35</v>
      </c>
      <c r="E6362" t="s">
        <v>349</v>
      </c>
      <c r="F6362" t="s">
        <v>405</v>
      </c>
      <c r="G6362" t="s">
        <v>36</v>
      </c>
      <c r="H6362" t="s">
        <v>43</v>
      </c>
      <c r="I6362" s="187">
        <v>0</v>
      </c>
      <c r="J6362" s="187">
        <v>0</v>
      </c>
      <c r="K6362" s="187">
        <v>1099.0985107931269</v>
      </c>
      <c r="L6362" s="187">
        <v>433</v>
      </c>
      <c r="M6362" s="187">
        <v>1532.0985107421875</v>
      </c>
      <c r="N6362" s="187">
        <v>433</v>
      </c>
      <c r="O6362" t="s">
        <v>8949</v>
      </c>
    </row>
    <row r="6363" spans="1:15" hidden="1" x14ac:dyDescent="0.45">
      <c r="A6363" s="187">
        <v>2023</v>
      </c>
      <c r="B6363" t="s">
        <v>314</v>
      </c>
      <c r="C6363" t="s">
        <v>323</v>
      </c>
      <c r="D6363" t="s">
        <v>35</v>
      </c>
      <c r="E6363" t="s">
        <v>349</v>
      </c>
      <c r="F6363" t="s">
        <v>405</v>
      </c>
      <c r="G6363" t="s">
        <v>36</v>
      </c>
      <c r="H6363" t="s">
        <v>43</v>
      </c>
      <c r="I6363" s="187">
        <v>0</v>
      </c>
      <c r="J6363" s="187">
        <v>0</v>
      </c>
      <c r="K6363" s="187">
        <v>1148.1199896044327</v>
      </c>
      <c r="L6363" s="187">
        <v>0</v>
      </c>
      <c r="M6363" s="187">
        <v>1148.1199951171875</v>
      </c>
      <c r="N6363" s="187">
        <v>0</v>
      </c>
      <c r="O6363" t="s">
        <v>6443</v>
      </c>
    </row>
    <row r="6364" spans="1:15" hidden="1" x14ac:dyDescent="0.45">
      <c r="A6364" s="187">
        <v>2023</v>
      </c>
      <c r="B6364" t="s">
        <v>314</v>
      </c>
      <c r="C6364" t="s">
        <v>323</v>
      </c>
      <c r="D6364" t="s">
        <v>35</v>
      </c>
      <c r="E6364" t="s">
        <v>349</v>
      </c>
      <c r="F6364" t="s">
        <v>406</v>
      </c>
      <c r="G6364" t="s">
        <v>36</v>
      </c>
      <c r="H6364" t="s">
        <v>43</v>
      </c>
      <c r="I6364" s="187">
        <v>0</v>
      </c>
      <c r="J6364" s="187">
        <v>0</v>
      </c>
      <c r="K6364" s="187">
        <v>2.1685149385464828</v>
      </c>
      <c r="L6364" s="187">
        <v>0</v>
      </c>
      <c r="M6364" s="187">
        <v>2.1685149669647217</v>
      </c>
      <c r="N6364" s="187">
        <v>0</v>
      </c>
      <c r="O6364" t="s">
        <v>6444</v>
      </c>
    </row>
    <row r="6365" spans="1:15" hidden="1" x14ac:dyDescent="0.45">
      <c r="A6365" s="187">
        <v>2023</v>
      </c>
      <c r="B6365" t="s">
        <v>317</v>
      </c>
      <c r="C6365" t="s">
        <v>323</v>
      </c>
      <c r="D6365" t="s">
        <v>35</v>
      </c>
      <c r="E6365" t="s">
        <v>349</v>
      </c>
      <c r="F6365" t="s">
        <v>406</v>
      </c>
      <c r="G6365" t="s">
        <v>36</v>
      </c>
      <c r="H6365" t="s">
        <v>43</v>
      </c>
      <c r="I6365" s="187">
        <v>0</v>
      </c>
      <c r="J6365" s="187"/>
      <c r="K6365" s="187">
        <v>4.6742469314038377</v>
      </c>
      <c r="L6365" s="187">
        <v>0</v>
      </c>
      <c r="M6365" s="187">
        <v>4.6742467880249023</v>
      </c>
      <c r="N6365" s="187">
        <v>0</v>
      </c>
      <c r="O6365" t="s">
        <v>6446</v>
      </c>
    </row>
    <row r="6366" spans="1:15" hidden="1" x14ac:dyDescent="0.45">
      <c r="A6366" s="187">
        <v>2023</v>
      </c>
      <c r="B6366" t="s">
        <v>316</v>
      </c>
      <c r="C6366" t="s">
        <v>323</v>
      </c>
      <c r="D6366" t="s">
        <v>35</v>
      </c>
      <c r="E6366" t="s">
        <v>349</v>
      </c>
      <c r="F6366" t="s">
        <v>406</v>
      </c>
      <c r="G6366" t="s">
        <v>36</v>
      </c>
      <c r="H6366" t="s">
        <v>43</v>
      </c>
      <c r="I6366" s="187">
        <v>0</v>
      </c>
      <c r="J6366" s="187"/>
      <c r="K6366" s="187">
        <v>1.4182707621931718</v>
      </c>
      <c r="L6366" s="187">
        <v>0</v>
      </c>
      <c r="M6366" s="187">
        <v>1.4182707071304321</v>
      </c>
      <c r="N6366" s="187">
        <v>0</v>
      </c>
      <c r="O6366" t="s">
        <v>6445</v>
      </c>
    </row>
    <row r="6367" spans="1:15" hidden="1" x14ac:dyDescent="0.45">
      <c r="A6367" s="187">
        <v>2023</v>
      </c>
      <c r="B6367" t="s">
        <v>315</v>
      </c>
      <c r="C6367" t="s">
        <v>323</v>
      </c>
      <c r="D6367" t="s">
        <v>35</v>
      </c>
      <c r="E6367" t="s">
        <v>349</v>
      </c>
      <c r="F6367" t="s">
        <v>406</v>
      </c>
      <c r="G6367" t="s">
        <v>36</v>
      </c>
      <c r="H6367" t="s">
        <v>43</v>
      </c>
      <c r="I6367" s="187"/>
      <c r="J6367" s="187">
        <v>0</v>
      </c>
      <c r="K6367" s="187">
        <v>1.3364356949713396</v>
      </c>
      <c r="L6367" s="187">
        <v>0</v>
      </c>
      <c r="M6367" s="187">
        <v>1.3364356756210327</v>
      </c>
      <c r="N6367" s="187">
        <v>0</v>
      </c>
      <c r="O6367" t="s">
        <v>6447</v>
      </c>
    </row>
    <row r="6368" spans="1:15" hidden="1" x14ac:dyDescent="0.45">
      <c r="A6368" s="187">
        <v>2023</v>
      </c>
      <c r="B6368" t="s">
        <v>8570</v>
      </c>
      <c r="C6368" t="s">
        <v>323</v>
      </c>
      <c r="D6368" t="s">
        <v>35</v>
      </c>
      <c r="E6368" t="s">
        <v>349</v>
      </c>
      <c r="F6368" t="s">
        <v>406</v>
      </c>
      <c r="G6368" t="s">
        <v>36</v>
      </c>
      <c r="H6368" t="s">
        <v>43</v>
      </c>
      <c r="I6368" s="187">
        <v>0</v>
      </c>
      <c r="J6368" s="187"/>
      <c r="K6368" s="187">
        <v>2.2846078516378201</v>
      </c>
      <c r="L6368" s="187">
        <v>0</v>
      </c>
      <c r="M6368" s="187">
        <v>2.2846078872680664</v>
      </c>
      <c r="N6368" s="187">
        <v>0</v>
      </c>
      <c r="O6368" t="s">
        <v>8950</v>
      </c>
    </row>
    <row r="6369" spans="1:15" hidden="1" x14ac:dyDescent="0.45">
      <c r="A6369" s="187">
        <v>2023</v>
      </c>
      <c r="B6369" t="s">
        <v>315</v>
      </c>
      <c r="C6369" t="s">
        <v>323</v>
      </c>
      <c r="D6369" t="s">
        <v>35</v>
      </c>
      <c r="E6369" t="s">
        <v>349</v>
      </c>
      <c r="F6369" t="s">
        <v>407</v>
      </c>
      <c r="G6369" t="s">
        <v>36</v>
      </c>
      <c r="H6369" t="s">
        <v>43</v>
      </c>
      <c r="I6369" s="187">
        <v>0</v>
      </c>
      <c r="J6369" s="187">
        <v>0</v>
      </c>
      <c r="K6369" s="187">
        <v>0</v>
      </c>
      <c r="L6369" s="187">
        <v>283.19935904625044</v>
      </c>
      <c r="M6369" s="187">
        <v>283.19937133789063</v>
      </c>
      <c r="N6369" s="187">
        <v>283.19937133789063</v>
      </c>
      <c r="O6369" t="s">
        <v>6449</v>
      </c>
    </row>
    <row r="6370" spans="1:15" hidden="1" x14ac:dyDescent="0.45">
      <c r="A6370" s="187">
        <v>2023</v>
      </c>
      <c r="B6370" t="s">
        <v>314</v>
      </c>
      <c r="C6370" t="s">
        <v>323</v>
      </c>
      <c r="D6370" t="s">
        <v>35</v>
      </c>
      <c r="E6370" t="s">
        <v>349</v>
      </c>
      <c r="F6370" t="s">
        <v>407</v>
      </c>
      <c r="G6370" t="s">
        <v>36</v>
      </c>
      <c r="H6370" t="s">
        <v>43</v>
      </c>
      <c r="I6370" s="187">
        <v>0</v>
      </c>
      <c r="J6370" s="187">
        <v>0</v>
      </c>
      <c r="K6370" s="187">
        <v>0</v>
      </c>
      <c r="L6370" s="187">
        <v>116.48206610988997</v>
      </c>
      <c r="M6370" s="187">
        <v>116.48206329345703</v>
      </c>
      <c r="N6370" s="187">
        <v>116.48206329345703</v>
      </c>
      <c r="O6370" t="s">
        <v>6448</v>
      </c>
    </row>
    <row r="6371" spans="1:15" hidden="1" x14ac:dyDescent="0.45">
      <c r="A6371" s="187">
        <v>2023</v>
      </c>
      <c r="B6371" t="s">
        <v>8570</v>
      </c>
      <c r="C6371" t="s">
        <v>323</v>
      </c>
      <c r="D6371" t="s">
        <v>35</v>
      </c>
      <c r="E6371" t="s">
        <v>349</v>
      </c>
      <c r="F6371" t="s">
        <v>407</v>
      </c>
      <c r="G6371" t="s">
        <v>36</v>
      </c>
      <c r="H6371" t="s">
        <v>43</v>
      </c>
      <c r="I6371" s="187">
        <v>0</v>
      </c>
      <c r="J6371" s="187">
        <v>0</v>
      </c>
      <c r="K6371" s="187">
        <v>0</v>
      </c>
      <c r="L6371" s="187">
        <v>189</v>
      </c>
      <c r="M6371" s="187">
        <v>189</v>
      </c>
      <c r="N6371" s="187">
        <v>189</v>
      </c>
      <c r="O6371" t="s">
        <v>8951</v>
      </c>
    </row>
    <row r="6372" spans="1:15" hidden="1" x14ac:dyDescent="0.45">
      <c r="A6372" s="187">
        <v>2023</v>
      </c>
      <c r="B6372" t="s">
        <v>317</v>
      </c>
      <c r="C6372" t="s">
        <v>323</v>
      </c>
      <c r="D6372" t="s">
        <v>35</v>
      </c>
      <c r="E6372" t="s">
        <v>349</v>
      </c>
      <c r="F6372" t="s">
        <v>407</v>
      </c>
      <c r="G6372" t="s">
        <v>36</v>
      </c>
      <c r="H6372" t="s">
        <v>43</v>
      </c>
      <c r="I6372" s="187">
        <v>0</v>
      </c>
      <c r="J6372" s="187">
        <v>10.805090956866493</v>
      </c>
      <c r="K6372" s="187">
        <v>0</v>
      </c>
      <c r="L6372" s="187">
        <v>332.79680147148798</v>
      </c>
      <c r="M6372" s="187">
        <v>343.60189819335938</v>
      </c>
      <c r="N6372" s="187">
        <v>332.79681396484375</v>
      </c>
      <c r="O6372" t="s">
        <v>6451</v>
      </c>
    </row>
    <row r="6373" spans="1:15" hidden="1" x14ac:dyDescent="0.45">
      <c r="A6373" s="187">
        <v>2023</v>
      </c>
      <c r="B6373" t="s">
        <v>316</v>
      </c>
      <c r="C6373" t="s">
        <v>323</v>
      </c>
      <c r="D6373" t="s">
        <v>35</v>
      </c>
      <c r="E6373" t="s">
        <v>349</v>
      </c>
      <c r="F6373" t="s">
        <v>407</v>
      </c>
      <c r="G6373" t="s">
        <v>36</v>
      </c>
      <c r="H6373" t="s">
        <v>43</v>
      </c>
      <c r="I6373" s="187">
        <v>0</v>
      </c>
      <c r="J6373" s="187">
        <v>11.01453838635709</v>
      </c>
      <c r="K6373" s="187">
        <v>14.933916095968739</v>
      </c>
      <c r="L6373" s="187">
        <v>330.43615159071271</v>
      </c>
      <c r="M6373" s="187">
        <v>356.38461303710938</v>
      </c>
      <c r="N6373" s="187">
        <v>330.4361572265625</v>
      </c>
      <c r="O6373" t="s">
        <v>6450</v>
      </c>
    </row>
    <row r="6374" spans="1:15" hidden="1" x14ac:dyDescent="0.45">
      <c r="A6374" s="187">
        <v>2023</v>
      </c>
      <c r="B6374" t="s">
        <v>8570</v>
      </c>
      <c r="C6374" t="s">
        <v>323</v>
      </c>
      <c r="D6374" t="s">
        <v>35</v>
      </c>
      <c r="E6374" t="s">
        <v>349</v>
      </c>
      <c r="F6374" t="s">
        <v>408</v>
      </c>
      <c r="G6374" t="s">
        <v>36</v>
      </c>
      <c r="H6374" t="s">
        <v>43</v>
      </c>
      <c r="I6374" s="187">
        <v>113.71154643200001</v>
      </c>
      <c r="J6374" s="187"/>
      <c r="K6374" s="187"/>
      <c r="L6374" s="187"/>
      <c r="M6374" s="187">
        <v>113.7115478515625</v>
      </c>
      <c r="N6374" s="187">
        <v>113.7115478515625</v>
      </c>
      <c r="O6374" t="s">
        <v>8952</v>
      </c>
    </row>
    <row r="6375" spans="1:15" hidden="1" x14ac:dyDescent="0.45">
      <c r="A6375" s="187">
        <v>2023</v>
      </c>
      <c r="B6375" t="s">
        <v>8570</v>
      </c>
      <c r="C6375" t="s">
        <v>323</v>
      </c>
      <c r="D6375" t="s">
        <v>35</v>
      </c>
      <c r="E6375" t="s">
        <v>349</v>
      </c>
      <c r="F6375" t="s">
        <v>409</v>
      </c>
      <c r="G6375" t="s">
        <v>36</v>
      </c>
      <c r="H6375" t="s">
        <v>43</v>
      </c>
      <c r="I6375" s="187">
        <v>113.71154643200001</v>
      </c>
      <c r="J6375" s="187"/>
      <c r="K6375" s="187"/>
      <c r="L6375" s="187"/>
      <c r="M6375" s="187">
        <v>113.7115478515625</v>
      </c>
      <c r="N6375" s="187">
        <v>113.7115478515625</v>
      </c>
      <c r="O6375" t="s">
        <v>8953</v>
      </c>
    </row>
    <row r="6376" spans="1:15" hidden="1" x14ac:dyDescent="0.45">
      <c r="A6376" s="187">
        <v>2023</v>
      </c>
      <c r="B6376" t="s">
        <v>8570</v>
      </c>
      <c r="C6376" t="s">
        <v>323</v>
      </c>
      <c r="D6376" t="s">
        <v>35</v>
      </c>
      <c r="E6376" t="s">
        <v>349</v>
      </c>
      <c r="F6376" t="s">
        <v>410</v>
      </c>
      <c r="G6376" t="s">
        <v>36</v>
      </c>
      <c r="H6376" t="s">
        <v>43</v>
      </c>
      <c r="I6376" s="187">
        <v>113.71154643200001</v>
      </c>
      <c r="J6376" s="187"/>
      <c r="K6376" s="187"/>
      <c r="L6376" s="187"/>
      <c r="M6376" s="187">
        <v>113.7115478515625</v>
      </c>
      <c r="N6376" s="187">
        <v>113.7115478515625</v>
      </c>
      <c r="O6376" t="s">
        <v>8954</v>
      </c>
    </row>
    <row r="6377" spans="1:15" hidden="1" x14ac:dyDescent="0.45">
      <c r="A6377" s="187">
        <v>2023</v>
      </c>
      <c r="B6377" t="s">
        <v>8570</v>
      </c>
      <c r="C6377" t="s">
        <v>323</v>
      </c>
      <c r="D6377" t="s">
        <v>35</v>
      </c>
      <c r="E6377" t="s">
        <v>349</v>
      </c>
      <c r="F6377" t="s">
        <v>411</v>
      </c>
      <c r="G6377" t="s">
        <v>36</v>
      </c>
      <c r="H6377" t="s">
        <v>43</v>
      </c>
      <c r="I6377" s="187">
        <v>341.13463929599999</v>
      </c>
      <c r="J6377" s="187"/>
      <c r="K6377" s="187"/>
      <c r="L6377" s="187"/>
      <c r="M6377" s="187">
        <v>341.1346435546875</v>
      </c>
      <c r="N6377" s="187">
        <v>341.1346435546875</v>
      </c>
      <c r="O6377" t="s">
        <v>8955</v>
      </c>
    </row>
    <row r="6378" spans="1:15" hidden="1" x14ac:dyDescent="0.45">
      <c r="A6378" s="187">
        <v>2023</v>
      </c>
      <c r="B6378" t="s">
        <v>315</v>
      </c>
      <c r="C6378" t="s">
        <v>323</v>
      </c>
      <c r="D6378" t="s">
        <v>35</v>
      </c>
      <c r="E6378" t="s">
        <v>349</v>
      </c>
      <c r="F6378" t="s">
        <v>423</v>
      </c>
      <c r="G6378" t="s">
        <v>36</v>
      </c>
      <c r="H6378" t="s">
        <v>43</v>
      </c>
      <c r="I6378" s="187">
        <v>56.639871809250089</v>
      </c>
      <c r="J6378" s="187">
        <v>0</v>
      </c>
      <c r="K6378" s="187">
        <v>262.32391429518503</v>
      </c>
      <c r="L6378" s="187">
        <v>263.94180263110542</v>
      </c>
      <c r="M6378" s="187">
        <v>582.90557861328125</v>
      </c>
      <c r="N6378" s="187">
        <v>320.5816650390625</v>
      </c>
      <c r="O6378" t="s">
        <v>6453</v>
      </c>
    </row>
    <row r="6379" spans="1:15" hidden="1" x14ac:dyDescent="0.45">
      <c r="A6379" s="187">
        <v>2023</v>
      </c>
      <c r="B6379" t="s">
        <v>8570</v>
      </c>
      <c r="C6379" t="s">
        <v>323</v>
      </c>
      <c r="D6379" t="s">
        <v>35</v>
      </c>
      <c r="E6379" t="s">
        <v>349</v>
      </c>
      <c r="F6379" t="s">
        <v>423</v>
      </c>
      <c r="G6379" t="s">
        <v>36</v>
      </c>
      <c r="H6379" t="s">
        <v>43</v>
      </c>
      <c r="I6379" s="187"/>
      <c r="J6379" s="187"/>
      <c r="K6379" s="187">
        <v>405.00815729229441</v>
      </c>
      <c r="L6379" s="187">
        <v>55</v>
      </c>
      <c r="M6379" s="187">
        <v>460.00814819335938</v>
      </c>
      <c r="N6379" s="187">
        <v>55</v>
      </c>
      <c r="O6379" t="s">
        <v>8956</v>
      </c>
    </row>
    <row r="6380" spans="1:15" hidden="1" x14ac:dyDescent="0.45">
      <c r="A6380" s="187">
        <v>2023</v>
      </c>
      <c r="B6380" t="s">
        <v>316</v>
      </c>
      <c r="C6380" t="s">
        <v>323</v>
      </c>
      <c r="D6380" t="s">
        <v>35</v>
      </c>
      <c r="E6380" t="s">
        <v>349</v>
      </c>
      <c r="F6380" t="s">
        <v>423</v>
      </c>
      <c r="G6380" t="s">
        <v>36</v>
      </c>
      <c r="H6380" t="s">
        <v>43</v>
      </c>
      <c r="I6380" s="187">
        <v>56.179653039614344</v>
      </c>
      <c r="J6380" s="187"/>
      <c r="K6380" s="187">
        <v>210.95611378905599</v>
      </c>
      <c r="L6380" s="187">
        <v>261.04455975666303</v>
      </c>
      <c r="M6380" s="187">
        <v>528.18035888671875</v>
      </c>
      <c r="N6380" s="187">
        <v>317.22421264648438</v>
      </c>
      <c r="O6380" t="s">
        <v>6452</v>
      </c>
    </row>
    <row r="6381" spans="1:15" hidden="1" x14ac:dyDescent="0.45">
      <c r="A6381" s="187">
        <v>2023</v>
      </c>
      <c r="B6381" t="s">
        <v>314</v>
      </c>
      <c r="C6381" t="s">
        <v>323</v>
      </c>
      <c r="D6381" t="s">
        <v>35</v>
      </c>
      <c r="E6381" t="s">
        <v>349</v>
      </c>
      <c r="F6381" t="s">
        <v>423</v>
      </c>
      <c r="G6381" t="s">
        <v>36</v>
      </c>
      <c r="H6381" t="s">
        <v>43</v>
      </c>
      <c r="I6381" s="187">
        <v>58.241033054944985</v>
      </c>
      <c r="J6381" s="187">
        <v>0</v>
      </c>
      <c r="K6381" s="187">
        <v>258.77037468648069</v>
      </c>
      <c r="L6381" s="187">
        <v>81.537446276922978</v>
      </c>
      <c r="M6381" s="187">
        <v>398.54885864257813</v>
      </c>
      <c r="N6381" s="187">
        <v>139.77847290039063</v>
      </c>
      <c r="O6381" t="s">
        <v>6455</v>
      </c>
    </row>
    <row r="6382" spans="1:15" hidden="1" x14ac:dyDescent="0.45">
      <c r="A6382" s="187">
        <v>2023</v>
      </c>
      <c r="B6382" t="s">
        <v>317</v>
      </c>
      <c r="C6382" t="s">
        <v>323</v>
      </c>
      <c r="D6382" t="s">
        <v>35</v>
      </c>
      <c r="E6382" t="s">
        <v>349</v>
      </c>
      <c r="F6382" t="s">
        <v>423</v>
      </c>
      <c r="G6382" t="s">
        <v>36</v>
      </c>
      <c r="H6382" t="s">
        <v>43</v>
      </c>
      <c r="I6382" s="187">
        <v>55.105963880019118</v>
      </c>
      <c r="J6382" s="187"/>
      <c r="K6382" s="187">
        <v>427.92213906023494</v>
      </c>
      <c r="L6382" s="187">
        <v>88.601745846305249</v>
      </c>
      <c r="M6382" s="187">
        <v>571.6298828125</v>
      </c>
      <c r="N6382" s="187">
        <v>143.70771789550781</v>
      </c>
      <c r="O6382" t="s">
        <v>6454</v>
      </c>
    </row>
    <row r="6383" spans="1:15" hidden="1" x14ac:dyDescent="0.45">
      <c r="A6383" s="187">
        <v>2023</v>
      </c>
      <c r="B6383" t="s">
        <v>8570</v>
      </c>
      <c r="C6383" t="s">
        <v>323</v>
      </c>
      <c r="D6383" t="s">
        <v>35</v>
      </c>
      <c r="E6383" t="s">
        <v>349</v>
      </c>
      <c r="F6383" t="s">
        <v>424</v>
      </c>
      <c r="G6383" t="s">
        <v>36</v>
      </c>
      <c r="H6383" t="s">
        <v>43</v>
      </c>
      <c r="I6383" s="187"/>
      <c r="J6383" s="187"/>
      <c r="K6383" s="187">
        <v>0</v>
      </c>
      <c r="L6383" s="187">
        <v>96</v>
      </c>
      <c r="M6383" s="187">
        <v>96</v>
      </c>
      <c r="N6383" s="187">
        <v>96</v>
      </c>
      <c r="O6383" t="s">
        <v>8957</v>
      </c>
    </row>
    <row r="6384" spans="1:15" hidden="1" x14ac:dyDescent="0.45">
      <c r="A6384" s="187">
        <v>2023</v>
      </c>
      <c r="B6384" t="s">
        <v>316</v>
      </c>
      <c r="C6384" t="s">
        <v>323</v>
      </c>
      <c r="D6384" t="s">
        <v>35</v>
      </c>
      <c r="E6384" t="s">
        <v>349</v>
      </c>
      <c r="F6384" t="s">
        <v>424</v>
      </c>
      <c r="G6384" t="s">
        <v>36</v>
      </c>
      <c r="H6384" t="s">
        <v>43</v>
      </c>
      <c r="I6384" s="187">
        <v>112.35930607922869</v>
      </c>
      <c r="J6384" s="187"/>
      <c r="K6384" s="187">
        <v>0</v>
      </c>
      <c r="L6384" s="187">
        <v>70.493045672685383</v>
      </c>
      <c r="M6384" s="187">
        <v>182.85235595703125</v>
      </c>
      <c r="N6384" s="187">
        <v>182.85235595703125</v>
      </c>
      <c r="O6384" t="s">
        <v>6456</v>
      </c>
    </row>
    <row r="6385" spans="1:15" hidden="1" x14ac:dyDescent="0.45">
      <c r="A6385" s="187">
        <v>2023</v>
      </c>
      <c r="B6385" t="s">
        <v>315</v>
      </c>
      <c r="C6385" t="s">
        <v>323</v>
      </c>
      <c r="D6385" t="s">
        <v>35</v>
      </c>
      <c r="E6385" t="s">
        <v>349</v>
      </c>
      <c r="F6385" t="s">
        <v>424</v>
      </c>
      <c r="G6385" t="s">
        <v>36</v>
      </c>
      <c r="H6385" t="s">
        <v>43</v>
      </c>
      <c r="I6385" s="187">
        <v>113.27974361850018</v>
      </c>
      <c r="J6385" s="187">
        <v>0</v>
      </c>
      <c r="K6385" s="187">
        <v>0</v>
      </c>
      <c r="L6385" s="187">
        <v>71.366238479655109</v>
      </c>
      <c r="M6385" s="187">
        <v>184.64598083496094</v>
      </c>
      <c r="N6385" s="187">
        <v>184.64598083496094</v>
      </c>
      <c r="O6385" t="s">
        <v>6459</v>
      </c>
    </row>
    <row r="6386" spans="1:15" hidden="1" x14ac:dyDescent="0.45">
      <c r="A6386" s="187">
        <v>2023</v>
      </c>
      <c r="B6386" t="s">
        <v>314</v>
      </c>
      <c r="C6386" t="s">
        <v>323</v>
      </c>
      <c r="D6386" t="s">
        <v>35</v>
      </c>
      <c r="E6386" t="s">
        <v>349</v>
      </c>
      <c r="F6386" t="s">
        <v>424</v>
      </c>
      <c r="G6386" t="s">
        <v>36</v>
      </c>
      <c r="H6386" t="s">
        <v>43</v>
      </c>
      <c r="I6386" s="187">
        <v>116.48206610988997</v>
      </c>
      <c r="J6386" s="187">
        <v>0</v>
      </c>
      <c r="K6386" s="187">
        <v>0</v>
      </c>
      <c r="L6386" s="187">
        <v>69.889239665933985</v>
      </c>
      <c r="M6386" s="187">
        <v>186.37130737304688</v>
      </c>
      <c r="N6386" s="187">
        <v>186.37130737304688</v>
      </c>
      <c r="O6386" t="s">
        <v>6457</v>
      </c>
    </row>
    <row r="6387" spans="1:15" hidden="1" x14ac:dyDescent="0.45">
      <c r="A6387" s="187">
        <v>2023</v>
      </c>
      <c r="B6387" t="s">
        <v>317</v>
      </c>
      <c r="C6387" t="s">
        <v>323</v>
      </c>
      <c r="D6387" t="s">
        <v>35</v>
      </c>
      <c r="E6387" t="s">
        <v>349</v>
      </c>
      <c r="F6387" t="s">
        <v>424</v>
      </c>
      <c r="G6387" t="s">
        <v>36</v>
      </c>
      <c r="H6387" t="s">
        <v>43</v>
      </c>
      <c r="I6387" s="187">
        <v>110.21192776003824</v>
      </c>
      <c r="J6387" s="187"/>
      <c r="K6387" s="187">
        <v>0</v>
      </c>
      <c r="L6387" s="187">
        <v>103.72887318591833</v>
      </c>
      <c r="M6387" s="187">
        <v>213.9407958984375</v>
      </c>
      <c r="N6387" s="187">
        <v>213.9407958984375</v>
      </c>
      <c r="O6387" t="s">
        <v>6458</v>
      </c>
    </row>
    <row r="6388" spans="1:15" hidden="1" x14ac:dyDescent="0.45">
      <c r="A6388" s="187">
        <v>2023</v>
      </c>
      <c r="B6388" t="s">
        <v>8570</v>
      </c>
      <c r="C6388" t="s">
        <v>323</v>
      </c>
      <c r="D6388" t="s">
        <v>35</v>
      </c>
      <c r="E6388" t="s">
        <v>349</v>
      </c>
      <c r="F6388" t="s">
        <v>446</v>
      </c>
      <c r="G6388" t="s">
        <v>36</v>
      </c>
      <c r="H6388" t="s">
        <v>43</v>
      </c>
      <c r="I6388" s="187"/>
      <c r="J6388" s="187"/>
      <c r="K6388" s="187">
        <v>0</v>
      </c>
      <c r="L6388" s="187">
        <v>0</v>
      </c>
      <c r="M6388" s="187">
        <v>0</v>
      </c>
      <c r="N6388" s="187">
        <v>0</v>
      </c>
      <c r="O6388" t="s">
        <v>8958</v>
      </c>
    </row>
    <row r="6389" spans="1:15" hidden="1" x14ac:dyDescent="0.45">
      <c r="A6389" s="187">
        <v>2023</v>
      </c>
      <c r="B6389" t="s">
        <v>316</v>
      </c>
      <c r="C6389" t="s">
        <v>323</v>
      </c>
      <c r="D6389" t="s">
        <v>35</v>
      </c>
      <c r="E6389" t="s">
        <v>349</v>
      </c>
      <c r="F6389" t="s">
        <v>446</v>
      </c>
      <c r="G6389" t="s">
        <v>36</v>
      </c>
      <c r="H6389" t="s">
        <v>43</v>
      </c>
      <c r="I6389" s="187">
        <v>112.35930607922869</v>
      </c>
      <c r="J6389" s="187"/>
      <c r="K6389" s="187">
        <v>0</v>
      </c>
      <c r="L6389" s="187">
        <v>112.34829154084233</v>
      </c>
      <c r="M6389" s="187">
        <v>224.70759582519531</v>
      </c>
      <c r="N6389" s="187">
        <v>224.70759582519531</v>
      </c>
      <c r="O6389" t="s">
        <v>6462</v>
      </c>
    </row>
    <row r="6390" spans="1:15" hidden="1" x14ac:dyDescent="0.45">
      <c r="A6390" s="187">
        <v>2023</v>
      </c>
      <c r="B6390" t="s">
        <v>314</v>
      </c>
      <c r="C6390" t="s">
        <v>323</v>
      </c>
      <c r="D6390" t="s">
        <v>35</v>
      </c>
      <c r="E6390" t="s">
        <v>349</v>
      </c>
      <c r="F6390" t="s">
        <v>446</v>
      </c>
      <c r="G6390" t="s">
        <v>36</v>
      </c>
      <c r="H6390" t="s">
        <v>43</v>
      </c>
      <c r="I6390" s="187">
        <v>116.48206610988997</v>
      </c>
      <c r="J6390" s="187">
        <v>0</v>
      </c>
      <c r="K6390" s="187">
        <v>0</v>
      </c>
      <c r="L6390" s="187">
        <v>110.65796280439548</v>
      </c>
      <c r="M6390" s="187">
        <v>227.14002990722656</v>
      </c>
      <c r="N6390" s="187">
        <v>227.14002990722656</v>
      </c>
      <c r="O6390" t="s">
        <v>6461</v>
      </c>
    </row>
    <row r="6391" spans="1:15" hidden="1" x14ac:dyDescent="0.45">
      <c r="A6391" s="187">
        <v>2023</v>
      </c>
      <c r="B6391" t="s">
        <v>315</v>
      </c>
      <c r="C6391" t="s">
        <v>323</v>
      </c>
      <c r="D6391" t="s">
        <v>35</v>
      </c>
      <c r="E6391" t="s">
        <v>349</v>
      </c>
      <c r="F6391" t="s">
        <v>446</v>
      </c>
      <c r="G6391" t="s">
        <v>36</v>
      </c>
      <c r="H6391" t="s">
        <v>43</v>
      </c>
      <c r="I6391" s="187">
        <v>113.27974361850018</v>
      </c>
      <c r="J6391" s="187">
        <v>0</v>
      </c>
      <c r="K6391" s="187">
        <v>0</v>
      </c>
      <c r="L6391" s="187">
        <v>113.27974361850018</v>
      </c>
      <c r="M6391" s="187">
        <v>226.55949401855469</v>
      </c>
      <c r="N6391" s="187">
        <v>226.55949401855469</v>
      </c>
      <c r="O6391" t="s">
        <v>6463</v>
      </c>
    </row>
    <row r="6392" spans="1:15" hidden="1" x14ac:dyDescent="0.45">
      <c r="A6392" s="187">
        <v>2023</v>
      </c>
      <c r="B6392" t="s">
        <v>317</v>
      </c>
      <c r="C6392" t="s">
        <v>323</v>
      </c>
      <c r="D6392" t="s">
        <v>35</v>
      </c>
      <c r="E6392" t="s">
        <v>349</v>
      </c>
      <c r="F6392" t="s">
        <v>446</v>
      </c>
      <c r="G6392" t="s">
        <v>36</v>
      </c>
      <c r="H6392" t="s">
        <v>43</v>
      </c>
      <c r="I6392" s="187">
        <v>86.440727654931948</v>
      </c>
      <c r="J6392" s="187"/>
      <c r="K6392" s="187">
        <v>0</v>
      </c>
      <c r="L6392" s="187">
        <v>23.771200105106285</v>
      </c>
      <c r="M6392" s="187">
        <v>110.21192932128906</v>
      </c>
      <c r="N6392" s="187">
        <v>110.21192932128906</v>
      </c>
      <c r="O6392" t="s">
        <v>6460</v>
      </c>
    </row>
    <row r="6393" spans="1:15" hidden="1" x14ac:dyDescent="0.45">
      <c r="A6393" s="187">
        <v>2023</v>
      </c>
      <c r="B6393" t="s">
        <v>316</v>
      </c>
      <c r="C6393" t="s">
        <v>323</v>
      </c>
      <c r="D6393" t="s">
        <v>35</v>
      </c>
      <c r="E6393" t="s">
        <v>349</v>
      </c>
      <c r="F6393" t="s">
        <v>447</v>
      </c>
      <c r="G6393" t="s">
        <v>36</v>
      </c>
      <c r="H6393" t="s">
        <v>43</v>
      </c>
      <c r="I6393" s="187">
        <v>280.89826519807173</v>
      </c>
      <c r="J6393" s="187">
        <v>0</v>
      </c>
      <c r="K6393" s="187">
        <v>210.95611378905599</v>
      </c>
      <c r="L6393" s="187">
        <v>443.88589697019074</v>
      </c>
      <c r="M6393" s="187">
        <v>935.74029541015625</v>
      </c>
      <c r="N6393" s="187">
        <v>724.7841796875</v>
      </c>
      <c r="O6393" t="s">
        <v>6467</v>
      </c>
    </row>
    <row r="6394" spans="1:15" hidden="1" x14ac:dyDescent="0.45">
      <c r="A6394" s="187">
        <v>2023</v>
      </c>
      <c r="B6394" t="s">
        <v>8570</v>
      </c>
      <c r="C6394" t="s">
        <v>323</v>
      </c>
      <c r="D6394" t="s">
        <v>35</v>
      </c>
      <c r="E6394" t="s">
        <v>349</v>
      </c>
      <c r="F6394" t="s">
        <v>447</v>
      </c>
      <c r="G6394" t="s">
        <v>36</v>
      </c>
      <c r="H6394" t="s">
        <v>43</v>
      </c>
      <c r="I6394" s="187"/>
      <c r="J6394" s="187">
        <v>0</v>
      </c>
      <c r="K6394" s="187">
        <v>405.00815729229441</v>
      </c>
      <c r="L6394" s="187">
        <v>151</v>
      </c>
      <c r="M6394" s="187">
        <v>556.0081787109375</v>
      </c>
      <c r="N6394" s="187">
        <v>151</v>
      </c>
      <c r="O6394" t="s">
        <v>8959</v>
      </c>
    </row>
    <row r="6395" spans="1:15" hidden="1" x14ac:dyDescent="0.45">
      <c r="A6395" s="187">
        <v>2023</v>
      </c>
      <c r="B6395" t="s">
        <v>317</v>
      </c>
      <c r="C6395" t="s">
        <v>323</v>
      </c>
      <c r="D6395" t="s">
        <v>35</v>
      </c>
      <c r="E6395" t="s">
        <v>349</v>
      </c>
      <c r="F6395" t="s">
        <v>447</v>
      </c>
      <c r="G6395" t="s">
        <v>36</v>
      </c>
      <c r="H6395" t="s">
        <v>43</v>
      </c>
      <c r="I6395" s="187">
        <v>251.7586192949893</v>
      </c>
      <c r="J6395" s="187">
        <v>0</v>
      </c>
      <c r="K6395" s="187">
        <v>427.92213906023494</v>
      </c>
      <c r="L6395" s="187">
        <v>216.10181913732987</v>
      </c>
      <c r="M6395" s="187">
        <v>895.7825927734375</v>
      </c>
      <c r="N6395" s="187">
        <v>467.86044311523438</v>
      </c>
      <c r="O6395" t="s">
        <v>6465</v>
      </c>
    </row>
    <row r="6396" spans="1:15" hidden="1" x14ac:dyDescent="0.45">
      <c r="A6396" s="187">
        <v>2023</v>
      </c>
      <c r="B6396" t="s">
        <v>315</v>
      </c>
      <c r="C6396" t="s">
        <v>323</v>
      </c>
      <c r="D6396" t="s">
        <v>35</v>
      </c>
      <c r="E6396" t="s">
        <v>349</v>
      </c>
      <c r="F6396" t="s">
        <v>447</v>
      </c>
      <c r="G6396" t="s">
        <v>36</v>
      </c>
      <c r="H6396" t="s">
        <v>43</v>
      </c>
      <c r="I6396" s="187">
        <v>283.19935904625044</v>
      </c>
      <c r="J6396" s="187">
        <v>0</v>
      </c>
      <c r="K6396" s="187">
        <v>262.32391429518503</v>
      </c>
      <c r="L6396" s="187">
        <v>448.5877847292607</v>
      </c>
      <c r="M6396" s="187">
        <v>994.111083984375</v>
      </c>
      <c r="N6396" s="187">
        <v>731.78717041015625</v>
      </c>
      <c r="O6396" t="s">
        <v>6464</v>
      </c>
    </row>
    <row r="6397" spans="1:15" hidden="1" x14ac:dyDescent="0.45">
      <c r="A6397" s="187">
        <v>2023</v>
      </c>
      <c r="B6397" t="s">
        <v>314</v>
      </c>
      <c r="C6397" t="s">
        <v>323</v>
      </c>
      <c r="D6397" t="s">
        <v>35</v>
      </c>
      <c r="E6397" t="s">
        <v>349</v>
      </c>
      <c r="F6397" t="s">
        <v>447</v>
      </c>
      <c r="G6397" t="s">
        <v>36</v>
      </c>
      <c r="H6397" t="s">
        <v>43</v>
      </c>
      <c r="I6397" s="187">
        <v>291.20516527472495</v>
      </c>
      <c r="J6397" s="187">
        <v>0</v>
      </c>
      <c r="K6397" s="187">
        <v>258.77037468648069</v>
      </c>
      <c r="L6397" s="187">
        <v>262.08464874725246</v>
      </c>
      <c r="M6397" s="187">
        <v>812.0601806640625</v>
      </c>
      <c r="N6397" s="187">
        <v>553.289794921875</v>
      </c>
      <c r="O6397" t="s">
        <v>6466</v>
      </c>
    </row>
    <row r="6398" spans="1:15" hidden="1" x14ac:dyDescent="0.45">
      <c r="A6398" s="187">
        <v>2023</v>
      </c>
      <c r="B6398" t="s">
        <v>313</v>
      </c>
      <c r="C6398" t="s">
        <v>328</v>
      </c>
      <c r="D6398" t="s">
        <v>39</v>
      </c>
      <c r="E6398" t="s">
        <v>349</v>
      </c>
      <c r="F6398" t="s">
        <v>349</v>
      </c>
      <c r="G6398" t="s">
        <v>36</v>
      </c>
      <c r="H6398" t="s">
        <v>43</v>
      </c>
      <c r="I6398" s="187">
        <v>0</v>
      </c>
      <c r="J6398" s="187">
        <v>0</v>
      </c>
      <c r="K6398" s="187">
        <v>3070.6700130079585</v>
      </c>
      <c r="L6398" s="187">
        <v>0</v>
      </c>
      <c r="M6398" s="187">
        <v>3070.669921875</v>
      </c>
      <c r="N6398" s="187">
        <v>0</v>
      </c>
      <c r="O6398" t="s">
        <v>6470</v>
      </c>
    </row>
    <row r="6399" spans="1:15" hidden="1" x14ac:dyDescent="0.45">
      <c r="A6399" s="187">
        <v>2023</v>
      </c>
      <c r="B6399" t="s">
        <v>317</v>
      </c>
      <c r="C6399" t="s">
        <v>328</v>
      </c>
      <c r="D6399" t="s">
        <v>39</v>
      </c>
      <c r="E6399" t="s">
        <v>349</v>
      </c>
      <c r="F6399" t="s">
        <v>349</v>
      </c>
      <c r="G6399" t="s">
        <v>36</v>
      </c>
      <c r="H6399" t="s">
        <v>43</v>
      </c>
      <c r="I6399" s="187">
        <v>0</v>
      </c>
      <c r="J6399" s="187">
        <v>26.131645976874857</v>
      </c>
      <c r="K6399" s="187">
        <v>2399.781916991205</v>
      </c>
      <c r="L6399" s="187">
        <v>0</v>
      </c>
      <c r="M6399" s="187">
        <v>2425.91357421875</v>
      </c>
      <c r="N6399" s="187">
        <v>0</v>
      </c>
      <c r="O6399" t="s">
        <v>6468</v>
      </c>
    </row>
    <row r="6400" spans="1:15" hidden="1" x14ac:dyDescent="0.45">
      <c r="A6400" s="187">
        <v>2023</v>
      </c>
      <c r="B6400" t="s">
        <v>314</v>
      </c>
      <c r="C6400" t="s">
        <v>328</v>
      </c>
      <c r="D6400" t="s">
        <v>39</v>
      </c>
      <c r="E6400" t="s">
        <v>349</v>
      </c>
      <c r="F6400" t="s">
        <v>349</v>
      </c>
      <c r="G6400" t="s">
        <v>36</v>
      </c>
      <c r="H6400" t="s">
        <v>43</v>
      </c>
      <c r="I6400" s="187">
        <v>0</v>
      </c>
      <c r="J6400" s="187">
        <v>22.192551404189587</v>
      </c>
      <c r="K6400" s="187">
        <v>3100.354886894771</v>
      </c>
      <c r="L6400" s="187">
        <v>0</v>
      </c>
      <c r="M6400" s="187">
        <v>3122.54736328125</v>
      </c>
      <c r="N6400" s="187">
        <v>0</v>
      </c>
      <c r="O6400" t="s">
        <v>6469</v>
      </c>
    </row>
    <row r="6401" spans="1:15" hidden="1" x14ac:dyDescent="0.45">
      <c r="A6401" s="187">
        <v>2023</v>
      </c>
      <c r="B6401" t="s">
        <v>309</v>
      </c>
      <c r="C6401" t="s">
        <v>328</v>
      </c>
      <c r="D6401" t="s">
        <v>39</v>
      </c>
      <c r="E6401" t="s">
        <v>349</v>
      </c>
      <c r="F6401" t="s">
        <v>349</v>
      </c>
      <c r="G6401" t="s">
        <v>36</v>
      </c>
      <c r="H6401" t="s">
        <v>43</v>
      </c>
      <c r="I6401" s="187"/>
      <c r="J6401" s="187">
        <v>0</v>
      </c>
      <c r="K6401" s="187">
        <v>3443.0435170487876</v>
      </c>
      <c r="L6401" s="187">
        <v>0</v>
      </c>
      <c r="M6401" s="187">
        <v>3443.04345703125</v>
      </c>
      <c r="N6401" s="187">
        <v>0</v>
      </c>
      <c r="O6401" t="s">
        <v>6476</v>
      </c>
    </row>
    <row r="6402" spans="1:15" hidden="1" x14ac:dyDescent="0.45">
      <c r="A6402" s="187">
        <v>2023</v>
      </c>
      <c r="B6402" t="s">
        <v>310</v>
      </c>
      <c r="C6402" t="s">
        <v>328</v>
      </c>
      <c r="D6402" t="s">
        <v>39</v>
      </c>
      <c r="E6402" t="s">
        <v>349</v>
      </c>
      <c r="F6402" t="s">
        <v>349</v>
      </c>
      <c r="G6402" t="s">
        <v>36</v>
      </c>
      <c r="H6402" t="s">
        <v>43</v>
      </c>
      <c r="I6402" s="187"/>
      <c r="J6402" s="187">
        <v>0</v>
      </c>
      <c r="K6402" s="187">
        <v>3615.0205749954357</v>
      </c>
      <c r="L6402" s="187">
        <v>0</v>
      </c>
      <c r="M6402" s="187">
        <v>3615.0205078125</v>
      </c>
      <c r="N6402" s="187">
        <v>0</v>
      </c>
      <c r="O6402" t="s">
        <v>6475</v>
      </c>
    </row>
    <row r="6403" spans="1:15" hidden="1" x14ac:dyDescent="0.45">
      <c r="A6403" s="187">
        <v>2023</v>
      </c>
      <c r="B6403" t="s">
        <v>312</v>
      </c>
      <c r="C6403" t="s">
        <v>328</v>
      </c>
      <c r="D6403" t="s">
        <v>39</v>
      </c>
      <c r="E6403" t="s">
        <v>349</v>
      </c>
      <c r="F6403" t="s">
        <v>349</v>
      </c>
      <c r="G6403" t="s">
        <v>36</v>
      </c>
      <c r="H6403" t="s">
        <v>43</v>
      </c>
      <c r="I6403" s="187">
        <v>0</v>
      </c>
      <c r="J6403" s="187">
        <v>0</v>
      </c>
      <c r="K6403" s="187">
        <v>3542.1177586214585</v>
      </c>
      <c r="L6403" s="187">
        <v>0</v>
      </c>
      <c r="M6403" s="187">
        <v>3542.11767578125</v>
      </c>
      <c r="N6403" s="187">
        <v>0</v>
      </c>
      <c r="O6403" t="s">
        <v>6471</v>
      </c>
    </row>
    <row r="6404" spans="1:15" hidden="1" x14ac:dyDescent="0.45">
      <c r="A6404" s="187">
        <v>2023</v>
      </c>
      <c r="B6404" t="s">
        <v>311</v>
      </c>
      <c r="C6404" t="s">
        <v>328</v>
      </c>
      <c r="D6404" t="s">
        <v>39</v>
      </c>
      <c r="E6404" t="s">
        <v>349</v>
      </c>
      <c r="F6404" t="s">
        <v>349</v>
      </c>
      <c r="G6404" t="s">
        <v>36</v>
      </c>
      <c r="H6404" t="s">
        <v>43</v>
      </c>
      <c r="I6404" s="187"/>
      <c r="J6404" s="187">
        <v>0</v>
      </c>
      <c r="K6404" s="187">
        <v>2839.0182072817838</v>
      </c>
      <c r="L6404" s="187">
        <v>0</v>
      </c>
      <c r="M6404" s="187">
        <v>2839.018310546875</v>
      </c>
      <c r="N6404" s="187">
        <v>0</v>
      </c>
      <c r="O6404" t="s">
        <v>6474</v>
      </c>
    </row>
    <row r="6405" spans="1:15" hidden="1" x14ac:dyDescent="0.45">
      <c r="A6405" s="187">
        <v>2023</v>
      </c>
      <c r="B6405" t="s">
        <v>8570</v>
      </c>
      <c r="C6405" t="s">
        <v>328</v>
      </c>
      <c r="D6405" t="s">
        <v>39</v>
      </c>
      <c r="E6405" t="s">
        <v>349</v>
      </c>
      <c r="F6405" t="s">
        <v>349</v>
      </c>
      <c r="G6405" t="s">
        <v>36</v>
      </c>
      <c r="H6405" t="s">
        <v>43</v>
      </c>
      <c r="I6405" s="187">
        <v>0</v>
      </c>
      <c r="J6405" s="187"/>
      <c r="K6405" s="187">
        <v>2536.8138489113649</v>
      </c>
      <c r="L6405" s="187">
        <v>0</v>
      </c>
      <c r="M6405" s="187">
        <v>2536.81396484375</v>
      </c>
      <c r="N6405" s="187">
        <v>0</v>
      </c>
      <c r="O6405" t="s">
        <v>8960</v>
      </c>
    </row>
    <row r="6406" spans="1:15" hidden="1" x14ac:dyDescent="0.45">
      <c r="A6406" s="187">
        <v>2023</v>
      </c>
      <c r="B6406" t="s">
        <v>315</v>
      </c>
      <c r="C6406" t="s">
        <v>328</v>
      </c>
      <c r="D6406" t="s">
        <v>39</v>
      </c>
      <c r="E6406" t="s">
        <v>349</v>
      </c>
      <c r="F6406" t="s">
        <v>349</v>
      </c>
      <c r="G6406" t="s">
        <v>36</v>
      </c>
      <c r="H6406" t="s">
        <v>43</v>
      </c>
      <c r="I6406" s="187">
        <v>0</v>
      </c>
      <c r="J6406" s="187">
        <v>21.603009729083823</v>
      </c>
      <c r="K6406" s="187">
        <v>2352.3512447438316</v>
      </c>
      <c r="L6406" s="187">
        <v>0</v>
      </c>
      <c r="M6406" s="187">
        <v>2373.954345703125</v>
      </c>
      <c r="N6406" s="187">
        <v>0</v>
      </c>
      <c r="O6406" t="s">
        <v>6473</v>
      </c>
    </row>
    <row r="6407" spans="1:15" hidden="1" x14ac:dyDescent="0.45">
      <c r="A6407" s="187">
        <v>2023</v>
      </c>
      <c r="B6407" t="s">
        <v>316</v>
      </c>
      <c r="C6407" t="s">
        <v>328</v>
      </c>
      <c r="D6407" t="s">
        <v>39</v>
      </c>
      <c r="E6407" t="s">
        <v>349</v>
      </c>
      <c r="F6407" t="s">
        <v>349</v>
      </c>
      <c r="G6407" t="s">
        <v>36</v>
      </c>
      <c r="H6407" t="s">
        <v>43</v>
      </c>
      <c r="I6407" s="187">
        <v>0</v>
      </c>
      <c r="J6407" s="187">
        <v>26.440360977435727</v>
      </c>
      <c r="K6407" s="187">
        <v>2522.7810649663734</v>
      </c>
      <c r="L6407" s="187">
        <v>0</v>
      </c>
      <c r="M6407" s="187">
        <v>2549.221435546875</v>
      </c>
      <c r="N6407" s="187">
        <v>0</v>
      </c>
      <c r="O6407" t="s">
        <v>6472</v>
      </c>
    </row>
    <row r="6408" spans="1:15" hidden="1" x14ac:dyDescent="0.45">
      <c r="A6408" s="187">
        <v>2023</v>
      </c>
      <c r="B6408" t="s">
        <v>314</v>
      </c>
      <c r="C6408" t="s">
        <v>328</v>
      </c>
      <c r="D6408" t="s">
        <v>39</v>
      </c>
      <c r="E6408" t="s">
        <v>349</v>
      </c>
      <c r="F6408" t="s">
        <v>349</v>
      </c>
      <c r="G6408" t="s">
        <v>37</v>
      </c>
      <c r="H6408" t="s">
        <v>43</v>
      </c>
      <c r="I6408" s="187">
        <v>0</v>
      </c>
      <c r="J6408" s="187">
        <v>22</v>
      </c>
      <c r="K6408" s="187">
        <v>3090.5455912542488</v>
      </c>
      <c r="L6408" s="187">
        <v>0</v>
      </c>
      <c r="M6408" s="187">
        <v>3112.545654296875</v>
      </c>
      <c r="N6408" s="187">
        <v>0</v>
      </c>
      <c r="O6408" t="s">
        <v>6485</v>
      </c>
    </row>
    <row r="6409" spans="1:15" hidden="1" x14ac:dyDescent="0.45">
      <c r="A6409" s="187">
        <v>2023</v>
      </c>
      <c r="B6409" t="s">
        <v>313</v>
      </c>
      <c r="C6409" t="s">
        <v>328</v>
      </c>
      <c r="D6409" t="s">
        <v>39</v>
      </c>
      <c r="E6409" t="s">
        <v>349</v>
      </c>
      <c r="F6409" t="s">
        <v>349</v>
      </c>
      <c r="G6409" t="s">
        <v>37</v>
      </c>
      <c r="H6409" t="s">
        <v>43</v>
      </c>
      <c r="I6409" s="187">
        <v>0</v>
      </c>
      <c r="J6409" s="187">
        <v>0</v>
      </c>
      <c r="K6409" s="187">
        <v>3016.993633295263</v>
      </c>
      <c r="L6409" s="187">
        <v>0</v>
      </c>
      <c r="M6409" s="187">
        <v>3016.99365234375</v>
      </c>
      <c r="N6409" s="187">
        <v>0</v>
      </c>
      <c r="O6409" t="s">
        <v>6482</v>
      </c>
    </row>
    <row r="6410" spans="1:15" hidden="1" x14ac:dyDescent="0.45">
      <c r="A6410" s="187">
        <v>2023</v>
      </c>
      <c r="B6410" t="s">
        <v>309</v>
      </c>
      <c r="C6410" t="s">
        <v>328</v>
      </c>
      <c r="D6410" t="s">
        <v>39</v>
      </c>
      <c r="E6410" t="s">
        <v>349</v>
      </c>
      <c r="F6410" t="s">
        <v>349</v>
      </c>
      <c r="G6410" t="s">
        <v>37</v>
      </c>
      <c r="H6410" t="s">
        <v>43</v>
      </c>
      <c r="I6410" s="187"/>
      <c r="J6410" s="187">
        <v>0</v>
      </c>
      <c r="K6410" s="187">
        <v>3606.607671239432</v>
      </c>
      <c r="L6410" s="187">
        <v>0</v>
      </c>
      <c r="M6410" s="187">
        <v>3606.607666015625</v>
      </c>
      <c r="N6410" s="187">
        <v>0</v>
      </c>
      <c r="O6410" t="s">
        <v>6481</v>
      </c>
    </row>
    <row r="6411" spans="1:15" hidden="1" x14ac:dyDescent="0.45">
      <c r="A6411" s="187">
        <v>2023</v>
      </c>
      <c r="B6411" t="s">
        <v>311</v>
      </c>
      <c r="C6411" t="s">
        <v>328</v>
      </c>
      <c r="D6411" t="s">
        <v>39</v>
      </c>
      <c r="E6411" t="s">
        <v>349</v>
      </c>
      <c r="F6411" t="s">
        <v>349</v>
      </c>
      <c r="G6411" t="s">
        <v>37</v>
      </c>
      <c r="H6411" t="s">
        <v>43</v>
      </c>
      <c r="I6411" s="187"/>
      <c r="J6411" s="187">
        <v>0</v>
      </c>
      <c r="K6411" s="187">
        <v>2834.2501794468508</v>
      </c>
      <c r="L6411" s="187">
        <v>0</v>
      </c>
      <c r="M6411" s="187">
        <v>2834.250244140625</v>
      </c>
      <c r="N6411" s="187">
        <v>0</v>
      </c>
      <c r="O6411" t="s">
        <v>6484</v>
      </c>
    </row>
    <row r="6412" spans="1:15" hidden="1" x14ac:dyDescent="0.45">
      <c r="A6412" s="187">
        <v>2023</v>
      </c>
      <c r="B6412" t="s">
        <v>8570</v>
      </c>
      <c r="C6412" t="s">
        <v>328</v>
      </c>
      <c r="D6412" t="s">
        <v>39</v>
      </c>
      <c r="E6412" t="s">
        <v>349</v>
      </c>
      <c r="F6412" t="s">
        <v>349</v>
      </c>
      <c r="G6412" t="s">
        <v>37</v>
      </c>
      <c r="H6412" t="s">
        <v>43</v>
      </c>
      <c r="I6412" s="187">
        <v>0</v>
      </c>
      <c r="J6412" s="187">
        <v>5</v>
      </c>
      <c r="K6412" s="187">
        <v>2594.9242457005348</v>
      </c>
      <c r="L6412" s="187">
        <v>0</v>
      </c>
      <c r="M6412" s="187">
        <v>2599.92431640625</v>
      </c>
      <c r="N6412" s="187">
        <v>0</v>
      </c>
      <c r="O6412" t="s">
        <v>8961</v>
      </c>
    </row>
    <row r="6413" spans="1:15" hidden="1" x14ac:dyDescent="0.45">
      <c r="A6413" s="187">
        <v>2023</v>
      </c>
      <c r="B6413" t="s">
        <v>316</v>
      </c>
      <c r="C6413" t="s">
        <v>328</v>
      </c>
      <c r="D6413" t="s">
        <v>39</v>
      </c>
      <c r="E6413" t="s">
        <v>349</v>
      </c>
      <c r="F6413" t="s">
        <v>349</v>
      </c>
      <c r="G6413" t="s">
        <v>37</v>
      </c>
      <c r="H6413" t="s">
        <v>43</v>
      </c>
      <c r="I6413" s="187">
        <v>0</v>
      </c>
      <c r="J6413" s="187">
        <v>25</v>
      </c>
      <c r="K6413" s="187">
        <v>2486.1159213048968</v>
      </c>
      <c r="L6413" s="187">
        <v>0</v>
      </c>
      <c r="M6413" s="187">
        <v>2511.115966796875</v>
      </c>
      <c r="N6413" s="187">
        <v>0</v>
      </c>
      <c r="O6413" t="s">
        <v>6477</v>
      </c>
    </row>
    <row r="6414" spans="1:15" hidden="1" x14ac:dyDescent="0.45">
      <c r="A6414" s="187">
        <v>2023</v>
      </c>
      <c r="B6414" t="s">
        <v>310</v>
      </c>
      <c r="C6414" t="s">
        <v>328</v>
      </c>
      <c r="D6414" t="s">
        <v>39</v>
      </c>
      <c r="E6414" t="s">
        <v>349</v>
      </c>
      <c r="F6414" t="s">
        <v>349</v>
      </c>
      <c r="G6414" t="s">
        <v>37</v>
      </c>
      <c r="H6414" t="s">
        <v>43</v>
      </c>
      <c r="I6414" s="187"/>
      <c r="J6414" s="187">
        <v>0</v>
      </c>
      <c r="K6414" s="187">
        <v>3710.673551773642</v>
      </c>
      <c r="L6414" s="187">
        <v>0</v>
      </c>
      <c r="M6414" s="187">
        <v>3710.673583984375</v>
      </c>
      <c r="N6414" s="187">
        <v>0</v>
      </c>
      <c r="O6414" t="s">
        <v>6483</v>
      </c>
    </row>
    <row r="6415" spans="1:15" hidden="1" x14ac:dyDescent="0.45">
      <c r="A6415" s="187">
        <v>2023</v>
      </c>
      <c r="B6415" t="s">
        <v>312</v>
      </c>
      <c r="C6415" t="s">
        <v>328</v>
      </c>
      <c r="D6415" t="s">
        <v>39</v>
      </c>
      <c r="E6415" t="s">
        <v>349</v>
      </c>
      <c r="F6415" t="s">
        <v>349</v>
      </c>
      <c r="G6415" t="s">
        <v>37</v>
      </c>
      <c r="H6415" t="s">
        <v>43</v>
      </c>
      <c r="I6415" s="187">
        <v>0</v>
      </c>
      <c r="J6415" s="187">
        <v>0</v>
      </c>
      <c r="K6415" s="187">
        <v>3497.4740696547829</v>
      </c>
      <c r="L6415" s="187">
        <v>0</v>
      </c>
      <c r="M6415" s="187">
        <v>3497.47412109375</v>
      </c>
      <c r="N6415" s="187">
        <v>0</v>
      </c>
      <c r="O6415" t="s">
        <v>6478</v>
      </c>
    </row>
    <row r="6416" spans="1:15" hidden="1" x14ac:dyDescent="0.45">
      <c r="A6416" s="187">
        <v>2023</v>
      </c>
      <c r="B6416" t="s">
        <v>317</v>
      </c>
      <c r="C6416" t="s">
        <v>328</v>
      </c>
      <c r="D6416" t="s">
        <v>39</v>
      </c>
      <c r="E6416" t="s">
        <v>349</v>
      </c>
      <c r="F6416" t="s">
        <v>349</v>
      </c>
      <c r="G6416" t="s">
        <v>37</v>
      </c>
      <c r="H6416" t="s">
        <v>43</v>
      </c>
      <c r="I6416" s="187">
        <v>0</v>
      </c>
      <c r="J6416" s="187">
        <v>25</v>
      </c>
      <c r="K6416" s="187">
        <v>2375.4883493960028</v>
      </c>
      <c r="L6416" s="187">
        <v>0</v>
      </c>
      <c r="M6416" s="187">
        <v>2400.48828125</v>
      </c>
      <c r="N6416" s="187">
        <v>0</v>
      </c>
      <c r="O6416" t="s">
        <v>6480</v>
      </c>
    </row>
    <row r="6417" spans="1:15" hidden="1" x14ac:dyDescent="0.45">
      <c r="A6417" s="187">
        <v>2023</v>
      </c>
      <c r="B6417" t="s">
        <v>315</v>
      </c>
      <c r="C6417" t="s">
        <v>328</v>
      </c>
      <c r="D6417" t="s">
        <v>39</v>
      </c>
      <c r="E6417" t="s">
        <v>349</v>
      </c>
      <c r="F6417" t="s">
        <v>349</v>
      </c>
      <c r="G6417" t="s">
        <v>37</v>
      </c>
      <c r="H6417" t="s">
        <v>43</v>
      </c>
      <c r="I6417" s="187">
        <v>0</v>
      </c>
      <c r="J6417" s="187">
        <v>21</v>
      </c>
      <c r="K6417" s="187">
        <v>2351.4518561663299</v>
      </c>
      <c r="L6417" s="187">
        <v>0</v>
      </c>
      <c r="M6417" s="187">
        <v>2372.451904296875</v>
      </c>
      <c r="N6417" s="187">
        <v>0</v>
      </c>
      <c r="O6417" t="s">
        <v>6479</v>
      </c>
    </row>
    <row r="6418" spans="1:15" hidden="1" x14ac:dyDescent="0.45">
      <c r="A6418" s="187">
        <v>2023</v>
      </c>
      <c r="B6418" t="s">
        <v>311</v>
      </c>
      <c r="C6418" t="s">
        <v>328</v>
      </c>
      <c r="D6418" t="s">
        <v>39</v>
      </c>
      <c r="E6418" t="s">
        <v>21</v>
      </c>
      <c r="F6418" t="s">
        <v>21</v>
      </c>
      <c r="G6418" t="s">
        <v>36</v>
      </c>
      <c r="H6418" t="s">
        <v>43</v>
      </c>
      <c r="I6418" s="187"/>
      <c r="J6418" s="187">
        <v>891.27375513324205</v>
      </c>
      <c r="K6418" s="187">
        <v>7610.0854184999162</v>
      </c>
      <c r="L6418" s="187">
        <v>647.77543510337591</v>
      </c>
      <c r="M6418" s="187">
        <v>9149.134765625</v>
      </c>
      <c r="N6418" s="187">
        <v>647.77545166015625</v>
      </c>
      <c r="O6418" t="s">
        <v>6494</v>
      </c>
    </row>
    <row r="6419" spans="1:15" hidden="1" x14ac:dyDescent="0.45">
      <c r="A6419" s="187">
        <v>2023</v>
      </c>
      <c r="B6419" t="s">
        <v>313</v>
      </c>
      <c r="C6419" t="s">
        <v>328</v>
      </c>
      <c r="D6419" t="s">
        <v>39</v>
      </c>
      <c r="E6419" t="s">
        <v>21</v>
      </c>
      <c r="F6419" t="s">
        <v>21</v>
      </c>
      <c r="G6419" t="s">
        <v>36</v>
      </c>
      <c r="H6419" t="s">
        <v>43</v>
      </c>
      <c r="I6419" s="187">
        <v>1940.0044612941792</v>
      </c>
      <c r="J6419" s="187">
        <v>912.85735991632748</v>
      </c>
      <c r="K6419" s="187">
        <v>7403.32482898131</v>
      </c>
      <c r="L6419" s="187">
        <v>5323.0994800120843</v>
      </c>
      <c r="M6419" s="187">
        <v>15579.2861328125</v>
      </c>
      <c r="N6419" s="187">
        <v>7263.10400390625</v>
      </c>
      <c r="O6419" t="s">
        <v>6493</v>
      </c>
    </row>
    <row r="6420" spans="1:15" hidden="1" x14ac:dyDescent="0.45">
      <c r="A6420" s="187">
        <v>2023</v>
      </c>
      <c r="B6420" t="s">
        <v>316</v>
      </c>
      <c r="C6420" t="s">
        <v>328</v>
      </c>
      <c r="D6420" t="s">
        <v>39</v>
      </c>
      <c r="E6420" t="s">
        <v>21</v>
      </c>
      <c r="F6420" t="s">
        <v>21</v>
      </c>
      <c r="G6420" t="s">
        <v>36</v>
      </c>
      <c r="H6420" t="s">
        <v>43</v>
      </c>
      <c r="I6420" s="187">
        <v>3117.8522850700328</v>
      </c>
      <c r="J6420" s="187">
        <v>1327.3061210672736</v>
      </c>
      <c r="K6420" s="187">
        <v>6566.0028267572197</v>
      </c>
      <c r="L6420" s="187">
        <v>5255.2861478751247</v>
      </c>
      <c r="M6420" s="187">
        <v>16266.447265625</v>
      </c>
      <c r="N6420" s="187">
        <v>8373.138671875</v>
      </c>
      <c r="O6420" t="s">
        <v>6490</v>
      </c>
    </row>
    <row r="6421" spans="1:15" hidden="1" x14ac:dyDescent="0.45">
      <c r="A6421" s="187">
        <v>2023</v>
      </c>
      <c r="B6421" t="s">
        <v>312</v>
      </c>
      <c r="C6421" t="s">
        <v>328</v>
      </c>
      <c r="D6421" t="s">
        <v>39</v>
      </c>
      <c r="E6421" t="s">
        <v>21</v>
      </c>
      <c r="F6421" t="s">
        <v>21</v>
      </c>
      <c r="G6421" t="s">
        <v>36</v>
      </c>
      <c r="H6421" t="s">
        <v>43</v>
      </c>
      <c r="I6421" s="187">
        <v>1901.6232069035862</v>
      </c>
      <c r="J6421" s="187">
        <v>887.21672074134676</v>
      </c>
      <c r="K6421" s="187">
        <v>7740.5961760794498</v>
      </c>
      <c r="L6421" s="187">
        <v>5028.7211779535683</v>
      </c>
      <c r="M6421" s="187">
        <v>15558.15625</v>
      </c>
      <c r="N6421" s="187">
        <v>6930.34423828125</v>
      </c>
      <c r="O6421" t="s">
        <v>6491</v>
      </c>
    </row>
    <row r="6422" spans="1:15" hidden="1" x14ac:dyDescent="0.45">
      <c r="A6422" s="187">
        <v>2023</v>
      </c>
      <c r="B6422" t="s">
        <v>315</v>
      </c>
      <c r="C6422" t="s">
        <v>328</v>
      </c>
      <c r="D6422" t="s">
        <v>39</v>
      </c>
      <c r="E6422" t="s">
        <v>21</v>
      </c>
      <c r="F6422" t="s">
        <v>21</v>
      </c>
      <c r="G6422" t="s">
        <v>36</v>
      </c>
      <c r="H6422" t="s">
        <v>43</v>
      </c>
      <c r="I6422" s="187">
        <v>1906.4656085916472</v>
      </c>
      <c r="J6422" s="187">
        <v>1069.3489815896492</v>
      </c>
      <c r="K6422" s="187">
        <v>6394.4473025828611</v>
      </c>
      <c r="L6422" s="187">
        <v>5191.2032378988424</v>
      </c>
      <c r="M6422" s="187">
        <v>14561.46484375</v>
      </c>
      <c r="N6422" s="187">
        <v>7097.6689453125</v>
      </c>
      <c r="O6422" t="s">
        <v>6489</v>
      </c>
    </row>
    <row r="6423" spans="1:15" hidden="1" x14ac:dyDescent="0.45">
      <c r="A6423" s="187">
        <v>2023</v>
      </c>
      <c r="B6423" t="s">
        <v>317</v>
      </c>
      <c r="C6423" t="s">
        <v>328</v>
      </c>
      <c r="D6423" t="s">
        <v>39</v>
      </c>
      <c r="E6423" t="s">
        <v>21</v>
      </c>
      <c r="F6423" t="s">
        <v>21</v>
      </c>
      <c r="G6423" t="s">
        <v>36</v>
      </c>
      <c r="H6423" t="s">
        <v>43</v>
      </c>
      <c r="I6423" s="187">
        <v>3081.448554774689</v>
      </c>
      <c r="J6423" s="187">
        <v>1311.8086280391178</v>
      </c>
      <c r="K6423" s="187">
        <v>7667.5147072388472</v>
      </c>
      <c r="L6423" s="187">
        <v>5351.7610960639713</v>
      </c>
      <c r="M6423" s="187">
        <v>17412.533203125</v>
      </c>
      <c r="N6423" s="187">
        <v>8433.2099609375</v>
      </c>
      <c r="O6423" t="s">
        <v>6487</v>
      </c>
    </row>
    <row r="6424" spans="1:15" hidden="1" x14ac:dyDescent="0.45">
      <c r="A6424" s="187">
        <v>2023</v>
      </c>
      <c r="B6424" t="s">
        <v>309</v>
      </c>
      <c r="C6424" t="s">
        <v>328</v>
      </c>
      <c r="D6424" t="s">
        <v>39</v>
      </c>
      <c r="E6424" t="s">
        <v>21</v>
      </c>
      <c r="F6424" t="s">
        <v>21</v>
      </c>
      <c r="G6424" t="s">
        <v>36</v>
      </c>
      <c r="H6424" t="s">
        <v>43</v>
      </c>
      <c r="I6424" s="187"/>
      <c r="J6424" s="187">
        <v>1033.8771229798922</v>
      </c>
      <c r="K6424" s="187">
        <v>7710.6285691099283</v>
      </c>
      <c r="L6424" s="187">
        <v>10187.50118991592</v>
      </c>
      <c r="M6424" s="187">
        <v>18932.0078125</v>
      </c>
      <c r="N6424" s="187">
        <v>10187.5009765625</v>
      </c>
      <c r="O6424" t="s">
        <v>6492</v>
      </c>
    </row>
    <row r="6425" spans="1:15" hidden="1" x14ac:dyDescent="0.45">
      <c r="A6425" s="187">
        <v>2023</v>
      </c>
      <c r="B6425" t="s">
        <v>310</v>
      </c>
      <c r="C6425" t="s">
        <v>328</v>
      </c>
      <c r="D6425" t="s">
        <v>39</v>
      </c>
      <c r="E6425" t="s">
        <v>21</v>
      </c>
      <c r="F6425" t="s">
        <v>21</v>
      </c>
      <c r="G6425" t="s">
        <v>36</v>
      </c>
      <c r="H6425" t="s">
        <v>43</v>
      </c>
      <c r="I6425" s="187"/>
      <c r="J6425" s="187">
        <v>1039.1238095670417</v>
      </c>
      <c r="K6425" s="187">
        <v>7598.9595581503854</v>
      </c>
      <c r="L6425" s="187">
        <v>9421.6878950891751</v>
      </c>
      <c r="M6425" s="187">
        <v>18059.771484375</v>
      </c>
      <c r="N6425" s="187">
        <v>9421.6875</v>
      </c>
      <c r="O6425" t="s">
        <v>6486</v>
      </c>
    </row>
    <row r="6426" spans="1:15" hidden="1" x14ac:dyDescent="0.45">
      <c r="A6426" s="187">
        <v>2023</v>
      </c>
      <c r="B6426" t="s">
        <v>314</v>
      </c>
      <c r="C6426" t="s">
        <v>328</v>
      </c>
      <c r="D6426" t="s">
        <v>39</v>
      </c>
      <c r="E6426" t="s">
        <v>21</v>
      </c>
      <c r="F6426" t="s">
        <v>21</v>
      </c>
      <c r="G6426" t="s">
        <v>36</v>
      </c>
      <c r="H6426" t="s">
        <v>43</v>
      </c>
      <c r="I6426" s="187">
        <v>1958.4926614197309</v>
      </c>
      <c r="J6426" s="187">
        <v>909.89460757177301</v>
      </c>
      <c r="K6426" s="187">
        <v>5662.0903204302658</v>
      </c>
      <c r="L6426" s="187">
        <v>5066.5594855764821</v>
      </c>
      <c r="M6426" s="187">
        <v>13597.037109375</v>
      </c>
      <c r="N6426" s="187">
        <v>7025.05224609375</v>
      </c>
      <c r="O6426" t="s">
        <v>6488</v>
      </c>
    </row>
    <row r="6427" spans="1:15" hidden="1" x14ac:dyDescent="0.45">
      <c r="A6427" s="187">
        <v>2023</v>
      </c>
      <c r="B6427" t="s">
        <v>8570</v>
      </c>
      <c r="C6427" t="s">
        <v>328</v>
      </c>
      <c r="D6427" t="s">
        <v>39</v>
      </c>
      <c r="E6427" t="s">
        <v>21</v>
      </c>
      <c r="F6427" t="s">
        <v>21</v>
      </c>
      <c r="G6427" t="s">
        <v>36</v>
      </c>
      <c r="H6427" t="s">
        <v>43</v>
      </c>
      <c r="I6427" s="187">
        <v>2685.3386999999998</v>
      </c>
      <c r="J6427" s="187">
        <v>1422</v>
      </c>
      <c r="K6427" s="187">
        <v>6966.6596461183644</v>
      </c>
      <c r="L6427" s="187">
        <v>5400</v>
      </c>
      <c r="M6427" s="187">
        <v>16473.998046875</v>
      </c>
      <c r="N6427" s="187">
        <v>8085.3388671875</v>
      </c>
      <c r="O6427" t="s">
        <v>8962</v>
      </c>
    </row>
    <row r="6428" spans="1:15" hidden="1" x14ac:dyDescent="0.45">
      <c r="A6428" s="187">
        <v>2023</v>
      </c>
      <c r="B6428" t="s">
        <v>311</v>
      </c>
      <c r="C6428" t="s">
        <v>328</v>
      </c>
      <c r="D6428" t="s">
        <v>39</v>
      </c>
      <c r="E6428" t="s">
        <v>21</v>
      </c>
      <c r="F6428" t="s">
        <v>21</v>
      </c>
      <c r="G6428" t="s">
        <v>37</v>
      </c>
      <c r="H6428" t="s">
        <v>43</v>
      </c>
      <c r="I6428" s="187"/>
      <c r="J6428" s="187">
        <v>897</v>
      </c>
      <c r="K6428" s="187">
        <v>7597.3045567891504</v>
      </c>
      <c r="L6428" s="187">
        <v>686</v>
      </c>
      <c r="M6428" s="187">
        <v>9180.3046875</v>
      </c>
      <c r="N6428" s="187">
        <v>686</v>
      </c>
      <c r="O6428" t="s">
        <v>6498</v>
      </c>
    </row>
    <row r="6429" spans="1:15" hidden="1" x14ac:dyDescent="0.45">
      <c r="A6429" s="187">
        <v>2023</v>
      </c>
      <c r="B6429" t="s">
        <v>310</v>
      </c>
      <c r="C6429" t="s">
        <v>328</v>
      </c>
      <c r="D6429" t="s">
        <v>39</v>
      </c>
      <c r="E6429" t="s">
        <v>21</v>
      </c>
      <c r="F6429" t="s">
        <v>21</v>
      </c>
      <c r="G6429" t="s">
        <v>37</v>
      </c>
      <c r="H6429" t="s">
        <v>43</v>
      </c>
      <c r="I6429" s="187"/>
      <c r="J6429" s="187">
        <v>1066</v>
      </c>
      <c r="K6429" s="187">
        <v>7800.027045063709</v>
      </c>
      <c r="L6429" s="187">
        <v>10170</v>
      </c>
      <c r="M6429" s="187">
        <v>19036.02734375</v>
      </c>
      <c r="N6429" s="187">
        <v>10170</v>
      </c>
      <c r="O6429" t="s">
        <v>6495</v>
      </c>
    </row>
    <row r="6430" spans="1:15" hidden="1" x14ac:dyDescent="0.45">
      <c r="A6430" s="187">
        <v>2023</v>
      </c>
      <c r="B6430" t="s">
        <v>314</v>
      </c>
      <c r="C6430" t="s">
        <v>328</v>
      </c>
      <c r="D6430" t="s">
        <v>39</v>
      </c>
      <c r="E6430" t="s">
        <v>21</v>
      </c>
      <c r="F6430" t="s">
        <v>21</v>
      </c>
      <c r="G6430" t="s">
        <v>37</v>
      </c>
      <c r="H6430" t="s">
        <v>43</v>
      </c>
      <c r="I6430" s="187">
        <v>1949.657995146958</v>
      </c>
      <c r="J6430" s="187">
        <v>905</v>
      </c>
      <c r="K6430" s="187">
        <v>5644.1758816248202</v>
      </c>
      <c r="L6430" s="187">
        <v>5337</v>
      </c>
      <c r="M6430" s="187">
        <v>13835.833984375</v>
      </c>
      <c r="N6430" s="187">
        <v>7286.658203125</v>
      </c>
      <c r="O6430" t="s">
        <v>6496</v>
      </c>
    </row>
    <row r="6431" spans="1:15" hidden="1" x14ac:dyDescent="0.45">
      <c r="A6431" s="187">
        <v>2023</v>
      </c>
      <c r="B6431" t="s">
        <v>312</v>
      </c>
      <c r="C6431" t="s">
        <v>328</v>
      </c>
      <c r="D6431" t="s">
        <v>39</v>
      </c>
      <c r="E6431" t="s">
        <v>21</v>
      </c>
      <c r="F6431" t="s">
        <v>21</v>
      </c>
      <c r="G6431" t="s">
        <v>37</v>
      </c>
      <c r="H6431" t="s">
        <v>43</v>
      </c>
      <c r="I6431" s="187">
        <v>1851.9433863277859</v>
      </c>
      <c r="J6431" s="187">
        <v>879</v>
      </c>
      <c r="K6431" s="187">
        <v>7643.0362439568034</v>
      </c>
      <c r="L6431" s="187">
        <v>4983</v>
      </c>
      <c r="M6431" s="187">
        <v>15356.9794921875</v>
      </c>
      <c r="N6431" s="187">
        <v>6834.943359375</v>
      </c>
      <c r="O6431" t="s">
        <v>6503</v>
      </c>
    </row>
    <row r="6432" spans="1:15" hidden="1" x14ac:dyDescent="0.45">
      <c r="A6432" s="187">
        <v>2023</v>
      </c>
      <c r="B6432" t="s">
        <v>315</v>
      </c>
      <c r="C6432" t="s">
        <v>328</v>
      </c>
      <c r="D6432" t="s">
        <v>39</v>
      </c>
      <c r="E6432" t="s">
        <v>21</v>
      </c>
      <c r="F6432" t="s">
        <v>21</v>
      </c>
      <c r="G6432" t="s">
        <v>37</v>
      </c>
      <c r="H6432" t="s">
        <v>43</v>
      </c>
      <c r="I6432" s="187">
        <v>1910.8673871870601</v>
      </c>
      <c r="J6432" s="187">
        <v>1051</v>
      </c>
      <c r="K6432" s="187">
        <v>6392.002475146388</v>
      </c>
      <c r="L6432" s="187">
        <v>5286</v>
      </c>
      <c r="M6432" s="187">
        <v>14639.8701171875</v>
      </c>
      <c r="N6432" s="187">
        <v>7196.8671875</v>
      </c>
      <c r="O6432" t="s">
        <v>6497</v>
      </c>
    </row>
    <row r="6433" spans="1:15" hidden="1" x14ac:dyDescent="0.45">
      <c r="A6433" s="187">
        <v>2023</v>
      </c>
      <c r="B6433" t="s">
        <v>313</v>
      </c>
      <c r="C6433" t="s">
        <v>328</v>
      </c>
      <c r="D6433" t="s">
        <v>39</v>
      </c>
      <c r="E6433" t="s">
        <v>21</v>
      </c>
      <c r="F6433" t="s">
        <v>21</v>
      </c>
      <c r="G6433" t="s">
        <v>37</v>
      </c>
      <c r="H6433" t="s">
        <v>43</v>
      </c>
      <c r="I6433" s="187">
        <v>1910.7120953956692</v>
      </c>
      <c r="J6433" s="187">
        <v>901</v>
      </c>
      <c r="K6433" s="187">
        <v>7273.9121363202848</v>
      </c>
      <c r="L6433" s="187">
        <v>5282</v>
      </c>
      <c r="M6433" s="187">
        <v>15367.6240234375</v>
      </c>
      <c r="N6433" s="187">
        <v>7192.7119140625</v>
      </c>
      <c r="O6433" t="s">
        <v>6499</v>
      </c>
    </row>
    <row r="6434" spans="1:15" hidden="1" x14ac:dyDescent="0.45">
      <c r="A6434" s="187">
        <v>2023</v>
      </c>
      <c r="B6434" t="s">
        <v>316</v>
      </c>
      <c r="C6434" t="s">
        <v>328</v>
      </c>
      <c r="D6434" t="s">
        <v>39</v>
      </c>
      <c r="E6434" t="s">
        <v>21</v>
      </c>
      <c r="F6434" t="s">
        <v>21</v>
      </c>
      <c r="G6434" t="s">
        <v>37</v>
      </c>
      <c r="H6434" t="s">
        <v>43</v>
      </c>
      <c r="I6434" s="187">
        <v>3128.7528297271201</v>
      </c>
      <c r="J6434" s="187">
        <v>1255</v>
      </c>
      <c r="K6434" s="187">
        <v>6470.5750307158214</v>
      </c>
      <c r="L6434" s="187">
        <v>5313</v>
      </c>
      <c r="M6434" s="187">
        <v>16167.328125</v>
      </c>
      <c r="N6434" s="187">
        <v>8441.7529296875</v>
      </c>
      <c r="O6434" t="s">
        <v>6502</v>
      </c>
    </row>
    <row r="6435" spans="1:15" hidden="1" x14ac:dyDescent="0.45">
      <c r="A6435" s="187">
        <v>2023</v>
      </c>
      <c r="B6435" t="s">
        <v>309</v>
      </c>
      <c r="C6435" t="s">
        <v>328</v>
      </c>
      <c r="D6435" t="s">
        <v>39</v>
      </c>
      <c r="E6435" t="s">
        <v>21</v>
      </c>
      <c r="F6435" t="s">
        <v>21</v>
      </c>
      <c r="G6435" t="s">
        <v>37</v>
      </c>
      <c r="H6435" t="s">
        <v>43</v>
      </c>
      <c r="I6435" s="187"/>
      <c r="J6435" s="187">
        <v>1044.4644000000001</v>
      </c>
      <c r="K6435" s="187">
        <v>8076.9272911387779</v>
      </c>
      <c r="L6435" s="187">
        <v>11226</v>
      </c>
      <c r="M6435" s="187">
        <v>20347.390625</v>
      </c>
      <c r="N6435" s="187">
        <v>11226</v>
      </c>
      <c r="O6435" t="s">
        <v>6500</v>
      </c>
    </row>
    <row r="6436" spans="1:15" hidden="1" x14ac:dyDescent="0.45">
      <c r="A6436" s="187">
        <v>2023</v>
      </c>
      <c r="B6436" t="s">
        <v>317</v>
      </c>
      <c r="C6436" t="s">
        <v>328</v>
      </c>
      <c r="D6436" t="s">
        <v>39</v>
      </c>
      <c r="E6436" t="s">
        <v>21</v>
      </c>
      <c r="F6436" t="s">
        <v>21</v>
      </c>
      <c r="G6436" t="s">
        <v>37</v>
      </c>
      <c r="H6436" t="s">
        <v>43</v>
      </c>
      <c r="I6436" s="187">
        <v>3067</v>
      </c>
      <c r="J6436" s="187">
        <v>1255</v>
      </c>
      <c r="K6436" s="187">
        <v>7589.8946178846209</v>
      </c>
      <c r="L6436" s="187">
        <v>5312</v>
      </c>
      <c r="M6436" s="187">
        <v>17223.89453125</v>
      </c>
      <c r="N6436" s="187">
        <v>8379</v>
      </c>
      <c r="O6436" t="s">
        <v>6501</v>
      </c>
    </row>
    <row r="6437" spans="1:15" hidden="1" x14ac:dyDescent="0.45">
      <c r="A6437" s="187">
        <v>2023</v>
      </c>
      <c r="B6437" t="s">
        <v>8570</v>
      </c>
      <c r="C6437" t="s">
        <v>328</v>
      </c>
      <c r="D6437" t="s">
        <v>39</v>
      </c>
      <c r="E6437" t="s">
        <v>21</v>
      </c>
      <c r="F6437" t="s">
        <v>21</v>
      </c>
      <c r="G6437" t="s">
        <v>37</v>
      </c>
      <c r="H6437" t="s">
        <v>43</v>
      </c>
      <c r="I6437" s="187">
        <v>2739.045474</v>
      </c>
      <c r="J6437" s="187">
        <v>1422</v>
      </c>
      <c r="K6437" s="187">
        <v>7126.2438255033703</v>
      </c>
      <c r="L6437" s="187">
        <v>5615</v>
      </c>
      <c r="M6437" s="187">
        <v>16902.2890625</v>
      </c>
      <c r="N6437" s="187">
        <v>8354.044921875</v>
      </c>
      <c r="O6437" t="s">
        <v>8963</v>
      </c>
    </row>
    <row r="6438" spans="1:15" hidden="1" x14ac:dyDescent="0.45">
      <c r="A6438" s="187">
        <v>2023</v>
      </c>
      <c r="B6438" t="s">
        <v>309</v>
      </c>
      <c r="C6438" t="s">
        <v>328</v>
      </c>
      <c r="D6438" t="s">
        <v>39</v>
      </c>
      <c r="E6438" t="s">
        <v>352</v>
      </c>
      <c r="F6438" t="s">
        <v>433</v>
      </c>
      <c r="G6438" t="s">
        <v>36</v>
      </c>
      <c r="H6438" t="s">
        <v>43</v>
      </c>
      <c r="I6438" s="187"/>
      <c r="J6438" s="187">
        <v>185.812017494082</v>
      </c>
      <c r="K6438" s="187">
        <v>464.56596215405085</v>
      </c>
      <c r="L6438" s="187">
        <v>315.64220920469057</v>
      </c>
      <c r="M6438" s="187">
        <v>966.02020263671875</v>
      </c>
      <c r="N6438" s="187">
        <v>315.6422119140625</v>
      </c>
      <c r="O6438" t="s">
        <v>6509</v>
      </c>
    </row>
    <row r="6439" spans="1:15" hidden="1" x14ac:dyDescent="0.45">
      <c r="A6439" s="187">
        <v>2023</v>
      </c>
      <c r="B6439" t="s">
        <v>313</v>
      </c>
      <c r="C6439" t="s">
        <v>328</v>
      </c>
      <c r="D6439" t="s">
        <v>39</v>
      </c>
      <c r="E6439" t="s">
        <v>352</v>
      </c>
      <c r="F6439" t="s">
        <v>433</v>
      </c>
      <c r="G6439" t="s">
        <v>36</v>
      </c>
      <c r="H6439" t="s">
        <v>43</v>
      </c>
      <c r="I6439" s="187"/>
      <c r="J6439" s="187">
        <v>182.5714719832655</v>
      </c>
      <c r="K6439" s="187">
        <v>152.58182556661433</v>
      </c>
      <c r="L6439" s="187">
        <v>282.98578157406149</v>
      </c>
      <c r="M6439" s="187">
        <v>618.13909912109375</v>
      </c>
      <c r="N6439" s="187">
        <v>282.98577880859375</v>
      </c>
      <c r="O6439" t="s">
        <v>6504</v>
      </c>
    </row>
    <row r="6440" spans="1:15" hidden="1" x14ac:dyDescent="0.45">
      <c r="A6440" s="187">
        <v>2023</v>
      </c>
      <c r="B6440" t="s">
        <v>312</v>
      </c>
      <c r="C6440" t="s">
        <v>328</v>
      </c>
      <c r="D6440" t="s">
        <v>39</v>
      </c>
      <c r="E6440" t="s">
        <v>352</v>
      </c>
      <c r="F6440" t="s">
        <v>433</v>
      </c>
      <c r="G6440" t="s">
        <v>36</v>
      </c>
      <c r="H6440" t="s">
        <v>43</v>
      </c>
      <c r="I6440" s="187"/>
      <c r="J6440" s="187">
        <v>197.15927127585482</v>
      </c>
      <c r="K6440" s="187">
        <v>156.66507647663281</v>
      </c>
      <c r="L6440" s="187">
        <v>237.75088595029553</v>
      </c>
      <c r="M6440" s="187">
        <v>591.57525634765625</v>
      </c>
      <c r="N6440" s="187">
        <v>237.75088500976563</v>
      </c>
      <c r="O6440" t="s">
        <v>6510</v>
      </c>
    </row>
    <row r="6441" spans="1:15" hidden="1" x14ac:dyDescent="0.45">
      <c r="A6441" s="187">
        <v>2023</v>
      </c>
      <c r="B6441" t="s">
        <v>316</v>
      </c>
      <c r="C6441" t="s">
        <v>328</v>
      </c>
      <c r="D6441" t="s">
        <v>39</v>
      </c>
      <c r="E6441" t="s">
        <v>352</v>
      </c>
      <c r="F6441" t="s">
        <v>433</v>
      </c>
      <c r="G6441" t="s">
        <v>36</v>
      </c>
      <c r="H6441" t="s">
        <v>43</v>
      </c>
      <c r="I6441" s="187"/>
      <c r="J6441" s="187">
        <v>301.42011514276726</v>
      </c>
      <c r="K6441" s="187">
        <v>113.54510034175696</v>
      </c>
      <c r="L6441" s="187">
        <v>279.21021192172128</v>
      </c>
      <c r="M6441" s="187">
        <v>694.1754150390625</v>
      </c>
      <c r="N6441" s="187">
        <v>279.210205078125</v>
      </c>
      <c r="O6441" t="s">
        <v>6512</v>
      </c>
    </row>
    <row r="6442" spans="1:15" hidden="1" x14ac:dyDescent="0.45">
      <c r="A6442" s="187">
        <v>2023</v>
      </c>
      <c r="B6442" t="s">
        <v>311</v>
      </c>
      <c r="C6442" t="s">
        <v>328</v>
      </c>
      <c r="D6442" t="s">
        <v>39</v>
      </c>
      <c r="E6442" t="s">
        <v>352</v>
      </c>
      <c r="F6442" t="s">
        <v>433</v>
      </c>
      <c r="G6442" t="s">
        <v>36</v>
      </c>
      <c r="H6442" t="s">
        <v>43</v>
      </c>
      <c r="I6442" s="187"/>
      <c r="J6442" s="187">
        <v>233.0127464400633</v>
      </c>
      <c r="K6442" s="187">
        <v>169.46784035839363</v>
      </c>
      <c r="L6442" s="187">
        <v>259.80921228067058</v>
      </c>
      <c r="M6442" s="187">
        <v>662.289794921875</v>
      </c>
      <c r="N6442" s="187">
        <v>259.8092041015625</v>
      </c>
      <c r="O6442" t="s">
        <v>6508</v>
      </c>
    </row>
    <row r="6443" spans="1:15" hidden="1" x14ac:dyDescent="0.45">
      <c r="A6443" s="187">
        <v>2023</v>
      </c>
      <c r="B6443" t="s">
        <v>314</v>
      </c>
      <c r="C6443" t="s">
        <v>328</v>
      </c>
      <c r="D6443" t="s">
        <v>39</v>
      </c>
      <c r="E6443" t="s">
        <v>352</v>
      </c>
      <c r="F6443" t="s">
        <v>433</v>
      </c>
      <c r="G6443" t="s">
        <v>36</v>
      </c>
      <c r="H6443" t="s">
        <v>43</v>
      </c>
      <c r="I6443" s="187">
        <v>0</v>
      </c>
      <c r="J6443" s="187">
        <v>210.82923833980107</v>
      </c>
      <c r="K6443" s="187">
        <v>111.47318570324428</v>
      </c>
      <c r="L6443" s="187">
        <v>93.208715897596264</v>
      </c>
      <c r="M6443" s="187">
        <v>415.51113891601563</v>
      </c>
      <c r="N6443" s="187">
        <v>93.208717346191406</v>
      </c>
      <c r="O6443" t="s">
        <v>6505</v>
      </c>
    </row>
    <row r="6444" spans="1:15" hidden="1" x14ac:dyDescent="0.45">
      <c r="A6444" s="187">
        <v>2023</v>
      </c>
      <c r="B6444" t="s">
        <v>317</v>
      </c>
      <c r="C6444" t="s">
        <v>328</v>
      </c>
      <c r="D6444" t="s">
        <v>39</v>
      </c>
      <c r="E6444" t="s">
        <v>352</v>
      </c>
      <c r="F6444" t="s">
        <v>433</v>
      </c>
      <c r="G6444" t="s">
        <v>36</v>
      </c>
      <c r="H6444" t="s">
        <v>43</v>
      </c>
      <c r="I6444" s="187"/>
      <c r="J6444" s="187">
        <v>414.97053811277277</v>
      </c>
      <c r="K6444" s="187">
        <v>78.189404313918018</v>
      </c>
      <c r="L6444" s="187">
        <v>302.08182749267337</v>
      </c>
      <c r="M6444" s="187">
        <v>795.24176025390625</v>
      </c>
      <c r="N6444" s="187">
        <v>302.08181762695313</v>
      </c>
      <c r="O6444" t="s">
        <v>6506</v>
      </c>
    </row>
    <row r="6445" spans="1:15" hidden="1" x14ac:dyDescent="0.45">
      <c r="A6445" s="187">
        <v>2023</v>
      </c>
      <c r="B6445" t="s">
        <v>8570</v>
      </c>
      <c r="C6445" t="s">
        <v>328</v>
      </c>
      <c r="D6445" t="s">
        <v>39</v>
      </c>
      <c r="E6445" t="s">
        <v>352</v>
      </c>
      <c r="F6445" t="s">
        <v>433</v>
      </c>
      <c r="G6445" t="s">
        <v>36</v>
      </c>
      <c r="H6445" t="s">
        <v>43</v>
      </c>
      <c r="I6445" s="187">
        <v>0</v>
      </c>
      <c r="J6445" s="187">
        <v>397</v>
      </c>
      <c r="K6445" s="187">
        <v>78.191444618831852</v>
      </c>
      <c r="L6445" s="187">
        <v>354</v>
      </c>
      <c r="M6445" s="187">
        <v>829.19140625</v>
      </c>
      <c r="N6445" s="187">
        <v>354</v>
      </c>
      <c r="O6445" t="s">
        <v>8964</v>
      </c>
    </row>
    <row r="6446" spans="1:15" hidden="1" x14ac:dyDescent="0.45">
      <c r="A6446" s="187">
        <v>2023</v>
      </c>
      <c r="B6446" t="s">
        <v>310</v>
      </c>
      <c r="C6446" t="s">
        <v>328</v>
      </c>
      <c r="D6446" t="s">
        <v>39</v>
      </c>
      <c r="E6446" t="s">
        <v>352</v>
      </c>
      <c r="F6446" t="s">
        <v>433</v>
      </c>
      <c r="G6446" t="s">
        <v>36</v>
      </c>
      <c r="H6446" t="s">
        <v>43</v>
      </c>
      <c r="I6446" s="187"/>
      <c r="J6446" s="187">
        <v>251.32294012954995</v>
      </c>
      <c r="K6446" s="187">
        <v>498.47275050904182</v>
      </c>
      <c r="L6446" s="187">
        <v>310.93907941609439</v>
      </c>
      <c r="M6446" s="187">
        <v>1060.7347412109375</v>
      </c>
      <c r="N6446" s="187">
        <v>310.9390869140625</v>
      </c>
      <c r="O6446" t="s">
        <v>6511</v>
      </c>
    </row>
    <row r="6447" spans="1:15" hidden="1" x14ac:dyDescent="0.45">
      <c r="A6447" s="187">
        <v>2023</v>
      </c>
      <c r="B6447" t="s">
        <v>315</v>
      </c>
      <c r="C6447" t="s">
        <v>328</v>
      </c>
      <c r="D6447" t="s">
        <v>39</v>
      </c>
      <c r="E6447" t="s">
        <v>352</v>
      </c>
      <c r="F6447" t="s">
        <v>433</v>
      </c>
      <c r="G6447" t="s">
        <v>36</v>
      </c>
      <c r="H6447" t="s">
        <v>43</v>
      </c>
      <c r="I6447" s="187">
        <v>0</v>
      </c>
      <c r="J6447" s="187">
        <v>194.4270875617544</v>
      </c>
      <c r="K6447" s="187">
        <v>109.70033176334991</v>
      </c>
      <c r="L6447" s="187">
        <v>252.75521383028072</v>
      </c>
      <c r="M6447" s="187">
        <v>556.88262939453125</v>
      </c>
      <c r="N6447" s="187">
        <v>252.75521850585938</v>
      </c>
      <c r="O6447" t="s">
        <v>6507</v>
      </c>
    </row>
    <row r="6448" spans="1:15" hidden="1" x14ac:dyDescent="0.45">
      <c r="A6448" s="187">
        <v>2023</v>
      </c>
      <c r="B6448" t="s">
        <v>314</v>
      </c>
      <c r="C6448" t="s">
        <v>328</v>
      </c>
      <c r="D6448" t="s">
        <v>39</v>
      </c>
      <c r="E6448" t="s">
        <v>352</v>
      </c>
      <c r="F6448" t="s">
        <v>361</v>
      </c>
      <c r="G6448" t="s">
        <v>36</v>
      </c>
      <c r="H6448" t="s">
        <v>43</v>
      </c>
      <c r="I6448" s="187"/>
      <c r="J6448" s="187">
        <v>0</v>
      </c>
      <c r="K6448" s="187"/>
      <c r="L6448" s="187">
        <v>0</v>
      </c>
      <c r="M6448" s="187">
        <v>0</v>
      </c>
      <c r="N6448" s="187">
        <v>0</v>
      </c>
      <c r="O6448" t="s">
        <v>6518</v>
      </c>
    </row>
    <row r="6449" spans="1:15" hidden="1" x14ac:dyDescent="0.45">
      <c r="A6449" s="187">
        <v>2023</v>
      </c>
      <c r="B6449" t="s">
        <v>317</v>
      </c>
      <c r="C6449" t="s">
        <v>328</v>
      </c>
      <c r="D6449" t="s">
        <v>39</v>
      </c>
      <c r="E6449" t="s">
        <v>352</v>
      </c>
      <c r="F6449" t="s">
        <v>361</v>
      </c>
      <c r="G6449" t="s">
        <v>36</v>
      </c>
      <c r="H6449" t="s">
        <v>43</v>
      </c>
      <c r="I6449" s="187"/>
      <c r="J6449" s="187"/>
      <c r="K6449" s="187"/>
      <c r="L6449" s="187">
        <v>0</v>
      </c>
      <c r="M6449" s="187">
        <v>0</v>
      </c>
      <c r="N6449" s="187">
        <v>0</v>
      </c>
      <c r="O6449" t="s">
        <v>6514</v>
      </c>
    </row>
    <row r="6450" spans="1:15" hidden="1" x14ac:dyDescent="0.45">
      <c r="A6450" s="187">
        <v>2023</v>
      </c>
      <c r="B6450" t="s">
        <v>309</v>
      </c>
      <c r="C6450" t="s">
        <v>328</v>
      </c>
      <c r="D6450" t="s">
        <v>39</v>
      </c>
      <c r="E6450" t="s">
        <v>352</v>
      </c>
      <c r="F6450" t="s">
        <v>361</v>
      </c>
      <c r="G6450" t="s">
        <v>36</v>
      </c>
      <c r="H6450" t="s">
        <v>43</v>
      </c>
      <c r="I6450" s="187"/>
      <c r="J6450" s="187"/>
      <c r="K6450" s="187">
        <v>0</v>
      </c>
      <c r="L6450" s="187"/>
      <c r="M6450" s="187">
        <v>0</v>
      </c>
      <c r="N6450" s="187">
        <v>0</v>
      </c>
      <c r="O6450" t="s">
        <v>6521</v>
      </c>
    </row>
    <row r="6451" spans="1:15" hidden="1" x14ac:dyDescent="0.45">
      <c r="A6451" s="187">
        <v>2023</v>
      </c>
      <c r="B6451" t="s">
        <v>315</v>
      </c>
      <c r="C6451" t="s">
        <v>328</v>
      </c>
      <c r="D6451" t="s">
        <v>39</v>
      </c>
      <c r="E6451" t="s">
        <v>352</v>
      </c>
      <c r="F6451" t="s">
        <v>361</v>
      </c>
      <c r="G6451" t="s">
        <v>36</v>
      </c>
      <c r="H6451" t="s">
        <v>43</v>
      </c>
      <c r="I6451" s="187"/>
      <c r="J6451" s="187">
        <v>0</v>
      </c>
      <c r="K6451" s="187">
        <v>0</v>
      </c>
      <c r="L6451" s="187">
        <v>0</v>
      </c>
      <c r="M6451" s="187">
        <v>0</v>
      </c>
      <c r="N6451" s="187">
        <v>0</v>
      </c>
      <c r="O6451" t="s">
        <v>6516</v>
      </c>
    </row>
    <row r="6452" spans="1:15" hidden="1" x14ac:dyDescent="0.45">
      <c r="A6452" s="187">
        <v>2023</v>
      </c>
      <c r="B6452" t="s">
        <v>311</v>
      </c>
      <c r="C6452" t="s">
        <v>328</v>
      </c>
      <c r="D6452" t="s">
        <v>39</v>
      </c>
      <c r="E6452" t="s">
        <v>352</v>
      </c>
      <c r="F6452" t="s">
        <v>361</v>
      </c>
      <c r="G6452" t="s">
        <v>36</v>
      </c>
      <c r="H6452" t="s">
        <v>43</v>
      </c>
      <c r="I6452" s="187"/>
      <c r="J6452" s="187"/>
      <c r="K6452" s="187">
        <v>0</v>
      </c>
      <c r="L6452" s="187">
        <v>0</v>
      </c>
      <c r="M6452" s="187">
        <v>0</v>
      </c>
      <c r="N6452" s="187">
        <v>0</v>
      </c>
      <c r="O6452" t="s">
        <v>6515</v>
      </c>
    </row>
    <row r="6453" spans="1:15" hidden="1" x14ac:dyDescent="0.45">
      <c r="A6453" s="187">
        <v>2023</v>
      </c>
      <c r="B6453" t="s">
        <v>8570</v>
      </c>
      <c r="C6453" t="s">
        <v>328</v>
      </c>
      <c r="D6453" t="s">
        <v>39</v>
      </c>
      <c r="E6453" t="s">
        <v>352</v>
      </c>
      <c r="F6453" t="s">
        <v>361</v>
      </c>
      <c r="G6453" t="s">
        <v>36</v>
      </c>
      <c r="H6453" t="s">
        <v>43</v>
      </c>
      <c r="I6453" s="187">
        <v>0</v>
      </c>
      <c r="J6453" s="187"/>
      <c r="K6453" s="187">
        <v>45</v>
      </c>
      <c r="L6453" s="187"/>
      <c r="M6453" s="187">
        <v>45</v>
      </c>
      <c r="N6453" s="187">
        <v>0</v>
      </c>
      <c r="O6453" t="s">
        <v>8965</v>
      </c>
    </row>
    <row r="6454" spans="1:15" hidden="1" x14ac:dyDescent="0.45">
      <c r="A6454" s="187">
        <v>2023</v>
      </c>
      <c r="B6454" t="s">
        <v>316</v>
      </c>
      <c r="C6454" t="s">
        <v>328</v>
      </c>
      <c r="D6454" t="s">
        <v>39</v>
      </c>
      <c r="E6454" t="s">
        <v>352</v>
      </c>
      <c r="F6454" t="s">
        <v>361</v>
      </c>
      <c r="G6454" t="s">
        <v>36</v>
      </c>
      <c r="H6454" t="s">
        <v>43</v>
      </c>
      <c r="I6454" s="187"/>
      <c r="J6454" s="187"/>
      <c r="K6454" s="187">
        <v>0</v>
      </c>
      <c r="L6454" s="187"/>
      <c r="M6454" s="187">
        <v>0</v>
      </c>
      <c r="N6454" s="187">
        <v>0</v>
      </c>
      <c r="O6454" t="s">
        <v>6520</v>
      </c>
    </row>
    <row r="6455" spans="1:15" hidden="1" x14ac:dyDescent="0.45">
      <c r="A6455" s="187">
        <v>2023</v>
      </c>
      <c r="B6455" t="s">
        <v>310</v>
      </c>
      <c r="C6455" t="s">
        <v>328</v>
      </c>
      <c r="D6455" t="s">
        <v>39</v>
      </c>
      <c r="E6455" t="s">
        <v>352</v>
      </c>
      <c r="F6455" t="s">
        <v>361</v>
      </c>
      <c r="G6455" t="s">
        <v>36</v>
      </c>
      <c r="H6455" t="s">
        <v>43</v>
      </c>
      <c r="I6455" s="187"/>
      <c r="J6455" s="187">
        <v>0</v>
      </c>
      <c r="K6455" s="187">
        <v>0</v>
      </c>
      <c r="L6455" s="187"/>
      <c r="M6455" s="187">
        <v>0</v>
      </c>
      <c r="N6455" s="187">
        <v>0</v>
      </c>
      <c r="O6455" t="s">
        <v>6513</v>
      </c>
    </row>
    <row r="6456" spans="1:15" hidden="1" x14ac:dyDescent="0.45">
      <c r="A6456" s="187">
        <v>2023</v>
      </c>
      <c r="B6456" t="s">
        <v>312</v>
      </c>
      <c r="C6456" t="s">
        <v>328</v>
      </c>
      <c r="D6456" t="s">
        <v>39</v>
      </c>
      <c r="E6456" t="s">
        <v>352</v>
      </c>
      <c r="F6456" t="s">
        <v>361</v>
      </c>
      <c r="G6456" t="s">
        <v>36</v>
      </c>
      <c r="H6456" t="s">
        <v>43</v>
      </c>
      <c r="I6456" s="187"/>
      <c r="J6456" s="187"/>
      <c r="K6456" s="187">
        <v>0</v>
      </c>
      <c r="L6456" s="187"/>
      <c r="M6456" s="187">
        <v>0</v>
      </c>
      <c r="N6456" s="187">
        <v>0</v>
      </c>
      <c r="O6456" t="s">
        <v>6517</v>
      </c>
    </row>
    <row r="6457" spans="1:15" hidden="1" x14ac:dyDescent="0.45">
      <c r="A6457" s="187">
        <v>2023</v>
      </c>
      <c r="B6457" t="s">
        <v>313</v>
      </c>
      <c r="C6457" t="s">
        <v>328</v>
      </c>
      <c r="D6457" t="s">
        <v>39</v>
      </c>
      <c r="E6457" t="s">
        <v>352</v>
      </c>
      <c r="F6457" t="s">
        <v>361</v>
      </c>
      <c r="G6457" t="s">
        <v>36</v>
      </c>
      <c r="H6457" t="s">
        <v>43</v>
      </c>
      <c r="I6457" s="187"/>
      <c r="J6457" s="187">
        <v>0</v>
      </c>
      <c r="K6457" s="187">
        <v>0</v>
      </c>
      <c r="L6457" s="187">
        <v>0</v>
      </c>
      <c r="M6457" s="187">
        <v>0</v>
      </c>
      <c r="N6457" s="187">
        <v>0</v>
      </c>
      <c r="O6457" t="s">
        <v>6519</v>
      </c>
    </row>
    <row r="6458" spans="1:15" hidden="1" x14ac:dyDescent="0.45">
      <c r="A6458" s="187">
        <v>2023</v>
      </c>
      <c r="B6458" t="s">
        <v>313</v>
      </c>
      <c r="C6458" t="s">
        <v>328</v>
      </c>
      <c r="D6458" t="s">
        <v>39</v>
      </c>
      <c r="E6458" t="s">
        <v>40</v>
      </c>
      <c r="F6458" t="s">
        <v>40</v>
      </c>
      <c r="G6458" t="s">
        <v>36</v>
      </c>
      <c r="H6458" t="s">
        <v>43</v>
      </c>
      <c r="I6458" s="187">
        <v>5438.3522859883205</v>
      </c>
      <c r="J6458" s="187">
        <v>136.92860398744912</v>
      </c>
      <c r="K6458" s="187">
        <v>6342.9868007420946</v>
      </c>
      <c r="L6458" s="187">
        <v>5157.6440835272506</v>
      </c>
      <c r="M6458" s="187">
        <v>17075.912109375</v>
      </c>
      <c r="N6458" s="187">
        <v>10595.99609375</v>
      </c>
      <c r="O6458" t="s">
        <v>6524</v>
      </c>
    </row>
    <row r="6459" spans="1:15" hidden="1" x14ac:dyDescent="0.45">
      <c r="A6459" s="187">
        <v>2023</v>
      </c>
      <c r="B6459" t="s">
        <v>309</v>
      </c>
      <c r="C6459" t="s">
        <v>328</v>
      </c>
      <c r="D6459" t="s">
        <v>39</v>
      </c>
      <c r="E6459" t="s">
        <v>40</v>
      </c>
      <c r="F6459" t="s">
        <v>40</v>
      </c>
      <c r="G6459" t="s">
        <v>36</v>
      </c>
      <c r="H6459" t="s">
        <v>43</v>
      </c>
      <c r="I6459" s="187"/>
      <c r="J6459" s="187">
        <v>624.13780235191655</v>
      </c>
      <c r="K6459" s="187">
        <v>6137.004629879907</v>
      </c>
      <c r="L6459" s="187">
        <v>10420.957314459767</v>
      </c>
      <c r="M6459" s="187">
        <v>17182.099609375</v>
      </c>
      <c r="N6459" s="187">
        <v>10420.95703125</v>
      </c>
      <c r="O6459" t="s">
        <v>6522</v>
      </c>
    </row>
    <row r="6460" spans="1:15" hidden="1" x14ac:dyDescent="0.45">
      <c r="A6460" s="187">
        <v>2023</v>
      </c>
      <c r="B6460" t="s">
        <v>315</v>
      </c>
      <c r="C6460" t="s">
        <v>328</v>
      </c>
      <c r="D6460" t="s">
        <v>39</v>
      </c>
      <c r="E6460" t="s">
        <v>40</v>
      </c>
      <c r="F6460" t="s">
        <v>40</v>
      </c>
      <c r="G6460" t="s">
        <v>36</v>
      </c>
      <c r="H6460" t="s">
        <v>43</v>
      </c>
      <c r="I6460" s="187">
        <v>5343.5044564888831</v>
      </c>
      <c r="J6460" s="187">
        <v>172.82407783267058</v>
      </c>
      <c r="K6460" s="187">
        <v>6362.771235626431</v>
      </c>
      <c r="L6460" s="187">
        <v>5157.7185728187624</v>
      </c>
      <c r="M6460" s="187">
        <v>17036.818359375</v>
      </c>
      <c r="N6460" s="187">
        <v>10501.22265625</v>
      </c>
      <c r="O6460" t="s">
        <v>6530</v>
      </c>
    </row>
    <row r="6461" spans="1:15" hidden="1" x14ac:dyDescent="0.45">
      <c r="A6461" s="187">
        <v>2023</v>
      </c>
      <c r="B6461" t="s">
        <v>311</v>
      </c>
      <c r="C6461" t="s">
        <v>328</v>
      </c>
      <c r="D6461" t="s">
        <v>39</v>
      </c>
      <c r="E6461" t="s">
        <v>40</v>
      </c>
      <c r="F6461" t="s">
        <v>40</v>
      </c>
      <c r="G6461" t="s">
        <v>36</v>
      </c>
      <c r="H6461" t="s">
        <v>43</v>
      </c>
      <c r="I6461" s="187"/>
      <c r="J6461" s="187">
        <v>168.93424116904589</v>
      </c>
      <c r="K6461" s="187">
        <v>6252.4156458079151</v>
      </c>
      <c r="L6461" s="187">
        <v>9611.7757906526112</v>
      </c>
      <c r="M6461" s="187">
        <v>16033.1259765625</v>
      </c>
      <c r="N6461" s="187">
        <v>9611.775390625</v>
      </c>
      <c r="O6461" t="s">
        <v>6526</v>
      </c>
    </row>
    <row r="6462" spans="1:15" hidden="1" x14ac:dyDescent="0.45">
      <c r="A6462" s="187">
        <v>2023</v>
      </c>
      <c r="B6462" t="s">
        <v>8570</v>
      </c>
      <c r="C6462" t="s">
        <v>328</v>
      </c>
      <c r="D6462" t="s">
        <v>39</v>
      </c>
      <c r="E6462" t="s">
        <v>40</v>
      </c>
      <c r="F6462" t="s">
        <v>40</v>
      </c>
      <c r="G6462" t="s">
        <v>36</v>
      </c>
      <c r="H6462" t="s">
        <v>43</v>
      </c>
      <c r="I6462" s="187">
        <v>5148.2765400000008</v>
      </c>
      <c r="J6462" s="187">
        <v>239</v>
      </c>
      <c r="K6462" s="187">
        <v>6630.7364239113649</v>
      </c>
      <c r="L6462" s="187">
        <v>5821</v>
      </c>
      <c r="M6462" s="187">
        <v>17839.01171875</v>
      </c>
      <c r="N6462" s="187">
        <v>10969.2763671875</v>
      </c>
      <c r="O6462" t="s">
        <v>8966</v>
      </c>
    </row>
    <row r="6463" spans="1:15" hidden="1" x14ac:dyDescent="0.45">
      <c r="A6463" s="187">
        <v>2023</v>
      </c>
      <c r="B6463" t="s">
        <v>312</v>
      </c>
      <c r="C6463" t="s">
        <v>328</v>
      </c>
      <c r="D6463" t="s">
        <v>39</v>
      </c>
      <c r="E6463" t="s">
        <v>40</v>
      </c>
      <c r="F6463" t="s">
        <v>40</v>
      </c>
      <c r="G6463" t="s">
        <v>36</v>
      </c>
      <c r="H6463" t="s">
        <v>43</v>
      </c>
      <c r="I6463" s="187">
        <v>4778.567446530812</v>
      </c>
      <c r="J6463" s="187">
        <v>168.16526079411148</v>
      </c>
      <c r="K6463" s="187">
        <v>6463.5249674365587</v>
      </c>
      <c r="L6463" s="187">
        <v>5133.0996156878437</v>
      </c>
      <c r="M6463" s="187">
        <v>16543.357421875</v>
      </c>
      <c r="N6463" s="187">
        <v>9911.6669921875</v>
      </c>
      <c r="O6463" t="s">
        <v>6525</v>
      </c>
    </row>
    <row r="6464" spans="1:15" hidden="1" x14ac:dyDescent="0.45">
      <c r="A6464" s="187">
        <v>2023</v>
      </c>
      <c r="B6464" t="s">
        <v>316</v>
      </c>
      <c r="C6464" t="s">
        <v>328</v>
      </c>
      <c r="D6464" t="s">
        <v>39</v>
      </c>
      <c r="E6464" t="s">
        <v>40</v>
      </c>
      <c r="F6464" t="s">
        <v>40</v>
      </c>
      <c r="G6464" t="s">
        <v>36</v>
      </c>
      <c r="H6464" t="s">
        <v>43</v>
      </c>
      <c r="I6464" s="187">
        <v>4373.6888723027332</v>
      </c>
      <c r="J6464" s="187">
        <v>237.96324879692153</v>
      </c>
      <c r="K6464" s="187">
        <v>6493.1446018741135</v>
      </c>
      <c r="L6464" s="187">
        <v>5281.726508852561</v>
      </c>
      <c r="M6464" s="187">
        <v>16386.5234375</v>
      </c>
      <c r="N6464" s="187">
        <v>9655.4150390625</v>
      </c>
      <c r="O6464" t="s">
        <v>6528</v>
      </c>
    </row>
    <row r="6465" spans="1:15" hidden="1" x14ac:dyDescent="0.45">
      <c r="A6465" s="187">
        <v>2023</v>
      </c>
      <c r="B6465" t="s">
        <v>317</v>
      </c>
      <c r="C6465" t="s">
        <v>328</v>
      </c>
      <c r="D6465" t="s">
        <v>39</v>
      </c>
      <c r="E6465" t="s">
        <v>40</v>
      </c>
      <c r="F6465" t="s">
        <v>40</v>
      </c>
      <c r="G6465" t="s">
        <v>36</v>
      </c>
      <c r="H6465" t="s">
        <v>43</v>
      </c>
      <c r="I6465" s="187">
        <v>4322.6221200818281</v>
      </c>
      <c r="J6465" s="187">
        <v>183.96678767719899</v>
      </c>
      <c r="K6465" s="187">
        <v>6343.3446488724621</v>
      </c>
      <c r="L6465" s="187">
        <v>5708.1967471885437</v>
      </c>
      <c r="M6465" s="187">
        <v>16558.130859375</v>
      </c>
      <c r="N6465" s="187">
        <v>10030.818359375</v>
      </c>
      <c r="O6465" t="s">
        <v>6529</v>
      </c>
    </row>
    <row r="6466" spans="1:15" hidden="1" x14ac:dyDescent="0.45">
      <c r="A6466" s="187">
        <v>2023</v>
      </c>
      <c r="B6466" t="s">
        <v>310</v>
      </c>
      <c r="C6466" t="s">
        <v>328</v>
      </c>
      <c r="D6466" t="s">
        <v>39</v>
      </c>
      <c r="E6466" t="s">
        <v>40</v>
      </c>
      <c r="F6466" t="s">
        <v>40</v>
      </c>
      <c r="G6466" t="s">
        <v>36</v>
      </c>
      <c r="H6466" t="s">
        <v>43</v>
      </c>
      <c r="I6466" s="187"/>
      <c r="J6466" s="187">
        <v>140.27326890951625</v>
      </c>
      <c r="K6466" s="187">
        <v>6253.0762779600745</v>
      </c>
      <c r="L6466" s="187">
        <v>9926.6716631634335</v>
      </c>
      <c r="M6466" s="187">
        <v>16320.021484375</v>
      </c>
      <c r="N6466" s="187">
        <v>9926.671875</v>
      </c>
      <c r="O6466" t="s">
        <v>6523</v>
      </c>
    </row>
    <row r="6467" spans="1:15" hidden="1" x14ac:dyDescent="0.45">
      <c r="A6467" s="187">
        <v>2023</v>
      </c>
      <c r="B6467" t="s">
        <v>314</v>
      </c>
      <c r="C6467" t="s">
        <v>328</v>
      </c>
      <c r="D6467" t="s">
        <v>39</v>
      </c>
      <c r="E6467" t="s">
        <v>40</v>
      </c>
      <c r="F6467" t="s">
        <v>40</v>
      </c>
      <c r="G6467" t="s">
        <v>36</v>
      </c>
      <c r="H6467" t="s">
        <v>43</v>
      </c>
      <c r="I6467" s="187">
        <v>5489.3275898262937</v>
      </c>
      <c r="J6467" s="187">
        <v>160.89599768037451</v>
      </c>
      <c r="K6467" s="187">
        <v>6588.7780695139363</v>
      </c>
      <c r="L6467" s="187">
        <v>5190.8377734399437</v>
      </c>
      <c r="M6467" s="187">
        <v>17429.83984375</v>
      </c>
      <c r="N6467" s="187">
        <v>10680.1650390625</v>
      </c>
      <c r="O6467" t="s">
        <v>6527</v>
      </c>
    </row>
    <row r="6468" spans="1:15" hidden="1" x14ac:dyDescent="0.45">
      <c r="A6468" s="187">
        <v>2023</v>
      </c>
      <c r="B6468" t="s">
        <v>8570</v>
      </c>
      <c r="C6468" t="s">
        <v>328</v>
      </c>
      <c r="D6468" t="s">
        <v>39</v>
      </c>
      <c r="E6468" t="s">
        <v>40</v>
      </c>
      <c r="F6468" t="s">
        <v>40</v>
      </c>
      <c r="G6468" t="s">
        <v>37</v>
      </c>
      <c r="H6468" t="s">
        <v>43</v>
      </c>
      <c r="I6468" s="187">
        <v>5251.2420708</v>
      </c>
      <c r="J6468" s="187">
        <v>244</v>
      </c>
      <c r="K6468" s="187">
        <v>6782.6256627545081</v>
      </c>
      <c r="L6468" s="187">
        <v>6053</v>
      </c>
      <c r="M6468" s="187">
        <v>18330.8671875</v>
      </c>
      <c r="N6468" s="187">
        <v>11304.2421875</v>
      </c>
      <c r="O6468" t="s">
        <v>8967</v>
      </c>
    </row>
    <row r="6469" spans="1:15" hidden="1" x14ac:dyDescent="0.45">
      <c r="A6469" s="187">
        <v>2023</v>
      </c>
      <c r="B6469" t="s">
        <v>316</v>
      </c>
      <c r="C6469" t="s">
        <v>328</v>
      </c>
      <c r="D6469" t="s">
        <v>39</v>
      </c>
      <c r="E6469" t="s">
        <v>40</v>
      </c>
      <c r="F6469" t="s">
        <v>40</v>
      </c>
      <c r="G6469" t="s">
        <v>37</v>
      </c>
      <c r="H6469" t="s">
        <v>43</v>
      </c>
      <c r="I6469" s="187">
        <v>4388.9800363828908</v>
      </c>
      <c r="J6469" s="187">
        <v>225</v>
      </c>
      <c r="K6469" s="187">
        <v>6398.7756996540447</v>
      </c>
      <c r="L6469" s="187">
        <v>5340</v>
      </c>
      <c r="M6469" s="187">
        <v>16352.755859375</v>
      </c>
      <c r="N6469" s="187">
        <v>9728.98046875</v>
      </c>
      <c r="O6469" t="s">
        <v>6537</v>
      </c>
    </row>
    <row r="6470" spans="1:15" hidden="1" x14ac:dyDescent="0.45">
      <c r="A6470" s="187">
        <v>2023</v>
      </c>
      <c r="B6470" t="s">
        <v>314</v>
      </c>
      <c r="C6470" t="s">
        <v>328</v>
      </c>
      <c r="D6470" t="s">
        <v>39</v>
      </c>
      <c r="E6470" t="s">
        <v>40</v>
      </c>
      <c r="F6470" t="s">
        <v>40</v>
      </c>
      <c r="G6470" t="s">
        <v>37</v>
      </c>
      <c r="H6470" t="s">
        <v>43</v>
      </c>
      <c r="I6470" s="187">
        <v>5464.5654968793197</v>
      </c>
      <c r="J6470" s="187">
        <v>160</v>
      </c>
      <c r="K6470" s="187">
        <v>6567.9316585863198</v>
      </c>
      <c r="L6470" s="187">
        <v>5469</v>
      </c>
      <c r="M6470" s="187">
        <v>17661.49609375</v>
      </c>
      <c r="N6470" s="187">
        <v>10933.5654296875</v>
      </c>
      <c r="O6470" t="s">
        <v>6531</v>
      </c>
    </row>
    <row r="6471" spans="1:15" hidden="1" x14ac:dyDescent="0.45">
      <c r="A6471" s="187">
        <v>2023</v>
      </c>
      <c r="B6471" t="s">
        <v>315</v>
      </c>
      <c r="C6471" t="s">
        <v>328</v>
      </c>
      <c r="D6471" t="s">
        <v>39</v>
      </c>
      <c r="E6471" t="s">
        <v>40</v>
      </c>
      <c r="F6471" t="s">
        <v>40</v>
      </c>
      <c r="G6471" t="s">
        <v>37</v>
      </c>
      <c r="H6471" t="s">
        <v>43</v>
      </c>
      <c r="I6471" s="187">
        <v>5355.8419061837876</v>
      </c>
      <c r="J6471" s="187">
        <v>169</v>
      </c>
      <c r="K6471" s="187">
        <v>6360.3385190908539</v>
      </c>
      <c r="L6471" s="187">
        <v>5252</v>
      </c>
      <c r="M6471" s="187">
        <v>17137.1796875</v>
      </c>
      <c r="N6471" s="187">
        <v>10607.841796875</v>
      </c>
      <c r="O6471" t="s">
        <v>6538</v>
      </c>
    </row>
    <row r="6472" spans="1:15" hidden="1" x14ac:dyDescent="0.45">
      <c r="A6472" s="187">
        <v>2023</v>
      </c>
      <c r="B6472" t="s">
        <v>312</v>
      </c>
      <c r="C6472" t="s">
        <v>328</v>
      </c>
      <c r="D6472" t="s">
        <v>39</v>
      </c>
      <c r="E6472" t="s">
        <v>40</v>
      </c>
      <c r="F6472" t="s">
        <v>40</v>
      </c>
      <c r="G6472" t="s">
        <v>37</v>
      </c>
      <c r="H6472" t="s">
        <v>43</v>
      </c>
      <c r="I6472" s="187">
        <v>4653.7275873562039</v>
      </c>
      <c r="J6472" s="187">
        <v>167</v>
      </c>
      <c r="K6472" s="187">
        <v>6382.0608214260992</v>
      </c>
      <c r="L6472" s="187">
        <v>5086</v>
      </c>
      <c r="M6472" s="187">
        <v>16288.7880859375</v>
      </c>
      <c r="N6472" s="187">
        <v>9739.7275390625</v>
      </c>
      <c r="O6472" t="s">
        <v>6534</v>
      </c>
    </row>
    <row r="6473" spans="1:15" hidden="1" x14ac:dyDescent="0.45">
      <c r="A6473" s="187">
        <v>2023</v>
      </c>
      <c r="B6473" t="s">
        <v>313</v>
      </c>
      <c r="C6473" t="s">
        <v>328</v>
      </c>
      <c r="D6473" t="s">
        <v>39</v>
      </c>
      <c r="E6473" t="s">
        <v>40</v>
      </c>
      <c r="F6473" t="s">
        <v>40</v>
      </c>
      <c r="G6473" t="s">
        <v>37</v>
      </c>
      <c r="H6473" t="s">
        <v>43</v>
      </c>
      <c r="I6473" s="187">
        <v>5356.237936137858</v>
      </c>
      <c r="J6473" s="187">
        <v>135</v>
      </c>
      <c r="K6473" s="187">
        <v>6232.1091855678951</v>
      </c>
      <c r="L6473" s="187">
        <v>5119</v>
      </c>
      <c r="M6473" s="187">
        <v>16842.34765625</v>
      </c>
      <c r="N6473" s="187">
        <v>10475.23828125</v>
      </c>
      <c r="O6473" t="s">
        <v>6532</v>
      </c>
    </row>
    <row r="6474" spans="1:15" hidden="1" x14ac:dyDescent="0.45">
      <c r="A6474" s="187">
        <v>2023</v>
      </c>
      <c r="B6474" t="s">
        <v>311</v>
      </c>
      <c r="C6474" t="s">
        <v>328</v>
      </c>
      <c r="D6474" t="s">
        <v>39</v>
      </c>
      <c r="E6474" t="s">
        <v>40</v>
      </c>
      <c r="F6474" t="s">
        <v>40</v>
      </c>
      <c r="G6474" t="s">
        <v>37</v>
      </c>
      <c r="H6474" t="s">
        <v>43</v>
      </c>
      <c r="I6474" s="187"/>
      <c r="J6474" s="187">
        <v>170</v>
      </c>
      <c r="K6474" s="187">
        <v>6241.9149411071448</v>
      </c>
      <c r="L6474" s="187">
        <v>10165</v>
      </c>
      <c r="M6474" s="187">
        <v>16576.9140625</v>
      </c>
      <c r="N6474" s="187">
        <v>10165</v>
      </c>
      <c r="O6474" t="s">
        <v>6535</v>
      </c>
    </row>
    <row r="6475" spans="1:15" hidden="1" x14ac:dyDescent="0.45">
      <c r="A6475" s="187">
        <v>2023</v>
      </c>
      <c r="B6475" t="s">
        <v>309</v>
      </c>
      <c r="C6475" t="s">
        <v>328</v>
      </c>
      <c r="D6475" t="s">
        <v>39</v>
      </c>
      <c r="E6475" t="s">
        <v>40</v>
      </c>
      <c r="F6475" t="s">
        <v>40</v>
      </c>
      <c r="G6475" t="s">
        <v>37</v>
      </c>
      <c r="H6475" t="s">
        <v>43</v>
      </c>
      <c r="I6475" s="187"/>
      <c r="J6475" s="187">
        <v>630.52920000000006</v>
      </c>
      <c r="K6475" s="187">
        <v>6428.5472626058454</v>
      </c>
      <c r="L6475" s="187">
        <v>11485</v>
      </c>
      <c r="M6475" s="187">
        <v>18544.076171875</v>
      </c>
      <c r="N6475" s="187">
        <v>11485</v>
      </c>
      <c r="O6475" t="s">
        <v>6533</v>
      </c>
    </row>
    <row r="6476" spans="1:15" hidden="1" x14ac:dyDescent="0.45">
      <c r="A6476" s="187">
        <v>2023</v>
      </c>
      <c r="B6476" t="s">
        <v>310</v>
      </c>
      <c r="C6476" t="s">
        <v>328</v>
      </c>
      <c r="D6476" t="s">
        <v>39</v>
      </c>
      <c r="E6476" t="s">
        <v>40</v>
      </c>
      <c r="F6476" t="s">
        <v>40</v>
      </c>
      <c r="G6476" t="s">
        <v>37</v>
      </c>
      <c r="H6476" t="s">
        <v>43</v>
      </c>
      <c r="I6476" s="187"/>
      <c r="J6476" s="187">
        <v>144</v>
      </c>
      <c r="K6476" s="187">
        <v>6418.5318673819474</v>
      </c>
      <c r="L6476" s="187">
        <v>10714</v>
      </c>
      <c r="M6476" s="187">
        <v>17276.53125</v>
      </c>
      <c r="N6476" s="187">
        <v>10714</v>
      </c>
      <c r="O6476" t="s">
        <v>6536</v>
      </c>
    </row>
    <row r="6477" spans="1:15" hidden="1" x14ac:dyDescent="0.45">
      <c r="A6477" s="187">
        <v>2023</v>
      </c>
      <c r="B6477" t="s">
        <v>317</v>
      </c>
      <c r="C6477" t="s">
        <v>328</v>
      </c>
      <c r="D6477" t="s">
        <v>39</v>
      </c>
      <c r="E6477" t="s">
        <v>40</v>
      </c>
      <c r="F6477" t="s">
        <v>40</v>
      </c>
      <c r="G6477" t="s">
        <v>37</v>
      </c>
      <c r="H6477" t="s">
        <v>43</v>
      </c>
      <c r="I6477" s="187">
        <v>4302.8975060479997</v>
      </c>
      <c r="J6477" s="187">
        <v>176</v>
      </c>
      <c r="K6477" s="187">
        <v>6279.129450434657</v>
      </c>
      <c r="L6477" s="187">
        <v>5664</v>
      </c>
      <c r="M6477" s="187">
        <v>16422.02734375</v>
      </c>
      <c r="N6477" s="187">
        <v>9966.8974609375</v>
      </c>
      <c r="O6477" t="s">
        <v>6539</v>
      </c>
    </row>
    <row r="6478" spans="1:15" hidden="1" x14ac:dyDescent="0.45">
      <c r="A6478" s="187">
        <v>2023</v>
      </c>
      <c r="B6478" t="s">
        <v>314</v>
      </c>
      <c r="C6478" t="s">
        <v>328</v>
      </c>
      <c r="D6478" t="s">
        <v>39</v>
      </c>
      <c r="E6478" t="s">
        <v>41</v>
      </c>
      <c r="F6478" t="s">
        <v>41</v>
      </c>
      <c r="G6478" t="s">
        <v>36</v>
      </c>
      <c r="H6478" t="s">
        <v>43</v>
      </c>
      <c r="I6478" s="187">
        <v>3752.7604424484589</v>
      </c>
      <c r="J6478" s="187">
        <v>1675.5376310163138</v>
      </c>
      <c r="K6478" s="187">
        <v>10829.293420739952</v>
      </c>
      <c r="L6478" s="187">
        <v>7767.3929914663549</v>
      </c>
      <c r="M6478" s="187">
        <v>24024.984375</v>
      </c>
      <c r="N6478" s="187">
        <v>11520.1533203125</v>
      </c>
      <c r="O6478" t="s">
        <v>6544</v>
      </c>
    </row>
    <row r="6479" spans="1:15" hidden="1" x14ac:dyDescent="0.45">
      <c r="A6479" s="187">
        <v>2023</v>
      </c>
      <c r="B6479" t="s">
        <v>312</v>
      </c>
      <c r="C6479" t="s">
        <v>328</v>
      </c>
      <c r="D6479" t="s">
        <v>39</v>
      </c>
      <c r="E6479" t="s">
        <v>41</v>
      </c>
      <c r="F6479" t="s">
        <v>41</v>
      </c>
      <c r="G6479" t="s">
        <v>36</v>
      </c>
      <c r="H6479" t="s">
        <v>43</v>
      </c>
      <c r="I6479" s="187">
        <v>3335.0819750877085</v>
      </c>
      <c r="J6479" s="187">
        <v>1675.8538058447662</v>
      </c>
      <c r="K6479" s="187">
        <v>12537.609701801572</v>
      </c>
      <c r="L6479" s="187">
        <v>8532.3574045674359</v>
      </c>
      <c r="M6479" s="187">
        <v>26080.90234375</v>
      </c>
      <c r="N6479" s="187">
        <v>11867.439453125</v>
      </c>
      <c r="O6479" t="s">
        <v>6548</v>
      </c>
    </row>
    <row r="6480" spans="1:15" hidden="1" x14ac:dyDescent="0.45">
      <c r="A6480" s="187">
        <v>2023</v>
      </c>
      <c r="B6480" t="s">
        <v>8570</v>
      </c>
      <c r="C6480" t="s">
        <v>328</v>
      </c>
      <c r="D6480" t="s">
        <v>39</v>
      </c>
      <c r="E6480" t="s">
        <v>41</v>
      </c>
      <c r="F6480" t="s">
        <v>41</v>
      </c>
      <c r="G6480" t="s">
        <v>36</v>
      </c>
      <c r="H6480" t="s">
        <v>43</v>
      </c>
      <c r="I6480" s="187">
        <v>5197.0248000000001</v>
      </c>
      <c r="J6480" s="187">
        <v>2539</v>
      </c>
      <c r="K6480" s="187">
        <v>11965.76815747874</v>
      </c>
      <c r="L6480" s="187">
        <v>9016</v>
      </c>
      <c r="M6480" s="187">
        <v>28717.79296875</v>
      </c>
      <c r="N6480" s="187">
        <v>14213.025390625</v>
      </c>
      <c r="O6480" t="s">
        <v>8968</v>
      </c>
    </row>
    <row r="6481" spans="1:15" hidden="1" x14ac:dyDescent="0.45">
      <c r="A6481" s="187">
        <v>2023</v>
      </c>
      <c r="B6481" t="s">
        <v>311</v>
      </c>
      <c r="C6481" t="s">
        <v>328</v>
      </c>
      <c r="D6481" t="s">
        <v>39</v>
      </c>
      <c r="E6481" t="s">
        <v>41</v>
      </c>
      <c r="F6481" t="s">
        <v>41</v>
      </c>
      <c r="G6481" t="s">
        <v>36</v>
      </c>
      <c r="H6481" t="s">
        <v>43</v>
      </c>
      <c r="I6481" s="187"/>
      <c r="J6481" s="187">
        <v>1683.5170930294573</v>
      </c>
      <c r="K6481" s="187">
        <v>12096.635628030659</v>
      </c>
      <c r="L6481" s="187">
        <v>12276.276546194735</v>
      </c>
      <c r="M6481" s="187">
        <v>26056.4296875</v>
      </c>
      <c r="N6481" s="187">
        <v>12276.2763671875</v>
      </c>
      <c r="O6481" t="s">
        <v>6546</v>
      </c>
    </row>
    <row r="6482" spans="1:15" hidden="1" x14ac:dyDescent="0.45">
      <c r="A6482" s="187">
        <v>2023</v>
      </c>
      <c r="B6482" t="s">
        <v>316</v>
      </c>
      <c r="C6482" t="s">
        <v>328</v>
      </c>
      <c r="D6482" t="s">
        <v>39</v>
      </c>
      <c r="E6482" t="s">
        <v>41</v>
      </c>
      <c r="F6482" t="s">
        <v>41</v>
      </c>
      <c r="G6482" t="s">
        <v>36</v>
      </c>
      <c r="H6482" t="s">
        <v>43</v>
      </c>
      <c r="I6482" s="187">
        <v>6151.6769224556501</v>
      </c>
      <c r="J6482" s="187">
        <v>2247.4306830820369</v>
      </c>
      <c r="K6482" s="187">
        <v>11691.870412864324</v>
      </c>
      <c r="L6482" s="187">
        <v>8318.1375635012791</v>
      </c>
      <c r="M6482" s="187">
        <v>28409.115234375</v>
      </c>
      <c r="N6482" s="187">
        <v>14469.814453125</v>
      </c>
      <c r="O6482" t="s">
        <v>6543</v>
      </c>
    </row>
    <row r="6483" spans="1:15" hidden="1" x14ac:dyDescent="0.45">
      <c r="A6483" s="187">
        <v>2023</v>
      </c>
      <c r="B6483" t="s">
        <v>315</v>
      </c>
      <c r="C6483" t="s">
        <v>328</v>
      </c>
      <c r="D6483" t="s">
        <v>39</v>
      </c>
      <c r="E6483" t="s">
        <v>41</v>
      </c>
      <c r="F6483" t="s">
        <v>41</v>
      </c>
      <c r="G6483" t="s">
        <v>36</v>
      </c>
      <c r="H6483" t="s">
        <v>43</v>
      </c>
      <c r="I6483" s="187">
        <v>3653.0689451880744</v>
      </c>
      <c r="J6483" s="187">
        <v>1809.25206481077</v>
      </c>
      <c r="K6483" s="187">
        <v>11568.207520991213</v>
      </c>
      <c r="L6483" s="187">
        <v>7736.037783984917</v>
      </c>
      <c r="M6483" s="187">
        <v>24766.56640625</v>
      </c>
      <c r="N6483" s="187">
        <v>11389.1064453125</v>
      </c>
      <c r="O6483" t="s">
        <v>6542</v>
      </c>
    </row>
    <row r="6484" spans="1:15" hidden="1" x14ac:dyDescent="0.45">
      <c r="A6484" s="187">
        <v>2023</v>
      </c>
      <c r="B6484" t="s">
        <v>309</v>
      </c>
      <c r="C6484" t="s">
        <v>328</v>
      </c>
      <c r="D6484" t="s">
        <v>39</v>
      </c>
      <c r="E6484" t="s">
        <v>41</v>
      </c>
      <c r="F6484" t="s">
        <v>41</v>
      </c>
      <c r="G6484" t="s">
        <v>36</v>
      </c>
      <c r="H6484" t="s">
        <v>43</v>
      </c>
      <c r="I6484" s="187"/>
      <c r="J6484" s="187">
        <v>1057.6991765047746</v>
      </c>
      <c r="K6484" s="187">
        <v>12901.516613786091</v>
      </c>
      <c r="L6484" s="187">
        <v>15305.669389736884</v>
      </c>
      <c r="M6484" s="187">
        <v>29264.884765625</v>
      </c>
      <c r="N6484" s="187">
        <v>15305.6689453125</v>
      </c>
      <c r="O6484" t="s">
        <v>6545</v>
      </c>
    </row>
    <row r="6485" spans="1:15" hidden="1" x14ac:dyDescent="0.45">
      <c r="A6485" s="187">
        <v>2023</v>
      </c>
      <c r="B6485" t="s">
        <v>317</v>
      </c>
      <c r="C6485" t="s">
        <v>328</v>
      </c>
      <c r="D6485" t="s">
        <v>39</v>
      </c>
      <c r="E6485" t="s">
        <v>41</v>
      </c>
      <c r="F6485" t="s">
        <v>41</v>
      </c>
      <c r="G6485" t="s">
        <v>36</v>
      </c>
      <c r="H6485" t="s">
        <v>43</v>
      </c>
      <c r="I6485" s="187">
        <v>6644.759800181344</v>
      </c>
      <c r="J6485" s="187">
        <v>2221.1899080343628</v>
      </c>
      <c r="K6485" s="187">
        <v>12837.65067463338</v>
      </c>
      <c r="L6485" s="187">
        <v>9174.2982695612245</v>
      </c>
      <c r="M6485" s="187">
        <v>30877.8984375</v>
      </c>
      <c r="N6485" s="187">
        <v>15819.0576171875</v>
      </c>
      <c r="O6485" t="s">
        <v>6540</v>
      </c>
    </row>
    <row r="6486" spans="1:15" hidden="1" x14ac:dyDescent="0.45">
      <c r="A6486" s="187">
        <v>2023</v>
      </c>
      <c r="B6486" t="s">
        <v>313</v>
      </c>
      <c r="C6486" t="s">
        <v>328</v>
      </c>
      <c r="D6486" t="s">
        <v>39</v>
      </c>
      <c r="E6486" t="s">
        <v>41</v>
      </c>
      <c r="F6486" t="s">
        <v>41</v>
      </c>
      <c r="G6486" t="s">
        <v>36</v>
      </c>
      <c r="H6486" t="s">
        <v>43</v>
      </c>
      <c r="I6486" s="187">
        <v>3717.2418910284773</v>
      </c>
      <c r="J6486" s="187">
        <v>1688.7861158452058</v>
      </c>
      <c r="K6486" s="187">
        <v>12471.637061403722</v>
      </c>
      <c r="L6486" s="187">
        <v>8283.0394695407758</v>
      </c>
      <c r="M6486" s="187">
        <v>26160.703125</v>
      </c>
      <c r="N6486" s="187">
        <v>12000.28125</v>
      </c>
      <c r="O6486" t="s">
        <v>6541</v>
      </c>
    </row>
    <row r="6487" spans="1:15" hidden="1" x14ac:dyDescent="0.45">
      <c r="A6487" s="187">
        <v>2023</v>
      </c>
      <c r="B6487" t="s">
        <v>310</v>
      </c>
      <c r="C6487" t="s">
        <v>328</v>
      </c>
      <c r="D6487" t="s">
        <v>39</v>
      </c>
      <c r="E6487" t="s">
        <v>41</v>
      </c>
      <c r="F6487" t="s">
        <v>41</v>
      </c>
      <c r="G6487" t="s">
        <v>36</v>
      </c>
      <c r="H6487" t="s">
        <v>43</v>
      </c>
      <c r="I6487" s="187"/>
      <c r="J6487" s="187">
        <v>1810.6267885693817</v>
      </c>
      <c r="K6487" s="187">
        <v>11774.939415554512</v>
      </c>
      <c r="L6487" s="187">
        <v>14030.833722674362</v>
      </c>
      <c r="M6487" s="187">
        <v>27616.400390625</v>
      </c>
      <c r="N6487" s="187">
        <v>14030.833984375</v>
      </c>
      <c r="O6487" t="s">
        <v>6547</v>
      </c>
    </row>
    <row r="6488" spans="1:15" hidden="1" x14ac:dyDescent="0.45">
      <c r="A6488" s="187">
        <v>2023</v>
      </c>
      <c r="B6488" t="s">
        <v>311</v>
      </c>
      <c r="C6488" t="s">
        <v>328</v>
      </c>
      <c r="D6488" t="s">
        <v>39</v>
      </c>
      <c r="E6488" t="s">
        <v>41</v>
      </c>
      <c r="F6488" t="s">
        <v>41</v>
      </c>
      <c r="G6488" t="s">
        <v>37</v>
      </c>
      <c r="H6488" t="s">
        <v>43</v>
      </c>
      <c r="I6488" s="187"/>
      <c r="J6488" s="187">
        <v>1695</v>
      </c>
      <c r="K6488" s="187">
        <v>12076.31976840161</v>
      </c>
      <c r="L6488" s="187">
        <v>12984</v>
      </c>
      <c r="M6488" s="187">
        <v>26755.3203125</v>
      </c>
      <c r="N6488" s="187">
        <v>12984</v>
      </c>
      <c r="O6488" t="s">
        <v>6557</v>
      </c>
    </row>
    <row r="6489" spans="1:15" hidden="1" x14ac:dyDescent="0.45">
      <c r="A6489" s="187">
        <v>2023</v>
      </c>
      <c r="B6489" t="s">
        <v>313</v>
      </c>
      <c r="C6489" t="s">
        <v>328</v>
      </c>
      <c r="D6489" t="s">
        <v>39</v>
      </c>
      <c r="E6489" t="s">
        <v>41</v>
      </c>
      <c r="F6489" t="s">
        <v>41</v>
      </c>
      <c r="G6489" t="s">
        <v>37</v>
      </c>
      <c r="H6489" t="s">
        <v>43</v>
      </c>
      <c r="I6489" s="187">
        <v>3661.114798654351</v>
      </c>
      <c r="J6489" s="187">
        <v>1667</v>
      </c>
      <c r="K6489" s="187">
        <v>12253.62850831564</v>
      </c>
      <c r="L6489" s="187">
        <v>8219</v>
      </c>
      <c r="M6489" s="187">
        <v>25800.744140625</v>
      </c>
      <c r="N6489" s="187">
        <v>11880.115234375</v>
      </c>
      <c r="O6489" t="s">
        <v>6552</v>
      </c>
    </row>
    <row r="6490" spans="1:15" hidden="1" x14ac:dyDescent="0.45">
      <c r="A6490" s="187">
        <v>2023</v>
      </c>
      <c r="B6490" t="s">
        <v>317</v>
      </c>
      <c r="C6490" t="s">
        <v>328</v>
      </c>
      <c r="D6490" t="s">
        <v>39</v>
      </c>
      <c r="E6490" t="s">
        <v>41</v>
      </c>
      <c r="F6490" t="s">
        <v>41</v>
      </c>
      <c r="G6490" t="s">
        <v>37</v>
      </c>
      <c r="H6490" t="s">
        <v>43</v>
      </c>
      <c r="I6490" s="187">
        <v>6613.2600809920004</v>
      </c>
      <c r="J6490" s="187">
        <v>2125</v>
      </c>
      <c r="K6490" s="187">
        <v>12707.692059552721</v>
      </c>
      <c r="L6490" s="187">
        <v>9106</v>
      </c>
      <c r="M6490" s="187">
        <v>30551.951171875</v>
      </c>
      <c r="N6490" s="187">
        <v>15719.259765625</v>
      </c>
      <c r="O6490" t="s">
        <v>6554</v>
      </c>
    </row>
    <row r="6491" spans="1:15" hidden="1" x14ac:dyDescent="0.45">
      <c r="A6491" s="187">
        <v>2023</v>
      </c>
      <c r="B6491" t="s">
        <v>8570</v>
      </c>
      <c r="C6491" t="s">
        <v>328</v>
      </c>
      <c r="D6491" t="s">
        <v>39</v>
      </c>
      <c r="E6491" t="s">
        <v>41</v>
      </c>
      <c r="F6491" t="s">
        <v>41</v>
      </c>
      <c r="G6491" t="s">
        <v>37</v>
      </c>
      <c r="H6491" t="s">
        <v>43</v>
      </c>
      <c r="I6491" s="187">
        <v>5300.9652960000003</v>
      </c>
      <c r="J6491" s="187">
        <v>2539</v>
      </c>
      <c r="K6491" s="187">
        <v>12239.86613113049</v>
      </c>
      <c r="L6491" s="187">
        <v>9375</v>
      </c>
      <c r="M6491" s="187">
        <v>29454.83203125</v>
      </c>
      <c r="N6491" s="187">
        <v>14675.96484375</v>
      </c>
      <c r="O6491" t="s">
        <v>8969</v>
      </c>
    </row>
    <row r="6492" spans="1:15" hidden="1" x14ac:dyDescent="0.45">
      <c r="A6492" s="187">
        <v>2023</v>
      </c>
      <c r="B6492" t="s">
        <v>312</v>
      </c>
      <c r="C6492" t="s">
        <v>328</v>
      </c>
      <c r="D6492" t="s">
        <v>39</v>
      </c>
      <c r="E6492" t="s">
        <v>41</v>
      </c>
      <c r="F6492" t="s">
        <v>41</v>
      </c>
      <c r="G6492" t="s">
        <v>37</v>
      </c>
      <c r="H6492" t="s">
        <v>43</v>
      </c>
      <c r="I6492" s="187">
        <v>3247.9531087978771</v>
      </c>
      <c r="J6492" s="187">
        <v>1660</v>
      </c>
      <c r="K6492" s="187">
        <v>12379.589786582639</v>
      </c>
      <c r="L6492" s="187">
        <v>8455</v>
      </c>
      <c r="M6492" s="187">
        <v>25742.54296875</v>
      </c>
      <c r="N6492" s="187">
        <v>11702.953125</v>
      </c>
      <c r="O6492" t="s">
        <v>6550</v>
      </c>
    </row>
    <row r="6493" spans="1:15" hidden="1" x14ac:dyDescent="0.45">
      <c r="A6493" s="187">
        <v>2023</v>
      </c>
      <c r="B6493" t="s">
        <v>309</v>
      </c>
      <c r="C6493" t="s">
        <v>328</v>
      </c>
      <c r="D6493" t="s">
        <v>39</v>
      </c>
      <c r="E6493" t="s">
        <v>41</v>
      </c>
      <c r="F6493" t="s">
        <v>41</v>
      </c>
      <c r="G6493" t="s">
        <v>37</v>
      </c>
      <c r="H6493" t="s">
        <v>43</v>
      </c>
      <c r="I6493" s="187"/>
      <c r="J6493" s="187">
        <v>1068.5304000000001</v>
      </c>
      <c r="K6493" s="187">
        <v>13514.412048380909</v>
      </c>
      <c r="L6493" s="187">
        <v>16866</v>
      </c>
      <c r="M6493" s="187">
        <v>31448.94140625</v>
      </c>
      <c r="N6493" s="187">
        <v>16866</v>
      </c>
      <c r="O6493" t="s">
        <v>6556</v>
      </c>
    </row>
    <row r="6494" spans="1:15" hidden="1" x14ac:dyDescent="0.45">
      <c r="A6494" s="187">
        <v>2023</v>
      </c>
      <c r="B6494" t="s">
        <v>314</v>
      </c>
      <c r="C6494" t="s">
        <v>328</v>
      </c>
      <c r="D6494" t="s">
        <v>39</v>
      </c>
      <c r="E6494" t="s">
        <v>41</v>
      </c>
      <c r="F6494" t="s">
        <v>41</v>
      </c>
      <c r="G6494" t="s">
        <v>37</v>
      </c>
      <c r="H6494" t="s">
        <v>43</v>
      </c>
      <c r="I6494" s="187">
        <v>3735.831920445899</v>
      </c>
      <c r="J6494" s="187">
        <v>1667</v>
      </c>
      <c r="K6494" s="187">
        <v>10795.030330023779</v>
      </c>
      <c r="L6494" s="187">
        <v>8182</v>
      </c>
      <c r="M6494" s="187">
        <v>24379.86328125</v>
      </c>
      <c r="N6494" s="187">
        <v>11917.83203125</v>
      </c>
      <c r="O6494" t="s">
        <v>6549</v>
      </c>
    </row>
    <row r="6495" spans="1:15" hidden="1" x14ac:dyDescent="0.45">
      <c r="A6495" s="187">
        <v>2023</v>
      </c>
      <c r="B6495" t="s">
        <v>310</v>
      </c>
      <c r="C6495" t="s">
        <v>328</v>
      </c>
      <c r="D6495" t="s">
        <v>39</v>
      </c>
      <c r="E6495" t="s">
        <v>41</v>
      </c>
      <c r="F6495" t="s">
        <v>41</v>
      </c>
      <c r="G6495" t="s">
        <v>37</v>
      </c>
      <c r="H6495" t="s">
        <v>43</v>
      </c>
      <c r="I6495" s="187"/>
      <c r="J6495" s="187">
        <v>1857</v>
      </c>
      <c r="K6495" s="187">
        <v>12086.502789293339</v>
      </c>
      <c r="L6495" s="187">
        <v>15144</v>
      </c>
      <c r="M6495" s="187">
        <v>29087.50390625</v>
      </c>
      <c r="N6495" s="187">
        <v>15144</v>
      </c>
      <c r="O6495" t="s">
        <v>6553</v>
      </c>
    </row>
    <row r="6496" spans="1:15" hidden="1" x14ac:dyDescent="0.45">
      <c r="A6496" s="187">
        <v>2023</v>
      </c>
      <c r="B6496" t="s">
        <v>316</v>
      </c>
      <c r="C6496" t="s">
        <v>328</v>
      </c>
      <c r="D6496" t="s">
        <v>39</v>
      </c>
      <c r="E6496" t="s">
        <v>41</v>
      </c>
      <c r="F6496" t="s">
        <v>41</v>
      </c>
      <c r="G6496" t="s">
        <v>37</v>
      </c>
      <c r="H6496" t="s">
        <v>43</v>
      </c>
      <c r="I6496" s="187">
        <v>6173.1842367470599</v>
      </c>
      <c r="J6496" s="187">
        <v>2125</v>
      </c>
      <c r="K6496" s="187">
        <v>11521.945200442149</v>
      </c>
      <c r="L6496" s="187">
        <v>8409</v>
      </c>
      <c r="M6496" s="187">
        <v>28229.12890625</v>
      </c>
      <c r="N6496" s="187">
        <v>14582.18359375</v>
      </c>
      <c r="O6496" t="s">
        <v>6555</v>
      </c>
    </row>
    <row r="6497" spans="1:15" hidden="1" x14ac:dyDescent="0.45">
      <c r="A6497" s="187">
        <v>2023</v>
      </c>
      <c r="B6497" t="s">
        <v>315</v>
      </c>
      <c r="C6497" t="s">
        <v>328</v>
      </c>
      <c r="D6497" t="s">
        <v>39</v>
      </c>
      <c r="E6497" t="s">
        <v>41</v>
      </c>
      <c r="F6497" t="s">
        <v>41</v>
      </c>
      <c r="G6497" t="s">
        <v>37</v>
      </c>
      <c r="H6497" t="s">
        <v>43</v>
      </c>
      <c r="I6497" s="187">
        <v>3661.5034013975278</v>
      </c>
      <c r="J6497" s="187">
        <v>1778</v>
      </c>
      <c r="K6497" s="187">
        <v>11563.784578741501</v>
      </c>
      <c r="L6497" s="187">
        <v>7878</v>
      </c>
      <c r="M6497" s="187">
        <v>24881.287109375</v>
      </c>
      <c r="N6497" s="187">
        <v>11539.50390625</v>
      </c>
      <c r="O6497" t="s">
        <v>6551</v>
      </c>
    </row>
    <row r="6498" spans="1:15" hidden="1" x14ac:dyDescent="0.45">
      <c r="A6498" s="187">
        <v>2023</v>
      </c>
      <c r="B6498" t="s">
        <v>312</v>
      </c>
      <c r="C6498" t="s">
        <v>328</v>
      </c>
      <c r="D6498" t="s">
        <v>39</v>
      </c>
      <c r="E6498" t="s">
        <v>361</v>
      </c>
      <c r="F6498" t="s">
        <v>361</v>
      </c>
      <c r="G6498" t="s">
        <v>36</v>
      </c>
      <c r="H6498" t="s">
        <v>43</v>
      </c>
      <c r="I6498" s="187"/>
      <c r="J6498" s="187">
        <v>0</v>
      </c>
      <c r="K6498" s="187"/>
      <c r="L6498" s="187"/>
      <c r="M6498" s="187">
        <v>0</v>
      </c>
      <c r="N6498" s="187">
        <v>0</v>
      </c>
      <c r="O6498" t="s">
        <v>6558</v>
      </c>
    </row>
    <row r="6499" spans="1:15" hidden="1" x14ac:dyDescent="0.45">
      <c r="A6499" s="187">
        <v>2023</v>
      </c>
      <c r="B6499" t="s">
        <v>317</v>
      </c>
      <c r="C6499" t="s">
        <v>328</v>
      </c>
      <c r="D6499" t="s">
        <v>39</v>
      </c>
      <c r="E6499" t="s">
        <v>361</v>
      </c>
      <c r="F6499" t="s">
        <v>361</v>
      </c>
      <c r="G6499" t="s">
        <v>36</v>
      </c>
      <c r="H6499" t="s">
        <v>43</v>
      </c>
      <c r="I6499" s="187"/>
      <c r="J6499" s="187"/>
      <c r="K6499" s="187">
        <v>0</v>
      </c>
      <c r="L6499" s="187"/>
      <c r="M6499" s="187">
        <v>0</v>
      </c>
      <c r="N6499" s="187">
        <v>0</v>
      </c>
      <c r="O6499" t="s">
        <v>6565</v>
      </c>
    </row>
    <row r="6500" spans="1:15" hidden="1" x14ac:dyDescent="0.45">
      <c r="A6500" s="187">
        <v>2023</v>
      </c>
      <c r="B6500" t="s">
        <v>313</v>
      </c>
      <c r="C6500" t="s">
        <v>328</v>
      </c>
      <c r="D6500" t="s">
        <v>39</v>
      </c>
      <c r="E6500" t="s">
        <v>361</v>
      </c>
      <c r="F6500" t="s">
        <v>361</v>
      </c>
      <c r="G6500" t="s">
        <v>36</v>
      </c>
      <c r="H6500" t="s">
        <v>43</v>
      </c>
      <c r="I6500" s="187"/>
      <c r="J6500" s="187"/>
      <c r="K6500" s="187"/>
      <c r="L6500" s="187"/>
      <c r="M6500" s="187">
        <v>0</v>
      </c>
      <c r="N6500" s="187">
        <v>0</v>
      </c>
      <c r="O6500" t="s">
        <v>6559</v>
      </c>
    </row>
    <row r="6501" spans="1:15" hidden="1" x14ac:dyDescent="0.45">
      <c r="A6501" s="187">
        <v>2023</v>
      </c>
      <c r="B6501" t="s">
        <v>316</v>
      </c>
      <c r="C6501" t="s">
        <v>328</v>
      </c>
      <c r="D6501" t="s">
        <v>39</v>
      </c>
      <c r="E6501" t="s">
        <v>361</v>
      </c>
      <c r="F6501" t="s">
        <v>361</v>
      </c>
      <c r="G6501" t="s">
        <v>36</v>
      </c>
      <c r="H6501" t="s">
        <v>43</v>
      </c>
      <c r="I6501" s="187"/>
      <c r="J6501" s="187"/>
      <c r="K6501" s="187"/>
      <c r="L6501" s="187">
        <v>0</v>
      </c>
      <c r="M6501" s="187">
        <v>0</v>
      </c>
      <c r="N6501" s="187">
        <v>0</v>
      </c>
      <c r="O6501" t="s">
        <v>6566</v>
      </c>
    </row>
    <row r="6502" spans="1:15" hidden="1" x14ac:dyDescent="0.45">
      <c r="A6502" s="187">
        <v>2023</v>
      </c>
      <c r="B6502" t="s">
        <v>8570</v>
      </c>
      <c r="C6502" t="s">
        <v>328</v>
      </c>
      <c r="D6502" t="s">
        <v>39</v>
      </c>
      <c r="E6502" t="s">
        <v>361</v>
      </c>
      <c r="F6502" t="s">
        <v>361</v>
      </c>
      <c r="G6502" t="s">
        <v>36</v>
      </c>
      <c r="H6502" t="s">
        <v>43</v>
      </c>
      <c r="I6502" s="187"/>
      <c r="J6502" s="187"/>
      <c r="K6502" s="187"/>
      <c r="L6502" s="187">
        <v>0</v>
      </c>
      <c r="M6502" s="187">
        <v>0</v>
      </c>
      <c r="N6502" s="187">
        <v>0</v>
      </c>
      <c r="O6502" t="s">
        <v>8970</v>
      </c>
    </row>
    <row r="6503" spans="1:15" hidden="1" x14ac:dyDescent="0.45">
      <c r="A6503" s="187">
        <v>2023</v>
      </c>
      <c r="B6503" t="s">
        <v>314</v>
      </c>
      <c r="C6503" t="s">
        <v>328</v>
      </c>
      <c r="D6503" t="s">
        <v>39</v>
      </c>
      <c r="E6503" t="s">
        <v>361</v>
      </c>
      <c r="F6503" t="s">
        <v>361</v>
      </c>
      <c r="G6503" t="s">
        <v>36</v>
      </c>
      <c r="H6503" t="s">
        <v>43</v>
      </c>
      <c r="I6503" s="187">
        <v>0</v>
      </c>
      <c r="J6503" s="187"/>
      <c r="K6503" s="187">
        <v>0</v>
      </c>
      <c r="L6503" s="187"/>
      <c r="M6503" s="187">
        <v>0</v>
      </c>
      <c r="N6503" s="187">
        <v>0</v>
      </c>
      <c r="O6503" t="s">
        <v>6561</v>
      </c>
    </row>
    <row r="6504" spans="1:15" hidden="1" x14ac:dyDescent="0.45">
      <c r="A6504" s="187">
        <v>2023</v>
      </c>
      <c r="B6504" t="s">
        <v>310</v>
      </c>
      <c r="C6504" t="s">
        <v>328</v>
      </c>
      <c r="D6504" t="s">
        <v>39</v>
      </c>
      <c r="E6504" t="s">
        <v>361</v>
      </c>
      <c r="F6504" t="s">
        <v>361</v>
      </c>
      <c r="G6504" t="s">
        <v>36</v>
      </c>
      <c r="H6504" t="s">
        <v>43</v>
      </c>
      <c r="I6504" s="187"/>
      <c r="J6504" s="187"/>
      <c r="K6504" s="187"/>
      <c r="L6504" s="187"/>
      <c r="M6504" s="187">
        <v>0</v>
      </c>
      <c r="N6504" s="187">
        <v>0</v>
      </c>
      <c r="O6504" t="s">
        <v>6564</v>
      </c>
    </row>
    <row r="6505" spans="1:15" hidden="1" x14ac:dyDescent="0.45">
      <c r="A6505" s="187">
        <v>2023</v>
      </c>
      <c r="B6505" t="s">
        <v>311</v>
      </c>
      <c r="C6505" t="s">
        <v>328</v>
      </c>
      <c r="D6505" t="s">
        <v>39</v>
      </c>
      <c r="E6505" t="s">
        <v>361</v>
      </c>
      <c r="F6505" t="s">
        <v>361</v>
      </c>
      <c r="G6505" t="s">
        <v>36</v>
      </c>
      <c r="H6505" t="s">
        <v>43</v>
      </c>
      <c r="I6505" s="187"/>
      <c r="J6505" s="187">
        <v>0</v>
      </c>
      <c r="K6505" s="187"/>
      <c r="L6505" s="187"/>
      <c r="M6505" s="187">
        <v>0</v>
      </c>
      <c r="N6505" s="187">
        <v>0</v>
      </c>
      <c r="O6505" t="s">
        <v>6560</v>
      </c>
    </row>
    <row r="6506" spans="1:15" hidden="1" x14ac:dyDescent="0.45">
      <c r="A6506" s="187">
        <v>2023</v>
      </c>
      <c r="B6506" t="s">
        <v>315</v>
      </c>
      <c r="C6506" t="s">
        <v>328</v>
      </c>
      <c r="D6506" t="s">
        <v>39</v>
      </c>
      <c r="E6506" t="s">
        <v>361</v>
      </c>
      <c r="F6506" t="s">
        <v>361</v>
      </c>
      <c r="G6506" t="s">
        <v>36</v>
      </c>
      <c r="H6506" t="s">
        <v>43</v>
      </c>
      <c r="I6506" s="187">
        <v>0</v>
      </c>
      <c r="J6506" s="187"/>
      <c r="K6506" s="187"/>
      <c r="L6506" s="187"/>
      <c r="M6506" s="187">
        <v>0</v>
      </c>
      <c r="N6506" s="187">
        <v>0</v>
      </c>
      <c r="O6506" t="s">
        <v>6562</v>
      </c>
    </row>
    <row r="6507" spans="1:15" hidden="1" x14ac:dyDescent="0.45">
      <c r="A6507" s="187">
        <v>2023</v>
      </c>
      <c r="B6507" t="s">
        <v>309</v>
      </c>
      <c r="C6507" t="s">
        <v>328</v>
      </c>
      <c r="D6507" t="s">
        <v>39</v>
      </c>
      <c r="E6507" t="s">
        <v>361</v>
      </c>
      <c r="F6507" t="s">
        <v>361</v>
      </c>
      <c r="G6507" t="s">
        <v>36</v>
      </c>
      <c r="H6507" t="s">
        <v>43</v>
      </c>
      <c r="I6507" s="187"/>
      <c r="J6507" s="187">
        <v>0</v>
      </c>
      <c r="K6507" s="187"/>
      <c r="L6507" s="187">
        <v>0</v>
      </c>
      <c r="M6507" s="187">
        <v>0</v>
      </c>
      <c r="N6507" s="187">
        <v>0</v>
      </c>
      <c r="O6507" t="s">
        <v>6563</v>
      </c>
    </row>
    <row r="6508" spans="1:15" hidden="1" x14ac:dyDescent="0.45">
      <c r="A6508" s="187">
        <v>2023</v>
      </c>
      <c r="B6508" t="s">
        <v>313</v>
      </c>
      <c r="C6508" t="s">
        <v>328</v>
      </c>
      <c r="D6508" t="s">
        <v>39</v>
      </c>
      <c r="E6508" t="s">
        <v>362</v>
      </c>
      <c r="F6508" t="s">
        <v>362</v>
      </c>
      <c r="G6508" t="s">
        <v>36</v>
      </c>
      <c r="H6508" t="s">
        <v>43</v>
      </c>
      <c r="I6508" s="187">
        <v>2105.2772863070304</v>
      </c>
      <c r="J6508" s="187">
        <v>79.875018992678648</v>
      </c>
      <c r="K6508" s="187">
        <v>2835.4669466213563</v>
      </c>
      <c r="L6508" s="187">
        <v>2807.0363817427069</v>
      </c>
      <c r="M6508" s="187">
        <v>7827.65576171875</v>
      </c>
      <c r="N6508" s="187">
        <v>4912.31396484375</v>
      </c>
      <c r="O6508" t="s">
        <v>6567</v>
      </c>
    </row>
    <row r="6509" spans="1:15" hidden="1" x14ac:dyDescent="0.45">
      <c r="A6509" s="187">
        <v>2023</v>
      </c>
      <c r="B6509" t="s">
        <v>314</v>
      </c>
      <c r="C6509" t="s">
        <v>328</v>
      </c>
      <c r="D6509" t="s">
        <v>39</v>
      </c>
      <c r="E6509" t="s">
        <v>362</v>
      </c>
      <c r="F6509" t="s">
        <v>362</v>
      </c>
      <c r="G6509" t="s">
        <v>36</v>
      </c>
      <c r="H6509" t="s">
        <v>43</v>
      </c>
      <c r="I6509" s="187">
        <v>2124.9367969511527</v>
      </c>
      <c r="J6509" s="187">
        <v>83.222067765710946</v>
      </c>
      <c r="K6509" s="187">
        <v>3029.9258082495503</v>
      </c>
      <c r="L6509" s="187">
        <v>2855.0717381489903</v>
      </c>
      <c r="M6509" s="187">
        <v>8093.15673828125</v>
      </c>
      <c r="N6509" s="187">
        <v>4980.00830078125</v>
      </c>
      <c r="O6509" t="s">
        <v>6569</v>
      </c>
    </row>
    <row r="6510" spans="1:15" hidden="1" x14ac:dyDescent="0.45">
      <c r="A6510" s="187">
        <v>2023</v>
      </c>
      <c r="B6510" t="s">
        <v>8570</v>
      </c>
      <c r="C6510" t="s">
        <v>328</v>
      </c>
      <c r="D6510" t="s">
        <v>39</v>
      </c>
      <c r="E6510" t="s">
        <v>362</v>
      </c>
      <c r="F6510" t="s">
        <v>362</v>
      </c>
      <c r="G6510" t="s">
        <v>36</v>
      </c>
      <c r="H6510" t="s">
        <v>43</v>
      </c>
      <c r="I6510" s="187">
        <v>2719.86</v>
      </c>
      <c r="J6510" s="187">
        <v>45</v>
      </c>
      <c r="K6510" s="187">
        <v>3488.1401350000001</v>
      </c>
      <c r="L6510" s="187">
        <v>3535</v>
      </c>
      <c r="M6510" s="187">
        <v>9788</v>
      </c>
      <c r="N6510" s="187">
        <v>6254.8603515625</v>
      </c>
      <c r="O6510" t="s">
        <v>8971</v>
      </c>
    </row>
    <row r="6511" spans="1:15" hidden="1" x14ac:dyDescent="0.45">
      <c r="A6511" s="187">
        <v>2023</v>
      </c>
      <c r="B6511" t="s">
        <v>315</v>
      </c>
      <c r="C6511" t="s">
        <v>328</v>
      </c>
      <c r="D6511" t="s">
        <v>39</v>
      </c>
      <c r="E6511" t="s">
        <v>362</v>
      </c>
      <c r="F6511" t="s">
        <v>362</v>
      </c>
      <c r="G6511" t="s">
        <v>36</v>
      </c>
      <c r="H6511" t="s">
        <v>43</v>
      </c>
      <c r="I6511" s="187">
        <v>2068.488181559776</v>
      </c>
      <c r="J6511" s="187">
        <v>113.41580107769006</v>
      </c>
      <c r="K6511" s="187">
        <v>3373.2892479234611</v>
      </c>
      <c r="L6511" s="187">
        <v>2798.6699104028089</v>
      </c>
      <c r="M6511" s="187">
        <v>8353.86328125</v>
      </c>
      <c r="N6511" s="187">
        <v>4867.158203125</v>
      </c>
      <c r="O6511" t="s">
        <v>6572</v>
      </c>
    </row>
    <row r="6512" spans="1:15" hidden="1" x14ac:dyDescent="0.45">
      <c r="A6512" s="187">
        <v>2023</v>
      </c>
      <c r="B6512" t="s">
        <v>310</v>
      </c>
      <c r="C6512" t="s">
        <v>328</v>
      </c>
      <c r="D6512" t="s">
        <v>39</v>
      </c>
      <c r="E6512" t="s">
        <v>362</v>
      </c>
      <c r="F6512" t="s">
        <v>362</v>
      </c>
      <c r="G6512" t="s">
        <v>36</v>
      </c>
      <c r="H6512" t="s">
        <v>43</v>
      </c>
      <c r="I6512" s="187"/>
      <c r="J6512" s="187">
        <v>93.515512606344174</v>
      </c>
      <c r="K6512" s="187">
        <v>2211.6458200530865</v>
      </c>
      <c r="L6512" s="187">
        <v>5476.5022070090299</v>
      </c>
      <c r="M6512" s="187">
        <v>7781.66357421875</v>
      </c>
      <c r="N6512" s="187">
        <v>5476.50244140625</v>
      </c>
      <c r="O6512" t="s">
        <v>6573</v>
      </c>
    </row>
    <row r="6513" spans="1:15" hidden="1" x14ac:dyDescent="0.45">
      <c r="A6513" s="187">
        <v>2023</v>
      </c>
      <c r="B6513" t="s">
        <v>312</v>
      </c>
      <c r="C6513" t="s">
        <v>328</v>
      </c>
      <c r="D6513" t="s">
        <v>39</v>
      </c>
      <c r="E6513" t="s">
        <v>362</v>
      </c>
      <c r="F6513" t="s">
        <v>362</v>
      </c>
      <c r="G6513" t="s">
        <v>36</v>
      </c>
      <c r="H6513" t="s">
        <v>43</v>
      </c>
      <c r="I6513" s="187">
        <v>2145.3162112476502</v>
      </c>
      <c r="J6513" s="187">
        <v>98.57963563792741</v>
      </c>
      <c r="K6513" s="187">
        <v>2433.4394479569623</v>
      </c>
      <c r="L6513" s="187">
        <v>2863.4484751769742</v>
      </c>
      <c r="M6513" s="187">
        <v>7540.783203125</v>
      </c>
      <c r="N6513" s="187">
        <v>5008.7646484375</v>
      </c>
      <c r="O6513" t="s">
        <v>6571</v>
      </c>
    </row>
    <row r="6514" spans="1:15" hidden="1" x14ac:dyDescent="0.45">
      <c r="A6514" s="187">
        <v>2023</v>
      </c>
      <c r="B6514" t="s">
        <v>317</v>
      </c>
      <c r="C6514" t="s">
        <v>328</v>
      </c>
      <c r="D6514" t="s">
        <v>39</v>
      </c>
      <c r="E6514" t="s">
        <v>362</v>
      </c>
      <c r="F6514" t="s">
        <v>362</v>
      </c>
      <c r="G6514" t="s">
        <v>36</v>
      </c>
      <c r="H6514" t="s">
        <v>43</v>
      </c>
      <c r="I6514" s="187">
        <v>1092.9854858581857</v>
      </c>
      <c r="J6514" s="187">
        <v>110.7981789419494</v>
      </c>
      <c r="K6514" s="187">
        <v>3317.6943466162425</v>
      </c>
      <c r="L6514" s="187">
        <v>3400.2497745109567</v>
      </c>
      <c r="M6514" s="187">
        <v>7921.72802734375</v>
      </c>
      <c r="N6514" s="187">
        <v>4493.2353515625</v>
      </c>
      <c r="O6514" t="s">
        <v>6570</v>
      </c>
    </row>
    <row r="6515" spans="1:15" hidden="1" x14ac:dyDescent="0.45">
      <c r="A6515" s="187">
        <v>2023</v>
      </c>
      <c r="B6515" t="s">
        <v>311</v>
      </c>
      <c r="C6515" t="s">
        <v>328</v>
      </c>
      <c r="D6515" t="s">
        <v>39</v>
      </c>
      <c r="E6515" t="s">
        <v>362</v>
      </c>
      <c r="F6515" t="s">
        <v>362</v>
      </c>
      <c r="G6515" t="s">
        <v>36</v>
      </c>
      <c r="H6515" t="s">
        <v>43</v>
      </c>
      <c r="I6515" s="187"/>
      <c r="J6515" s="187">
        <v>99.030417237026896</v>
      </c>
      <c r="K6515" s="187">
        <v>2964.3294957618182</v>
      </c>
      <c r="L6515" s="187">
        <v>5054.0464702849731</v>
      </c>
      <c r="M6515" s="187">
        <v>8117.40625</v>
      </c>
      <c r="N6515" s="187">
        <v>5054.04638671875</v>
      </c>
      <c r="O6515" t="s">
        <v>6574</v>
      </c>
    </row>
    <row r="6516" spans="1:15" hidden="1" x14ac:dyDescent="0.45">
      <c r="A6516" s="187">
        <v>2023</v>
      </c>
      <c r="B6516" t="s">
        <v>316</v>
      </c>
      <c r="C6516" t="s">
        <v>328</v>
      </c>
      <c r="D6516" t="s">
        <v>39</v>
      </c>
      <c r="E6516" t="s">
        <v>362</v>
      </c>
      <c r="F6516" t="s">
        <v>362</v>
      </c>
      <c r="G6516" t="s">
        <v>36</v>
      </c>
      <c r="H6516" t="s">
        <v>43</v>
      </c>
      <c r="I6516" s="187">
        <v>1105.8978379992766</v>
      </c>
      <c r="J6516" s="187">
        <v>163.93023806010152</v>
      </c>
      <c r="K6516" s="187">
        <v>3314.4676300323749</v>
      </c>
      <c r="L6516" s="187">
        <v>2917.9582374698066</v>
      </c>
      <c r="M6516" s="187">
        <v>7502.25390625</v>
      </c>
      <c r="N6516" s="187">
        <v>4023.85595703125</v>
      </c>
      <c r="O6516" t="s">
        <v>6568</v>
      </c>
    </row>
    <row r="6517" spans="1:15" hidden="1" x14ac:dyDescent="0.45">
      <c r="A6517" s="187">
        <v>2023</v>
      </c>
      <c r="B6517" t="s">
        <v>309</v>
      </c>
      <c r="C6517" t="s">
        <v>328</v>
      </c>
      <c r="D6517" t="s">
        <v>39</v>
      </c>
      <c r="E6517" t="s">
        <v>362</v>
      </c>
      <c r="F6517" t="s">
        <v>362</v>
      </c>
      <c r="G6517" t="s">
        <v>36</v>
      </c>
      <c r="H6517" t="s">
        <v>43</v>
      </c>
      <c r="I6517" s="187"/>
      <c r="J6517" s="187">
        <v>612.22677558947532</v>
      </c>
      <c r="K6517" s="187">
        <v>2268.2757325414509</v>
      </c>
      <c r="L6517" s="187">
        <v>5639.8711720158872</v>
      </c>
      <c r="M6517" s="187">
        <v>8520.3740234375</v>
      </c>
      <c r="N6517" s="187">
        <v>5639.87109375</v>
      </c>
      <c r="O6517" t="s">
        <v>6575</v>
      </c>
    </row>
    <row r="6518" spans="1:15" hidden="1" x14ac:dyDescent="0.45">
      <c r="A6518" s="187">
        <v>2023</v>
      </c>
      <c r="B6518" t="s">
        <v>8570</v>
      </c>
      <c r="C6518" t="s">
        <v>328</v>
      </c>
      <c r="D6518" t="s">
        <v>39</v>
      </c>
      <c r="E6518" t="s">
        <v>362</v>
      </c>
      <c r="F6518" t="s">
        <v>362</v>
      </c>
      <c r="G6518" t="s">
        <v>37</v>
      </c>
      <c r="H6518" t="s">
        <v>43</v>
      </c>
      <c r="I6518" s="187">
        <v>2774.2572</v>
      </c>
      <c r="J6518" s="187">
        <v>45</v>
      </c>
      <c r="K6518" s="187">
        <v>3568.0424137533519</v>
      </c>
      <c r="L6518" s="187">
        <v>3676</v>
      </c>
      <c r="M6518" s="187">
        <v>10063.298828125</v>
      </c>
      <c r="N6518" s="187">
        <v>6450.2568359375</v>
      </c>
      <c r="O6518" t="s">
        <v>8972</v>
      </c>
    </row>
    <row r="6519" spans="1:15" hidden="1" x14ac:dyDescent="0.45">
      <c r="A6519" s="187">
        <v>2023</v>
      </c>
      <c r="B6519" t="s">
        <v>311</v>
      </c>
      <c r="C6519" t="s">
        <v>328</v>
      </c>
      <c r="D6519" t="s">
        <v>39</v>
      </c>
      <c r="E6519" t="s">
        <v>362</v>
      </c>
      <c r="F6519" t="s">
        <v>362</v>
      </c>
      <c r="G6519" t="s">
        <v>37</v>
      </c>
      <c r="H6519" t="s">
        <v>43</v>
      </c>
      <c r="I6519" s="187"/>
      <c r="J6519" s="187">
        <v>100</v>
      </c>
      <c r="K6519" s="187">
        <v>2959.351012174975</v>
      </c>
      <c r="L6519" s="187">
        <v>5345</v>
      </c>
      <c r="M6519" s="187">
        <v>8404.3515625</v>
      </c>
      <c r="N6519" s="187">
        <v>5345</v>
      </c>
      <c r="O6519" t="s">
        <v>6581</v>
      </c>
    </row>
    <row r="6520" spans="1:15" hidden="1" x14ac:dyDescent="0.45">
      <c r="A6520" s="187">
        <v>2023</v>
      </c>
      <c r="B6520" t="s">
        <v>312</v>
      </c>
      <c r="C6520" t="s">
        <v>328</v>
      </c>
      <c r="D6520" t="s">
        <v>39</v>
      </c>
      <c r="E6520" t="s">
        <v>362</v>
      </c>
      <c r="F6520" t="s">
        <v>362</v>
      </c>
      <c r="G6520" t="s">
        <v>37</v>
      </c>
      <c r="H6520" t="s">
        <v>43</v>
      </c>
      <c r="I6520" s="187">
        <v>2089.2699219164001</v>
      </c>
      <c r="J6520" s="187">
        <v>98</v>
      </c>
      <c r="K6520" s="187">
        <v>2402.7691763180801</v>
      </c>
      <c r="L6520" s="187">
        <v>2837</v>
      </c>
      <c r="M6520" s="187">
        <v>7427.0390625</v>
      </c>
      <c r="N6520" s="187">
        <v>4926.27001953125</v>
      </c>
      <c r="O6520" t="s">
        <v>6583</v>
      </c>
    </row>
    <row r="6521" spans="1:15" hidden="1" x14ac:dyDescent="0.45">
      <c r="A6521" s="187">
        <v>2023</v>
      </c>
      <c r="B6521" t="s">
        <v>310</v>
      </c>
      <c r="C6521" t="s">
        <v>328</v>
      </c>
      <c r="D6521" t="s">
        <v>39</v>
      </c>
      <c r="E6521" t="s">
        <v>362</v>
      </c>
      <c r="F6521" t="s">
        <v>362</v>
      </c>
      <c r="G6521" t="s">
        <v>37</v>
      </c>
      <c r="H6521" t="s">
        <v>43</v>
      </c>
      <c r="I6521" s="187"/>
      <c r="J6521" s="187">
        <v>96</v>
      </c>
      <c r="K6521" s="187">
        <v>2270.1656823549561</v>
      </c>
      <c r="L6521" s="187">
        <v>5911</v>
      </c>
      <c r="M6521" s="187">
        <v>8277.166015625</v>
      </c>
      <c r="N6521" s="187">
        <v>5911</v>
      </c>
      <c r="O6521" t="s">
        <v>6582</v>
      </c>
    </row>
    <row r="6522" spans="1:15" hidden="1" x14ac:dyDescent="0.45">
      <c r="A6522" s="187">
        <v>2023</v>
      </c>
      <c r="B6522" t="s">
        <v>314</v>
      </c>
      <c r="C6522" t="s">
        <v>328</v>
      </c>
      <c r="D6522" t="s">
        <v>39</v>
      </c>
      <c r="E6522" t="s">
        <v>362</v>
      </c>
      <c r="F6522" t="s">
        <v>362</v>
      </c>
      <c r="G6522" t="s">
        <v>37</v>
      </c>
      <c r="H6522" t="s">
        <v>43</v>
      </c>
      <c r="I6522" s="187">
        <v>2115.3513091821101</v>
      </c>
      <c r="J6522" s="187">
        <v>83</v>
      </c>
      <c r="K6522" s="187">
        <v>3020.3393450521921</v>
      </c>
      <c r="L6522" s="187">
        <v>3008</v>
      </c>
      <c r="M6522" s="187">
        <v>8226.6904296875</v>
      </c>
      <c r="N6522" s="187">
        <v>5123.3515625</v>
      </c>
      <c r="O6522" t="s">
        <v>6576</v>
      </c>
    </row>
    <row r="6523" spans="1:15" hidden="1" x14ac:dyDescent="0.45">
      <c r="A6523" s="187">
        <v>2023</v>
      </c>
      <c r="B6523" t="s">
        <v>315</v>
      </c>
      <c r="C6523" t="s">
        <v>328</v>
      </c>
      <c r="D6523" t="s">
        <v>39</v>
      </c>
      <c r="E6523" t="s">
        <v>362</v>
      </c>
      <c r="F6523" t="s">
        <v>362</v>
      </c>
      <c r="G6523" t="s">
        <v>37</v>
      </c>
      <c r="H6523" t="s">
        <v>43</v>
      </c>
      <c r="I6523" s="187">
        <v>2073.2640489876599</v>
      </c>
      <c r="J6523" s="187">
        <v>111</v>
      </c>
      <c r="K6523" s="187">
        <v>3371.999517988374</v>
      </c>
      <c r="L6523" s="187">
        <v>2850</v>
      </c>
      <c r="M6523" s="187">
        <v>8406.263671875</v>
      </c>
      <c r="N6523" s="187">
        <v>4923.26416015625</v>
      </c>
      <c r="O6523" t="s">
        <v>6577</v>
      </c>
    </row>
    <row r="6524" spans="1:15" hidden="1" x14ac:dyDescent="0.45">
      <c r="A6524" s="187">
        <v>2023</v>
      </c>
      <c r="B6524" t="s">
        <v>316</v>
      </c>
      <c r="C6524" t="s">
        <v>328</v>
      </c>
      <c r="D6524" t="s">
        <v>39</v>
      </c>
      <c r="E6524" t="s">
        <v>362</v>
      </c>
      <c r="F6524" t="s">
        <v>362</v>
      </c>
      <c r="G6524" t="s">
        <v>37</v>
      </c>
      <c r="H6524" t="s">
        <v>43</v>
      </c>
      <c r="I6524" s="187">
        <v>1109.7642459195599</v>
      </c>
      <c r="J6524" s="187">
        <v>155</v>
      </c>
      <c r="K6524" s="187">
        <v>3266.2964139470541</v>
      </c>
      <c r="L6524" s="187">
        <v>2950</v>
      </c>
      <c r="M6524" s="187">
        <v>7481.060546875</v>
      </c>
      <c r="N6524" s="187">
        <v>4059.76416015625</v>
      </c>
      <c r="O6524" t="s">
        <v>6579</v>
      </c>
    </row>
    <row r="6525" spans="1:15" hidden="1" x14ac:dyDescent="0.45">
      <c r="A6525" s="187">
        <v>2023</v>
      </c>
      <c r="B6525" t="s">
        <v>313</v>
      </c>
      <c r="C6525" t="s">
        <v>328</v>
      </c>
      <c r="D6525" t="s">
        <v>39</v>
      </c>
      <c r="E6525" t="s">
        <v>362</v>
      </c>
      <c r="F6525" t="s">
        <v>362</v>
      </c>
      <c r="G6525" t="s">
        <v>37</v>
      </c>
      <c r="H6525" t="s">
        <v>43</v>
      </c>
      <c r="I6525" s="187">
        <v>2073.4894457021751</v>
      </c>
      <c r="J6525" s="187">
        <v>79</v>
      </c>
      <c r="K6525" s="187">
        <v>2785.9019983055468</v>
      </c>
      <c r="L6525" s="187">
        <v>2786</v>
      </c>
      <c r="M6525" s="187">
        <v>7724.3916015625</v>
      </c>
      <c r="N6525" s="187">
        <v>4859.4892578125</v>
      </c>
      <c r="O6525" t="s">
        <v>6578</v>
      </c>
    </row>
    <row r="6526" spans="1:15" hidden="1" x14ac:dyDescent="0.45">
      <c r="A6526" s="187">
        <v>2023</v>
      </c>
      <c r="B6526" t="s">
        <v>309</v>
      </c>
      <c r="C6526" t="s">
        <v>328</v>
      </c>
      <c r="D6526" t="s">
        <v>39</v>
      </c>
      <c r="E6526" t="s">
        <v>362</v>
      </c>
      <c r="F6526" t="s">
        <v>362</v>
      </c>
      <c r="G6526" t="s">
        <v>37</v>
      </c>
      <c r="H6526" t="s">
        <v>43</v>
      </c>
      <c r="I6526" s="187"/>
      <c r="J6526" s="187">
        <v>618.49620000000004</v>
      </c>
      <c r="K6526" s="187">
        <v>2376.0317338313562</v>
      </c>
      <c r="L6526" s="187">
        <v>6216</v>
      </c>
      <c r="M6526" s="187">
        <v>9210.52734375</v>
      </c>
      <c r="N6526" s="187">
        <v>6216</v>
      </c>
      <c r="O6526" t="s">
        <v>6580</v>
      </c>
    </row>
    <row r="6527" spans="1:15" hidden="1" x14ac:dyDescent="0.45">
      <c r="A6527" s="187">
        <v>2023</v>
      </c>
      <c r="B6527" t="s">
        <v>317</v>
      </c>
      <c r="C6527" t="s">
        <v>328</v>
      </c>
      <c r="D6527" t="s">
        <v>39</v>
      </c>
      <c r="E6527" t="s">
        <v>362</v>
      </c>
      <c r="F6527" t="s">
        <v>362</v>
      </c>
      <c r="G6527" t="s">
        <v>37</v>
      </c>
      <c r="H6527" t="s">
        <v>43</v>
      </c>
      <c r="I6527" s="187">
        <v>1087.897506048</v>
      </c>
      <c r="J6527" s="187">
        <v>106</v>
      </c>
      <c r="K6527" s="187">
        <v>3284.108531464009</v>
      </c>
      <c r="L6527" s="187">
        <v>3374</v>
      </c>
      <c r="M6527" s="187">
        <v>7852.005859375</v>
      </c>
      <c r="N6527" s="187">
        <v>4461.8974609375</v>
      </c>
      <c r="O6527" t="s">
        <v>6584</v>
      </c>
    </row>
    <row r="6528" spans="1:15" hidden="1" x14ac:dyDescent="0.45">
      <c r="A6528" s="187">
        <v>2023</v>
      </c>
      <c r="B6528" t="s">
        <v>311</v>
      </c>
      <c r="C6528" t="s">
        <v>328</v>
      </c>
      <c r="D6528" t="s">
        <v>39</v>
      </c>
      <c r="E6528" t="s">
        <v>363</v>
      </c>
      <c r="F6528" t="s">
        <v>363</v>
      </c>
      <c r="G6528" t="s">
        <v>36</v>
      </c>
      <c r="H6528" t="s">
        <v>43</v>
      </c>
      <c r="I6528" s="187"/>
      <c r="J6528" s="187">
        <v>69.90382393201898</v>
      </c>
      <c r="K6528" s="187">
        <v>449.0679427643135</v>
      </c>
      <c r="L6528" s="187">
        <v>4557.7293203676381</v>
      </c>
      <c r="M6528" s="187">
        <v>5076.701171875</v>
      </c>
      <c r="N6528" s="187">
        <v>4557.7294921875</v>
      </c>
      <c r="O6528" t="s">
        <v>6588</v>
      </c>
    </row>
    <row r="6529" spans="1:15" hidden="1" x14ac:dyDescent="0.45">
      <c r="A6529" s="187">
        <v>2023</v>
      </c>
      <c r="B6529" t="s">
        <v>312</v>
      </c>
      <c r="C6529" t="s">
        <v>328</v>
      </c>
      <c r="D6529" t="s">
        <v>39</v>
      </c>
      <c r="E6529" t="s">
        <v>363</v>
      </c>
      <c r="F6529" t="s">
        <v>363</v>
      </c>
      <c r="G6529" t="s">
        <v>36</v>
      </c>
      <c r="H6529" t="s">
        <v>43</v>
      </c>
      <c r="I6529" s="187">
        <v>2633.2512352831613</v>
      </c>
      <c r="J6529" s="187">
        <v>69.585625156184065</v>
      </c>
      <c r="K6529" s="187">
        <v>487.96776085813798</v>
      </c>
      <c r="L6529" s="187">
        <v>2269.6511405108699</v>
      </c>
      <c r="M6529" s="187">
        <v>5460.4560546875</v>
      </c>
      <c r="N6529" s="187">
        <v>4902.90234375</v>
      </c>
      <c r="O6529" t="s">
        <v>6591</v>
      </c>
    </row>
    <row r="6530" spans="1:15" hidden="1" x14ac:dyDescent="0.45">
      <c r="A6530" s="187">
        <v>2023</v>
      </c>
      <c r="B6530" t="s">
        <v>315</v>
      </c>
      <c r="C6530" t="s">
        <v>328</v>
      </c>
      <c r="D6530" t="s">
        <v>39</v>
      </c>
      <c r="E6530" t="s">
        <v>363</v>
      </c>
      <c r="F6530" t="s">
        <v>363</v>
      </c>
      <c r="G6530" t="s">
        <v>36</v>
      </c>
      <c r="H6530" t="s">
        <v>43</v>
      </c>
      <c r="I6530" s="187">
        <v>3275.0162749291076</v>
      </c>
      <c r="J6530" s="187">
        <v>37.80526702589669</v>
      </c>
      <c r="K6530" s="187">
        <v>637.13074295913827</v>
      </c>
      <c r="L6530" s="187">
        <v>2359.0486624159535</v>
      </c>
      <c r="M6530" s="187">
        <v>6309.0009765625</v>
      </c>
      <c r="N6530" s="187">
        <v>5634.06494140625</v>
      </c>
      <c r="O6530" t="s">
        <v>6589</v>
      </c>
    </row>
    <row r="6531" spans="1:15" hidden="1" x14ac:dyDescent="0.45">
      <c r="A6531" s="187">
        <v>2023</v>
      </c>
      <c r="B6531" t="s">
        <v>317</v>
      </c>
      <c r="C6531" t="s">
        <v>328</v>
      </c>
      <c r="D6531" t="s">
        <v>39</v>
      </c>
      <c r="E6531" t="s">
        <v>363</v>
      </c>
      <c r="F6531" t="s">
        <v>363</v>
      </c>
      <c r="G6531" t="s">
        <v>36</v>
      </c>
      <c r="H6531" t="s">
        <v>43</v>
      </c>
      <c r="I6531" s="187">
        <v>3229.6366342236429</v>
      </c>
      <c r="J6531" s="187">
        <v>47.036962758374742</v>
      </c>
      <c r="K6531" s="187">
        <v>625.86838526501367</v>
      </c>
      <c r="L6531" s="187">
        <v>2307.9469726775874</v>
      </c>
      <c r="M6531" s="187">
        <v>6210.48876953125</v>
      </c>
      <c r="N6531" s="187">
        <v>5537.58349609375</v>
      </c>
      <c r="O6531" t="s">
        <v>6587</v>
      </c>
    </row>
    <row r="6532" spans="1:15" hidden="1" x14ac:dyDescent="0.45">
      <c r="A6532" s="187">
        <v>2023</v>
      </c>
      <c r="B6532" t="s">
        <v>8570</v>
      </c>
      <c r="C6532" t="s">
        <v>328</v>
      </c>
      <c r="D6532" t="s">
        <v>39</v>
      </c>
      <c r="E6532" t="s">
        <v>363</v>
      </c>
      <c r="F6532" t="s">
        <v>363</v>
      </c>
      <c r="G6532" t="s">
        <v>36</v>
      </c>
      <c r="H6532" t="s">
        <v>43</v>
      </c>
      <c r="I6532" s="187">
        <v>2428.4165400000002</v>
      </c>
      <c r="J6532" s="187">
        <v>194</v>
      </c>
      <c r="K6532" s="187">
        <v>605.78243999999995</v>
      </c>
      <c r="L6532" s="187">
        <v>2286</v>
      </c>
      <c r="M6532" s="187">
        <v>5514.19921875</v>
      </c>
      <c r="N6532" s="187">
        <v>4714.41650390625</v>
      </c>
      <c r="O6532" t="s">
        <v>8973</v>
      </c>
    </row>
    <row r="6533" spans="1:15" hidden="1" x14ac:dyDescent="0.45">
      <c r="A6533" s="187">
        <v>2023</v>
      </c>
      <c r="B6533" t="s">
        <v>313</v>
      </c>
      <c r="C6533" t="s">
        <v>328</v>
      </c>
      <c r="D6533" t="s">
        <v>39</v>
      </c>
      <c r="E6533" t="s">
        <v>363</v>
      </c>
      <c r="F6533" t="s">
        <v>363</v>
      </c>
      <c r="G6533" t="s">
        <v>36</v>
      </c>
      <c r="H6533" t="s">
        <v>43</v>
      </c>
      <c r="I6533" s="187">
        <v>3333.0749996812901</v>
      </c>
      <c r="J6533" s="187">
        <v>57.053584994770468</v>
      </c>
      <c r="K6533" s="187">
        <v>436.84984111277902</v>
      </c>
      <c r="L6533" s="187">
        <v>2350.6077017845432</v>
      </c>
      <c r="M6533" s="187">
        <v>6177.5859375</v>
      </c>
      <c r="N6533" s="187">
        <v>5683.6826171875</v>
      </c>
      <c r="O6533" t="s">
        <v>6585</v>
      </c>
    </row>
    <row r="6534" spans="1:15" hidden="1" x14ac:dyDescent="0.45">
      <c r="A6534" s="187">
        <v>2023</v>
      </c>
      <c r="B6534" t="s">
        <v>309</v>
      </c>
      <c r="C6534" t="s">
        <v>328</v>
      </c>
      <c r="D6534" t="s">
        <v>39</v>
      </c>
      <c r="E6534" t="s">
        <v>363</v>
      </c>
      <c r="F6534" t="s">
        <v>363</v>
      </c>
      <c r="G6534" t="s">
        <v>36</v>
      </c>
      <c r="H6534" t="s">
        <v>43</v>
      </c>
      <c r="I6534" s="187"/>
      <c r="J6534" s="187">
        <v>11.911026762441155</v>
      </c>
      <c r="K6534" s="187">
        <v>425.68538028966827</v>
      </c>
      <c r="L6534" s="187">
        <v>4781.0861424438799</v>
      </c>
      <c r="M6534" s="187">
        <v>5218.6826171875</v>
      </c>
      <c r="N6534" s="187">
        <v>4781.0859375</v>
      </c>
      <c r="O6534" t="s">
        <v>6590</v>
      </c>
    </row>
    <row r="6535" spans="1:15" hidden="1" x14ac:dyDescent="0.45">
      <c r="A6535" s="187">
        <v>2023</v>
      </c>
      <c r="B6535" t="s">
        <v>314</v>
      </c>
      <c r="C6535" t="s">
        <v>328</v>
      </c>
      <c r="D6535" t="s">
        <v>39</v>
      </c>
      <c r="E6535" t="s">
        <v>363</v>
      </c>
      <c r="F6535" t="s">
        <v>363</v>
      </c>
      <c r="G6535" t="s">
        <v>36</v>
      </c>
      <c r="H6535" t="s">
        <v>43</v>
      </c>
      <c r="I6535" s="187">
        <v>3364.390792875141</v>
      </c>
      <c r="J6535" s="187">
        <v>55.481378510473967</v>
      </c>
      <c r="K6535" s="187">
        <v>458.49737436961516</v>
      </c>
      <c r="L6535" s="187">
        <v>2335.7660352909538</v>
      </c>
      <c r="M6535" s="187">
        <v>6214.1357421875</v>
      </c>
      <c r="N6535" s="187">
        <v>5700.15673828125</v>
      </c>
      <c r="O6535" t="s">
        <v>6593</v>
      </c>
    </row>
    <row r="6536" spans="1:15" hidden="1" x14ac:dyDescent="0.45">
      <c r="A6536" s="187">
        <v>2023</v>
      </c>
      <c r="B6536" t="s">
        <v>310</v>
      </c>
      <c r="C6536" t="s">
        <v>328</v>
      </c>
      <c r="D6536" t="s">
        <v>39</v>
      </c>
      <c r="E6536" t="s">
        <v>363</v>
      </c>
      <c r="F6536" t="s">
        <v>363</v>
      </c>
      <c r="G6536" t="s">
        <v>36</v>
      </c>
      <c r="H6536" t="s">
        <v>43</v>
      </c>
      <c r="I6536" s="187"/>
      <c r="J6536" s="187">
        <v>46.757756303172087</v>
      </c>
      <c r="K6536" s="187">
        <v>426.4098829115527</v>
      </c>
      <c r="L6536" s="187">
        <v>4450.1694561544027</v>
      </c>
      <c r="M6536" s="187">
        <v>4923.3369140625</v>
      </c>
      <c r="N6536" s="187">
        <v>4450.16943359375</v>
      </c>
      <c r="O6536" t="s">
        <v>6592</v>
      </c>
    </row>
    <row r="6537" spans="1:15" hidden="1" x14ac:dyDescent="0.45">
      <c r="A6537" s="187">
        <v>2023</v>
      </c>
      <c r="B6537" t="s">
        <v>316</v>
      </c>
      <c r="C6537" t="s">
        <v>328</v>
      </c>
      <c r="D6537" t="s">
        <v>39</v>
      </c>
      <c r="E6537" t="s">
        <v>363</v>
      </c>
      <c r="F6537" t="s">
        <v>363</v>
      </c>
      <c r="G6537" t="s">
        <v>36</v>
      </c>
      <c r="H6537" t="s">
        <v>43</v>
      </c>
      <c r="I6537" s="187">
        <v>3267.7910343034573</v>
      </c>
      <c r="J6537" s="187">
        <v>47.592649759384308</v>
      </c>
      <c r="K6537" s="187">
        <v>655.89590687536645</v>
      </c>
      <c r="L6537" s="187">
        <v>2363.7682713827539</v>
      </c>
      <c r="M6537" s="187">
        <v>6335.0478515625</v>
      </c>
      <c r="N6537" s="187">
        <v>5631.55908203125</v>
      </c>
      <c r="O6537" t="s">
        <v>6586</v>
      </c>
    </row>
    <row r="6538" spans="1:15" hidden="1" x14ac:dyDescent="0.45">
      <c r="A6538" s="187">
        <v>2023</v>
      </c>
      <c r="B6538" t="s">
        <v>317</v>
      </c>
      <c r="C6538" t="s">
        <v>328</v>
      </c>
      <c r="D6538" t="s">
        <v>39</v>
      </c>
      <c r="E6538" t="s">
        <v>363</v>
      </c>
      <c r="F6538" t="s">
        <v>363</v>
      </c>
      <c r="G6538" t="s">
        <v>37</v>
      </c>
      <c r="H6538" t="s">
        <v>43</v>
      </c>
      <c r="I6538" s="187">
        <v>3215</v>
      </c>
      <c r="J6538" s="187">
        <v>45</v>
      </c>
      <c r="K6538" s="187">
        <v>619.53256957464498</v>
      </c>
      <c r="L6538" s="187">
        <v>2290</v>
      </c>
      <c r="M6538" s="187">
        <v>6169.5322265625</v>
      </c>
      <c r="N6538" s="187">
        <v>5505</v>
      </c>
      <c r="O6538" t="s">
        <v>6596</v>
      </c>
    </row>
    <row r="6539" spans="1:15" hidden="1" x14ac:dyDescent="0.45">
      <c r="A6539" s="187">
        <v>2023</v>
      </c>
      <c r="B6539" t="s">
        <v>310</v>
      </c>
      <c r="C6539" t="s">
        <v>328</v>
      </c>
      <c r="D6539" t="s">
        <v>39</v>
      </c>
      <c r="E6539" t="s">
        <v>363</v>
      </c>
      <c r="F6539" t="s">
        <v>363</v>
      </c>
      <c r="G6539" t="s">
        <v>37</v>
      </c>
      <c r="H6539" t="s">
        <v>43</v>
      </c>
      <c r="I6539" s="187"/>
      <c r="J6539" s="187">
        <v>48</v>
      </c>
      <c r="K6539" s="187">
        <v>437.69263325335072</v>
      </c>
      <c r="L6539" s="187">
        <v>4803</v>
      </c>
      <c r="M6539" s="187">
        <v>5288.6923828125</v>
      </c>
      <c r="N6539" s="187">
        <v>4803</v>
      </c>
      <c r="O6539" t="s">
        <v>6600</v>
      </c>
    </row>
    <row r="6540" spans="1:15" hidden="1" x14ac:dyDescent="0.45">
      <c r="A6540" s="187">
        <v>2023</v>
      </c>
      <c r="B6540" t="s">
        <v>316</v>
      </c>
      <c r="C6540" t="s">
        <v>328</v>
      </c>
      <c r="D6540" t="s">
        <v>39</v>
      </c>
      <c r="E6540" t="s">
        <v>363</v>
      </c>
      <c r="F6540" t="s">
        <v>363</v>
      </c>
      <c r="G6540" t="s">
        <v>37</v>
      </c>
      <c r="H6540" t="s">
        <v>43</v>
      </c>
      <c r="I6540" s="187">
        <v>3279.21579046333</v>
      </c>
      <c r="J6540" s="187">
        <v>45</v>
      </c>
      <c r="K6540" s="187">
        <v>646.36336440209391</v>
      </c>
      <c r="L6540" s="187">
        <v>2390</v>
      </c>
      <c r="M6540" s="187">
        <v>6360.5791015625</v>
      </c>
      <c r="N6540" s="187">
        <v>5669.2158203125</v>
      </c>
      <c r="O6540" t="s">
        <v>6597</v>
      </c>
    </row>
    <row r="6541" spans="1:15" hidden="1" x14ac:dyDescent="0.45">
      <c r="A6541" s="187">
        <v>2023</v>
      </c>
      <c r="B6541" t="s">
        <v>312</v>
      </c>
      <c r="C6541" t="s">
        <v>328</v>
      </c>
      <c r="D6541" t="s">
        <v>39</v>
      </c>
      <c r="E6541" t="s">
        <v>363</v>
      </c>
      <c r="F6541" t="s">
        <v>363</v>
      </c>
      <c r="G6541" t="s">
        <v>37</v>
      </c>
      <c r="H6541" t="s">
        <v>43</v>
      </c>
      <c r="I6541" s="187">
        <v>2564.4576654398038</v>
      </c>
      <c r="J6541" s="187">
        <v>69</v>
      </c>
      <c r="K6541" s="187">
        <v>481.81757545323649</v>
      </c>
      <c r="L6541" s="187">
        <v>2249</v>
      </c>
      <c r="M6541" s="187">
        <v>5364.275390625</v>
      </c>
      <c r="N6541" s="187">
        <v>4813.4580078125</v>
      </c>
      <c r="O6541" t="s">
        <v>6601</v>
      </c>
    </row>
    <row r="6542" spans="1:15" hidden="1" x14ac:dyDescent="0.45">
      <c r="A6542" s="187">
        <v>2023</v>
      </c>
      <c r="B6542" t="s">
        <v>313</v>
      </c>
      <c r="C6542" t="s">
        <v>328</v>
      </c>
      <c r="D6542" t="s">
        <v>39</v>
      </c>
      <c r="E6542" t="s">
        <v>363</v>
      </c>
      <c r="F6542" t="s">
        <v>363</v>
      </c>
      <c r="G6542" t="s">
        <v>37</v>
      </c>
      <c r="H6542" t="s">
        <v>43</v>
      </c>
      <c r="I6542" s="187">
        <v>3282.7484904356834</v>
      </c>
      <c r="J6542" s="187">
        <v>56</v>
      </c>
      <c r="K6542" s="187">
        <v>429.2135539670852</v>
      </c>
      <c r="L6542" s="187">
        <v>2333</v>
      </c>
      <c r="M6542" s="187">
        <v>6100.9619140625</v>
      </c>
      <c r="N6542" s="187">
        <v>5615.74853515625</v>
      </c>
      <c r="O6542" t="s">
        <v>6595</v>
      </c>
    </row>
    <row r="6543" spans="1:15" hidden="1" x14ac:dyDescent="0.45">
      <c r="A6543" s="187">
        <v>2023</v>
      </c>
      <c r="B6543" t="s">
        <v>315</v>
      </c>
      <c r="C6543" t="s">
        <v>328</v>
      </c>
      <c r="D6543" t="s">
        <v>39</v>
      </c>
      <c r="E6543" t="s">
        <v>363</v>
      </c>
      <c r="F6543" t="s">
        <v>363</v>
      </c>
      <c r="G6543" t="s">
        <v>37</v>
      </c>
      <c r="H6543" t="s">
        <v>43</v>
      </c>
      <c r="I6543" s="187">
        <v>3282.5778571961282</v>
      </c>
      <c r="J6543" s="187">
        <v>37</v>
      </c>
      <c r="K6543" s="187">
        <v>636.88714493615066</v>
      </c>
      <c r="L6543" s="187">
        <v>2402</v>
      </c>
      <c r="M6543" s="187">
        <v>6358.46484375</v>
      </c>
      <c r="N6543" s="187">
        <v>5684.578125</v>
      </c>
      <c r="O6543" t="s">
        <v>6598</v>
      </c>
    </row>
    <row r="6544" spans="1:15" hidden="1" x14ac:dyDescent="0.45">
      <c r="A6544" s="187">
        <v>2023</v>
      </c>
      <c r="B6544" t="s">
        <v>314</v>
      </c>
      <c r="C6544" t="s">
        <v>328</v>
      </c>
      <c r="D6544" t="s">
        <v>39</v>
      </c>
      <c r="E6544" t="s">
        <v>363</v>
      </c>
      <c r="F6544" t="s">
        <v>363</v>
      </c>
      <c r="G6544" t="s">
        <v>37</v>
      </c>
      <c r="H6544" t="s">
        <v>43</v>
      </c>
      <c r="I6544" s="187">
        <v>3349.21418769721</v>
      </c>
      <c r="J6544" s="187">
        <v>55</v>
      </c>
      <c r="K6544" s="187">
        <v>457.04672227987987</v>
      </c>
      <c r="L6544" s="187">
        <v>2461</v>
      </c>
      <c r="M6544" s="187">
        <v>6322.2607421875</v>
      </c>
      <c r="N6544" s="187">
        <v>5810.2138671875</v>
      </c>
      <c r="O6544" t="s">
        <v>6602</v>
      </c>
    </row>
    <row r="6545" spans="1:15" hidden="1" x14ac:dyDescent="0.45">
      <c r="A6545" s="187">
        <v>2023</v>
      </c>
      <c r="B6545" t="s">
        <v>8570</v>
      </c>
      <c r="C6545" t="s">
        <v>328</v>
      </c>
      <c r="D6545" t="s">
        <v>39</v>
      </c>
      <c r="E6545" t="s">
        <v>363</v>
      </c>
      <c r="F6545" t="s">
        <v>363</v>
      </c>
      <c r="G6545" t="s">
        <v>37</v>
      </c>
      <c r="H6545" t="s">
        <v>43</v>
      </c>
      <c r="I6545" s="187">
        <v>2476.9848708</v>
      </c>
      <c r="J6545" s="187">
        <v>194</v>
      </c>
      <c r="K6545" s="187">
        <v>619.65900330062141</v>
      </c>
      <c r="L6545" s="187">
        <v>2377</v>
      </c>
      <c r="M6545" s="187">
        <v>5667.6435546875</v>
      </c>
      <c r="N6545" s="187">
        <v>4853.98486328125</v>
      </c>
      <c r="O6545" t="s">
        <v>8974</v>
      </c>
    </row>
    <row r="6546" spans="1:15" hidden="1" x14ac:dyDescent="0.45">
      <c r="A6546" s="187">
        <v>2023</v>
      </c>
      <c r="B6546" t="s">
        <v>311</v>
      </c>
      <c r="C6546" t="s">
        <v>328</v>
      </c>
      <c r="D6546" t="s">
        <v>39</v>
      </c>
      <c r="E6546" t="s">
        <v>363</v>
      </c>
      <c r="F6546" t="s">
        <v>363</v>
      </c>
      <c r="G6546" t="s">
        <v>37</v>
      </c>
      <c r="H6546" t="s">
        <v>43</v>
      </c>
      <c r="I6546" s="187"/>
      <c r="J6546" s="187">
        <v>70</v>
      </c>
      <c r="K6546" s="187">
        <v>448.31374948531862</v>
      </c>
      <c r="L6546" s="187">
        <v>4820</v>
      </c>
      <c r="M6546" s="187">
        <v>5338.3134765625</v>
      </c>
      <c r="N6546" s="187">
        <v>4820</v>
      </c>
      <c r="O6546" t="s">
        <v>6594</v>
      </c>
    </row>
    <row r="6547" spans="1:15" hidden="1" x14ac:dyDescent="0.45">
      <c r="A6547" s="187">
        <v>2023</v>
      </c>
      <c r="B6547" t="s">
        <v>309</v>
      </c>
      <c r="C6547" t="s">
        <v>328</v>
      </c>
      <c r="D6547" t="s">
        <v>39</v>
      </c>
      <c r="E6547" t="s">
        <v>363</v>
      </c>
      <c r="F6547" t="s">
        <v>363</v>
      </c>
      <c r="G6547" t="s">
        <v>37</v>
      </c>
      <c r="H6547" t="s">
        <v>43</v>
      </c>
      <c r="I6547" s="187"/>
      <c r="J6547" s="187">
        <v>12.032999999999999</v>
      </c>
      <c r="K6547" s="187">
        <v>445.90785753505708</v>
      </c>
      <c r="L6547" s="187">
        <v>5269</v>
      </c>
      <c r="M6547" s="187">
        <v>5726.94091796875</v>
      </c>
      <c r="N6547" s="187">
        <v>5269</v>
      </c>
      <c r="O6547" t="s">
        <v>6599</v>
      </c>
    </row>
    <row r="6548" spans="1:15" hidden="1" x14ac:dyDescent="0.45">
      <c r="A6548" s="187">
        <v>2023</v>
      </c>
      <c r="B6548" t="s">
        <v>315</v>
      </c>
      <c r="C6548" t="s">
        <v>328</v>
      </c>
      <c r="D6548" t="s">
        <v>39</v>
      </c>
      <c r="E6548" t="s">
        <v>364</v>
      </c>
      <c r="F6548" t="s">
        <v>364</v>
      </c>
      <c r="G6548" t="s">
        <v>36</v>
      </c>
      <c r="H6548" t="s">
        <v>43</v>
      </c>
      <c r="I6548" s="187">
        <v>1746.603336596427</v>
      </c>
      <c r="J6548" s="187">
        <v>739.90308322112094</v>
      </c>
      <c r="K6548" s="187">
        <v>5173.7602184083489</v>
      </c>
      <c r="L6548" s="187">
        <v>2544.8345460860742</v>
      </c>
      <c r="M6548" s="187">
        <v>10205.1015625</v>
      </c>
      <c r="N6548" s="187">
        <v>4291.43798828125</v>
      </c>
      <c r="O6548" t="s">
        <v>6603</v>
      </c>
    </row>
    <row r="6549" spans="1:15" hidden="1" x14ac:dyDescent="0.45">
      <c r="A6549" s="187">
        <v>2023</v>
      </c>
      <c r="B6549" t="s">
        <v>312</v>
      </c>
      <c r="C6549" t="s">
        <v>328</v>
      </c>
      <c r="D6549" t="s">
        <v>39</v>
      </c>
      <c r="E6549" t="s">
        <v>364</v>
      </c>
      <c r="F6549" t="s">
        <v>364</v>
      </c>
      <c r="G6549" t="s">
        <v>36</v>
      </c>
      <c r="H6549" t="s">
        <v>43</v>
      </c>
      <c r="I6549" s="187">
        <v>1433.4587681841222</v>
      </c>
      <c r="J6549" s="187">
        <v>788.63708510341928</v>
      </c>
      <c r="K6549" s="187">
        <v>4797.0135257221182</v>
      </c>
      <c r="L6549" s="187">
        <v>3503.6362266138672</v>
      </c>
      <c r="M6549" s="187">
        <v>10522.7451171875</v>
      </c>
      <c r="N6549" s="187">
        <v>4937.0947265625</v>
      </c>
      <c r="O6549" t="s">
        <v>6606</v>
      </c>
    </row>
    <row r="6550" spans="1:15" hidden="1" x14ac:dyDescent="0.45">
      <c r="A6550" s="187">
        <v>2023</v>
      </c>
      <c r="B6550" t="s">
        <v>316</v>
      </c>
      <c r="C6550" t="s">
        <v>328</v>
      </c>
      <c r="D6550" t="s">
        <v>39</v>
      </c>
      <c r="E6550" t="s">
        <v>364</v>
      </c>
      <c r="F6550" t="s">
        <v>364</v>
      </c>
      <c r="G6550" t="s">
        <v>36</v>
      </c>
      <c r="H6550" t="s">
        <v>43</v>
      </c>
      <c r="I6550" s="187">
        <v>3033.8246373856173</v>
      </c>
      <c r="J6550" s="187">
        <v>920.12456201476334</v>
      </c>
      <c r="K6550" s="187">
        <v>5125.8675861070988</v>
      </c>
      <c r="L6550" s="187">
        <v>3062.8514156261544</v>
      </c>
      <c r="M6550" s="187">
        <v>12142.66796875</v>
      </c>
      <c r="N6550" s="187">
        <v>6096.67626953125</v>
      </c>
      <c r="O6550" t="s">
        <v>6609</v>
      </c>
    </row>
    <row r="6551" spans="1:15" hidden="1" x14ac:dyDescent="0.45">
      <c r="A6551" s="187">
        <v>2023</v>
      </c>
      <c r="B6551" t="s">
        <v>311</v>
      </c>
      <c r="C6551" t="s">
        <v>328</v>
      </c>
      <c r="D6551" t="s">
        <v>39</v>
      </c>
      <c r="E6551" t="s">
        <v>364</v>
      </c>
      <c r="F6551" t="s">
        <v>364</v>
      </c>
      <c r="G6551" t="s">
        <v>36</v>
      </c>
      <c r="H6551" t="s">
        <v>43</v>
      </c>
      <c r="I6551" s="187"/>
      <c r="J6551" s="187">
        <v>792.24333789621517</v>
      </c>
      <c r="K6551" s="187">
        <v>4486.5502095307502</v>
      </c>
      <c r="L6551" s="187">
        <v>11628.501111091358</v>
      </c>
      <c r="M6551" s="187">
        <v>16907.294921875</v>
      </c>
      <c r="N6551" s="187">
        <v>11628.5009765625</v>
      </c>
      <c r="O6551" t="s">
        <v>6607</v>
      </c>
    </row>
    <row r="6552" spans="1:15" hidden="1" x14ac:dyDescent="0.45">
      <c r="A6552" s="187">
        <v>2023</v>
      </c>
      <c r="B6552" t="s">
        <v>309</v>
      </c>
      <c r="C6552" t="s">
        <v>328</v>
      </c>
      <c r="D6552" t="s">
        <v>39</v>
      </c>
      <c r="E6552" t="s">
        <v>364</v>
      </c>
      <c r="F6552" t="s">
        <v>364</v>
      </c>
      <c r="G6552" t="s">
        <v>36</v>
      </c>
      <c r="H6552" t="s">
        <v>43</v>
      </c>
      <c r="I6552" s="187"/>
      <c r="J6552" s="187">
        <v>23.82205352488231</v>
      </c>
      <c r="K6552" s="187">
        <v>5190.888044676165</v>
      </c>
      <c r="L6552" s="187">
        <v>5118.1681998209642</v>
      </c>
      <c r="M6552" s="187">
        <v>10332.8779296875</v>
      </c>
      <c r="N6552" s="187">
        <v>5118.16796875</v>
      </c>
      <c r="O6552" t="s">
        <v>6610</v>
      </c>
    </row>
    <row r="6553" spans="1:15" hidden="1" x14ac:dyDescent="0.45">
      <c r="A6553" s="187">
        <v>2023</v>
      </c>
      <c r="B6553" t="s">
        <v>8570</v>
      </c>
      <c r="C6553" t="s">
        <v>328</v>
      </c>
      <c r="D6553" t="s">
        <v>39</v>
      </c>
      <c r="E6553" t="s">
        <v>364</v>
      </c>
      <c r="F6553" t="s">
        <v>364</v>
      </c>
      <c r="G6553" t="s">
        <v>36</v>
      </c>
      <c r="H6553" t="s">
        <v>43</v>
      </c>
      <c r="I6553" s="187">
        <v>2511.6860999999999</v>
      </c>
      <c r="J6553" s="187">
        <v>1117</v>
      </c>
      <c r="K6553" s="187">
        <v>4999.1085113603749</v>
      </c>
      <c r="L6553" s="187">
        <v>3616</v>
      </c>
      <c r="M6553" s="187">
        <v>12243.794921875</v>
      </c>
      <c r="N6553" s="187">
        <v>6127.68603515625</v>
      </c>
      <c r="O6553" t="s">
        <v>8975</v>
      </c>
    </row>
    <row r="6554" spans="1:15" hidden="1" x14ac:dyDescent="0.45">
      <c r="A6554" s="187">
        <v>2023</v>
      </c>
      <c r="B6554" t="s">
        <v>313</v>
      </c>
      <c r="C6554" t="s">
        <v>328</v>
      </c>
      <c r="D6554" t="s">
        <v>39</v>
      </c>
      <c r="E6554" t="s">
        <v>364</v>
      </c>
      <c r="F6554" t="s">
        <v>364</v>
      </c>
      <c r="G6554" t="s">
        <v>36</v>
      </c>
      <c r="H6554" t="s">
        <v>43</v>
      </c>
      <c r="I6554" s="187">
        <v>1777.2374297342985</v>
      </c>
      <c r="J6554" s="187">
        <v>775.92875592887833</v>
      </c>
      <c r="K6554" s="187">
        <v>5068.3122324224114</v>
      </c>
      <c r="L6554" s="187">
        <v>2959.939989528692</v>
      </c>
      <c r="M6554" s="187">
        <v>10581.4189453125</v>
      </c>
      <c r="N6554" s="187">
        <v>4737.17724609375</v>
      </c>
      <c r="O6554" t="s">
        <v>6604</v>
      </c>
    </row>
    <row r="6555" spans="1:15" hidden="1" x14ac:dyDescent="0.45">
      <c r="A6555" s="187">
        <v>2023</v>
      </c>
      <c r="B6555" t="s">
        <v>310</v>
      </c>
      <c r="C6555" t="s">
        <v>328</v>
      </c>
      <c r="D6555" t="s">
        <v>39</v>
      </c>
      <c r="E6555" t="s">
        <v>364</v>
      </c>
      <c r="F6555" t="s">
        <v>364</v>
      </c>
      <c r="G6555" t="s">
        <v>36</v>
      </c>
      <c r="H6555" t="s">
        <v>43</v>
      </c>
      <c r="I6555" s="187"/>
      <c r="J6555" s="187">
        <v>771.50297900233943</v>
      </c>
      <c r="K6555" s="187">
        <v>4175.9798574041288</v>
      </c>
      <c r="L6555" s="187">
        <v>4609.1458275851883</v>
      </c>
      <c r="M6555" s="187">
        <v>9556.62890625</v>
      </c>
      <c r="N6555" s="187">
        <v>4609.14599609375</v>
      </c>
      <c r="O6555" t="s">
        <v>6611</v>
      </c>
    </row>
    <row r="6556" spans="1:15" hidden="1" x14ac:dyDescent="0.45">
      <c r="A6556" s="187">
        <v>2023</v>
      </c>
      <c r="B6556" t="s">
        <v>314</v>
      </c>
      <c r="C6556" t="s">
        <v>328</v>
      </c>
      <c r="D6556" t="s">
        <v>39</v>
      </c>
      <c r="E6556" t="s">
        <v>364</v>
      </c>
      <c r="F6556" t="s">
        <v>364</v>
      </c>
      <c r="G6556" t="s">
        <v>36</v>
      </c>
      <c r="H6556" t="s">
        <v>43</v>
      </c>
      <c r="I6556" s="187">
        <v>1794.267781028728</v>
      </c>
      <c r="J6556" s="187">
        <v>765.64302344454075</v>
      </c>
      <c r="K6556" s="187">
        <v>5167.2031003096863</v>
      </c>
      <c r="L6556" s="187">
        <v>2700.8335058898724</v>
      </c>
      <c r="M6556" s="187">
        <v>10427.947265625</v>
      </c>
      <c r="N6556" s="187">
        <v>4495.1015625</v>
      </c>
      <c r="O6556" t="s">
        <v>6608</v>
      </c>
    </row>
    <row r="6557" spans="1:15" hidden="1" x14ac:dyDescent="0.45">
      <c r="A6557" s="187">
        <v>2023</v>
      </c>
      <c r="B6557" t="s">
        <v>317</v>
      </c>
      <c r="C6557" t="s">
        <v>328</v>
      </c>
      <c r="D6557" t="s">
        <v>39</v>
      </c>
      <c r="E6557" t="s">
        <v>364</v>
      </c>
      <c r="F6557" t="s">
        <v>364</v>
      </c>
      <c r="G6557" t="s">
        <v>36</v>
      </c>
      <c r="H6557" t="s">
        <v>43</v>
      </c>
      <c r="I6557" s="187">
        <v>3563.3112454066554</v>
      </c>
      <c r="J6557" s="187">
        <v>909.38127999524511</v>
      </c>
      <c r="K6557" s="187">
        <v>5170.1359673945335</v>
      </c>
      <c r="L6557" s="187">
        <v>3822.5371734972541</v>
      </c>
      <c r="M6557" s="187">
        <v>13465.365234375</v>
      </c>
      <c r="N6557" s="187">
        <v>7385.8486328125</v>
      </c>
      <c r="O6557" t="s">
        <v>6605</v>
      </c>
    </row>
    <row r="6558" spans="1:15" hidden="1" x14ac:dyDescent="0.45">
      <c r="A6558" s="187">
        <v>2023</v>
      </c>
      <c r="B6558" t="s">
        <v>313</v>
      </c>
      <c r="C6558" t="s">
        <v>328</v>
      </c>
      <c r="D6558" t="s">
        <v>39</v>
      </c>
      <c r="E6558" t="s">
        <v>364</v>
      </c>
      <c r="F6558" t="s">
        <v>364</v>
      </c>
      <c r="G6558" t="s">
        <v>37</v>
      </c>
      <c r="H6558" t="s">
        <v>43</v>
      </c>
      <c r="I6558" s="187">
        <v>1750.4027032586821</v>
      </c>
      <c r="J6558" s="187">
        <v>766</v>
      </c>
      <c r="K6558" s="187">
        <v>4979.7163719953551</v>
      </c>
      <c r="L6558" s="187">
        <v>2937</v>
      </c>
      <c r="M6558" s="187">
        <v>10433.119140625</v>
      </c>
      <c r="N6558" s="187">
        <v>4687.40283203125</v>
      </c>
      <c r="O6558" t="s">
        <v>6613</v>
      </c>
    </row>
    <row r="6559" spans="1:15" hidden="1" x14ac:dyDescent="0.45">
      <c r="A6559" s="187">
        <v>2023</v>
      </c>
      <c r="B6559" t="s">
        <v>315</v>
      </c>
      <c r="C6559" t="s">
        <v>328</v>
      </c>
      <c r="D6559" t="s">
        <v>39</v>
      </c>
      <c r="E6559" t="s">
        <v>364</v>
      </c>
      <c r="F6559" t="s">
        <v>364</v>
      </c>
      <c r="G6559" t="s">
        <v>37</v>
      </c>
      <c r="H6559" t="s">
        <v>43</v>
      </c>
      <c r="I6559" s="187">
        <v>1750.6360142104679</v>
      </c>
      <c r="J6559" s="187">
        <v>727</v>
      </c>
      <c r="K6559" s="187">
        <v>5171.7821035951129</v>
      </c>
      <c r="L6559" s="187">
        <v>2592</v>
      </c>
      <c r="M6559" s="187">
        <v>10241.41796875</v>
      </c>
      <c r="N6559" s="187">
        <v>4342.6357421875</v>
      </c>
      <c r="O6559" t="s">
        <v>6616</v>
      </c>
    </row>
    <row r="6560" spans="1:15" hidden="1" x14ac:dyDescent="0.45">
      <c r="A6560" s="187">
        <v>2023</v>
      </c>
      <c r="B6560" t="s">
        <v>309</v>
      </c>
      <c r="C6560" t="s">
        <v>328</v>
      </c>
      <c r="D6560" t="s">
        <v>39</v>
      </c>
      <c r="E6560" t="s">
        <v>364</v>
      </c>
      <c r="F6560" t="s">
        <v>364</v>
      </c>
      <c r="G6560" t="s">
        <v>37</v>
      </c>
      <c r="H6560" t="s">
        <v>43</v>
      </c>
      <c r="I6560" s="187"/>
      <c r="J6560" s="187">
        <v>24.065999999999999</v>
      </c>
      <c r="K6560" s="187">
        <v>5437.4847572421304</v>
      </c>
      <c r="L6560" s="187">
        <v>5640</v>
      </c>
      <c r="M6560" s="187">
        <v>11101.55078125</v>
      </c>
      <c r="N6560" s="187">
        <v>5640</v>
      </c>
      <c r="O6560" t="s">
        <v>6612</v>
      </c>
    </row>
    <row r="6561" spans="1:15" hidden="1" x14ac:dyDescent="0.45">
      <c r="A6561" s="187">
        <v>2023</v>
      </c>
      <c r="B6561" t="s">
        <v>312</v>
      </c>
      <c r="C6561" t="s">
        <v>328</v>
      </c>
      <c r="D6561" t="s">
        <v>39</v>
      </c>
      <c r="E6561" t="s">
        <v>364</v>
      </c>
      <c r="F6561" t="s">
        <v>364</v>
      </c>
      <c r="G6561" t="s">
        <v>37</v>
      </c>
      <c r="H6561" t="s">
        <v>43</v>
      </c>
      <c r="I6561" s="187">
        <v>1396.009722470091</v>
      </c>
      <c r="J6561" s="187">
        <v>781</v>
      </c>
      <c r="K6561" s="187">
        <v>4736.5535426258411</v>
      </c>
      <c r="L6561" s="187">
        <v>3472</v>
      </c>
      <c r="M6561" s="187">
        <v>10385.5634765625</v>
      </c>
      <c r="N6561" s="187">
        <v>4868.009765625</v>
      </c>
      <c r="O6561" t="s">
        <v>6620</v>
      </c>
    </row>
    <row r="6562" spans="1:15" hidden="1" x14ac:dyDescent="0.45">
      <c r="A6562" s="187">
        <v>2023</v>
      </c>
      <c r="B6562" t="s">
        <v>8570</v>
      </c>
      <c r="C6562" t="s">
        <v>328</v>
      </c>
      <c r="D6562" t="s">
        <v>39</v>
      </c>
      <c r="E6562" t="s">
        <v>364</v>
      </c>
      <c r="F6562" t="s">
        <v>364</v>
      </c>
      <c r="G6562" t="s">
        <v>37</v>
      </c>
      <c r="H6562" t="s">
        <v>43</v>
      </c>
      <c r="I6562" s="187">
        <v>2561.9198219999998</v>
      </c>
      <c r="J6562" s="187">
        <v>1117</v>
      </c>
      <c r="K6562" s="187">
        <v>5113.6223056271228</v>
      </c>
      <c r="L6562" s="187">
        <v>3760</v>
      </c>
      <c r="M6562" s="187">
        <v>12552.5419921875</v>
      </c>
      <c r="N6562" s="187">
        <v>6321.919921875</v>
      </c>
      <c r="O6562" t="s">
        <v>8976</v>
      </c>
    </row>
    <row r="6563" spans="1:15" hidden="1" x14ac:dyDescent="0.45">
      <c r="A6563" s="187">
        <v>2023</v>
      </c>
      <c r="B6563" t="s">
        <v>316</v>
      </c>
      <c r="C6563" t="s">
        <v>328</v>
      </c>
      <c r="D6563" t="s">
        <v>39</v>
      </c>
      <c r="E6563" t="s">
        <v>364</v>
      </c>
      <c r="F6563" t="s">
        <v>364</v>
      </c>
      <c r="G6563" t="s">
        <v>37</v>
      </c>
      <c r="H6563" t="s">
        <v>43</v>
      </c>
      <c r="I6563" s="187">
        <v>3044.4314070199398</v>
      </c>
      <c r="J6563" s="187">
        <v>870</v>
      </c>
      <c r="K6563" s="187">
        <v>5051.3701697263296</v>
      </c>
      <c r="L6563" s="187">
        <v>3096</v>
      </c>
      <c r="M6563" s="187">
        <v>12061.8017578125</v>
      </c>
      <c r="N6563" s="187">
        <v>6140.431640625</v>
      </c>
      <c r="O6563" t="s">
        <v>6619</v>
      </c>
    </row>
    <row r="6564" spans="1:15" hidden="1" x14ac:dyDescent="0.45">
      <c r="A6564" s="187">
        <v>2023</v>
      </c>
      <c r="B6564" t="s">
        <v>310</v>
      </c>
      <c r="C6564" t="s">
        <v>328</v>
      </c>
      <c r="D6564" t="s">
        <v>39</v>
      </c>
      <c r="E6564" t="s">
        <v>364</v>
      </c>
      <c r="F6564" t="s">
        <v>364</v>
      </c>
      <c r="G6564" t="s">
        <v>37</v>
      </c>
      <c r="H6564" t="s">
        <v>43</v>
      </c>
      <c r="I6564" s="187"/>
      <c r="J6564" s="187">
        <v>791</v>
      </c>
      <c r="K6564" s="187">
        <v>4286.4757442296259</v>
      </c>
      <c r="L6564" s="187">
        <v>4974</v>
      </c>
      <c r="M6564" s="187">
        <v>10051.4755859375</v>
      </c>
      <c r="N6564" s="187">
        <v>4974</v>
      </c>
      <c r="O6564" t="s">
        <v>6615</v>
      </c>
    </row>
    <row r="6565" spans="1:15" hidden="1" x14ac:dyDescent="0.45">
      <c r="A6565" s="187">
        <v>2023</v>
      </c>
      <c r="B6565" t="s">
        <v>311</v>
      </c>
      <c r="C6565" t="s">
        <v>328</v>
      </c>
      <c r="D6565" t="s">
        <v>39</v>
      </c>
      <c r="E6565" t="s">
        <v>364</v>
      </c>
      <c r="F6565" t="s">
        <v>364</v>
      </c>
      <c r="G6565" t="s">
        <v>37</v>
      </c>
      <c r="H6565" t="s">
        <v>43</v>
      </c>
      <c r="I6565" s="187"/>
      <c r="J6565" s="187">
        <v>798</v>
      </c>
      <c r="K6565" s="187">
        <v>4479.0152116124582</v>
      </c>
      <c r="L6565" s="187">
        <v>12298</v>
      </c>
      <c r="M6565" s="187">
        <v>17575.015625</v>
      </c>
      <c r="N6565" s="187">
        <v>12298</v>
      </c>
      <c r="O6565" t="s">
        <v>6618</v>
      </c>
    </row>
    <row r="6566" spans="1:15" hidden="1" x14ac:dyDescent="0.45">
      <c r="A6566" s="187">
        <v>2023</v>
      </c>
      <c r="B6566" t="s">
        <v>314</v>
      </c>
      <c r="C6566" t="s">
        <v>328</v>
      </c>
      <c r="D6566" t="s">
        <v>39</v>
      </c>
      <c r="E6566" t="s">
        <v>364</v>
      </c>
      <c r="F6566" t="s">
        <v>364</v>
      </c>
      <c r="G6566" t="s">
        <v>37</v>
      </c>
      <c r="H6566" t="s">
        <v>43</v>
      </c>
      <c r="I6566" s="187">
        <v>1786.173925298941</v>
      </c>
      <c r="J6566" s="187">
        <v>762</v>
      </c>
      <c r="K6566" s="187">
        <v>5150.8544483989617</v>
      </c>
      <c r="L6566" s="187">
        <v>2845</v>
      </c>
      <c r="M6566" s="187">
        <v>10544.0283203125</v>
      </c>
      <c r="N6566" s="187">
        <v>4631.173828125</v>
      </c>
      <c r="O6566" t="s">
        <v>6614</v>
      </c>
    </row>
    <row r="6567" spans="1:15" hidden="1" x14ac:dyDescent="0.45">
      <c r="A6567" s="187">
        <v>2023</v>
      </c>
      <c r="B6567" t="s">
        <v>317</v>
      </c>
      <c r="C6567" t="s">
        <v>328</v>
      </c>
      <c r="D6567" t="s">
        <v>39</v>
      </c>
      <c r="E6567" t="s">
        <v>364</v>
      </c>
      <c r="F6567" t="s">
        <v>364</v>
      </c>
      <c r="G6567" t="s">
        <v>37</v>
      </c>
      <c r="H6567" t="s">
        <v>43</v>
      </c>
      <c r="I6567" s="187">
        <v>3546.260080992</v>
      </c>
      <c r="J6567" s="187">
        <v>870</v>
      </c>
      <c r="K6567" s="187">
        <v>5117.7974416680963</v>
      </c>
      <c r="L6567" s="187">
        <v>3794</v>
      </c>
      <c r="M6567" s="187">
        <v>13328.0576171875</v>
      </c>
      <c r="N6567" s="187">
        <v>7340.259765625</v>
      </c>
      <c r="O6567" t="s">
        <v>6617</v>
      </c>
    </row>
    <row r="6568" spans="1:15" hidden="1" x14ac:dyDescent="0.45">
      <c r="A6568" s="187">
        <v>2023</v>
      </c>
      <c r="B6568" t="s">
        <v>315</v>
      </c>
      <c r="C6568" t="s">
        <v>328</v>
      </c>
      <c r="D6568" t="s">
        <v>39</v>
      </c>
      <c r="E6568" t="s">
        <v>365</v>
      </c>
      <c r="F6568" t="s">
        <v>375</v>
      </c>
      <c r="G6568" t="s">
        <v>36</v>
      </c>
      <c r="H6568" t="s">
        <v>43</v>
      </c>
      <c r="I6568" s="187">
        <v>8996.5734016769584</v>
      </c>
      <c r="J6568" s="187">
        <v>1982.0761426434406</v>
      </c>
      <c r="K6568" s="187">
        <v>17930.978756617638</v>
      </c>
      <c r="L6568" s="187">
        <v>12893.756356803679</v>
      </c>
      <c r="M6568" s="187">
        <v>41803.38671875</v>
      </c>
      <c r="N6568" s="187">
        <v>21890.330078125</v>
      </c>
      <c r="O6568" t="s">
        <v>6628</v>
      </c>
    </row>
    <row r="6569" spans="1:15" hidden="1" x14ac:dyDescent="0.45">
      <c r="A6569" s="187">
        <v>2023</v>
      </c>
      <c r="B6569" t="s">
        <v>312</v>
      </c>
      <c r="C6569" t="s">
        <v>328</v>
      </c>
      <c r="D6569" t="s">
        <v>39</v>
      </c>
      <c r="E6569" t="s">
        <v>365</v>
      </c>
      <c r="F6569" t="s">
        <v>375</v>
      </c>
      <c r="G6569" t="s">
        <v>36</v>
      </c>
      <c r="H6569" t="s">
        <v>43</v>
      </c>
      <c r="I6569" s="187">
        <v>8113.6494216185201</v>
      </c>
      <c r="J6569" s="187">
        <v>1844.0190666388776</v>
      </c>
      <c r="K6569" s="187">
        <v>19001.134669238119</v>
      </c>
      <c r="L6569" s="187">
        <v>13665.457020255279</v>
      </c>
      <c r="M6569" s="187">
        <v>42624.2578125</v>
      </c>
      <c r="N6569" s="187">
        <v>21779.10546875</v>
      </c>
      <c r="O6569" t="s">
        <v>6623</v>
      </c>
    </row>
    <row r="6570" spans="1:15" hidden="1" x14ac:dyDescent="0.45">
      <c r="A6570" s="187">
        <v>2023</v>
      </c>
      <c r="B6570" t="s">
        <v>309</v>
      </c>
      <c r="C6570" t="s">
        <v>328</v>
      </c>
      <c r="D6570" t="s">
        <v>39</v>
      </c>
      <c r="E6570" t="s">
        <v>365</v>
      </c>
      <c r="F6570" t="s">
        <v>375</v>
      </c>
      <c r="G6570" t="s">
        <v>36</v>
      </c>
      <c r="H6570" t="s">
        <v>43</v>
      </c>
      <c r="I6570" s="187"/>
      <c r="J6570" s="187">
        <v>1681.8369788566911</v>
      </c>
      <c r="K6570" s="187">
        <v>19038.521243666004</v>
      </c>
      <c r="L6570" s="187">
        <v>25726.626704196649</v>
      </c>
      <c r="M6570" s="187">
        <v>46446.984375</v>
      </c>
      <c r="N6570" s="187">
        <v>25726.626953125</v>
      </c>
      <c r="O6570" t="s">
        <v>6621</v>
      </c>
    </row>
    <row r="6571" spans="1:15" hidden="1" x14ac:dyDescent="0.45">
      <c r="A6571" s="187">
        <v>2023</v>
      </c>
      <c r="B6571" t="s">
        <v>313</v>
      </c>
      <c r="C6571" t="s">
        <v>328</v>
      </c>
      <c r="D6571" t="s">
        <v>39</v>
      </c>
      <c r="E6571" t="s">
        <v>365</v>
      </c>
      <c r="F6571" t="s">
        <v>375</v>
      </c>
      <c r="G6571" t="s">
        <v>36</v>
      </c>
      <c r="H6571" t="s">
        <v>43</v>
      </c>
      <c r="I6571" s="187">
        <v>9155.5941770167992</v>
      </c>
      <c r="J6571" s="187">
        <v>1825.714719832655</v>
      </c>
      <c r="K6571" s="187">
        <v>18814.623862145821</v>
      </c>
      <c r="L6571" s="187">
        <v>13440.683553068027</v>
      </c>
      <c r="M6571" s="187">
        <v>43236.61328125</v>
      </c>
      <c r="N6571" s="187">
        <v>22596.27734375</v>
      </c>
      <c r="O6571" t="s">
        <v>6622</v>
      </c>
    </row>
    <row r="6572" spans="1:15" hidden="1" x14ac:dyDescent="0.45">
      <c r="A6572" s="187">
        <v>2023</v>
      </c>
      <c r="B6572" t="s">
        <v>310</v>
      </c>
      <c r="C6572" t="s">
        <v>328</v>
      </c>
      <c r="D6572" t="s">
        <v>39</v>
      </c>
      <c r="E6572" t="s">
        <v>365</v>
      </c>
      <c r="F6572" t="s">
        <v>375</v>
      </c>
      <c r="G6572" t="s">
        <v>36</v>
      </c>
      <c r="H6572" t="s">
        <v>43</v>
      </c>
      <c r="I6572" s="187"/>
      <c r="J6572" s="187">
        <v>1950.9000574788979</v>
      </c>
      <c r="K6572" s="187">
        <v>18028.015693514586</v>
      </c>
      <c r="L6572" s="187">
        <v>23957.505385837798</v>
      </c>
      <c r="M6572" s="187">
        <v>43936.421875</v>
      </c>
      <c r="N6572" s="187">
        <v>23957.505859375</v>
      </c>
      <c r="O6572" t="s">
        <v>6625</v>
      </c>
    </row>
    <row r="6573" spans="1:15" hidden="1" x14ac:dyDescent="0.45">
      <c r="A6573" s="187">
        <v>2023</v>
      </c>
      <c r="B6573" t="s">
        <v>311</v>
      </c>
      <c r="C6573" t="s">
        <v>328</v>
      </c>
      <c r="D6573" t="s">
        <v>39</v>
      </c>
      <c r="E6573" t="s">
        <v>365</v>
      </c>
      <c r="F6573" t="s">
        <v>375</v>
      </c>
      <c r="G6573" t="s">
        <v>36</v>
      </c>
      <c r="H6573" t="s">
        <v>43</v>
      </c>
      <c r="I6573" s="187"/>
      <c r="J6573" s="187">
        <v>1852.4513341985032</v>
      </c>
      <c r="K6573" s="187">
        <v>18349.051273838581</v>
      </c>
      <c r="L6573" s="187">
        <v>21888.052336847344</v>
      </c>
      <c r="M6573" s="187">
        <v>42089.5546875</v>
      </c>
      <c r="N6573" s="187">
        <v>21888.052734375</v>
      </c>
      <c r="O6573" t="s">
        <v>6626</v>
      </c>
    </row>
    <row r="6574" spans="1:15" hidden="1" x14ac:dyDescent="0.45">
      <c r="A6574" s="187">
        <v>2023</v>
      </c>
      <c r="B6574" t="s">
        <v>314</v>
      </c>
      <c r="C6574" t="s">
        <v>328</v>
      </c>
      <c r="D6574" t="s">
        <v>39</v>
      </c>
      <c r="E6574" t="s">
        <v>365</v>
      </c>
      <c r="F6574" t="s">
        <v>375</v>
      </c>
      <c r="G6574" t="s">
        <v>36</v>
      </c>
      <c r="H6574" t="s">
        <v>43</v>
      </c>
      <c r="I6574" s="187">
        <v>9242.0880322747525</v>
      </c>
      <c r="J6574" s="187">
        <v>1836.4336286966882</v>
      </c>
      <c r="K6574" s="187">
        <v>17418.071490253893</v>
      </c>
      <c r="L6574" s="187">
        <v>12958.230764906299</v>
      </c>
      <c r="M6574" s="187">
        <v>41454.82421875</v>
      </c>
      <c r="N6574" s="187">
        <v>22200.318359375</v>
      </c>
      <c r="O6574" t="s">
        <v>6624</v>
      </c>
    </row>
    <row r="6575" spans="1:15" hidden="1" x14ac:dyDescent="0.45">
      <c r="A6575" s="187">
        <v>2023</v>
      </c>
      <c r="B6575" t="s">
        <v>316</v>
      </c>
      <c r="C6575" t="s">
        <v>328</v>
      </c>
      <c r="D6575" t="s">
        <v>39</v>
      </c>
      <c r="E6575" t="s">
        <v>365</v>
      </c>
      <c r="F6575" t="s">
        <v>375</v>
      </c>
      <c r="G6575" t="s">
        <v>36</v>
      </c>
      <c r="H6575" t="s">
        <v>43</v>
      </c>
      <c r="I6575" s="187">
        <v>10525.365794758383</v>
      </c>
      <c r="J6575" s="187">
        <v>2485.3939318789585</v>
      </c>
      <c r="K6575" s="187">
        <v>18185.01501473843</v>
      </c>
      <c r="L6575" s="187">
        <v>13599.864072353841</v>
      </c>
      <c r="M6575" s="187">
        <v>44795.640625</v>
      </c>
      <c r="N6575" s="187">
        <v>24125.23046875</v>
      </c>
      <c r="O6575" t="s">
        <v>6629</v>
      </c>
    </row>
    <row r="6576" spans="1:15" hidden="1" x14ac:dyDescent="0.45">
      <c r="A6576" s="187">
        <v>2023</v>
      </c>
      <c r="B6576" t="s">
        <v>8570</v>
      </c>
      <c r="C6576" t="s">
        <v>328</v>
      </c>
      <c r="D6576" t="s">
        <v>39</v>
      </c>
      <c r="E6576" t="s">
        <v>365</v>
      </c>
      <c r="F6576" t="s">
        <v>375</v>
      </c>
      <c r="G6576" t="s">
        <v>36</v>
      </c>
      <c r="H6576" t="s">
        <v>43</v>
      </c>
      <c r="I6576" s="187">
        <v>10345.30134</v>
      </c>
      <c r="J6576" s="187">
        <v>2778</v>
      </c>
      <c r="K6576" s="187">
        <v>18596.504581390102</v>
      </c>
      <c r="L6576" s="187">
        <v>14837</v>
      </c>
      <c r="M6576" s="187">
        <v>46556.8046875</v>
      </c>
      <c r="N6576" s="187">
        <v>25182.30078125</v>
      </c>
      <c r="O6576" t="s">
        <v>8977</v>
      </c>
    </row>
    <row r="6577" spans="1:15" hidden="1" x14ac:dyDescent="0.45">
      <c r="A6577" s="187">
        <v>2023</v>
      </c>
      <c r="B6577" t="s">
        <v>317</v>
      </c>
      <c r="C6577" t="s">
        <v>328</v>
      </c>
      <c r="D6577" t="s">
        <v>39</v>
      </c>
      <c r="E6577" t="s">
        <v>365</v>
      </c>
      <c r="F6577" t="s">
        <v>375</v>
      </c>
      <c r="G6577" t="s">
        <v>36</v>
      </c>
      <c r="H6577" t="s">
        <v>43</v>
      </c>
      <c r="I6577" s="187">
        <v>10967.381920263177</v>
      </c>
      <c r="J6577" s="187">
        <v>2405.156695711562</v>
      </c>
      <c r="K6577" s="187">
        <v>19180.995323505846</v>
      </c>
      <c r="L6577" s="187">
        <v>14882.49501674977</v>
      </c>
      <c r="M6577" s="187">
        <v>47436.02734375</v>
      </c>
      <c r="N6577" s="187">
        <v>25849.876953125</v>
      </c>
      <c r="O6577" t="s">
        <v>6627</v>
      </c>
    </row>
    <row r="6578" spans="1:15" hidden="1" x14ac:dyDescent="0.45">
      <c r="A6578" s="187">
        <v>2023</v>
      </c>
      <c r="B6578" t="s">
        <v>312</v>
      </c>
      <c r="C6578" t="s">
        <v>328</v>
      </c>
      <c r="D6578" t="s">
        <v>39</v>
      </c>
      <c r="E6578" t="s">
        <v>365</v>
      </c>
      <c r="F6578" t="s">
        <v>375</v>
      </c>
      <c r="G6578" t="s">
        <v>37</v>
      </c>
      <c r="H6578" t="s">
        <v>43</v>
      </c>
      <c r="I6578" s="187">
        <v>7901.6806961540806</v>
      </c>
      <c r="J6578" s="187">
        <v>1827</v>
      </c>
      <c r="K6578" s="187">
        <v>18761.650608008738</v>
      </c>
      <c r="L6578" s="187">
        <v>13541</v>
      </c>
      <c r="M6578" s="187">
        <v>42031.33203125</v>
      </c>
      <c r="N6578" s="187">
        <v>21442.6796875</v>
      </c>
      <c r="O6578" t="s">
        <v>6638</v>
      </c>
    </row>
    <row r="6579" spans="1:15" hidden="1" x14ac:dyDescent="0.45">
      <c r="A6579" s="187">
        <v>2023</v>
      </c>
      <c r="B6579" t="s">
        <v>311</v>
      </c>
      <c r="C6579" t="s">
        <v>328</v>
      </c>
      <c r="D6579" t="s">
        <v>39</v>
      </c>
      <c r="E6579" t="s">
        <v>365</v>
      </c>
      <c r="F6579" t="s">
        <v>375</v>
      </c>
      <c r="G6579" t="s">
        <v>37</v>
      </c>
      <c r="H6579" t="s">
        <v>43</v>
      </c>
      <c r="I6579" s="187"/>
      <c r="J6579" s="187">
        <v>1865</v>
      </c>
      <c r="K6579" s="187">
        <v>18318.23470950875</v>
      </c>
      <c r="L6579" s="187">
        <v>23149</v>
      </c>
      <c r="M6579" s="187">
        <v>43332.234375</v>
      </c>
      <c r="N6579" s="187">
        <v>23149</v>
      </c>
      <c r="O6579" t="s">
        <v>6637</v>
      </c>
    </row>
    <row r="6580" spans="1:15" hidden="1" x14ac:dyDescent="0.45">
      <c r="A6580" s="187">
        <v>2023</v>
      </c>
      <c r="B6580" t="s">
        <v>315</v>
      </c>
      <c r="C6580" t="s">
        <v>328</v>
      </c>
      <c r="D6580" t="s">
        <v>39</v>
      </c>
      <c r="E6580" t="s">
        <v>365</v>
      </c>
      <c r="F6580" t="s">
        <v>375</v>
      </c>
      <c r="G6580" t="s">
        <v>37</v>
      </c>
      <c r="H6580" t="s">
        <v>43</v>
      </c>
      <c r="I6580" s="187">
        <v>9017.3453075813159</v>
      </c>
      <c r="J6580" s="187">
        <v>1947</v>
      </c>
      <c r="K6580" s="187">
        <v>17924.123097832351</v>
      </c>
      <c r="L6580" s="187">
        <v>13130</v>
      </c>
      <c r="M6580" s="187">
        <v>42018.46875</v>
      </c>
      <c r="N6580" s="187">
        <v>22147.345703125</v>
      </c>
      <c r="O6580" t="s">
        <v>6633</v>
      </c>
    </row>
    <row r="6581" spans="1:15" hidden="1" x14ac:dyDescent="0.45">
      <c r="A6581" s="187">
        <v>2023</v>
      </c>
      <c r="B6581" t="s">
        <v>317</v>
      </c>
      <c r="C6581" t="s">
        <v>328</v>
      </c>
      <c r="D6581" t="s">
        <v>39</v>
      </c>
      <c r="E6581" t="s">
        <v>365</v>
      </c>
      <c r="F6581" t="s">
        <v>375</v>
      </c>
      <c r="G6581" t="s">
        <v>37</v>
      </c>
      <c r="H6581" t="s">
        <v>43</v>
      </c>
      <c r="I6581" s="187">
        <v>10916.157587039999</v>
      </c>
      <c r="J6581" s="187">
        <v>2301</v>
      </c>
      <c r="K6581" s="187">
        <v>18986.821509987371</v>
      </c>
      <c r="L6581" s="187">
        <v>14770</v>
      </c>
      <c r="M6581" s="187">
        <v>46973.9765625</v>
      </c>
      <c r="N6581" s="187">
        <v>25686.15625</v>
      </c>
      <c r="O6581" t="s">
        <v>6634</v>
      </c>
    </row>
    <row r="6582" spans="1:15" hidden="1" x14ac:dyDescent="0.45">
      <c r="A6582" s="187">
        <v>2023</v>
      </c>
      <c r="B6582" t="s">
        <v>310</v>
      </c>
      <c r="C6582" t="s">
        <v>328</v>
      </c>
      <c r="D6582" t="s">
        <v>39</v>
      </c>
      <c r="E6582" t="s">
        <v>365</v>
      </c>
      <c r="F6582" t="s">
        <v>375</v>
      </c>
      <c r="G6582" t="s">
        <v>37</v>
      </c>
      <c r="H6582" t="s">
        <v>43</v>
      </c>
      <c r="I6582" s="187"/>
      <c r="J6582" s="187">
        <v>2001</v>
      </c>
      <c r="K6582" s="187">
        <v>18505.034656675289</v>
      </c>
      <c r="L6582" s="187">
        <v>25858</v>
      </c>
      <c r="M6582" s="187">
        <v>46364.03515625</v>
      </c>
      <c r="N6582" s="187">
        <v>25858</v>
      </c>
      <c r="O6582" t="s">
        <v>6636</v>
      </c>
    </row>
    <row r="6583" spans="1:15" hidden="1" x14ac:dyDescent="0.45">
      <c r="A6583" s="187">
        <v>2023</v>
      </c>
      <c r="B6583" t="s">
        <v>314</v>
      </c>
      <c r="C6583" t="s">
        <v>328</v>
      </c>
      <c r="D6583" t="s">
        <v>39</v>
      </c>
      <c r="E6583" t="s">
        <v>365</v>
      </c>
      <c r="F6583" t="s">
        <v>375</v>
      </c>
      <c r="G6583" t="s">
        <v>37</v>
      </c>
      <c r="H6583" t="s">
        <v>43</v>
      </c>
      <c r="I6583" s="187">
        <v>9200.3974173252172</v>
      </c>
      <c r="J6583" s="187">
        <v>1827</v>
      </c>
      <c r="K6583" s="187">
        <v>17362.961988610099</v>
      </c>
      <c r="L6583" s="187">
        <v>13651</v>
      </c>
      <c r="M6583" s="187">
        <v>42041.359375</v>
      </c>
      <c r="N6583" s="187">
        <v>22851.3984375</v>
      </c>
      <c r="O6583" t="s">
        <v>6631</v>
      </c>
    </row>
    <row r="6584" spans="1:15" hidden="1" x14ac:dyDescent="0.45">
      <c r="A6584" s="187">
        <v>2023</v>
      </c>
      <c r="B6584" t="s">
        <v>309</v>
      </c>
      <c r="C6584" t="s">
        <v>328</v>
      </c>
      <c r="D6584" t="s">
        <v>39</v>
      </c>
      <c r="E6584" t="s">
        <v>365</v>
      </c>
      <c r="F6584" t="s">
        <v>375</v>
      </c>
      <c r="G6584" t="s">
        <v>37</v>
      </c>
      <c r="H6584" t="s">
        <v>43</v>
      </c>
      <c r="I6584" s="187"/>
      <c r="J6584" s="187">
        <v>1699.0596</v>
      </c>
      <c r="K6584" s="187">
        <v>19942.95931098676</v>
      </c>
      <c r="L6584" s="187">
        <v>28351</v>
      </c>
      <c r="M6584" s="187">
        <v>49993.01953125</v>
      </c>
      <c r="N6584" s="187">
        <v>28351</v>
      </c>
      <c r="O6584" t="s">
        <v>6632</v>
      </c>
    </row>
    <row r="6585" spans="1:15" hidden="1" x14ac:dyDescent="0.45">
      <c r="A6585" s="187">
        <v>2023</v>
      </c>
      <c r="B6585" t="s">
        <v>313</v>
      </c>
      <c r="C6585" t="s">
        <v>328</v>
      </c>
      <c r="D6585" t="s">
        <v>39</v>
      </c>
      <c r="E6585" t="s">
        <v>365</v>
      </c>
      <c r="F6585" t="s">
        <v>375</v>
      </c>
      <c r="G6585" t="s">
        <v>37</v>
      </c>
      <c r="H6585" t="s">
        <v>43</v>
      </c>
      <c r="I6585" s="187">
        <v>9017.35273479221</v>
      </c>
      <c r="J6585" s="187">
        <v>1802</v>
      </c>
      <c r="K6585" s="187">
        <v>18485.73769388354</v>
      </c>
      <c r="L6585" s="187">
        <v>13338</v>
      </c>
      <c r="M6585" s="187">
        <v>42643.08984375</v>
      </c>
      <c r="N6585" s="187">
        <v>22355.3515625</v>
      </c>
      <c r="O6585" t="s">
        <v>6635</v>
      </c>
    </row>
    <row r="6586" spans="1:15" hidden="1" x14ac:dyDescent="0.45">
      <c r="A6586" s="187">
        <v>2023</v>
      </c>
      <c r="B6586" t="s">
        <v>316</v>
      </c>
      <c r="C6586" t="s">
        <v>328</v>
      </c>
      <c r="D6586" t="s">
        <v>39</v>
      </c>
      <c r="E6586" t="s">
        <v>365</v>
      </c>
      <c r="F6586" t="s">
        <v>375</v>
      </c>
      <c r="G6586" t="s">
        <v>37</v>
      </c>
      <c r="H6586" t="s">
        <v>43</v>
      </c>
      <c r="I6586" s="187">
        <v>10562.164273129951</v>
      </c>
      <c r="J6586" s="187">
        <v>2350</v>
      </c>
      <c r="K6586" s="187">
        <v>17920.720900096199</v>
      </c>
      <c r="L6586" s="187">
        <v>13749</v>
      </c>
      <c r="M6586" s="187">
        <v>44581.8828125</v>
      </c>
      <c r="N6586" s="187">
        <v>24311.1640625</v>
      </c>
      <c r="O6586" t="s">
        <v>6630</v>
      </c>
    </row>
    <row r="6587" spans="1:15" hidden="1" x14ac:dyDescent="0.45">
      <c r="A6587" s="187">
        <v>2023</v>
      </c>
      <c r="B6587" t="s">
        <v>8570</v>
      </c>
      <c r="C6587" t="s">
        <v>328</v>
      </c>
      <c r="D6587" t="s">
        <v>39</v>
      </c>
      <c r="E6587" t="s">
        <v>365</v>
      </c>
      <c r="F6587" t="s">
        <v>375</v>
      </c>
      <c r="G6587" t="s">
        <v>37</v>
      </c>
      <c r="H6587" t="s">
        <v>43</v>
      </c>
      <c r="I6587" s="187">
        <v>10552.207366799999</v>
      </c>
      <c r="J6587" s="187">
        <v>2783</v>
      </c>
      <c r="K6587" s="187">
        <v>19022.491793885001</v>
      </c>
      <c r="L6587" s="187">
        <v>15428</v>
      </c>
      <c r="M6587" s="187">
        <v>47785.69921875</v>
      </c>
      <c r="N6587" s="187">
        <v>25980.20703125</v>
      </c>
      <c r="O6587" t="s">
        <v>8978</v>
      </c>
    </row>
    <row r="6588" spans="1:15" hidden="1" x14ac:dyDescent="0.45">
      <c r="A6588" s="187">
        <v>2024</v>
      </c>
      <c r="B6588" t="s">
        <v>314</v>
      </c>
      <c r="C6588" t="s">
        <v>322</v>
      </c>
      <c r="D6588" t="s">
        <v>35</v>
      </c>
      <c r="E6588" t="s">
        <v>348</v>
      </c>
      <c r="F6588" t="s">
        <v>382</v>
      </c>
      <c r="G6588" t="s">
        <v>36</v>
      </c>
      <c r="H6588" t="s">
        <v>43</v>
      </c>
      <c r="I6588" s="187">
        <v>19564.551255158724</v>
      </c>
      <c r="J6588" s="187">
        <v>908.56011565714186</v>
      </c>
      <c r="K6588" s="187">
        <v>18543.88749388311</v>
      </c>
      <c r="L6588" s="187">
        <v>25820.579594579311</v>
      </c>
      <c r="M6588" s="187">
        <v>64837.578125</v>
      </c>
      <c r="N6588" s="187">
        <v>45385.12890625</v>
      </c>
      <c r="O6588" t="s">
        <v>6642</v>
      </c>
    </row>
    <row r="6589" spans="1:15" hidden="1" x14ac:dyDescent="0.45">
      <c r="A6589" s="187">
        <v>2024</v>
      </c>
      <c r="B6589" t="s">
        <v>316</v>
      </c>
      <c r="C6589" t="s">
        <v>322</v>
      </c>
      <c r="D6589" t="s">
        <v>35</v>
      </c>
      <c r="E6589" t="s">
        <v>348</v>
      </c>
      <c r="F6589" t="s">
        <v>382</v>
      </c>
      <c r="G6589" t="s">
        <v>36</v>
      </c>
      <c r="H6589" t="s">
        <v>43</v>
      </c>
      <c r="I6589" s="187">
        <v>19442.182872838406</v>
      </c>
      <c r="J6589" s="187">
        <v>990.2070009335024</v>
      </c>
      <c r="K6589" s="187">
        <v>19932.802230170782</v>
      </c>
      <c r="L6589" s="187">
        <v>35291.682443726757</v>
      </c>
      <c r="M6589" s="187">
        <v>75656.875</v>
      </c>
      <c r="N6589" s="187">
        <v>54733.8671875</v>
      </c>
      <c r="O6589" t="s">
        <v>6639</v>
      </c>
    </row>
    <row r="6590" spans="1:15" hidden="1" x14ac:dyDescent="0.45">
      <c r="A6590" s="187">
        <v>2024</v>
      </c>
      <c r="B6590" t="s">
        <v>313</v>
      </c>
      <c r="C6590" t="s">
        <v>322</v>
      </c>
      <c r="D6590" t="s">
        <v>35</v>
      </c>
      <c r="E6590" t="s">
        <v>348</v>
      </c>
      <c r="F6590" t="s">
        <v>382</v>
      </c>
      <c r="G6590" t="s">
        <v>36</v>
      </c>
      <c r="H6590" t="s">
        <v>43</v>
      </c>
      <c r="I6590" s="187">
        <v>13999.474385803847</v>
      </c>
      <c r="J6590" s="187">
        <v>922.37674338968839</v>
      </c>
      <c r="K6590" s="187">
        <v>17306.597838187699</v>
      </c>
      <c r="L6590" s="187">
        <v>28947.057148067295</v>
      </c>
      <c r="M6590" s="187">
        <v>61175.5078125</v>
      </c>
      <c r="N6590" s="187">
        <v>42946.53125</v>
      </c>
      <c r="O6590" t="s">
        <v>6641</v>
      </c>
    </row>
    <row r="6591" spans="1:15" hidden="1" x14ac:dyDescent="0.45">
      <c r="A6591" s="187">
        <v>2024</v>
      </c>
      <c r="B6591" t="s">
        <v>317</v>
      </c>
      <c r="C6591" t="s">
        <v>322</v>
      </c>
      <c r="D6591" t="s">
        <v>35</v>
      </c>
      <c r="E6591" t="s">
        <v>348</v>
      </c>
      <c r="F6591" t="s">
        <v>382</v>
      </c>
      <c r="G6591" t="s">
        <v>36</v>
      </c>
      <c r="H6591" t="s">
        <v>43</v>
      </c>
      <c r="I6591" s="187">
        <v>18080.488570508587</v>
      </c>
      <c r="J6591" s="187">
        <v>1080.5090956866493</v>
      </c>
      <c r="K6591" s="187">
        <v>20058.603438146012</v>
      </c>
      <c r="L6591" s="187">
        <v>32006.840432429926</v>
      </c>
      <c r="M6591" s="187">
        <v>71226.4453125</v>
      </c>
      <c r="N6591" s="187">
        <v>50087.328125</v>
      </c>
      <c r="O6591" t="s">
        <v>6645</v>
      </c>
    </row>
    <row r="6592" spans="1:15" hidden="1" x14ac:dyDescent="0.45">
      <c r="A6592" s="187">
        <v>2024</v>
      </c>
      <c r="B6592" t="s">
        <v>8570</v>
      </c>
      <c r="C6592" t="s">
        <v>322</v>
      </c>
      <c r="D6592" t="s">
        <v>35</v>
      </c>
      <c r="E6592" t="s">
        <v>348</v>
      </c>
      <c r="F6592" t="s">
        <v>382</v>
      </c>
      <c r="G6592" t="s">
        <v>36</v>
      </c>
      <c r="H6592" t="s">
        <v>43</v>
      </c>
      <c r="I6592" s="187">
        <v>12878.57024467956</v>
      </c>
      <c r="J6592" s="187">
        <v>1300.333333333333</v>
      </c>
      <c r="K6592" s="187">
        <v>18864.28246473191</v>
      </c>
      <c r="L6592" s="187">
        <v>21716</v>
      </c>
      <c r="M6592" s="187">
        <v>54759.1875</v>
      </c>
      <c r="N6592" s="187">
        <v>34594.5703125</v>
      </c>
      <c r="O6592" t="s">
        <v>8979</v>
      </c>
    </row>
    <row r="6593" spans="1:15" hidden="1" x14ac:dyDescent="0.45">
      <c r="A6593" s="187">
        <v>2024</v>
      </c>
      <c r="B6593" t="s">
        <v>311</v>
      </c>
      <c r="C6593" t="s">
        <v>322</v>
      </c>
      <c r="D6593" t="s">
        <v>35</v>
      </c>
      <c r="E6593" t="s">
        <v>348</v>
      </c>
      <c r="F6593" t="s">
        <v>382</v>
      </c>
      <c r="G6593" t="s">
        <v>36</v>
      </c>
      <c r="H6593" t="s">
        <v>43</v>
      </c>
      <c r="I6593" s="187"/>
      <c r="J6593" s="187">
        <v>1192.4000046824287</v>
      </c>
      <c r="K6593" s="187">
        <v>16103.161689620716</v>
      </c>
      <c r="L6593" s="187">
        <v>34833.383666198781</v>
      </c>
      <c r="M6593" s="187">
        <v>52128.9453125</v>
      </c>
      <c r="N6593" s="187">
        <v>34833.3828125</v>
      </c>
      <c r="O6593" t="s">
        <v>6640</v>
      </c>
    </row>
    <row r="6594" spans="1:15" hidden="1" x14ac:dyDescent="0.45">
      <c r="A6594" s="187">
        <v>2024</v>
      </c>
      <c r="B6594" t="s">
        <v>315</v>
      </c>
      <c r="C6594" t="s">
        <v>322</v>
      </c>
      <c r="D6594" t="s">
        <v>35</v>
      </c>
      <c r="E6594" t="s">
        <v>348</v>
      </c>
      <c r="F6594" t="s">
        <v>382</v>
      </c>
      <c r="G6594" t="s">
        <v>36</v>
      </c>
      <c r="H6594" t="s">
        <v>43</v>
      </c>
      <c r="I6594" s="187">
        <v>19673.057244022355</v>
      </c>
      <c r="J6594" s="187">
        <v>962.87782075725158</v>
      </c>
      <c r="K6594" s="187">
        <v>19306.499430132757</v>
      </c>
      <c r="L6594" s="187">
        <v>27967.635901971509</v>
      </c>
      <c r="M6594" s="187">
        <v>67910.0703125</v>
      </c>
      <c r="N6594" s="187">
        <v>47640.69140625</v>
      </c>
      <c r="O6594" t="s">
        <v>6646</v>
      </c>
    </row>
    <row r="6595" spans="1:15" hidden="1" x14ac:dyDescent="0.45">
      <c r="A6595" s="187">
        <v>2024</v>
      </c>
      <c r="B6595" t="s">
        <v>310</v>
      </c>
      <c r="C6595" t="s">
        <v>322</v>
      </c>
      <c r="D6595" t="s">
        <v>35</v>
      </c>
      <c r="E6595" t="s">
        <v>348</v>
      </c>
      <c r="F6595" t="s">
        <v>382</v>
      </c>
      <c r="G6595" t="s">
        <v>36</v>
      </c>
      <c r="H6595" t="s">
        <v>43</v>
      </c>
      <c r="I6595" s="187"/>
      <c r="J6595" s="187">
        <v>954.63620153653858</v>
      </c>
      <c r="K6595" s="187">
        <v>17295.74039022026</v>
      </c>
      <c r="L6595" s="187">
        <v>31578.842458499086</v>
      </c>
      <c r="M6595" s="187">
        <v>49829.21875</v>
      </c>
      <c r="N6595" s="187">
        <v>31578.841796875</v>
      </c>
      <c r="O6595" t="s">
        <v>6644</v>
      </c>
    </row>
    <row r="6596" spans="1:15" hidden="1" x14ac:dyDescent="0.45">
      <c r="A6596" s="187">
        <v>2024</v>
      </c>
      <c r="B6596" t="s">
        <v>312</v>
      </c>
      <c r="C6596" t="s">
        <v>322</v>
      </c>
      <c r="D6596" t="s">
        <v>35</v>
      </c>
      <c r="E6596" t="s">
        <v>348</v>
      </c>
      <c r="F6596" t="s">
        <v>382</v>
      </c>
      <c r="G6596" t="s">
        <v>36</v>
      </c>
      <c r="H6596" t="s">
        <v>43</v>
      </c>
      <c r="I6596" s="187">
        <v>14228.962482712603</v>
      </c>
      <c r="J6596" s="187">
        <v>1180.92839533544</v>
      </c>
      <c r="K6596" s="187">
        <v>16321.665167913576</v>
      </c>
      <c r="L6596" s="187">
        <v>25719.507533593525</v>
      </c>
      <c r="M6596" s="187">
        <v>57451.0625</v>
      </c>
      <c r="N6596" s="187">
        <v>39948.46875</v>
      </c>
      <c r="O6596" t="s">
        <v>6643</v>
      </c>
    </row>
    <row r="6597" spans="1:15" hidden="1" x14ac:dyDescent="0.45">
      <c r="A6597" s="187">
        <v>2024</v>
      </c>
      <c r="B6597" t="s">
        <v>312</v>
      </c>
      <c r="C6597" t="s">
        <v>322</v>
      </c>
      <c r="D6597" t="s">
        <v>35</v>
      </c>
      <c r="E6597" t="s">
        <v>348</v>
      </c>
      <c r="F6597" t="s">
        <v>382</v>
      </c>
      <c r="G6597" t="s">
        <v>37</v>
      </c>
      <c r="H6597" t="s">
        <v>43</v>
      </c>
      <c r="I6597" s="187">
        <v>13256.37352401214</v>
      </c>
      <c r="J6597" s="187">
        <v>1119</v>
      </c>
      <c r="K6597" s="187">
        <v>15417.154803218031</v>
      </c>
      <c r="L6597" s="187">
        <v>24429</v>
      </c>
      <c r="M6597" s="187">
        <v>54221.52734375</v>
      </c>
      <c r="N6597" s="187">
        <v>37685.375</v>
      </c>
      <c r="O6597" t="s">
        <v>6651</v>
      </c>
    </row>
    <row r="6598" spans="1:15" hidden="1" x14ac:dyDescent="0.45">
      <c r="A6598" s="187">
        <v>2024</v>
      </c>
      <c r="B6598" t="s">
        <v>310</v>
      </c>
      <c r="C6598" t="s">
        <v>322</v>
      </c>
      <c r="D6598" t="s">
        <v>35</v>
      </c>
      <c r="E6598" t="s">
        <v>348</v>
      </c>
      <c r="F6598" t="s">
        <v>382</v>
      </c>
      <c r="G6598" t="s">
        <v>37</v>
      </c>
      <c r="H6598" t="s">
        <v>43</v>
      </c>
      <c r="I6598" s="187"/>
      <c r="J6598" s="187">
        <v>893</v>
      </c>
      <c r="K6598" s="187">
        <v>16186.760365631369</v>
      </c>
      <c r="L6598" s="187">
        <v>31228</v>
      </c>
      <c r="M6598" s="187">
        <v>48307.7578125</v>
      </c>
      <c r="N6598" s="187">
        <v>31228</v>
      </c>
      <c r="O6598" t="s">
        <v>6653</v>
      </c>
    </row>
    <row r="6599" spans="1:15" hidden="1" x14ac:dyDescent="0.45">
      <c r="A6599" s="187">
        <v>2024</v>
      </c>
      <c r="B6599" t="s">
        <v>313</v>
      </c>
      <c r="C6599" t="s">
        <v>322</v>
      </c>
      <c r="D6599" t="s">
        <v>35</v>
      </c>
      <c r="E6599" t="s">
        <v>348</v>
      </c>
      <c r="F6599" t="s">
        <v>382</v>
      </c>
      <c r="G6599" t="s">
        <v>37</v>
      </c>
      <c r="H6599" t="s">
        <v>43</v>
      </c>
      <c r="I6599" s="187">
        <v>13396.758903231521</v>
      </c>
      <c r="J6599" s="187">
        <v>884</v>
      </c>
      <c r="K6599" s="187">
        <v>16521.46044167483</v>
      </c>
      <c r="L6599" s="187">
        <v>27965.28441503298</v>
      </c>
      <c r="M6599" s="187">
        <v>58767.50390625</v>
      </c>
      <c r="N6599" s="187">
        <v>41362.04296875</v>
      </c>
      <c r="O6599" t="s">
        <v>6654</v>
      </c>
    </row>
    <row r="6600" spans="1:15" hidden="1" x14ac:dyDescent="0.45">
      <c r="A6600" s="187">
        <v>2024</v>
      </c>
      <c r="B6600" t="s">
        <v>311</v>
      </c>
      <c r="C6600" t="s">
        <v>322</v>
      </c>
      <c r="D6600" t="s">
        <v>35</v>
      </c>
      <c r="E6600" t="s">
        <v>348</v>
      </c>
      <c r="F6600" t="s">
        <v>382</v>
      </c>
      <c r="G6600" t="s">
        <v>37</v>
      </c>
      <c r="H6600" t="s">
        <v>43</v>
      </c>
      <c r="I6600" s="187"/>
      <c r="J6600" s="187">
        <v>1120</v>
      </c>
      <c r="K6600" s="187">
        <v>14980.30498799262</v>
      </c>
      <c r="L6600" s="187">
        <v>34496</v>
      </c>
      <c r="M6600" s="187">
        <v>50596.3046875</v>
      </c>
      <c r="N6600" s="187">
        <v>34496</v>
      </c>
      <c r="O6600" t="s">
        <v>6652</v>
      </c>
    </row>
    <row r="6601" spans="1:15" hidden="1" x14ac:dyDescent="0.45">
      <c r="A6601" s="187">
        <v>2024</v>
      </c>
      <c r="B6601" t="s">
        <v>314</v>
      </c>
      <c r="C6601" t="s">
        <v>322</v>
      </c>
      <c r="D6601" t="s">
        <v>35</v>
      </c>
      <c r="E6601" t="s">
        <v>348</v>
      </c>
      <c r="F6601" t="s">
        <v>382</v>
      </c>
      <c r="G6601" t="s">
        <v>37</v>
      </c>
      <c r="H6601" t="s">
        <v>43</v>
      </c>
      <c r="I6601" s="187">
        <v>18924.513459207708</v>
      </c>
      <c r="J6601" s="187">
        <v>878</v>
      </c>
      <c r="K6601" s="187">
        <v>17961.511253944082</v>
      </c>
      <c r="L6601" s="187">
        <v>26678.62495204341</v>
      </c>
      <c r="M6601" s="187">
        <v>64442.6484375</v>
      </c>
      <c r="N6601" s="187">
        <v>45603.13671875</v>
      </c>
      <c r="O6601" t="s">
        <v>6649</v>
      </c>
    </row>
    <row r="6602" spans="1:15" hidden="1" x14ac:dyDescent="0.45">
      <c r="A6602" s="187">
        <v>2024</v>
      </c>
      <c r="B6602" t="s">
        <v>8570</v>
      </c>
      <c r="C6602" t="s">
        <v>322</v>
      </c>
      <c r="D6602" t="s">
        <v>35</v>
      </c>
      <c r="E6602" t="s">
        <v>348</v>
      </c>
      <c r="F6602" t="s">
        <v>382</v>
      </c>
      <c r="G6602" t="s">
        <v>37</v>
      </c>
      <c r="H6602" t="s">
        <v>43</v>
      </c>
      <c r="I6602" s="187">
        <v>13398.86448256461</v>
      </c>
      <c r="J6602" s="187">
        <v>1300.333333333333</v>
      </c>
      <c r="K6602" s="187">
        <v>19690.04976559327</v>
      </c>
      <c r="L6602" s="187">
        <v>24039</v>
      </c>
      <c r="M6602" s="187">
        <v>58428.24609375</v>
      </c>
      <c r="N6602" s="187">
        <v>37437.86328125</v>
      </c>
      <c r="O6602" t="s">
        <v>8980</v>
      </c>
    </row>
    <row r="6603" spans="1:15" hidden="1" x14ac:dyDescent="0.45">
      <c r="A6603" s="187">
        <v>2024</v>
      </c>
      <c r="B6603" t="s">
        <v>315</v>
      </c>
      <c r="C6603" t="s">
        <v>322</v>
      </c>
      <c r="D6603" t="s">
        <v>35</v>
      </c>
      <c r="E6603" t="s">
        <v>348</v>
      </c>
      <c r="F6603" t="s">
        <v>382</v>
      </c>
      <c r="G6603" t="s">
        <v>37</v>
      </c>
      <c r="H6603" t="s">
        <v>43</v>
      </c>
      <c r="I6603" s="187">
        <v>19210.567657033349</v>
      </c>
      <c r="J6603" s="187">
        <v>920</v>
      </c>
      <c r="K6603" s="187">
        <v>18770.231902547381</v>
      </c>
      <c r="L6603" s="187">
        <v>27259</v>
      </c>
      <c r="M6603" s="187">
        <v>66159.796875</v>
      </c>
      <c r="N6603" s="187">
        <v>46469.5703125</v>
      </c>
      <c r="O6603" t="s">
        <v>6648</v>
      </c>
    </row>
    <row r="6604" spans="1:15" hidden="1" x14ac:dyDescent="0.45">
      <c r="A6604" s="187">
        <v>2024</v>
      </c>
      <c r="B6604" t="s">
        <v>316</v>
      </c>
      <c r="C6604" t="s">
        <v>322</v>
      </c>
      <c r="D6604" t="s">
        <v>35</v>
      </c>
      <c r="E6604" t="s">
        <v>348</v>
      </c>
      <c r="F6604" t="s">
        <v>382</v>
      </c>
      <c r="G6604" t="s">
        <v>37</v>
      </c>
      <c r="H6604" t="s">
        <v>43</v>
      </c>
      <c r="I6604" s="187">
        <v>19109</v>
      </c>
      <c r="J6604" s="187">
        <v>899</v>
      </c>
      <c r="K6604" s="187">
        <v>19238.509064074999</v>
      </c>
      <c r="L6604" s="187">
        <v>35422</v>
      </c>
      <c r="M6604" s="187">
        <v>74668.5078125</v>
      </c>
      <c r="N6604" s="187">
        <v>54531</v>
      </c>
      <c r="O6604" t="s">
        <v>6647</v>
      </c>
    </row>
    <row r="6605" spans="1:15" hidden="1" x14ac:dyDescent="0.45">
      <c r="A6605" s="187">
        <v>2024</v>
      </c>
      <c r="B6605" t="s">
        <v>317</v>
      </c>
      <c r="C6605" t="s">
        <v>322</v>
      </c>
      <c r="D6605" t="s">
        <v>35</v>
      </c>
      <c r="E6605" t="s">
        <v>348</v>
      </c>
      <c r="F6605" t="s">
        <v>382</v>
      </c>
      <c r="G6605" t="s">
        <v>37</v>
      </c>
      <c r="H6605" t="s">
        <v>43</v>
      </c>
      <c r="I6605" s="187">
        <v>17758.639140741179</v>
      </c>
      <c r="J6605" s="187">
        <v>1000</v>
      </c>
      <c r="K6605" s="187">
        <v>19580.22055770101</v>
      </c>
      <c r="L6605" s="187">
        <v>31140</v>
      </c>
      <c r="M6605" s="187">
        <v>69478.859375</v>
      </c>
      <c r="N6605" s="187">
        <v>48898.640625</v>
      </c>
      <c r="O6605" t="s">
        <v>6650</v>
      </c>
    </row>
    <row r="6606" spans="1:15" hidden="1" x14ac:dyDescent="0.45">
      <c r="A6606" s="187">
        <v>2024</v>
      </c>
      <c r="B6606" t="s">
        <v>310</v>
      </c>
      <c r="C6606" t="s">
        <v>322</v>
      </c>
      <c r="D6606" t="s">
        <v>35</v>
      </c>
      <c r="E6606" t="s">
        <v>19</v>
      </c>
      <c r="F6606" t="s">
        <v>19</v>
      </c>
      <c r="G6606" t="s">
        <v>36</v>
      </c>
      <c r="H6606" t="s">
        <v>43</v>
      </c>
      <c r="I6606" s="187"/>
      <c r="J6606" s="187">
        <v>0</v>
      </c>
      <c r="K6606" s="187">
        <v>148.35761652238392</v>
      </c>
      <c r="L6606" s="187">
        <v>5471.5039277107908</v>
      </c>
      <c r="M6606" s="187">
        <v>5619.861328125</v>
      </c>
      <c r="N6606" s="187">
        <v>5471.50390625</v>
      </c>
      <c r="O6606" t="s">
        <v>6655</v>
      </c>
    </row>
    <row r="6607" spans="1:15" hidden="1" x14ac:dyDescent="0.45">
      <c r="A6607" s="187">
        <v>2024</v>
      </c>
      <c r="B6607" t="s">
        <v>8570</v>
      </c>
      <c r="C6607" t="s">
        <v>322</v>
      </c>
      <c r="D6607" t="s">
        <v>35</v>
      </c>
      <c r="E6607" t="s">
        <v>19</v>
      </c>
      <c r="F6607" t="s">
        <v>19</v>
      </c>
      <c r="G6607" t="s">
        <v>36</v>
      </c>
      <c r="H6607" t="s">
        <v>43</v>
      </c>
      <c r="I6607" s="187">
        <v>556.72977360000004</v>
      </c>
      <c r="J6607" s="187">
        <v>200</v>
      </c>
      <c r="K6607" s="187">
        <v>127.4321488980285</v>
      </c>
      <c r="L6607" s="187">
        <v>2791</v>
      </c>
      <c r="M6607" s="187">
        <v>3675.161865234375</v>
      </c>
      <c r="N6607" s="187">
        <v>3347.729736328125</v>
      </c>
      <c r="O6607" t="s">
        <v>8981</v>
      </c>
    </row>
    <row r="6608" spans="1:15" hidden="1" x14ac:dyDescent="0.45">
      <c r="A6608" s="187">
        <v>2024</v>
      </c>
      <c r="B6608" t="s">
        <v>317</v>
      </c>
      <c r="C6608" t="s">
        <v>322</v>
      </c>
      <c r="D6608" t="s">
        <v>35</v>
      </c>
      <c r="E6608" t="s">
        <v>19</v>
      </c>
      <c r="F6608" t="s">
        <v>19</v>
      </c>
      <c r="G6608" t="s">
        <v>36</v>
      </c>
      <c r="H6608" t="s">
        <v>43</v>
      </c>
      <c r="I6608" s="187">
        <v>918.43273133365187</v>
      </c>
      <c r="J6608" s="187">
        <v>0</v>
      </c>
      <c r="K6608" s="187">
        <v>130.38239977372166</v>
      </c>
      <c r="L6608" s="187">
        <v>4857.9688942071753</v>
      </c>
      <c r="M6608" s="187">
        <v>5906.7841796875</v>
      </c>
      <c r="N6608" s="187">
        <v>5776.40185546875</v>
      </c>
      <c r="O6608" t="s">
        <v>6659</v>
      </c>
    </row>
    <row r="6609" spans="1:15" hidden="1" x14ac:dyDescent="0.45">
      <c r="A6609" s="187">
        <v>2024</v>
      </c>
      <c r="B6609" t="s">
        <v>311</v>
      </c>
      <c r="C6609" t="s">
        <v>322</v>
      </c>
      <c r="D6609" t="s">
        <v>35</v>
      </c>
      <c r="E6609" t="s">
        <v>19</v>
      </c>
      <c r="F6609" t="s">
        <v>19</v>
      </c>
      <c r="G6609" t="s">
        <v>36</v>
      </c>
      <c r="H6609" t="s">
        <v>43</v>
      </c>
      <c r="I6609" s="187"/>
      <c r="J6609" s="187">
        <v>0</v>
      </c>
      <c r="K6609" s="187">
        <v>143.99621926479338</v>
      </c>
      <c r="L6609" s="187">
        <v>5028.4847256286803</v>
      </c>
      <c r="M6609" s="187">
        <v>5172.48095703125</v>
      </c>
      <c r="N6609" s="187">
        <v>5028.48486328125</v>
      </c>
      <c r="O6609" t="s">
        <v>6657</v>
      </c>
    </row>
    <row r="6610" spans="1:15" hidden="1" x14ac:dyDescent="0.45">
      <c r="A6610" s="187">
        <v>2024</v>
      </c>
      <c r="B6610" t="s">
        <v>316</v>
      </c>
      <c r="C6610" t="s">
        <v>322</v>
      </c>
      <c r="D6610" t="s">
        <v>35</v>
      </c>
      <c r="E6610" t="s">
        <v>19</v>
      </c>
      <c r="F6610" t="s">
        <v>19</v>
      </c>
      <c r="G6610" t="s">
        <v>36</v>
      </c>
      <c r="H6610" t="s">
        <v>43</v>
      </c>
      <c r="I6610" s="187">
        <v>859.54869150609932</v>
      </c>
      <c r="J6610" s="187">
        <v>0</v>
      </c>
      <c r="K6610" s="187">
        <v>128.45075228818891</v>
      </c>
      <c r="L6610" s="187">
        <v>6389.5337179257485</v>
      </c>
      <c r="M6610" s="187">
        <v>7377.533203125</v>
      </c>
      <c r="N6610" s="187">
        <v>7249.08251953125</v>
      </c>
      <c r="O6610" t="s">
        <v>6661</v>
      </c>
    </row>
    <row r="6611" spans="1:15" hidden="1" x14ac:dyDescent="0.45">
      <c r="A6611" s="187">
        <v>2024</v>
      </c>
      <c r="B6611" t="s">
        <v>312</v>
      </c>
      <c r="C6611" t="s">
        <v>322</v>
      </c>
      <c r="D6611" t="s">
        <v>35</v>
      </c>
      <c r="E6611" t="s">
        <v>19</v>
      </c>
      <c r="F6611" t="s">
        <v>19</v>
      </c>
      <c r="G6611" t="s">
        <v>36</v>
      </c>
      <c r="H6611" t="s">
        <v>43</v>
      </c>
      <c r="I6611" s="187">
        <v>945.97929050430525</v>
      </c>
      <c r="J6611" s="187">
        <v>0</v>
      </c>
      <c r="K6611" s="187">
        <v>139.24715432411051</v>
      </c>
      <c r="L6611" s="187">
        <v>2119.4882404240252</v>
      </c>
      <c r="M6611" s="187">
        <v>3204.714599609375</v>
      </c>
      <c r="N6611" s="187">
        <v>3065.467529296875</v>
      </c>
      <c r="O6611" t="s">
        <v>6658</v>
      </c>
    </row>
    <row r="6612" spans="1:15" hidden="1" x14ac:dyDescent="0.45">
      <c r="A6612" s="187">
        <v>2024</v>
      </c>
      <c r="B6612" t="s">
        <v>315</v>
      </c>
      <c r="C6612" t="s">
        <v>322</v>
      </c>
      <c r="D6612" t="s">
        <v>35</v>
      </c>
      <c r="E6612" t="s">
        <v>19</v>
      </c>
      <c r="F6612" t="s">
        <v>19</v>
      </c>
      <c r="G6612" t="s">
        <v>36</v>
      </c>
      <c r="H6612" t="s">
        <v>43</v>
      </c>
      <c r="I6612" s="187">
        <v>866.59003868152638</v>
      </c>
      <c r="J6612" s="187">
        <v>0</v>
      </c>
      <c r="K6612" s="187">
        <v>128.96096603804546</v>
      </c>
      <c r="L6612" s="187">
        <v>3496.9456855031008</v>
      </c>
      <c r="M6612" s="187">
        <v>4492.49658203125</v>
      </c>
      <c r="N6612" s="187">
        <v>4363.53564453125</v>
      </c>
      <c r="O6612" t="s">
        <v>6660</v>
      </c>
    </row>
    <row r="6613" spans="1:15" hidden="1" x14ac:dyDescent="0.45">
      <c r="A6613" s="187">
        <v>2024</v>
      </c>
      <c r="B6613" t="s">
        <v>313</v>
      </c>
      <c r="C6613" t="s">
        <v>322</v>
      </c>
      <c r="D6613" t="s">
        <v>35</v>
      </c>
      <c r="E6613" t="s">
        <v>19</v>
      </c>
      <c r="F6613" t="s">
        <v>19</v>
      </c>
      <c r="G6613" t="s">
        <v>36</v>
      </c>
      <c r="H6613" t="s">
        <v>43</v>
      </c>
      <c r="I6613" s="187">
        <v>916.38728401702804</v>
      </c>
      <c r="J6613" s="187">
        <v>11.978918745320629</v>
      </c>
      <c r="K6613" s="187">
        <v>131.79625116115238</v>
      </c>
      <c r="L6613" s="187">
        <v>2908.4814713638484</v>
      </c>
      <c r="M6613" s="187">
        <v>3968.64404296875</v>
      </c>
      <c r="N6613" s="187">
        <v>3824.86865234375</v>
      </c>
      <c r="O6613" t="s">
        <v>6656</v>
      </c>
    </row>
    <row r="6614" spans="1:15" hidden="1" x14ac:dyDescent="0.45">
      <c r="A6614" s="187">
        <v>2024</v>
      </c>
      <c r="B6614" t="s">
        <v>314</v>
      </c>
      <c r="C6614" t="s">
        <v>322</v>
      </c>
      <c r="D6614" t="s">
        <v>35</v>
      </c>
      <c r="E6614" t="s">
        <v>19</v>
      </c>
      <c r="F6614" t="s">
        <v>19</v>
      </c>
      <c r="G6614" t="s">
        <v>36</v>
      </c>
      <c r="H6614" t="s">
        <v>43</v>
      </c>
      <c r="I6614" s="187">
        <v>891.08780574065827</v>
      </c>
      <c r="J6614" s="187">
        <v>0</v>
      </c>
      <c r="K6614" s="187">
        <v>129.20163377349957</v>
      </c>
      <c r="L6614" s="187">
        <v>3312.7499601652707</v>
      </c>
      <c r="M6614" s="187">
        <v>4333.03955078125</v>
      </c>
      <c r="N6614" s="187">
        <v>4203.837890625</v>
      </c>
      <c r="O6614" t="s">
        <v>6662</v>
      </c>
    </row>
    <row r="6615" spans="1:15" hidden="1" x14ac:dyDescent="0.45">
      <c r="A6615" s="187">
        <v>2024</v>
      </c>
      <c r="B6615" t="s">
        <v>311</v>
      </c>
      <c r="C6615" t="s">
        <v>322</v>
      </c>
      <c r="D6615" t="s">
        <v>35</v>
      </c>
      <c r="E6615" t="s">
        <v>19</v>
      </c>
      <c r="F6615" t="s">
        <v>19</v>
      </c>
      <c r="G6615" t="s">
        <v>37</v>
      </c>
      <c r="H6615" t="s">
        <v>43</v>
      </c>
      <c r="I6615" s="187"/>
      <c r="J6615" s="187">
        <v>0</v>
      </c>
      <c r="K6615" s="187">
        <v>133.95551279192739</v>
      </c>
      <c r="L6615" s="187">
        <v>4980</v>
      </c>
      <c r="M6615" s="187">
        <v>5113.95556640625</v>
      </c>
      <c r="N6615" s="187">
        <v>4980</v>
      </c>
      <c r="O6615" t="s">
        <v>6668</v>
      </c>
    </row>
    <row r="6616" spans="1:15" hidden="1" x14ac:dyDescent="0.45">
      <c r="A6616" s="187">
        <v>2024</v>
      </c>
      <c r="B6616" t="s">
        <v>310</v>
      </c>
      <c r="C6616" t="s">
        <v>322</v>
      </c>
      <c r="D6616" t="s">
        <v>35</v>
      </c>
      <c r="E6616" t="s">
        <v>19</v>
      </c>
      <c r="F6616" t="s">
        <v>19</v>
      </c>
      <c r="G6616" t="s">
        <v>37</v>
      </c>
      <c r="H6616" t="s">
        <v>43</v>
      </c>
      <c r="I6616" s="187"/>
      <c r="J6616" s="187">
        <v>0</v>
      </c>
      <c r="K6616" s="187">
        <v>138.84512214475251</v>
      </c>
      <c r="L6616" s="187">
        <v>5410</v>
      </c>
      <c r="M6616" s="187">
        <v>5548.84521484375</v>
      </c>
      <c r="N6616" s="187">
        <v>5410</v>
      </c>
      <c r="O6616" t="s">
        <v>6663</v>
      </c>
    </row>
    <row r="6617" spans="1:15" hidden="1" x14ac:dyDescent="0.45">
      <c r="A6617" s="187">
        <v>2024</v>
      </c>
      <c r="B6617" t="s">
        <v>315</v>
      </c>
      <c r="C6617" t="s">
        <v>322</v>
      </c>
      <c r="D6617" t="s">
        <v>35</v>
      </c>
      <c r="E6617" t="s">
        <v>19</v>
      </c>
      <c r="F6617" t="s">
        <v>19</v>
      </c>
      <c r="G6617" t="s">
        <v>37</v>
      </c>
      <c r="H6617" t="s">
        <v>43</v>
      </c>
      <c r="I6617" s="187">
        <v>844.7874346867211</v>
      </c>
      <c r="J6617" s="187">
        <v>0</v>
      </c>
      <c r="K6617" s="187">
        <v>125.37887811669469</v>
      </c>
      <c r="L6617" s="187">
        <v>3408</v>
      </c>
      <c r="M6617" s="187">
        <v>4378.16650390625</v>
      </c>
      <c r="N6617" s="187">
        <v>4252.78759765625</v>
      </c>
      <c r="O6617" t="s">
        <v>6670</v>
      </c>
    </row>
    <row r="6618" spans="1:15" hidden="1" x14ac:dyDescent="0.45">
      <c r="A6618" s="187">
        <v>2024</v>
      </c>
      <c r="B6618" t="s">
        <v>316</v>
      </c>
      <c r="C6618" t="s">
        <v>322</v>
      </c>
      <c r="D6618" t="s">
        <v>35</v>
      </c>
      <c r="E6618" t="s">
        <v>19</v>
      </c>
      <c r="F6618" t="s">
        <v>19</v>
      </c>
      <c r="G6618" t="s">
        <v>37</v>
      </c>
      <c r="H6618" t="s">
        <v>43</v>
      </c>
      <c r="I6618" s="187">
        <v>845</v>
      </c>
      <c r="J6618" s="187">
        <v>0</v>
      </c>
      <c r="K6618" s="187">
        <v>123.97659564610061</v>
      </c>
      <c r="L6618" s="187">
        <v>6413</v>
      </c>
      <c r="M6618" s="187">
        <v>7381.9765625</v>
      </c>
      <c r="N6618" s="187">
        <v>7258</v>
      </c>
      <c r="O6618" t="s">
        <v>6666</v>
      </c>
    </row>
    <row r="6619" spans="1:15" hidden="1" x14ac:dyDescent="0.45">
      <c r="A6619" s="187">
        <v>2024</v>
      </c>
      <c r="B6619" t="s">
        <v>314</v>
      </c>
      <c r="C6619" t="s">
        <v>322</v>
      </c>
      <c r="D6619" t="s">
        <v>35</v>
      </c>
      <c r="E6619" t="s">
        <v>19</v>
      </c>
      <c r="F6619" t="s">
        <v>19</v>
      </c>
      <c r="G6619" t="s">
        <v>37</v>
      </c>
      <c r="H6619" t="s">
        <v>43</v>
      </c>
      <c r="I6619" s="187">
        <v>861.93661961086184</v>
      </c>
      <c r="J6619" s="187">
        <v>0</v>
      </c>
      <c r="K6619" s="187">
        <v>125.1440184705697</v>
      </c>
      <c r="L6619" s="187">
        <v>3423</v>
      </c>
      <c r="M6619" s="187">
        <v>4410.08056640625</v>
      </c>
      <c r="N6619" s="187">
        <v>4284.9365234375</v>
      </c>
      <c r="O6619" t="s">
        <v>6664</v>
      </c>
    </row>
    <row r="6620" spans="1:15" hidden="1" x14ac:dyDescent="0.45">
      <c r="A6620" s="187">
        <v>2024</v>
      </c>
      <c r="B6620" t="s">
        <v>313</v>
      </c>
      <c r="C6620" t="s">
        <v>322</v>
      </c>
      <c r="D6620" t="s">
        <v>35</v>
      </c>
      <c r="E6620" t="s">
        <v>19</v>
      </c>
      <c r="F6620" t="s">
        <v>19</v>
      </c>
      <c r="G6620" t="s">
        <v>37</v>
      </c>
      <c r="H6620" t="s">
        <v>43</v>
      </c>
      <c r="I6620" s="187">
        <v>876.93431679209039</v>
      </c>
      <c r="J6620" s="187">
        <v>11</v>
      </c>
      <c r="K6620" s="187">
        <v>125.8171346141384</v>
      </c>
      <c r="L6620" s="187">
        <v>2810</v>
      </c>
      <c r="M6620" s="187">
        <v>3823.75146484375</v>
      </c>
      <c r="N6620" s="187">
        <v>3686.934326171875</v>
      </c>
      <c r="O6620" t="s">
        <v>6669</v>
      </c>
    </row>
    <row r="6621" spans="1:15" hidden="1" x14ac:dyDescent="0.45">
      <c r="A6621" s="187">
        <v>2024</v>
      </c>
      <c r="B6621" t="s">
        <v>312</v>
      </c>
      <c r="C6621" t="s">
        <v>322</v>
      </c>
      <c r="D6621" t="s">
        <v>35</v>
      </c>
      <c r="E6621" t="s">
        <v>19</v>
      </c>
      <c r="F6621" t="s">
        <v>19</v>
      </c>
      <c r="G6621" t="s">
        <v>37</v>
      </c>
      <c r="H6621" t="s">
        <v>43</v>
      </c>
      <c r="I6621" s="187">
        <v>881.31898837605104</v>
      </c>
      <c r="J6621" s="187">
        <v>0</v>
      </c>
      <c r="K6621" s="187">
        <v>131.53038688373181</v>
      </c>
      <c r="L6621" s="187">
        <v>2013</v>
      </c>
      <c r="M6621" s="187">
        <v>3025.849365234375</v>
      </c>
      <c r="N6621" s="187">
        <v>2894.31884765625</v>
      </c>
      <c r="O6621" t="s">
        <v>6667</v>
      </c>
    </row>
    <row r="6622" spans="1:15" hidden="1" x14ac:dyDescent="0.45">
      <c r="A6622" s="187">
        <v>2024</v>
      </c>
      <c r="B6622" t="s">
        <v>8570</v>
      </c>
      <c r="C6622" t="s">
        <v>322</v>
      </c>
      <c r="D6622" t="s">
        <v>35</v>
      </c>
      <c r="E6622" t="s">
        <v>19</v>
      </c>
      <c r="F6622" t="s">
        <v>19</v>
      </c>
      <c r="G6622" t="s">
        <v>37</v>
      </c>
      <c r="H6622" t="s">
        <v>43</v>
      </c>
      <c r="I6622" s="187">
        <v>579.22165645344012</v>
      </c>
      <c r="J6622" s="187">
        <v>200</v>
      </c>
      <c r="K6622" s="187">
        <v>133.0103786470381</v>
      </c>
      <c r="L6622" s="187">
        <v>3090</v>
      </c>
      <c r="M6622" s="187">
        <v>4002.23193359375</v>
      </c>
      <c r="N6622" s="187">
        <v>3669.2216796875</v>
      </c>
      <c r="O6622" t="s">
        <v>8982</v>
      </c>
    </row>
    <row r="6623" spans="1:15" hidden="1" x14ac:dyDescent="0.45">
      <c r="A6623" s="187">
        <v>2024</v>
      </c>
      <c r="B6623" t="s">
        <v>317</v>
      </c>
      <c r="C6623" t="s">
        <v>322</v>
      </c>
      <c r="D6623" t="s">
        <v>35</v>
      </c>
      <c r="E6623" t="s">
        <v>19</v>
      </c>
      <c r="F6623" t="s">
        <v>19</v>
      </c>
      <c r="G6623" t="s">
        <v>37</v>
      </c>
      <c r="H6623" t="s">
        <v>43</v>
      </c>
      <c r="I6623" s="187">
        <v>902.02679999999998</v>
      </c>
      <c r="J6623" s="187">
        <v>0</v>
      </c>
      <c r="K6623" s="187">
        <v>127.2728758153153</v>
      </c>
      <c r="L6623" s="187">
        <v>4726</v>
      </c>
      <c r="M6623" s="187">
        <v>5755.2998046875</v>
      </c>
      <c r="N6623" s="187">
        <v>5628.02685546875</v>
      </c>
      <c r="O6623" t="s">
        <v>6665</v>
      </c>
    </row>
    <row r="6624" spans="1:15" hidden="1" x14ac:dyDescent="0.45">
      <c r="A6624" s="187">
        <v>2024</v>
      </c>
      <c r="B6624" t="s">
        <v>315</v>
      </c>
      <c r="C6624" t="s">
        <v>322</v>
      </c>
      <c r="D6624" t="s">
        <v>35</v>
      </c>
      <c r="E6624" t="s">
        <v>349</v>
      </c>
      <c r="F6624" t="s">
        <v>349</v>
      </c>
      <c r="G6624" t="s">
        <v>36</v>
      </c>
      <c r="H6624" t="s">
        <v>43</v>
      </c>
      <c r="I6624" s="187">
        <v>4701.1093601677576</v>
      </c>
      <c r="J6624" s="187">
        <v>464.44694883585072</v>
      </c>
      <c r="K6624" s="187">
        <v>4187.0046044955934</v>
      </c>
      <c r="L6624" s="187">
        <v>2709.6514673545244</v>
      </c>
      <c r="M6624" s="187">
        <v>12062.2119140625</v>
      </c>
      <c r="N6624" s="187">
        <v>7410.7607421875</v>
      </c>
      <c r="O6624" t="s">
        <v>6671</v>
      </c>
    </row>
    <row r="6625" spans="1:15" hidden="1" x14ac:dyDescent="0.45">
      <c r="A6625" s="187">
        <v>2024</v>
      </c>
      <c r="B6625" t="s">
        <v>317</v>
      </c>
      <c r="C6625" t="s">
        <v>322</v>
      </c>
      <c r="D6625" t="s">
        <v>35</v>
      </c>
      <c r="E6625" t="s">
        <v>349</v>
      </c>
      <c r="F6625" t="s">
        <v>349</v>
      </c>
      <c r="G6625" t="s">
        <v>36</v>
      </c>
      <c r="H6625" t="s">
        <v>43</v>
      </c>
      <c r="I6625" s="187">
        <v>5316.1047507783151</v>
      </c>
      <c r="J6625" s="187">
        <v>534.8520023648914</v>
      </c>
      <c r="K6625" s="187">
        <v>5130.8253322795281</v>
      </c>
      <c r="L6625" s="187">
        <v>3431.6968879007982</v>
      </c>
      <c r="M6625" s="187">
        <v>14413.4794921875</v>
      </c>
      <c r="N6625" s="187">
        <v>8747.8017578125</v>
      </c>
      <c r="O6625" t="s">
        <v>6672</v>
      </c>
    </row>
    <row r="6626" spans="1:15" hidden="1" x14ac:dyDescent="0.45">
      <c r="A6626" s="187">
        <v>2024</v>
      </c>
      <c r="B6626" t="s">
        <v>313</v>
      </c>
      <c r="C6626" t="s">
        <v>322</v>
      </c>
      <c r="D6626" t="s">
        <v>35</v>
      </c>
      <c r="E6626" t="s">
        <v>349</v>
      </c>
      <c r="F6626" t="s">
        <v>349</v>
      </c>
      <c r="G6626" t="s">
        <v>36</v>
      </c>
      <c r="H6626" t="s">
        <v>43</v>
      </c>
      <c r="I6626" s="187">
        <v>4432.1999357686327</v>
      </c>
      <c r="J6626" s="187">
        <v>539.05134353942822</v>
      </c>
      <c r="K6626" s="187">
        <v>4085.4672656266753</v>
      </c>
      <c r="L6626" s="187">
        <v>2031.6246192063784</v>
      </c>
      <c r="M6626" s="187">
        <v>11088.3427734375</v>
      </c>
      <c r="N6626" s="187">
        <v>6463.82421875</v>
      </c>
      <c r="O6626" t="s">
        <v>6676</v>
      </c>
    </row>
    <row r="6627" spans="1:15" hidden="1" x14ac:dyDescent="0.45">
      <c r="A6627" s="187">
        <v>2024</v>
      </c>
      <c r="B6627" t="s">
        <v>312</v>
      </c>
      <c r="C6627" t="s">
        <v>322</v>
      </c>
      <c r="D6627" t="s">
        <v>35</v>
      </c>
      <c r="E6627" t="s">
        <v>349</v>
      </c>
      <c r="F6627" t="s">
        <v>349</v>
      </c>
      <c r="G6627" t="s">
        <v>36</v>
      </c>
      <c r="H6627" t="s">
        <v>43</v>
      </c>
      <c r="I6627" s="187">
        <v>4513.4959612296916</v>
      </c>
      <c r="J6627" s="187">
        <v>741.94454157200414</v>
      </c>
      <c r="K6627" s="187">
        <v>4101.4616364556168</v>
      </c>
      <c r="L6627" s="187">
        <v>2087.3373102892383</v>
      </c>
      <c r="M6627" s="187">
        <v>11444.2392578125</v>
      </c>
      <c r="N6627" s="187">
        <v>6600.83349609375</v>
      </c>
      <c r="O6627" t="s">
        <v>6673</v>
      </c>
    </row>
    <row r="6628" spans="1:15" hidden="1" x14ac:dyDescent="0.45">
      <c r="A6628" s="187">
        <v>2024</v>
      </c>
      <c r="B6628" t="s">
        <v>316</v>
      </c>
      <c r="C6628" t="s">
        <v>322</v>
      </c>
      <c r="D6628" t="s">
        <v>35</v>
      </c>
      <c r="E6628" t="s">
        <v>349</v>
      </c>
      <c r="F6628" t="s">
        <v>349</v>
      </c>
      <c r="G6628" t="s">
        <v>36</v>
      </c>
      <c r="H6628" t="s">
        <v>43</v>
      </c>
      <c r="I6628" s="187">
        <v>4662.4684178448588</v>
      </c>
      <c r="J6628" s="187">
        <v>545.21965012467604</v>
      </c>
      <c r="K6628" s="187">
        <v>5067.8603750304183</v>
      </c>
      <c r="L6628" s="187">
        <v>3268.0135392321486</v>
      </c>
      <c r="M6628" s="187">
        <v>13543.5625</v>
      </c>
      <c r="N6628" s="187">
        <v>7930.48193359375</v>
      </c>
      <c r="O6628" t="s">
        <v>6678</v>
      </c>
    </row>
    <row r="6629" spans="1:15" hidden="1" x14ac:dyDescent="0.45">
      <c r="A6629" s="187">
        <v>2024</v>
      </c>
      <c r="B6629" t="s">
        <v>314</v>
      </c>
      <c r="C6629" t="s">
        <v>322</v>
      </c>
      <c r="D6629" t="s">
        <v>35</v>
      </c>
      <c r="E6629" t="s">
        <v>349</v>
      </c>
      <c r="F6629" t="s">
        <v>349</v>
      </c>
      <c r="G6629" t="s">
        <v>36</v>
      </c>
      <c r="H6629" t="s">
        <v>43</v>
      </c>
      <c r="I6629" s="187">
        <v>4251.595413010984</v>
      </c>
      <c r="J6629" s="187">
        <v>524.16929749450492</v>
      </c>
      <c r="K6629" s="187">
        <v>4987.4261844305356</v>
      </c>
      <c r="L6629" s="187">
        <v>2010.480461056701</v>
      </c>
      <c r="M6629" s="187">
        <v>11773.6708984375</v>
      </c>
      <c r="N6629" s="187">
        <v>6262.07568359375</v>
      </c>
      <c r="O6629" t="s">
        <v>6675</v>
      </c>
    </row>
    <row r="6630" spans="1:15" hidden="1" x14ac:dyDescent="0.45">
      <c r="A6630" s="187">
        <v>2024</v>
      </c>
      <c r="B6630" t="s">
        <v>311</v>
      </c>
      <c r="C6630" t="s">
        <v>322</v>
      </c>
      <c r="D6630" t="s">
        <v>35</v>
      </c>
      <c r="E6630" t="s">
        <v>349</v>
      </c>
      <c r="F6630" t="s">
        <v>349</v>
      </c>
      <c r="G6630" t="s">
        <v>36</v>
      </c>
      <c r="H6630" t="s">
        <v>43</v>
      </c>
      <c r="I6630" s="187"/>
      <c r="J6630" s="187">
        <v>803.43529727265252</v>
      </c>
      <c r="K6630" s="187">
        <v>4175.8903586790084</v>
      </c>
      <c r="L6630" s="187">
        <v>4072.0141336374277</v>
      </c>
      <c r="M6630" s="187">
        <v>9051.33984375</v>
      </c>
      <c r="N6630" s="187">
        <v>4072.01416015625</v>
      </c>
      <c r="O6630" t="s">
        <v>6674</v>
      </c>
    </row>
    <row r="6631" spans="1:15" hidden="1" x14ac:dyDescent="0.45">
      <c r="A6631" s="187">
        <v>2024</v>
      </c>
      <c r="B6631" t="s">
        <v>310</v>
      </c>
      <c r="C6631" t="s">
        <v>322</v>
      </c>
      <c r="D6631" t="s">
        <v>35</v>
      </c>
      <c r="E6631" t="s">
        <v>349</v>
      </c>
      <c r="F6631" t="s">
        <v>349</v>
      </c>
      <c r="G6631" t="s">
        <v>36</v>
      </c>
      <c r="H6631" t="s">
        <v>43</v>
      </c>
      <c r="I6631" s="187"/>
      <c r="J6631" s="187">
        <v>653.86041201132775</v>
      </c>
      <c r="K6631" s="187">
        <v>3708.9404130595981</v>
      </c>
      <c r="L6631" s="187">
        <v>4161.1676620400904</v>
      </c>
      <c r="M6631" s="187">
        <v>8523.96875</v>
      </c>
      <c r="N6631" s="187">
        <v>4161.16748046875</v>
      </c>
      <c r="O6631" t="s">
        <v>6677</v>
      </c>
    </row>
    <row r="6632" spans="1:15" hidden="1" x14ac:dyDescent="0.45">
      <c r="A6632" s="187">
        <v>2024</v>
      </c>
      <c r="B6632" t="s">
        <v>8570</v>
      </c>
      <c r="C6632" t="s">
        <v>322</v>
      </c>
      <c r="D6632" t="s">
        <v>35</v>
      </c>
      <c r="E6632" t="s">
        <v>349</v>
      </c>
      <c r="F6632" t="s">
        <v>349</v>
      </c>
      <c r="G6632" t="s">
        <v>36</v>
      </c>
      <c r="H6632" t="s">
        <v>43</v>
      </c>
      <c r="I6632" s="187">
        <v>3043.4560956800001</v>
      </c>
      <c r="J6632" s="187">
        <v>495</v>
      </c>
      <c r="K6632" s="187">
        <v>5859.9241423824078</v>
      </c>
      <c r="L6632" s="187">
        <v>3059</v>
      </c>
      <c r="M6632" s="187">
        <v>12457.3798828125</v>
      </c>
      <c r="N6632" s="187">
        <v>6102.4560546875</v>
      </c>
      <c r="O6632" t="s">
        <v>8983</v>
      </c>
    </row>
    <row r="6633" spans="1:15" hidden="1" x14ac:dyDescent="0.45">
      <c r="A6633" s="187">
        <v>2024</v>
      </c>
      <c r="B6633" t="s">
        <v>313</v>
      </c>
      <c r="C6633" t="s">
        <v>322</v>
      </c>
      <c r="D6633" t="s">
        <v>35</v>
      </c>
      <c r="E6633" t="s">
        <v>349</v>
      </c>
      <c r="F6633" t="s">
        <v>349</v>
      </c>
      <c r="G6633" t="s">
        <v>37</v>
      </c>
      <c r="H6633" t="s">
        <v>43</v>
      </c>
      <c r="I6633" s="187">
        <v>4241.3816629159928</v>
      </c>
      <c r="J6633" s="187">
        <v>517</v>
      </c>
      <c r="K6633" s="187">
        <v>3900.1244754108611</v>
      </c>
      <c r="L6633" s="187">
        <v>1963</v>
      </c>
      <c r="M6633" s="187">
        <v>10621.505859375</v>
      </c>
      <c r="N6633" s="187">
        <v>6204.3818359375</v>
      </c>
      <c r="O6633" t="s">
        <v>6686</v>
      </c>
    </row>
    <row r="6634" spans="1:15" hidden="1" x14ac:dyDescent="0.45">
      <c r="A6634" s="187">
        <v>2024</v>
      </c>
      <c r="B6634" t="s">
        <v>315</v>
      </c>
      <c r="C6634" t="s">
        <v>322</v>
      </c>
      <c r="D6634" t="s">
        <v>35</v>
      </c>
      <c r="E6634" t="s">
        <v>349</v>
      </c>
      <c r="F6634" t="s">
        <v>349</v>
      </c>
      <c r="G6634" t="s">
        <v>37</v>
      </c>
      <c r="H6634" t="s">
        <v>43</v>
      </c>
      <c r="I6634" s="187">
        <v>4582.833796012932</v>
      </c>
      <c r="J6634" s="187">
        <v>444</v>
      </c>
      <c r="K6634" s="187">
        <v>4070.7041526520561</v>
      </c>
      <c r="L6634" s="187">
        <v>2641</v>
      </c>
      <c r="M6634" s="187">
        <v>11738.5380859375</v>
      </c>
      <c r="N6634" s="187">
        <v>7223.833984375</v>
      </c>
      <c r="O6634" t="s">
        <v>6683</v>
      </c>
    </row>
    <row r="6635" spans="1:15" hidden="1" x14ac:dyDescent="0.45">
      <c r="A6635" s="187">
        <v>2024</v>
      </c>
      <c r="B6635" t="s">
        <v>8570</v>
      </c>
      <c r="C6635" t="s">
        <v>322</v>
      </c>
      <c r="D6635" t="s">
        <v>35</v>
      </c>
      <c r="E6635" t="s">
        <v>349</v>
      </c>
      <c r="F6635" t="s">
        <v>349</v>
      </c>
      <c r="G6635" t="s">
        <v>37</v>
      </c>
      <c r="H6635" t="s">
        <v>43</v>
      </c>
      <c r="I6635" s="187">
        <v>3166.411721945472</v>
      </c>
      <c r="J6635" s="187">
        <v>495</v>
      </c>
      <c r="K6635" s="187">
        <v>6116.4371452678452</v>
      </c>
      <c r="L6635" s="187">
        <v>3386</v>
      </c>
      <c r="M6635" s="187">
        <v>13163.8486328125</v>
      </c>
      <c r="N6635" s="187">
        <v>6552.41162109375</v>
      </c>
      <c r="O6635" t="s">
        <v>8984</v>
      </c>
    </row>
    <row r="6636" spans="1:15" hidden="1" x14ac:dyDescent="0.45">
      <c r="A6636" s="187">
        <v>2024</v>
      </c>
      <c r="B6636" t="s">
        <v>312</v>
      </c>
      <c r="C6636" t="s">
        <v>322</v>
      </c>
      <c r="D6636" t="s">
        <v>35</v>
      </c>
      <c r="E6636" t="s">
        <v>349</v>
      </c>
      <c r="F6636" t="s">
        <v>349</v>
      </c>
      <c r="G6636" t="s">
        <v>37</v>
      </c>
      <c r="H6636" t="s">
        <v>43</v>
      </c>
      <c r="I6636" s="187">
        <v>4204.9860229707019</v>
      </c>
      <c r="J6636" s="187">
        <v>703</v>
      </c>
      <c r="K6636" s="187">
        <v>3874.1677591208272</v>
      </c>
      <c r="L6636" s="187">
        <v>1983</v>
      </c>
      <c r="M6636" s="187">
        <v>10765.1533203125</v>
      </c>
      <c r="N6636" s="187">
        <v>6187.98583984375</v>
      </c>
      <c r="O6636" t="s">
        <v>6679</v>
      </c>
    </row>
    <row r="6637" spans="1:15" hidden="1" x14ac:dyDescent="0.45">
      <c r="A6637" s="187">
        <v>2024</v>
      </c>
      <c r="B6637" t="s">
        <v>316</v>
      </c>
      <c r="C6637" t="s">
        <v>322</v>
      </c>
      <c r="D6637" t="s">
        <v>35</v>
      </c>
      <c r="E6637" t="s">
        <v>349</v>
      </c>
      <c r="F6637" t="s">
        <v>349</v>
      </c>
      <c r="G6637" t="s">
        <v>37</v>
      </c>
      <c r="H6637" t="s">
        <v>43</v>
      </c>
      <c r="I6637" s="187">
        <v>4583</v>
      </c>
      <c r="J6637" s="187">
        <v>495</v>
      </c>
      <c r="K6637" s="187">
        <v>4891.3382390817951</v>
      </c>
      <c r="L6637" s="187">
        <v>3280</v>
      </c>
      <c r="M6637" s="187">
        <v>13249.337890625</v>
      </c>
      <c r="N6637" s="187">
        <v>7863</v>
      </c>
      <c r="O6637" t="s">
        <v>6684</v>
      </c>
    </row>
    <row r="6638" spans="1:15" hidden="1" x14ac:dyDescent="0.45">
      <c r="A6638" s="187">
        <v>2024</v>
      </c>
      <c r="B6638" t="s">
        <v>311</v>
      </c>
      <c r="C6638" t="s">
        <v>322</v>
      </c>
      <c r="D6638" t="s">
        <v>35</v>
      </c>
      <c r="E6638" t="s">
        <v>349</v>
      </c>
      <c r="F6638" t="s">
        <v>349</v>
      </c>
      <c r="G6638" t="s">
        <v>37</v>
      </c>
      <c r="H6638" t="s">
        <v>43</v>
      </c>
      <c r="I6638" s="187"/>
      <c r="J6638" s="187">
        <v>754</v>
      </c>
      <c r="K6638" s="187">
        <v>3884.7098709658949</v>
      </c>
      <c r="L6638" s="187">
        <v>4033</v>
      </c>
      <c r="M6638" s="187">
        <v>8671.7099609375</v>
      </c>
      <c r="N6638" s="187">
        <v>4033</v>
      </c>
      <c r="O6638" t="s">
        <v>6680</v>
      </c>
    </row>
    <row r="6639" spans="1:15" hidden="1" x14ac:dyDescent="0.45">
      <c r="A6639" s="187">
        <v>2024</v>
      </c>
      <c r="B6639" t="s">
        <v>317</v>
      </c>
      <c r="C6639" t="s">
        <v>322</v>
      </c>
      <c r="D6639" t="s">
        <v>35</v>
      </c>
      <c r="E6639" t="s">
        <v>349</v>
      </c>
      <c r="F6639" t="s">
        <v>349</v>
      </c>
      <c r="G6639" t="s">
        <v>37</v>
      </c>
      <c r="H6639" t="s">
        <v>43</v>
      </c>
      <c r="I6639" s="187">
        <v>5221.5858837359992</v>
      </c>
      <c r="J6639" s="187">
        <v>495</v>
      </c>
      <c r="K6639" s="187">
        <v>5008.4589367782191</v>
      </c>
      <c r="L6639" s="187">
        <v>3339</v>
      </c>
      <c r="M6639" s="187">
        <v>14064.044921875</v>
      </c>
      <c r="N6639" s="187">
        <v>8560.5859375</v>
      </c>
      <c r="O6639" t="s">
        <v>6682</v>
      </c>
    </row>
    <row r="6640" spans="1:15" hidden="1" x14ac:dyDescent="0.45">
      <c r="A6640" s="187">
        <v>2024</v>
      </c>
      <c r="B6640" t="s">
        <v>310</v>
      </c>
      <c r="C6640" t="s">
        <v>322</v>
      </c>
      <c r="D6640" t="s">
        <v>35</v>
      </c>
      <c r="E6640" t="s">
        <v>349</v>
      </c>
      <c r="F6640" t="s">
        <v>349</v>
      </c>
      <c r="G6640" t="s">
        <v>37</v>
      </c>
      <c r="H6640" t="s">
        <v>43</v>
      </c>
      <c r="I6640" s="187"/>
      <c r="J6640" s="187">
        <v>611</v>
      </c>
      <c r="K6640" s="187">
        <v>3471.1280536188142</v>
      </c>
      <c r="L6640" s="187">
        <v>4115</v>
      </c>
      <c r="M6640" s="187">
        <v>8197.1279296875</v>
      </c>
      <c r="N6640" s="187">
        <v>4115</v>
      </c>
      <c r="O6640" t="s">
        <v>6681</v>
      </c>
    </row>
    <row r="6641" spans="1:15" hidden="1" x14ac:dyDescent="0.45">
      <c r="A6641" s="187">
        <v>2024</v>
      </c>
      <c r="B6641" t="s">
        <v>314</v>
      </c>
      <c r="C6641" t="s">
        <v>322</v>
      </c>
      <c r="D6641" t="s">
        <v>35</v>
      </c>
      <c r="E6641" t="s">
        <v>349</v>
      </c>
      <c r="F6641" t="s">
        <v>349</v>
      </c>
      <c r="G6641" t="s">
        <v>37</v>
      </c>
      <c r="H6641" t="s">
        <v>43</v>
      </c>
      <c r="I6641" s="187">
        <v>4112.5080543524782</v>
      </c>
      <c r="J6641" s="187">
        <v>507</v>
      </c>
      <c r="K6641" s="187">
        <v>4830.7945984580583</v>
      </c>
      <c r="L6641" s="187">
        <v>2077</v>
      </c>
      <c r="M6641" s="187">
        <v>11527.302734375</v>
      </c>
      <c r="N6641" s="187">
        <v>6189.5078125</v>
      </c>
      <c r="O6641" t="s">
        <v>6685</v>
      </c>
    </row>
    <row r="6642" spans="1:15" hidden="1" x14ac:dyDescent="0.45">
      <c r="A6642" s="187">
        <v>2024</v>
      </c>
      <c r="B6642" t="s">
        <v>311</v>
      </c>
      <c r="C6642" t="s">
        <v>322</v>
      </c>
      <c r="D6642" t="s">
        <v>35</v>
      </c>
      <c r="E6642" t="s">
        <v>46</v>
      </c>
      <c r="F6642" t="s">
        <v>46</v>
      </c>
      <c r="G6642" t="s">
        <v>37</v>
      </c>
      <c r="H6642" t="s">
        <v>43</v>
      </c>
      <c r="I6642" s="187"/>
      <c r="J6642" s="187">
        <v>1120</v>
      </c>
      <c r="K6642" s="187">
        <v>14313.4013608079</v>
      </c>
      <c r="L6642" s="187">
        <v>25348</v>
      </c>
      <c r="M6642" s="187">
        <v>40781.40234375</v>
      </c>
      <c r="N6642" s="187">
        <v>25348</v>
      </c>
      <c r="O6642" t="s">
        <v>6687</v>
      </c>
    </row>
    <row r="6643" spans="1:15" hidden="1" x14ac:dyDescent="0.45">
      <c r="A6643" s="187">
        <v>2024</v>
      </c>
      <c r="B6643" t="s">
        <v>315</v>
      </c>
      <c r="C6643" t="s">
        <v>322</v>
      </c>
      <c r="D6643" t="s">
        <v>35</v>
      </c>
      <c r="E6643" t="s">
        <v>46</v>
      </c>
      <c r="F6643" t="s">
        <v>46</v>
      </c>
      <c r="G6643" t="s">
        <v>37</v>
      </c>
      <c r="H6643" t="s">
        <v>43</v>
      </c>
      <c r="I6643" s="187">
        <v>17240.122815035109</v>
      </c>
      <c r="J6643" s="187">
        <v>920</v>
      </c>
      <c r="K6643" s="187">
        <v>17905.01143347282</v>
      </c>
      <c r="L6643" s="187">
        <v>19905</v>
      </c>
      <c r="M6643" s="187">
        <v>55970.1328125</v>
      </c>
      <c r="N6643" s="187">
        <v>37145.125</v>
      </c>
      <c r="O6643" t="s">
        <v>6692</v>
      </c>
    </row>
    <row r="6644" spans="1:15" hidden="1" x14ac:dyDescent="0.45">
      <c r="A6644" s="187">
        <v>2024</v>
      </c>
      <c r="B6644" t="s">
        <v>313</v>
      </c>
      <c r="C6644" t="s">
        <v>322</v>
      </c>
      <c r="D6644" t="s">
        <v>35</v>
      </c>
      <c r="E6644" t="s">
        <v>46</v>
      </c>
      <c r="F6644" t="s">
        <v>46</v>
      </c>
      <c r="G6644" t="s">
        <v>37</v>
      </c>
      <c r="H6644" t="s">
        <v>43</v>
      </c>
      <c r="I6644" s="187">
        <v>12255.03027512199</v>
      </c>
      <c r="J6644" s="187">
        <v>884</v>
      </c>
      <c r="K6644" s="187">
        <v>16276.389084209681</v>
      </c>
      <c r="L6644" s="187"/>
      <c r="M6644" s="187">
        <v>29415.419921875</v>
      </c>
      <c r="N6644" s="187">
        <v>12255.0302734375</v>
      </c>
      <c r="O6644" t="s">
        <v>6688</v>
      </c>
    </row>
    <row r="6645" spans="1:15" hidden="1" x14ac:dyDescent="0.45">
      <c r="A6645" s="187">
        <v>2024</v>
      </c>
      <c r="B6645" t="s">
        <v>314</v>
      </c>
      <c r="C6645" t="s">
        <v>322</v>
      </c>
      <c r="D6645" t="s">
        <v>35</v>
      </c>
      <c r="E6645" t="s">
        <v>46</v>
      </c>
      <c r="F6645" t="s">
        <v>46</v>
      </c>
      <c r="G6645" t="s">
        <v>37</v>
      </c>
      <c r="H6645" t="s">
        <v>43</v>
      </c>
      <c r="I6645" s="187">
        <v>16846.46571479056</v>
      </c>
      <c r="J6645" s="187">
        <v>878</v>
      </c>
      <c r="K6645" s="187">
        <v>17639.397654000761</v>
      </c>
      <c r="L6645" s="187">
        <v>19625</v>
      </c>
      <c r="M6645" s="187">
        <v>54988.86328125</v>
      </c>
      <c r="N6645" s="187">
        <v>36471.46484375</v>
      </c>
      <c r="O6645" t="s">
        <v>6691</v>
      </c>
    </row>
    <row r="6646" spans="1:15" hidden="1" x14ac:dyDescent="0.45">
      <c r="A6646" s="187">
        <v>2024</v>
      </c>
      <c r="B6646" t="s">
        <v>8570</v>
      </c>
      <c r="C6646" t="s">
        <v>322</v>
      </c>
      <c r="D6646" t="s">
        <v>35</v>
      </c>
      <c r="E6646" t="s">
        <v>46</v>
      </c>
      <c r="F6646" t="s">
        <v>46</v>
      </c>
      <c r="G6646" t="s">
        <v>37</v>
      </c>
      <c r="H6646" t="s">
        <v>43</v>
      </c>
      <c r="I6646" s="187"/>
      <c r="J6646" s="187">
        <v>1300.333333333333</v>
      </c>
      <c r="K6646" s="187">
        <v>19164.50182840159</v>
      </c>
      <c r="L6646" s="187">
        <v>5631</v>
      </c>
      <c r="M6646" s="187">
        <v>26095.8359375</v>
      </c>
      <c r="N6646" s="187">
        <v>5631</v>
      </c>
      <c r="O6646" t="s">
        <v>8985</v>
      </c>
    </row>
    <row r="6647" spans="1:15" hidden="1" x14ac:dyDescent="0.45">
      <c r="A6647" s="187">
        <v>2024</v>
      </c>
      <c r="B6647" t="s">
        <v>317</v>
      </c>
      <c r="C6647" t="s">
        <v>322</v>
      </c>
      <c r="D6647" t="s">
        <v>35</v>
      </c>
      <c r="E6647" t="s">
        <v>46</v>
      </c>
      <c r="F6647" t="s">
        <v>46</v>
      </c>
      <c r="G6647" t="s">
        <v>37</v>
      </c>
      <c r="H6647" t="s">
        <v>43</v>
      </c>
      <c r="I6647" s="187">
        <v>15712.49276060722</v>
      </c>
      <c r="J6647" s="187">
        <v>1000</v>
      </c>
      <c r="K6647" s="187">
        <v>18746.87926529266</v>
      </c>
      <c r="L6647" s="187">
        <v>7093</v>
      </c>
      <c r="M6647" s="187">
        <v>42552.37109375</v>
      </c>
      <c r="N6647" s="187">
        <v>22805.4921875</v>
      </c>
      <c r="O6647" t="s">
        <v>6689</v>
      </c>
    </row>
    <row r="6648" spans="1:15" hidden="1" x14ac:dyDescent="0.45">
      <c r="A6648" s="187">
        <v>2024</v>
      </c>
      <c r="B6648" t="s">
        <v>312</v>
      </c>
      <c r="C6648" t="s">
        <v>322</v>
      </c>
      <c r="D6648" t="s">
        <v>35</v>
      </c>
      <c r="E6648" t="s">
        <v>46</v>
      </c>
      <c r="F6648" t="s">
        <v>46</v>
      </c>
      <c r="G6648" t="s">
        <v>37</v>
      </c>
      <c r="H6648" t="s">
        <v>43</v>
      </c>
      <c r="I6648" s="187">
        <v>11618.42432732528</v>
      </c>
      <c r="J6648" s="187">
        <v>1119</v>
      </c>
      <c r="K6648" s="187">
        <v>14624.06998921464</v>
      </c>
      <c r="L6648" s="187">
        <v>20499</v>
      </c>
      <c r="M6648" s="187">
        <v>47860.4921875</v>
      </c>
      <c r="N6648" s="187">
        <v>32117.42578125</v>
      </c>
      <c r="O6648" t="s">
        <v>6690</v>
      </c>
    </row>
    <row r="6649" spans="1:15" hidden="1" x14ac:dyDescent="0.45">
      <c r="A6649" s="187">
        <v>2024</v>
      </c>
      <c r="B6649" t="s">
        <v>316</v>
      </c>
      <c r="C6649" t="s">
        <v>322</v>
      </c>
      <c r="D6649" t="s">
        <v>35</v>
      </c>
      <c r="E6649" t="s">
        <v>46</v>
      </c>
      <c r="F6649" t="s">
        <v>46</v>
      </c>
      <c r="G6649" t="s">
        <v>37</v>
      </c>
      <c r="H6649" t="s">
        <v>43</v>
      </c>
      <c r="I6649" s="187">
        <v>17118</v>
      </c>
      <c r="J6649" s="187">
        <v>899</v>
      </c>
      <c r="K6649" s="187">
        <v>18293.765282090138</v>
      </c>
      <c r="L6649" s="187">
        <v>27450</v>
      </c>
      <c r="M6649" s="187">
        <v>63760.765625</v>
      </c>
      <c r="N6649" s="187">
        <v>44568</v>
      </c>
      <c r="O6649" t="s">
        <v>6693</v>
      </c>
    </row>
    <row r="6650" spans="1:15" hidden="1" x14ac:dyDescent="0.45">
      <c r="A6650" s="187">
        <v>2024</v>
      </c>
      <c r="B6650" t="s">
        <v>315</v>
      </c>
      <c r="C6650" t="s">
        <v>322</v>
      </c>
      <c r="D6650" t="s">
        <v>35</v>
      </c>
      <c r="E6650" t="s">
        <v>350</v>
      </c>
      <c r="F6650" t="s">
        <v>350</v>
      </c>
      <c r="G6650" t="s">
        <v>37</v>
      </c>
      <c r="H6650" t="s">
        <v>43</v>
      </c>
      <c r="I6650" s="187">
        <v>17418.06669256946</v>
      </c>
      <c r="J6650" s="187">
        <v>920</v>
      </c>
      <c r="K6650" s="187">
        <v>17957.53537796417</v>
      </c>
      <c r="L6650" s="187">
        <v>19928</v>
      </c>
      <c r="M6650" s="187">
        <v>56223.6015625</v>
      </c>
      <c r="N6650" s="187">
        <v>37346.06640625</v>
      </c>
      <c r="O6650" t="s">
        <v>6695</v>
      </c>
    </row>
    <row r="6651" spans="1:15" hidden="1" x14ac:dyDescent="0.45">
      <c r="A6651" s="187">
        <v>2024</v>
      </c>
      <c r="B6651" t="s">
        <v>317</v>
      </c>
      <c r="C6651" t="s">
        <v>322</v>
      </c>
      <c r="D6651" t="s">
        <v>35</v>
      </c>
      <c r="E6651" t="s">
        <v>350</v>
      </c>
      <c r="F6651" t="s">
        <v>350</v>
      </c>
      <c r="G6651" t="s">
        <v>37</v>
      </c>
      <c r="H6651" t="s">
        <v>43</v>
      </c>
      <c r="I6651" s="187">
        <v>15750.964193892751</v>
      </c>
      <c r="J6651" s="187">
        <v>1000</v>
      </c>
      <c r="K6651" s="187">
        <v>18711.49280721692</v>
      </c>
      <c r="L6651" s="187">
        <v>7090</v>
      </c>
      <c r="M6651" s="187">
        <v>42552.45703125</v>
      </c>
      <c r="N6651" s="187">
        <v>22840.96484375</v>
      </c>
      <c r="O6651" t="s">
        <v>6698</v>
      </c>
    </row>
    <row r="6652" spans="1:15" hidden="1" x14ac:dyDescent="0.45">
      <c r="A6652" s="187">
        <v>2024</v>
      </c>
      <c r="B6652" t="s">
        <v>314</v>
      </c>
      <c r="C6652" t="s">
        <v>322</v>
      </c>
      <c r="D6652" t="s">
        <v>35</v>
      </c>
      <c r="E6652" t="s">
        <v>350</v>
      </c>
      <c r="F6652" t="s">
        <v>350</v>
      </c>
      <c r="G6652" t="s">
        <v>37</v>
      </c>
      <c r="H6652" t="s">
        <v>43</v>
      </c>
      <c r="I6652" s="187">
        <v>17306.91977772407</v>
      </c>
      <c r="J6652" s="187">
        <v>878</v>
      </c>
      <c r="K6652" s="187">
        <v>17676.73425808514</v>
      </c>
      <c r="L6652" s="187">
        <v>18645.62495204341</v>
      </c>
      <c r="M6652" s="187">
        <v>54507.27734375</v>
      </c>
      <c r="N6652" s="187">
        <v>35952.54296875</v>
      </c>
      <c r="O6652" t="s">
        <v>6699</v>
      </c>
    </row>
    <row r="6653" spans="1:15" hidden="1" x14ac:dyDescent="0.45">
      <c r="A6653" s="187">
        <v>2024</v>
      </c>
      <c r="B6653" t="s">
        <v>8570</v>
      </c>
      <c r="C6653" t="s">
        <v>322</v>
      </c>
      <c r="D6653" t="s">
        <v>35</v>
      </c>
      <c r="E6653" t="s">
        <v>350</v>
      </c>
      <c r="F6653" t="s">
        <v>350</v>
      </c>
      <c r="G6653" t="s">
        <v>37</v>
      </c>
      <c r="H6653" t="s">
        <v>43</v>
      </c>
      <c r="I6653" s="187">
        <v>11916.15627730776</v>
      </c>
      <c r="J6653" s="187">
        <v>1300.333333333333</v>
      </c>
      <c r="K6653" s="187">
        <v>19148.995853899662</v>
      </c>
      <c r="L6653" s="187">
        <v>5640</v>
      </c>
      <c r="M6653" s="187">
        <v>38005.484375</v>
      </c>
      <c r="N6653" s="187">
        <v>17556.15625</v>
      </c>
      <c r="O6653" t="s">
        <v>8986</v>
      </c>
    </row>
    <row r="6654" spans="1:15" hidden="1" x14ac:dyDescent="0.45">
      <c r="A6654" s="187">
        <v>2024</v>
      </c>
      <c r="B6654" t="s">
        <v>311</v>
      </c>
      <c r="C6654" t="s">
        <v>322</v>
      </c>
      <c r="D6654" t="s">
        <v>35</v>
      </c>
      <c r="E6654" t="s">
        <v>350</v>
      </c>
      <c r="F6654" t="s">
        <v>350</v>
      </c>
      <c r="G6654" t="s">
        <v>37</v>
      </c>
      <c r="H6654" t="s">
        <v>43</v>
      </c>
      <c r="I6654" s="187"/>
      <c r="J6654" s="187">
        <v>1120</v>
      </c>
      <c r="K6654" s="187">
        <v>14307.46267359894</v>
      </c>
      <c r="L6654" s="187">
        <v>26155</v>
      </c>
      <c r="M6654" s="187">
        <v>41582.4609375</v>
      </c>
      <c r="N6654" s="187">
        <v>26155</v>
      </c>
      <c r="O6654" t="s">
        <v>6697</v>
      </c>
    </row>
    <row r="6655" spans="1:15" hidden="1" x14ac:dyDescent="0.45">
      <c r="A6655" s="187">
        <v>2024</v>
      </c>
      <c r="B6655" t="s">
        <v>312</v>
      </c>
      <c r="C6655" t="s">
        <v>322</v>
      </c>
      <c r="D6655" t="s">
        <v>35</v>
      </c>
      <c r="E6655" t="s">
        <v>350</v>
      </c>
      <c r="F6655" t="s">
        <v>350</v>
      </c>
      <c r="G6655" t="s">
        <v>37</v>
      </c>
      <c r="H6655" t="s">
        <v>43</v>
      </c>
      <c r="I6655" s="187">
        <v>12766.380267746161</v>
      </c>
      <c r="J6655" s="187">
        <v>1119</v>
      </c>
      <c r="K6655" s="187">
        <v>14665.45813207261</v>
      </c>
      <c r="L6655" s="187">
        <v>20499</v>
      </c>
      <c r="M6655" s="187">
        <v>49049.8359375</v>
      </c>
      <c r="N6655" s="187">
        <v>33265.37890625</v>
      </c>
      <c r="O6655" t="s">
        <v>6696</v>
      </c>
    </row>
    <row r="6656" spans="1:15" hidden="1" x14ac:dyDescent="0.45">
      <c r="A6656" s="187">
        <v>2024</v>
      </c>
      <c r="B6656" t="s">
        <v>316</v>
      </c>
      <c r="C6656" t="s">
        <v>322</v>
      </c>
      <c r="D6656" t="s">
        <v>35</v>
      </c>
      <c r="E6656" t="s">
        <v>350</v>
      </c>
      <c r="F6656" t="s">
        <v>350</v>
      </c>
      <c r="G6656" t="s">
        <v>37</v>
      </c>
      <c r="H6656" t="s">
        <v>43</v>
      </c>
      <c r="I6656" s="187">
        <v>17303</v>
      </c>
      <c r="J6656" s="187">
        <v>899</v>
      </c>
      <c r="K6656" s="187">
        <v>18322.360415614741</v>
      </c>
      <c r="L6656" s="187">
        <v>28004</v>
      </c>
      <c r="M6656" s="187">
        <v>64528.359375</v>
      </c>
      <c r="N6656" s="187">
        <v>45307</v>
      </c>
      <c r="O6656" t="s">
        <v>6701</v>
      </c>
    </row>
    <row r="6657" spans="1:15" hidden="1" x14ac:dyDescent="0.45">
      <c r="A6657" s="187">
        <v>2024</v>
      </c>
      <c r="B6657" t="s">
        <v>313</v>
      </c>
      <c r="C6657" t="s">
        <v>322</v>
      </c>
      <c r="D6657" t="s">
        <v>35</v>
      </c>
      <c r="E6657" t="s">
        <v>350</v>
      </c>
      <c r="F6657" t="s">
        <v>350</v>
      </c>
      <c r="G6657" t="s">
        <v>37</v>
      </c>
      <c r="H6657" t="s">
        <v>43</v>
      </c>
      <c r="I6657" s="187">
        <v>12260.059054646841</v>
      </c>
      <c r="J6657" s="187">
        <v>884</v>
      </c>
      <c r="K6657" s="187">
        <v>16385.19518678504</v>
      </c>
      <c r="L6657" s="187">
        <v>23257.28441503298</v>
      </c>
      <c r="M6657" s="187">
        <v>52786.5390625</v>
      </c>
      <c r="N6657" s="187">
        <v>35517.34375</v>
      </c>
      <c r="O6657" t="s">
        <v>6700</v>
      </c>
    </row>
    <row r="6658" spans="1:15" hidden="1" x14ac:dyDescent="0.45">
      <c r="A6658" s="187">
        <v>2024</v>
      </c>
      <c r="B6658" t="s">
        <v>310</v>
      </c>
      <c r="C6658" t="s">
        <v>322</v>
      </c>
      <c r="D6658" t="s">
        <v>35</v>
      </c>
      <c r="E6658" t="s">
        <v>350</v>
      </c>
      <c r="F6658" t="s">
        <v>350</v>
      </c>
      <c r="G6658" t="s">
        <v>37</v>
      </c>
      <c r="H6658" t="s">
        <v>43</v>
      </c>
      <c r="I6658" s="187"/>
      <c r="J6658" s="187">
        <v>893</v>
      </c>
      <c r="K6658" s="187">
        <v>15486.44874435666</v>
      </c>
      <c r="L6658" s="187">
        <v>24232</v>
      </c>
      <c r="M6658" s="187">
        <v>40611.44921875</v>
      </c>
      <c r="N6658" s="187">
        <v>24232</v>
      </c>
      <c r="O6658" t="s">
        <v>6694</v>
      </c>
    </row>
    <row r="6659" spans="1:15" hidden="1" x14ac:dyDescent="0.45">
      <c r="A6659" s="187">
        <v>2024</v>
      </c>
      <c r="B6659" t="s">
        <v>311</v>
      </c>
      <c r="C6659" t="s">
        <v>322</v>
      </c>
      <c r="D6659" t="s">
        <v>35</v>
      </c>
      <c r="E6659" t="s">
        <v>16</v>
      </c>
      <c r="F6659" t="s">
        <v>16</v>
      </c>
      <c r="G6659" t="s">
        <v>36</v>
      </c>
      <c r="H6659" t="s">
        <v>43</v>
      </c>
      <c r="I6659" s="187"/>
      <c r="J6659" s="187">
        <v>127.5294122655004</v>
      </c>
      <c r="K6659" s="187">
        <v>5284.5317066142279</v>
      </c>
      <c r="L6659" s="187">
        <v>21246.400083432367</v>
      </c>
      <c r="M6659" s="187">
        <v>26658.4609375</v>
      </c>
      <c r="N6659" s="187">
        <v>21246.400390625</v>
      </c>
      <c r="O6659" t="s">
        <v>6702</v>
      </c>
    </row>
    <row r="6660" spans="1:15" hidden="1" x14ac:dyDescent="0.45">
      <c r="A6660" s="187">
        <v>2024</v>
      </c>
      <c r="B6660" t="s">
        <v>312</v>
      </c>
      <c r="C6660" t="s">
        <v>322</v>
      </c>
      <c r="D6660" t="s">
        <v>35</v>
      </c>
      <c r="E6660" t="s">
        <v>16</v>
      </c>
      <c r="F6660" t="s">
        <v>16</v>
      </c>
      <c r="G6660" t="s">
        <v>36</v>
      </c>
      <c r="H6660" t="s">
        <v>43</v>
      </c>
      <c r="I6660" s="187">
        <v>6275.6038822834616</v>
      </c>
      <c r="J6660" s="187">
        <v>129.84029477510072</v>
      </c>
      <c r="K6660" s="187">
        <v>4953.4863213983072</v>
      </c>
      <c r="L6660" s="187">
        <v>18029.252360199702</v>
      </c>
      <c r="M6660" s="187">
        <v>29388.18359375</v>
      </c>
      <c r="N6660" s="187">
        <v>24304.85546875</v>
      </c>
      <c r="O6660" t="s">
        <v>6705</v>
      </c>
    </row>
    <row r="6661" spans="1:15" hidden="1" x14ac:dyDescent="0.45">
      <c r="A6661" s="187">
        <v>2024</v>
      </c>
      <c r="B6661" t="s">
        <v>310</v>
      </c>
      <c r="C6661" t="s">
        <v>322</v>
      </c>
      <c r="D6661" t="s">
        <v>35</v>
      </c>
      <c r="E6661" t="s">
        <v>16</v>
      </c>
      <c r="F6661" t="s">
        <v>16</v>
      </c>
      <c r="G6661" t="s">
        <v>36</v>
      </c>
      <c r="H6661" t="s">
        <v>43</v>
      </c>
      <c r="I6661" s="187"/>
      <c r="J6661" s="187">
        <v>104.61766592181245</v>
      </c>
      <c r="K6661" s="187">
        <v>5454.5035666050026</v>
      </c>
      <c r="L6661" s="187">
        <v>19082.26226413859</v>
      </c>
      <c r="M6661" s="187">
        <v>24641.3828125</v>
      </c>
      <c r="N6661" s="187">
        <v>19082.26171875</v>
      </c>
      <c r="O6661" t="s">
        <v>6707</v>
      </c>
    </row>
    <row r="6662" spans="1:15" hidden="1" x14ac:dyDescent="0.45">
      <c r="A6662" s="187">
        <v>2024</v>
      </c>
      <c r="B6662" t="s">
        <v>316</v>
      </c>
      <c r="C6662" t="s">
        <v>322</v>
      </c>
      <c r="D6662" t="s">
        <v>35</v>
      </c>
      <c r="E6662" t="s">
        <v>16</v>
      </c>
      <c r="F6662" t="s">
        <v>16</v>
      </c>
      <c r="G6662" t="s">
        <v>36</v>
      </c>
      <c r="H6662" t="s">
        <v>43</v>
      </c>
      <c r="I6662" s="187">
        <v>11177.744011033639</v>
      </c>
      <c r="J6662" s="187">
        <v>131.07300679764938</v>
      </c>
      <c r="K6662" s="187">
        <v>7874.6762035287529</v>
      </c>
      <c r="L6662" s="187">
        <v>17812.711478416688</v>
      </c>
      <c r="M6662" s="187">
        <v>36996.20703125</v>
      </c>
      <c r="N6662" s="187">
        <v>28990.455078125</v>
      </c>
      <c r="O6662" t="s">
        <v>6703</v>
      </c>
    </row>
    <row r="6663" spans="1:15" hidden="1" x14ac:dyDescent="0.45">
      <c r="A6663" s="187">
        <v>2024</v>
      </c>
      <c r="B6663" t="s">
        <v>314</v>
      </c>
      <c r="C6663" t="s">
        <v>322</v>
      </c>
      <c r="D6663" t="s">
        <v>35</v>
      </c>
      <c r="E6663" t="s">
        <v>16</v>
      </c>
      <c r="F6663" t="s">
        <v>16</v>
      </c>
      <c r="G6663" t="s">
        <v>36</v>
      </c>
      <c r="H6663" t="s">
        <v>43</v>
      </c>
      <c r="I6663" s="187">
        <v>11587.884994008007</v>
      </c>
      <c r="J6663" s="187">
        <v>139.77847933186797</v>
      </c>
      <c r="K6663" s="187">
        <v>7042.8412724652981</v>
      </c>
      <c r="L6663" s="187">
        <v>16712.846845447013</v>
      </c>
      <c r="M6663" s="187">
        <v>35483.3515625</v>
      </c>
      <c r="N6663" s="187">
        <v>28300.732421875</v>
      </c>
      <c r="O6663" t="s">
        <v>6709</v>
      </c>
    </row>
    <row r="6664" spans="1:15" hidden="1" x14ac:dyDescent="0.45">
      <c r="A6664" s="187">
        <v>2024</v>
      </c>
      <c r="B6664" t="s">
        <v>317</v>
      </c>
      <c r="C6664" t="s">
        <v>322</v>
      </c>
      <c r="D6664" t="s">
        <v>35</v>
      </c>
      <c r="E6664" t="s">
        <v>16</v>
      </c>
      <c r="F6664" t="s">
        <v>16</v>
      </c>
      <c r="G6664" t="s">
        <v>36</v>
      </c>
      <c r="H6664" t="s">
        <v>43</v>
      </c>
      <c r="I6664" s="187">
        <v>6350.1519553504377</v>
      </c>
      <c r="J6664" s="187">
        <v>237.71200105106286</v>
      </c>
      <c r="K6664" s="187">
        <v>7805.6685813076811</v>
      </c>
      <c r="L6664" s="187">
        <v>15576.619123418737</v>
      </c>
      <c r="M6664" s="187">
        <v>29970.150390625</v>
      </c>
      <c r="N6664" s="187">
        <v>21926.771484375</v>
      </c>
      <c r="O6664" t="s">
        <v>6708</v>
      </c>
    </row>
    <row r="6665" spans="1:15" hidden="1" x14ac:dyDescent="0.45">
      <c r="A6665" s="187">
        <v>2024</v>
      </c>
      <c r="B6665" t="s">
        <v>315</v>
      </c>
      <c r="C6665" t="s">
        <v>322</v>
      </c>
      <c r="D6665" t="s">
        <v>35</v>
      </c>
      <c r="E6665" t="s">
        <v>16</v>
      </c>
      <c r="F6665" t="s">
        <v>16</v>
      </c>
      <c r="G6665" t="s">
        <v>36</v>
      </c>
      <c r="H6665" t="s">
        <v>43</v>
      </c>
      <c r="I6665" s="187">
        <v>11269.311105483896</v>
      </c>
      <c r="J6665" s="187">
        <v>249.2154359607004</v>
      </c>
      <c r="K6665" s="187">
        <v>7753.0479564069246</v>
      </c>
      <c r="L6665" s="187">
        <v>17599.140968570187</v>
      </c>
      <c r="M6665" s="187">
        <v>36870.71875</v>
      </c>
      <c r="N6665" s="187">
        <v>28868.453125</v>
      </c>
      <c r="O6665" t="s">
        <v>6704</v>
      </c>
    </row>
    <row r="6666" spans="1:15" hidden="1" x14ac:dyDescent="0.45">
      <c r="A6666" s="187">
        <v>2024</v>
      </c>
      <c r="B6666" t="s">
        <v>313</v>
      </c>
      <c r="C6666" t="s">
        <v>322</v>
      </c>
      <c r="D6666" t="s">
        <v>35</v>
      </c>
      <c r="E6666" t="s">
        <v>16</v>
      </c>
      <c r="F6666" t="s">
        <v>16</v>
      </c>
      <c r="G6666" t="s">
        <v>36</v>
      </c>
      <c r="H6666" t="s">
        <v>43</v>
      </c>
      <c r="I6666" s="187">
        <v>6079.2912223127414</v>
      </c>
      <c r="J6666" s="187">
        <v>125.77864682586659</v>
      </c>
      <c r="K6666" s="187">
        <v>5821.4641009625993</v>
      </c>
      <c r="L6666" s="187">
        <v>21011.02347929238</v>
      </c>
      <c r="M6666" s="187">
        <v>33037.55859375</v>
      </c>
      <c r="N6666" s="187">
        <v>27090.314453125</v>
      </c>
      <c r="O6666" t="s">
        <v>6706</v>
      </c>
    </row>
    <row r="6667" spans="1:15" hidden="1" x14ac:dyDescent="0.45">
      <c r="A6667" s="187">
        <v>2024</v>
      </c>
      <c r="B6667" t="s">
        <v>8570</v>
      </c>
      <c r="C6667" t="s">
        <v>322</v>
      </c>
      <c r="D6667" t="s">
        <v>35</v>
      </c>
      <c r="E6667" t="s">
        <v>16</v>
      </c>
      <c r="F6667" t="s">
        <v>16</v>
      </c>
      <c r="G6667" t="s">
        <v>36</v>
      </c>
      <c r="H6667" t="s">
        <v>43</v>
      </c>
      <c r="I6667" s="187">
        <v>5813.5091079999993</v>
      </c>
      <c r="J6667" s="187">
        <v>210.33333333333329</v>
      </c>
      <c r="K6667" s="187">
        <v>8028.778974864219</v>
      </c>
      <c r="L6667" s="187">
        <v>13033</v>
      </c>
      <c r="M6667" s="187">
        <v>27085.62109375</v>
      </c>
      <c r="N6667" s="187">
        <v>18846.509765625</v>
      </c>
      <c r="O6667" t="s">
        <v>8987</v>
      </c>
    </row>
    <row r="6668" spans="1:15" hidden="1" x14ac:dyDescent="0.45">
      <c r="A6668" s="187">
        <v>2024</v>
      </c>
      <c r="B6668" t="s">
        <v>313</v>
      </c>
      <c r="C6668" t="s">
        <v>322</v>
      </c>
      <c r="D6668" t="s">
        <v>35</v>
      </c>
      <c r="E6668" t="s">
        <v>16</v>
      </c>
      <c r="F6668" t="s">
        <v>16</v>
      </c>
      <c r="G6668" t="s">
        <v>37</v>
      </c>
      <c r="H6668" t="s">
        <v>43</v>
      </c>
      <c r="I6668" s="187">
        <v>5817.5611857572594</v>
      </c>
      <c r="J6668" s="187">
        <v>121</v>
      </c>
      <c r="K6668" s="187">
        <v>5557.3654484800418</v>
      </c>
      <c r="L6668" s="187">
        <v>20298</v>
      </c>
      <c r="M6668" s="187">
        <v>31793.92578125</v>
      </c>
      <c r="N6668" s="187">
        <v>26115.560546875</v>
      </c>
      <c r="O6668" t="s">
        <v>6716</v>
      </c>
    </row>
    <row r="6669" spans="1:15" hidden="1" x14ac:dyDescent="0.45">
      <c r="A6669" s="187">
        <v>2024</v>
      </c>
      <c r="B6669" t="s">
        <v>8570</v>
      </c>
      <c r="C6669" t="s">
        <v>322</v>
      </c>
      <c r="D6669" t="s">
        <v>35</v>
      </c>
      <c r="E6669" t="s">
        <v>16</v>
      </c>
      <c r="F6669" t="s">
        <v>16</v>
      </c>
      <c r="G6669" t="s">
        <v>37</v>
      </c>
      <c r="H6669" t="s">
        <v>43</v>
      </c>
      <c r="I6669" s="187">
        <v>6048.3748759631999</v>
      </c>
      <c r="J6669" s="187">
        <v>210.33333333333329</v>
      </c>
      <c r="K6669" s="187">
        <v>8380.2316821527784</v>
      </c>
      <c r="L6669" s="187">
        <v>14427</v>
      </c>
      <c r="M6669" s="187">
        <v>29065.94140625</v>
      </c>
      <c r="N6669" s="187">
        <v>20475.375</v>
      </c>
      <c r="O6669" t="s">
        <v>8988</v>
      </c>
    </row>
    <row r="6670" spans="1:15" hidden="1" x14ac:dyDescent="0.45">
      <c r="A6670" s="187">
        <v>2024</v>
      </c>
      <c r="B6670" t="s">
        <v>314</v>
      </c>
      <c r="C6670" t="s">
        <v>322</v>
      </c>
      <c r="D6670" t="s">
        <v>35</v>
      </c>
      <c r="E6670" t="s">
        <v>16</v>
      </c>
      <c r="F6670" t="s">
        <v>16</v>
      </c>
      <c r="G6670" t="s">
        <v>37</v>
      </c>
      <c r="H6670" t="s">
        <v>43</v>
      </c>
      <c r="I6670" s="187">
        <v>11208.79710824098</v>
      </c>
      <c r="J6670" s="187">
        <v>135</v>
      </c>
      <c r="K6670" s="187">
        <v>6821.6587712179908</v>
      </c>
      <c r="L6670" s="187">
        <v>17268</v>
      </c>
      <c r="M6670" s="187">
        <v>35433.453125</v>
      </c>
      <c r="N6670" s="187">
        <v>28476.796875</v>
      </c>
      <c r="O6670" t="s">
        <v>6712</v>
      </c>
    </row>
    <row r="6671" spans="1:15" hidden="1" x14ac:dyDescent="0.45">
      <c r="A6671" s="187">
        <v>2024</v>
      </c>
      <c r="B6671" t="s">
        <v>310</v>
      </c>
      <c r="C6671" t="s">
        <v>322</v>
      </c>
      <c r="D6671" t="s">
        <v>35</v>
      </c>
      <c r="E6671" t="s">
        <v>16</v>
      </c>
      <c r="F6671" t="s">
        <v>16</v>
      </c>
      <c r="G6671" t="s">
        <v>37</v>
      </c>
      <c r="H6671" t="s">
        <v>43</v>
      </c>
      <c r="I6671" s="187"/>
      <c r="J6671" s="187">
        <v>98</v>
      </c>
      <c r="K6671" s="187">
        <v>5104.7680038051503</v>
      </c>
      <c r="L6671" s="187">
        <v>18871</v>
      </c>
      <c r="M6671" s="187">
        <v>24073.767578125</v>
      </c>
      <c r="N6671" s="187">
        <v>18871</v>
      </c>
      <c r="O6671" t="s">
        <v>6713</v>
      </c>
    </row>
    <row r="6672" spans="1:15" hidden="1" x14ac:dyDescent="0.45">
      <c r="A6672" s="187">
        <v>2024</v>
      </c>
      <c r="B6672" t="s">
        <v>316</v>
      </c>
      <c r="C6672" t="s">
        <v>322</v>
      </c>
      <c r="D6672" t="s">
        <v>35</v>
      </c>
      <c r="E6672" t="s">
        <v>16</v>
      </c>
      <c r="F6672" t="s">
        <v>16</v>
      </c>
      <c r="G6672" t="s">
        <v>37</v>
      </c>
      <c r="H6672" t="s">
        <v>43</v>
      </c>
      <c r="I6672" s="187">
        <v>10986</v>
      </c>
      <c r="J6672" s="187">
        <v>119</v>
      </c>
      <c r="K6672" s="187">
        <v>7600.3879318550598</v>
      </c>
      <c r="L6672" s="187">
        <v>17878</v>
      </c>
      <c r="M6672" s="187">
        <v>36583.390625</v>
      </c>
      <c r="N6672" s="187">
        <v>28864</v>
      </c>
      <c r="O6672" t="s">
        <v>6717</v>
      </c>
    </row>
    <row r="6673" spans="1:15" hidden="1" x14ac:dyDescent="0.45">
      <c r="A6673" s="187">
        <v>2024</v>
      </c>
      <c r="B6673" t="s">
        <v>312</v>
      </c>
      <c r="C6673" t="s">
        <v>322</v>
      </c>
      <c r="D6673" t="s">
        <v>35</v>
      </c>
      <c r="E6673" t="s">
        <v>16</v>
      </c>
      <c r="F6673" t="s">
        <v>16</v>
      </c>
      <c r="G6673" t="s">
        <v>37</v>
      </c>
      <c r="H6673" t="s">
        <v>43</v>
      </c>
      <c r="I6673" s="187">
        <v>5846.6489916860473</v>
      </c>
      <c r="J6673" s="187">
        <v>123</v>
      </c>
      <c r="K6673" s="187">
        <v>4678.9751319462339</v>
      </c>
      <c r="L6673" s="187">
        <v>17124</v>
      </c>
      <c r="M6673" s="187">
        <v>27772.625</v>
      </c>
      <c r="N6673" s="187">
        <v>22970.6484375</v>
      </c>
      <c r="O6673" t="s">
        <v>6714</v>
      </c>
    </row>
    <row r="6674" spans="1:15" hidden="1" x14ac:dyDescent="0.45">
      <c r="A6674" s="187">
        <v>2024</v>
      </c>
      <c r="B6674" t="s">
        <v>315</v>
      </c>
      <c r="C6674" t="s">
        <v>322</v>
      </c>
      <c r="D6674" t="s">
        <v>35</v>
      </c>
      <c r="E6674" t="s">
        <v>16</v>
      </c>
      <c r="F6674" t="s">
        <v>16</v>
      </c>
      <c r="G6674" t="s">
        <v>37</v>
      </c>
      <c r="H6674" t="s">
        <v>43</v>
      </c>
      <c r="I6674" s="187">
        <v>10985.78565935605</v>
      </c>
      <c r="J6674" s="187">
        <v>238</v>
      </c>
      <c r="K6674" s="187">
        <v>7537.6952005187177</v>
      </c>
      <c r="L6674" s="187">
        <v>17153</v>
      </c>
      <c r="M6674" s="187">
        <v>35914.48046875</v>
      </c>
      <c r="N6674" s="187">
        <v>28138.78515625</v>
      </c>
      <c r="O6674" t="s">
        <v>6710</v>
      </c>
    </row>
    <row r="6675" spans="1:15" hidden="1" x14ac:dyDescent="0.45">
      <c r="A6675" s="187">
        <v>2024</v>
      </c>
      <c r="B6675" t="s">
        <v>311</v>
      </c>
      <c r="C6675" t="s">
        <v>322</v>
      </c>
      <c r="D6675" t="s">
        <v>35</v>
      </c>
      <c r="E6675" t="s">
        <v>16</v>
      </c>
      <c r="F6675" t="s">
        <v>16</v>
      </c>
      <c r="G6675" t="s">
        <v>37</v>
      </c>
      <c r="H6675" t="s">
        <v>43</v>
      </c>
      <c r="I6675" s="187"/>
      <c r="J6675" s="187">
        <v>120</v>
      </c>
      <c r="K6675" s="187">
        <v>4916.0468117775472</v>
      </c>
      <c r="L6675" s="187">
        <v>21040</v>
      </c>
      <c r="M6675" s="187">
        <v>26076.046875</v>
      </c>
      <c r="N6675" s="187">
        <v>21040</v>
      </c>
      <c r="O6675" t="s">
        <v>6711</v>
      </c>
    </row>
    <row r="6676" spans="1:15" hidden="1" x14ac:dyDescent="0.45">
      <c r="A6676" s="187">
        <v>2024</v>
      </c>
      <c r="B6676" t="s">
        <v>317</v>
      </c>
      <c r="C6676" t="s">
        <v>322</v>
      </c>
      <c r="D6676" t="s">
        <v>35</v>
      </c>
      <c r="E6676" t="s">
        <v>16</v>
      </c>
      <c r="F6676" t="s">
        <v>16</v>
      </c>
      <c r="G6676" t="s">
        <v>37</v>
      </c>
      <c r="H6676" t="s">
        <v>43</v>
      </c>
      <c r="I6676" s="187">
        <v>6236.719415999999</v>
      </c>
      <c r="J6676" s="187">
        <v>220</v>
      </c>
      <c r="K6676" s="187">
        <v>7619.5091494589096</v>
      </c>
      <c r="L6676" s="187">
        <v>15155</v>
      </c>
      <c r="M6676" s="187">
        <v>29231.228515625</v>
      </c>
      <c r="N6676" s="187">
        <v>21391.71875</v>
      </c>
      <c r="O6676" t="s">
        <v>6715</v>
      </c>
    </row>
    <row r="6677" spans="1:15" hidden="1" x14ac:dyDescent="0.45">
      <c r="A6677" s="187">
        <v>2024</v>
      </c>
      <c r="B6677" t="s">
        <v>312</v>
      </c>
      <c r="C6677" t="s">
        <v>322</v>
      </c>
      <c r="D6677" t="s">
        <v>35</v>
      </c>
      <c r="E6677" t="s">
        <v>351</v>
      </c>
      <c r="F6677" t="s">
        <v>351</v>
      </c>
      <c r="G6677" t="s">
        <v>37</v>
      </c>
      <c r="H6677" t="s">
        <v>43</v>
      </c>
      <c r="I6677" s="187">
        <v>698.75825703656835</v>
      </c>
      <c r="J6677" s="187">
        <v>0</v>
      </c>
      <c r="K6677" s="187">
        <v>56.523175184511359</v>
      </c>
      <c r="L6677" s="187">
        <v>105</v>
      </c>
      <c r="M6677" s="187">
        <v>860.28143310546875</v>
      </c>
      <c r="N6677" s="187">
        <v>803.75823974609375</v>
      </c>
      <c r="O6677" t="s">
        <v>6725</v>
      </c>
    </row>
    <row r="6678" spans="1:15" hidden="1" x14ac:dyDescent="0.45">
      <c r="A6678" s="187">
        <v>2024</v>
      </c>
      <c r="B6678" t="s">
        <v>310</v>
      </c>
      <c r="C6678" t="s">
        <v>322</v>
      </c>
      <c r="D6678" t="s">
        <v>35</v>
      </c>
      <c r="E6678" t="s">
        <v>351</v>
      </c>
      <c r="F6678" t="s">
        <v>351</v>
      </c>
      <c r="G6678" t="s">
        <v>37</v>
      </c>
      <c r="H6678" t="s">
        <v>43</v>
      </c>
      <c r="I6678" s="187"/>
      <c r="J6678" s="187">
        <v>0</v>
      </c>
      <c r="K6678" s="187">
        <v>35.558362520442323</v>
      </c>
      <c r="L6678" s="187">
        <v>168</v>
      </c>
      <c r="M6678" s="187">
        <v>203.55836486816406</v>
      </c>
      <c r="N6678" s="187">
        <v>168</v>
      </c>
      <c r="O6678" t="s">
        <v>6720</v>
      </c>
    </row>
    <row r="6679" spans="1:15" hidden="1" x14ac:dyDescent="0.45">
      <c r="A6679" s="187">
        <v>2024</v>
      </c>
      <c r="B6679" t="s">
        <v>311</v>
      </c>
      <c r="C6679" t="s">
        <v>322</v>
      </c>
      <c r="D6679" t="s">
        <v>35</v>
      </c>
      <c r="E6679" t="s">
        <v>351</v>
      </c>
      <c r="F6679" t="s">
        <v>351</v>
      </c>
      <c r="G6679" t="s">
        <v>37</v>
      </c>
      <c r="H6679" t="s">
        <v>43</v>
      </c>
      <c r="I6679" s="187"/>
      <c r="J6679" s="187">
        <v>0</v>
      </c>
      <c r="K6679" s="187">
        <v>60.876726232731222</v>
      </c>
      <c r="L6679" s="187">
        <v>168</v>
      </c>
      <c r="M6679" s="187">
        <v>228.87672424316406</v>
      </c>
      <c r="N6679" s="187">
        <v>168</v>
      </c>
      <c r="O6679" t="s">
        <v>6719</v>
      </c>
    </row>
    <row r="6680" spans="1:15" hidden="1" x14ac:dyDescent="0.45">
      <c r="A6680" s="187">
        <v>2024</v>
      </c>
      <c r="B6680" t="s">
        <v>316</v>
      </c>
      <c r="C6680" t="s">
        <v>322</v>
      </c>
      <c r="D6680" t="s">
        <v>35</v>
      </c>
      <c r="E6680" t="s">
        <v>351</v>
      </c>
      <c r="F6680" t="s">
        <v>351</v>
      </c>
      <c r="G6680" t="s">
        <v>37</v>
      </c>
      <c r="H6680" t="s">
        <v>43</v>
      </c>
      <c r="I6680" s="187">
        <v>74</v>
      </c>
      <c r="J6680" s="187"/>
      <c r="K6680" s="187">
        <v>40.12120921675568</v>
      </c>
      <c r="L6680" s="187">
        <v>329</v>
      </c>
      <c r="M6680" s="187">
        <v>443.1212158203125</v>
      </c>
      <c r="N6680" s="187">
        <v>403</v>
      </c>
      <c r="O6680" t="s">
        <v>6721</v>
      </c>
    </row>
    <row r="6681" spans="1:15" hidden="1" x14ac:dyDescent="0.45">
      <c r="A6681" s="187">
        <v>2024</v>
      </c>
      <c r="B6681" t="s">
        <v>314</v>
      </c>
      <c r="C6681" t="s">
        <v>322</v>
      </c>
      <c r="D6681" t="s">
        <v>35</v>
      </c>
      <c r="E6681" t="s">
        <v>351</v>
      </c>
      <c r="F6681" t="s">
        <v>351</v>
      </c>
      <c r="G6681" t="s">
        <v>37</v>
      </c>
      <c r="H6681" t="s">
        <v>43</v>
      </c>
      <c r="I6681" s="187">
        <v>72.67566651635866</v>
      </c>
      <c r="J6681" s="187">
        <v>0</v>
      </c>
      <c r="K6681" s="187">
        <v>69.701390541269376</v>
      </c>
      <c r="L6681" s="187">
        <v>394</v>
      </c>
      <c r="M6681" s="187">
        <v>536.3770751953125</v>
      </c>
      <c r="N6681" s="187">
        <v>466.6756591796875</v>
      </c>
      <c r="O6681" t="s">
        <v>6723</v>
      </c>
    </row>
    <row r="6682" spans="1:15" hidden="1" x14ac:dyDescent="0.45">
      <c r="A6682" s="187">
        <v>2024</v>
      </c>
      <c r="B6682" t="s">
        <v>313</v>
      </c>
      <c r="C6682" t="s">
        <v>322</v>
      </c>
      <c r="D6682" t="s">
        <v>35</v>
      </c>
      <c r="E6682" t="s">
        <v>351</v>
      </c>
      <c r="F6682" t="s">
        <v>351</v>
      </c>
      <c r="G6682" t="s">
        <v>37</v>
      </c>
      <c r="H6682" t="s">
        <v>43</v>
      </c>
      <c r="I6682" s="187">
        <v>45.498814436428241</v>
      </c>
      <c r="J6682" s="187">
        <v>0</v>
      </c>
      <c r="K6682" s="187">
        <v>200.1825387045871</v>
      </c>
      <c r="L6682" s="187">
        <v>392</v>
      </c>
      <c r="M6682" s="187">
        <v>637.68133544921875</v>
      </c>
      <c r="N6682" s="187">
        <v>437.49880981445313</v>
      </c>
      <c r="O6682" t="s">
        <v>6722</v>
      </c>
    </row>
    <row r="6683" spans="1:15" hidden="1" x14ac:dyDescent="0.45">
      <c r="A6683" s="187">
        <v>2024</v>
      </c>
      <c r="B6683" t="s">
        <v>315</v>
      </c>
      <c r="C6683" t="s">
        <v>322</v>
      </c>
      <c r="D6683" t="s">
        <v>35</v>
      </c>
      <c r="E6683" t="s">
        <v>351</v>
      </c>
      <c r="F6683" t="s">
        <v>351</v>
      </c>
      <c r="G6683" t="s">
        <v>37</v>
      </c>
      <c r="H6683" t="s">
        <v>43</v>
      </c>
      <c r="I6683" s="187">
        <v>74.05891321783146</v>
      </c>
      <c r="J6683" s="187">
        <v>0</v>
      </c>
      <c r="K6683" s="187">
        <v>69.332303528876992</v>
      </c>
      <c r="L6683" s="187">
        <v>119</v>
      </c>
      <c r="M6683" s="187">
        <v>262.3912353515625</v>
      </c>
      <c r="N6683" s="187">
        <v>193.05891418457031</v>
      </c>
      <c r="O6683" t="s">
        <v>6724</v>
      </c>
    </row>
    <row r="6684" spans="1:15" hidden="1" x14ac:dyDescent="0.45">
      <c r="A6684" s="187">
        <v>2024</v>
      </c>
      <c r="B6684" t="s">
        <v>317</v>
      </c>
      <c r="C6684" t="s">
        <v>322</v>
      </c>
      <c r="D6684" t="s">
        <v>35</v>
      </c>
      <c r="E6684" t="s">
        <v>351</v>
      </c>
      <c r="F6684" t="s">
        <v>351</v>
      </c>
      <c r="G6684" t="s">
        <v>37</v>
      </c>
      <c r="H6684" t="s">
        <v>43</v>
      </c>
      <c r="I6684" s="187">
        <v>66.519443269162721</v>
      </c>
      <c r="J6684" s="187"/>
      <c r="K6684" s="187">
        <v>57.6</v>
      </c>
      <c r="L6684" s="187">
        <v>291</v>
      </c>
      <c r="M6684" s="187">
        <v>415.11944580078125</v>
      </c>
      <c r="N6684" s="187">
        <v>357.51943969726563</v>
      </c>
      <c r="O6684" t="s">
        <v>6718</v>
      </c>
    </row>
    <row r="6685" spans="1:15" hidden="1" x14ac:dyDescent="0.45">
      <c r="A6685" s="187">
        <v>2024</v>
      </c>
      <c r="B6685" t="s">
        <v>8570</v>
      </c>
      <c r="C6685" t="s">
        <v>322</v>
      </c>
      <c r="D6685" t="s">
        <v>35</v>
      </c>
      <c r="E6685" t="s">
        <v>351</v>
      </c>
      <c r="F6685" t="s">
        <v>351</v>
      </c>
      <c r="G6685" t="s">
        <v>37</v>
      </c>
      <c r="H6685" t="s">
        <v>43</v>
      </c>
      <c r="I6685" s="187">
        <v>50.173092902797983</v>
      </c>
      <c r="J6685" s="187"/>
      <c r="K6685" s="187">
        <v>85.257936835539311</v>
      </c>
      <c r="L6685" s="187">
        <v>177</v>
      </c>
      <c r="M6685" s="187">
        <v>312.4310302734375</v>
      </c>
      <c r="N6685" s="187">
        <v>227.173095703125</v>
      </c>
      <c r="O6685" t="s">
        <v>8989</v>
      </c>
    </row>
    <row r="6686" spans="1:15" hidden="1" x14ac:dyDescent="0.45">
      <c r="A6686" s="187">
        <v>2024</v>
      </c>
      <c r="B6686" t="s">
        <v>8570</v>
      </c>
      <c r="C6686" t="s">
        <v>322</v>
      </c>
      <c r="D6686" t="s">
        <v>35</v>
      </c>
      <c r="E6686" t="s">
        <v>352</v>
      </c>
      <c r="F6686" t="s">
        <v>361</v>
      </c>
      <c r="G6686" t="s">
        <v>36</v>
      </c>
      <c r="H6686" t="s">
        <v>43</v>
      </c>
      <c r="I6686" s="187">
        <v>0</v>
      </c>
      <c r="J6686" s="187"/>
      <c r="K6686" s="187">
        <v>0</v>
      </c>
      <c r="L6686" s="187"/>
      <c r="M6686" s="187">
        <v>0</v>
      </c>
      <c r="N6686" s="187">
        <v>0</v>
      </c>
      <c r="O6686" t="s">
        <v>8990</v>
      </c>
    </row>
    <row r="6687" spans="1:15" hidden="1" x14ac:dyDescent="0.45">
      <c r="A6687" s="187">
        <v>2024</v>
      </c>
      <c r="B6687" t="s">
        <v>310</v>
      </c>
      <c r="C6687" t="s">
        <v>322</v>
      </c>
      <c r="D6687" t="s">
        <v>35</v>
      </c>
      <c r="E6687" t="s">
        <v>352</v>
      </c>
      <c r="F6687" t="s">
        <v>361</v>
      </c>
      <c r="G6687" t="s">
        <v>36</v>
      </c>
      <c r="H6687" t="s">
        <v>43</v>
      </c>
      <c r="I6687" s="187"/>
      <c r="J6687" s="187">
        <v>0</v>
      </c>
      <c r="K6687" s="187">
        <v>0</v>
      </c>
      <c r="L6687" s="187"/>
      <c r="M6687" s="187">
        <v>0</v>
      </c>
      <c r="N6687" s="187">
        <v>0</v>
      </c>
      <c r="O6687" t="s">
        <v>6730</v>
      </c>
    </row>
    <row r="6688" spans="1:15" hidden="1" x14ac:dyDescent="0.45">
      <c r="A6688" s="187">
        <v>2024</v>
      </c>
      <c r="B6688" t="s">
        <v>311</v>
      </c>
      <c r="C6688" t="s">
        <v>322</v>
      </c>
      <c r="D6688" t="s">
        <v>35</v>
      </c>
      <c r="E6688" t="s">
        <v>352</v>
      </c>
      <c r="F6688" t="s">
        <v>361</v>
      </c>
      <c r="G6688" t="s">
        <v>36</v>
      </c>
      <c r="H6688" t="s">
        <v>43</v>
      </c>
      <c r="I6688" s="187"/>
      <c r="J6688" s="187">
        <v>0</v>
      </c>
      <c r="K6688" s="187">
        <v>0</v>
      </c>
      <c r="L6688" s="187"/>
      <c r="M6688" s="187">
        <v>0</v>
      </c>
      <c r="N6688" s="187">
        <v>0</v>
      </c>
      <c r="O6688" t="s">
        <v>6727</v>
      </c>
    </row>
    <row r="6689" spans="1:15" hidden="1" x14ac:dyDescent="0.45">
      <c r="A6689" s="187">
        <v>2024</v>
      </c>
      <c r="B6689" t="s">
        <v>312</v>
      </c>
      <c r="C6689" t="s">
        <v>322</v>
      </c>
      <c r="D6689" t="s">
        <v>35</v>
      </c>
      <c r="E6689" t="s">
        <v>352</v>
      </c>
      <c r="F6689" t="s">
        <v>361</v>
      </c>
      <c r="G6689" t="s">
        <v>36</v>
      </c>
      <c r="H6689" t="s">
        <v>43</v>
      </c>
      <c r="I6689" s="187"/>
      <c r="J6689" s="187">
        <v>0</v>
      </c>
      <c r="K6689" s="187">
        <v>0</v>
      </c>
      <c r="L6689" s="187"/>
      <c r="M6689" s="187">
        <v>0</v>
      </c>
      <c r="N6689" s="187">
        <v>0</v>
      </c>
      <c r="O6689" t="s">
        <v>6726</v>
      </c>
    </row>
    <row r="6690" spans="1:15" hidden="1" x14ac:dyDescent="0.45">
      <c r="A6690" s="187">
        <v>2024</v>
      </c>
      <c r="B6690" t="s">
        <v>314</v>
      </c>
      <c r="C6690" t="s">
        <v>322</v>
      </c>
      <c r="D6690" t="s">
        <v>35</v>
      </c>
      <c r="E6690" t="s">
        <v>352</v>
      </c>
      <c r="F6690" t="s">
        <v>361</v>
      </c>
      <c r="G6690" t="s">
        <v>36</v>
      </c>
      <c r="H6690" t="s">
        <v>43</v>
      </c>
      <c r="I6690" s="187">
        <v>0</v>
      </c>
      <c r="J6690" s="187">
        <v>0</v>
      </c>
      <c r="K6690" s="187">
        <v>0</v>
      </c>
      <c r="L6690" s="187"/>
      <c r="M6690" s="187">
        <v>0</v>
      </c>
      <c r="N6690" s="187">
        <v>0</v>
      </c>
      <c r="O6690" t="s">
        <v>6728</v>
      </c>
    </row>
    <row r="6691" spans="1:15" hidden="1" x14ac:dyDescent="0.45">
      <c r="A6691" s="187">
        <v>2024</v>
      </c>
      <c r="B6691" t="s">
        <v>313</v>
      </c>
      <c r="C6691" t="s">
        <v>322</v>
      </c>
      <c r="D6691" t="s">
        <v>35</v>
      </c>
      <c r="E6691" t="s">
        <v>352</v>
      </c>
      <c r="F6691" t="s">
        <v>361</v>
      </c>
      <c r="G6691" t="s">
        <v>36</v>
      </c>
      <c r="H6691" t="s">
        <v>43</v>
      </c>
      <c r="I6691" s="187"/>
      <c r="J6691" s="187">
        <v>0</v>
      </c>
      <c r="K6691" s="187">
        <v>0</v>
      </c>
      <c r="L6691" s="187"/>
      <c r="M6691" s="187">
        <v>0</v>
      </c>
      <c r="N6691" s="187">
        <v>0</v>
      </c>
      <c r="O6691" t="s">
        <v>6732</v>
      </c>
    </row>
    <row r="6692" spans="1:15" hidden="1" x14ac:dyDescent="0.45">
      <c r="A6692" s="187">
        <v>2024</v>
      </c>
      <c r="B6692" t="s">
        <v>315</v>
      </c>
      <c r="C6692" t="s">
        <v>322</v>
      </c>
      <c r="D6692" t="s">
        <v>35</v>
      </c>
      <c r="E6692" t="s">
        <v>352</v>
      </c>
      <c r="F6692" t="s">
        <v>361</v>
      </c>
      <c r="G6692" t="s">
        <v>36</v>
      </c>
      <c r="H6692" t="s">
        <v>43</v>
      </c>
      <c r="I6692" s="187">
        <v>0</v>
      </c>
      <c r="J6692" s="187">
        <v>0</v>
      </c>
      <c r="K6692" s="187">
        <v>0</v>
      </c>
      <c r="L6692" s="187"/>
      <c r="M6692" s="187">
        <v>0</v>
      </c>
      <c r="N6692" s="187">
        <v>0</v>
      </c>
      <c r="O6692" t="s">
        <v>6731</v>
      </c>
    </row>
    <row r="6693" spans="1:15" hidden="1" x14ac:dyDescent="0.45">
      <c r="A6693" s="187">
        <v>2024</v>
      </c>
      <c r="B6693" t="s">
        <v>316</v>
      </c>
      <c r="C6693" t="s">
        <v>322</v>
      </c>
      <c r="D6693" t="s">
        <v>35</v>
      </c>
      <c r="E6693" t="s">
        <v>352</v>
      </c>
      <c r="F6693" t="s">
        <v>361</v>
      </c>
      <c r="G6693" t="s">
        <v>36</v>
      </c>
      <c r="H6693" t="s">
        <v>43</v>
      </c>
      <c r="I6693" s="187">
        <v>0</v>
      </c>
      <c r="J6693" s="187"/>
      <c r="K6693" s="187">
        <v>0</v>
      </c>
      <c r="L6693" s="187"/>
      <c r="M6693" s="187">
        <v>0</v>
      </c>
      <c r="N6693" s="187">
        <v>0</v>
      </c>
      <c r="O6693" t="s">
        <v>6733</v>
      </c>
    </row>
    <row r="6694" spans="1:15" hidden="1" x14ac:dyDescent="0.45">
      <c r="A6694" s="187">
        <v>2024</v>
      </c>
      <c r="B6694" t="s">
        <v>317</v>
      </c>
      <c r="C6694" t="s">
        <v>322</v>
      </c>
      <c r="D6694" t="s">
        <v>35</v>
      </c>
      <c r="E6694" t="s">
        <v>352</v>
      </c>
      <c r="F6694" t="s">
        <v>361</v>
      </c>
      <c r="G6694" t="s">
        <v>36</v>
      </c>
      <c r="H6694" t="s">
        <v>43</v>
      </c>
      <c r="I6694" s="187">
        <v>0</v>
      </c>
      <c r="J6694" s="187"/>
      <c r="K6694" s="187">
        <v>0</v>
      </c>
      <c r="L6694" s="187"/>
      <c r="M6694" s="187">
        <v>0</v>
      </c>
      <c r="N6694" s="187">
        <v>0</v>
      </c>
      <c r="O6694" t="s">
        <v>6729</v>
      </c>
    </row>
    <row r="6695" spans="1:15" hidden="1" x14ac:dyDescent="0.45">
      <c r="A6695" s="187">
        <v>2024</v>
      </c>
      <c r="B6695" t="s">
        <v>313</v>
      </c>
      <c r="C6695" t="s">
        <v>322</v>
      </c>
      <c r="D6695" t="s">
        <v>35</v>
      </c>
      <c r="E6695" t="s">
        <v>353</v>
      </c>
      <c r="F6695" t="s">
        <v>383</v>
      </c>
      <c r="G6695" t="s">
        <v>36</v>
      </c>
      <c r="H6695" t="s">
        <v>43</v>
      </c>
      <c r="I6695" s="187">
        <v>13703.873003709319</v>
      </c>
      <c r="J6695" s="187">
        <v>862.48214966308524</v>
      </c>
      <c r="K6695" s="187">
        <v>16659.040197044182</v>
      </c>
      <c r="L6695" s="187">
        <v>26774.081287666137</v>
      </c>
      <c r="M6695" s="187">
        <v>57999.4765625</v>
      </c>
      <c r="N6695" s="187">
        <v>40477.953125</v>
      </c>
      <c r="O6695" t="s">
        <v>6734</v>
      </c>
    </row>
    <row r="6696" spans="1:15" hidden="1" x14ac:dyDescent="0.45">
      <c r="A6696" s="187">
        <v>2024</v>
      </c>
      <c r="B6696" t="s">
        <v>310</v>
      </c>
      <c r="C6696" t="s">
        <v>322</v>
      </c>
      <c r="D6696" t="s">
        <v>35</v>
      </c>
      <c r="E6696" t="s">
        <v>353</v>
      </c>
      <c r="F6696" t="s">
        <v>383</v>
      </c>
      <c r="G6696" t="s">
        <v>36</v>
      </c>
      <c r="H6696" t="s">
        <v>43</v>
      </c>
      <c r="I6696" s="187"/>
      <c r="J6696" s="187">
        <v>810.7869108940464</v>
      </c>
      <c r="K6696" s="187">
        <v>15981.400052135234</v>
      </c>
      <c r="L6696" s="187">
        <v>30353.508046389859</v>
      </c>
      <c r="M6696" s="187">
        <v>47145.6953125</v>
      </c>
      <c r="N6696" s="187">
        <v>30353.5078125</v>
      </c>
      <c r="O6696" t="s">
        <v>6740</v>
      </c>
    </row>
    <row r="6697" spans="1:15" hidden="1" x14ac:dyDescent="0.45">
      <c r="A6697" s="187">
        <v>2024</v>
      </c>
      <c r="B6697" t="s">
        <v>8570</v>
      </c>
      <c r="C6697" t="s">
        <v>322</v>
      </c>
      <c r="D6697" t="s">
        <v>35</v>
      </c>
      <c r="E6697" t="s">
        <v>353</v>
      </c>
      <c r="F6697" t="s">
        <v>383</v>
      </c>
      <c r="G6697" t="s">
        <v>36</v>
      </c>
      <c r="H6697" t="s">
        <v>43</v>
      </c>
      <c r="I6697" s="187">
        <v>12463.355444679561</v>
      </c>
      <c r="J6697" s="187">
        <v>1135.333333333333</v>
      </c>
      <c r="K6697" s="187">
        <v>16048.969958035619</v>
      </c>
      <c r="L6697" s="187">
        <v>20910</v>
      </c>
      <c r="M6697" s="187">
        <v>50557.65625</v>
      </c>
      <c r="N6697" s="187">
        <v>33373.35546875</v>
      </c>
      <c r="O6697" t="s">
        <v>8991</v>
      </c>
    </row>
    <row r="6698" spans="1:15" hidden="1" x14ac:dyDescent="0.45">
      <c r="A6698" s="187">
        <v>2024</v>
      </c>
      <c r="B6698" t="s">
        <v>316</v>
      </c>
      <c r="C6698" t="s">
        <v>322</v>
      </c>
      <c r="D6698" t="s">
        <v>35</v>
      </c>
      <c r="E6698" t="s">
        <v>353</v>
      </c>
      <c r="F6698" t="s">
        <v>383</v>
      </c>
      <c r="G6698" t="s">
        <v>36</v>
      </c>
      <c r="H6698" t="s">
        <v>43</v>
      </c>
      <c r="I6698" s="187">
        <v>19059.306548048389</v>
      </c>
      <c r="J6698" s="187">
        <v>929.62703980853848</v>
      </c>
      <c r="K6698" s="187">
        <v>18233.149285502379</v>
      </c>
      <c r="L6698" s="187">
        <v>32780.367691637337</v>
      </c>
      <c r="M6698" s="187">
        <v>71002.453125</v>
      </c>
      <c r="N6698" s="187">
        <v>51839.67578125</v>
      </c>
      <c r="O6698" t="s">
        <v>6741</v>
      </c>
    </row>
    <row r="6699" spans="1:15" hidden="1" x14ac:dyDescent="0.45">
      <c r="A6699" s="187">
        <v>2024</v>
      </c>
      <c r="B6699" t="s">
        <v>315</v>
      </c>
      <c r="C6699" t="s">
        <v>322</v>
      </c>
      <c r="D6699" t="s">
        <v>35</v>
      </c>
      <c r="E6699" t="s">
        <v>353</v>
      </c>
      <c r="F6699" t="s">
        <v>383</v>
      </c>
      <c r="G6699" t="s">
        <v>36</v>
      </c>
      <c r="H6699" t="s">
        <v>43</v>
      </c>
      <c r="I6699" s="187">
        <v>19215.88512032168</v>
      </c>
      <c r="J6699" s="187">
        <v>894.90997458615141</v>
      </c>
      <c r="K6699" s="187">
        <v>17319.358861372781</v>
      </c>
      <c r="L6699" s="187">
        <v>25538.918198790867</v>
      </c>
      <c r="M6699" s="187">
        <v>62969.0703125</v>
      </c>
      <c r="N6699" s="187">
        <v>44754.8046875</v>
      </c>
      <c r="O6699" t="s">
        <v>6735</v>
      </c>
    </row>
    <row r="6700" spans="1:15" hidden="1" x14ac:dyDescent="0.45">
      <c r="A6700" s="187">
        <v>2024</v>
      </c>
      <c r="B6700" t="s">
        <v>312</v>
      </c>
      <c r="C6700" t="s">
        <v>322</v>
      </c>
      <c r="D6700" t="s">
        <v>35</v>
      </c>
      <c r="E6700" t="s">
        <v>353</v>
      </c>
      <c r="F6700" t="s">
        <v>383</v>
      </c>
      <c r="G6700" t="s">
        <v>36</v>
      </c>
      <c r="H6700" t="s">
        <v>43</v>
      </c>
      <c r="I6700" s="187">
        <v>13923.815531654869</v>
      </c>
      <c r="J6700" s="187">
        <v>1057.270971740106</v>
      </c>
      <c r="K6700" s="187">
        <v>15032.767197123154</v>
      </c>
      <c r="L6700" s="187">
        <v>23587.653550809966</v>
      </c>
      <c r="M6700" s="187">
        <v>53601.5078125</v>
      </c>
      <c r="N6700" s="187">
        <v>37511.46875</v>
      </c>
      <c r="O6700" t="s">
        <v>6736</v>
      </c>
    </row>
    <row r="6701" spans="1:15" hidden="1" x14ac:dyDescent="0.45">
      <c r="A6701" s="187">
        <v>2024</v>
      </c>
      <c r="B6701" t="s">
        <v>311</v>
      </c>
      <c r="C6701" t="s">
        <v>322</v>
      </c>
      <c r="D6701" t="s">
        <v>35</v>
      </c>
      <c r="E6701" t="s">
        <v>353</v>
      </c>
      <c r="F6701" t="s">
        <v>383</v>
      </c>
      <c r="G6701" t="s">
        <v>36</v>
      </c>
      <c r="H6701" t="s">
        <v>43</v>
      </c>
      <c r="I6701" s="187"/>
      <c r="J6701" s="187">
        <v>1103.1294160965783</v>
      </c>
      <c r="K6701" s="187">
        <v>14789.296481558753</v>
      </c>
      <c r="L6701" s="187">
        <v>32378.442480087895</v>
      </c>
      <c r="M6701" s="187">
        <v>48270.8671875</v>
      </c>
      <c r="N6701" s="187">
        <v>32378.443359375</v>
      </c>
      <c r="O6701" t="s">
        <v>6738</v>
      </c>
    </row>
    <row r="6702" spans="1:15" hidden="1" x14ac:dyDescent="0.45">
      <c r="A6702" s="187">
        <v>2024</v>
      </c>
      <c r="B6702" t="s">
        <v>314</v>
      </c>
      <c r="C6702" t="s">
        <v>322</v>
      </c>
      <c r="D6702" t="s">
        <v>35</v>
      </c>
      <c r="E6702" t="s">
        <v>353</v>
      </c>
      <c r="F6702" t="s">
        <v>383</v>
      </c>
      <c r="G6702" t="s">
        <v>36</v>
      </c>
      <c r="H6702" t="s">
        <v>43</v>
      </c>
      <c r="I6702" s="187">
        <v>19060.209534957445</v>
      </c>
      <c r="J6702" s="187">
        <v>850.31908260219677</v>
      </c>
      <c r="K6702" s="187">
        <v>17899.267726001137</v>
      </c>
      <c r="L6702" s="187">
        <v>23630.716751713378</v>
      </c>
      <c r="M6702" s="187">
        <v>61440.51171875</v>
      </c>
      <c r="N6702" s="187">
        <v>42690.92578125</v>
      </c>
      <c r="O6702" t="s">
        <v>6739</v>
      </c>
    </row>
    <row r="6703" spans="1:15" hidden="1" x14ac:dyDescent="0.45">
      <c r="A6703" s="187">
        <v>2024</v>
      </c>
      <c r="B6703" t="s">
        <v>317</v>
      </c>
      <c r="C6703" t="s">
        <v>322</v>
      </c>
      <c r="D6703" t="s">
        <v>35</v>
      </c>
      <c r="E6703" t="s">
        <v>353</v>
      </c>
      <c r="F6703" t="s">
        <v>383</v>
      </c>
      <c r="G6703" t="s">
        <v>36</v>
      </c>
      <c r="H6703" t="s">
        <v>43</v>
      </c>
      <c r="I6703" s="187">
        <v>17515.187821827247</v>
      </c>
      <c r="J6703" s="187">
        <v>1021.0810954238837</v>
      </c>
      <c r="K6703" s="187">
        <v>18118.852095885155</v>
      </c>
      <c r="L6703" s="187">
        <v>30061.924060193956</v>
      </c>
      <c r="M6703" s="187">
        <v>66717.046875</v>
      </c>
      <c r="N6703" s="187">
        <v>47577.11328125</v>
      </c>
      <c r="O6703" t="s">
        <v>6737</v>
      </c>
    </row>
    <row r="6704" spans="1:15" hidden="1" x14ac:dyDescent="0.45">
      <c r="A6704" s="187">
        <v>2024</v>
      </c>
      <c r="B6704" t="s">
        <v>310</v>
      </c>
      <c r="C6704" t="s">
        <v>322</v>
      </c>
      <c r="D6704" t="s">
        <v>35</v>
      </c>
      <c r="E6704" t="s">
        <v>353</v>
      </c>
      <c r="F6704" t="s">
        <v>383</v>
      </c>
      <c r="G6704" t="s">
        <v>37</v>
      </c>
      <c r="H6704" t="s">
        <v>43</v>
      </c>
      <c r="I6704" s="187"/>
      <c r="J6704" s="187">
        <v>758</v>
      </c>
      <c r="K6704" s="187">
        <v>14956.6937936623</v>
      </c>
      <c r="L6704" s="187">
        <v>30016</v>
      </c>
      <c r="M6704" s="187">
        <v>45730.6953125</v>
      </c>
      <c r="N6704" s="187">
        <v>30016</v>
      </c>
      <c r="O6704" t="s">
        <v>6746</v>
      </c>
    </row>
    <row r="6705" spans="1:15" hidden="1" x14ac:dyDescent="0.45">
      <c r="A6705" s="187">
        <v>2024</v>
      </c>
      <c r="B6705" t="s">
        <v>316</v>
      </c>
      <c r="C6705" t="s">
        <v>322</v>
      </c>
      <c r="D6705" t="s">
        <v>35</v>
      </c>
      <c r="E6705" t="s">
        <v>353</v>
      </c>
      <c r="F6705" t="s">
        <v>383</v>
      </c>
      <c r="G6705" t="s">
        <v>37</v>
      </c>
      <c r="H6705" t="s">
        <v>43</v>
      </c>
      <c r="I6705" s="187">
        <v>18733</v>
      </c>
      <c r="J6705" s="187">
        <v>844</v>
      </c>
      <c r="K6705" s="187">
        <v>17598.057902005519</v>
      </c>
      <c r="L6705" s="187">
        <v>32901</v>
      </c>
      <c r="M6705" s="187">
        <v>70076.0625</v>
      </c>
      <c r="N6705" s="187">
        <v>51634</v>
      </c>
      <c r="O6705" t="s">
        <v>6749</v>
      </c>
    </row>
    <row r="6706" spans="1:15" hidden="1" x14ac:dyDescent="0.45">
      <c r="A6706" s="187">
        <v>2024</v>
      </c>
      <c r="B6706" t="s">
        <v>314</v>
      </c>
      <c r="C6706" t="s">
        <v>322</v>
      </c>
      <c r="D6706" t="s">
        <v>35</v>
      </c>
      <c r="E6706" t="s">
        <v>353</v>
      </c>
      <c r="F6706" t="s">
        <v>383</v>
      </c>
      <c r="G6706" t="s">
        <v>37</v>
      </c>
      <c r="H6706" t="s">
        <v>43</v>
      </c>
      <c r="I6706" s="187">
        <v>18436.670853082389</v>
      </c>
      <c r="J6706" s="187">
        <v>822</v>
      </c>
      <c r="K6706" s="187">
        <v>17337.13595943552</v>
      </c>
      <c r="L6706" s="187">
        <v>24415.973365811369</v>
      </c>
      <c r="M6706" s="187">
        <v>61011.77734375</v>
      </c>
      <c r="N6706" s="187">
        <v>42852.64453125</v>
      </c>
      <c r="O6706" t="s">
        <v>6744</v>
      </c>
    </row>
    <row r="6707" spans="1:15" hidden="1" x14ac:dyDescent="0.45">
      <c r="A6707" s="187">
        <v>2024</v>
      </c>
      <c r="B6707" t="s">
        <v>317</v>
      </c>
      <c r="C6707" t="s">
        <v>322</v>
      </c>
      <c r="D6707" t="s">
        <v>35</v>
      </c>
      <c r="E6707" t="s">
        <v>353</v>
      </c>
      <c r="F6707" t="s">
        <v>383</v>
      </c>
      <c r="G6707" t="s">
        <v>37</v>
      </c>
      <c r="H6707" t="s">
        <v>43</v>
      </c>
      <c r="I6707" s="187">
        <v>17202.757166181182</v>
      </c>
      <c r="J6707" s="187">
        <v>945</v>
      </c>
      <c r="K6707" s="187">
        <v>17686.730852613411</v>
      </c>
      <c r="L6707" s="187">
        <v>29248</v>
      </c>
      <c r="M6707" s="187">
        <v>65082.48828125</v>
      </c>
      <c r="N6707" s="187">
        <v>46450.7578125</v>
      </c>
      <c r="O6707" t="s">
        <v>6747</v>
      </c>
    </row>
    <row r="6708" spans="1:15" hidden="1" x14ac:dyDescent="0.45">
      <c r="A6708" s="187">
        <v>2024</v>
      </c>
      <c r="B6708" t="s">
        <v>311</v>
      </c>
      <c r="C6708" t="s">
        <v>322</v>
      </c>
      <c r="D6708" t="s">
        <v>35</v>
      </c>
      <c r="E6708" t="s">
        <v>353</v>
      </c>
      <c r="F6708" t="s">
        <v>383</v>
      </c>
      <c r="G6708" t="s">
        <v>37</v>
      </c>
      <c r="H6708" t="s">
        <v>43</v>
      </c>
      <c r="I6708" s="187"/>
      <c r="J6708" s="187">
        <v>1036</v>
      </c>
      <c r="K6708" s="187">
        <v>13758.054233187961</v>
      </c>
      <c r="L6708" s="187">
        <v>32065</v>
      </c>
      <c r="M6708" s="187">
        <v>46859.0546875</v>
      </c>
      <c r="N6708" s="187">
        <v>32065</v>
      </c>
      <c r="O6708" t="s">
        <v>6748</v>
      </c>
    </row>
    <row r="6709" spans="1:15" hidden="1" x14ac:dyDescent="0.45">
      <c r="A6709" s="187">
        <v>2024</v>
      </c>
      <c r="B6709" t="s">
        <v>315</v>
      </c>
      <c r="C6709" t="s">
        <v>322</v>
      </c>
      <c r="D6709" t="s">
        <v>35</v>
      </c>
      <c r="E6709" t="s">
        <v>353</v>
      </c>
      <c r="F6709" t="s">
        <v>383</v>
      </c>
      <c r="G6709" t="s">
        <v>37</v>
      </c>
      <c r="H6709" t="s">
        <v>43</v>
      </c>
      <c r="I6709" s="187">
        <v>18732.431220568269</v>
      </c>
      <c r="J6709" s="187">
        <v>855</v>
      </c>
      <c r="K6709" s="187">
        <v>16838.287200010069</v>
      </c>
      <c r="L6709" s="187">
        <v>24892</v>
      </c>
      <c r="M6709" s="187">
        <v>61317.71875</v>
      </c>
      <c r="N6709" s="187">
        <v>43624.4296875</v>
      </c>
      <c r="O6709" t="s">
        <v>6745</v>
      </c>
    </row>
    <row r="6710" spans="1:15" hidden="1" x14ac:dyDescent="0.45">
      <c r="A6710" s="187">
        <v>2024</v>
      </c>
      <c r="B6710" t="s">
        <v>312</v>
      </c>
      <c r="C6710" t="s">
        <v>322</v>
      </c>
      <c r="D6710" t="s">
        <v>35</v>
      </c>
      <c r="E6710" t="s">
        <v>353</v>
      </c>
      <c r="F6710" t="s">
        <v>383</v>
      </c>
      <c r="G6710" t="s">
        <v>37</v>
      </c>
      <c r="H6710" t="s">
        <v>43</v>
      </c>
      <c r="I6710" s="187">
        <v>12972.08421143229</v>
      </c>
      <c r="J6710" s="187">
        <v>1002</v>
      </c>
      <c r="K6710" s="187">
        <v>14199.68468991772</v>
      </c>
      <c r="L6710" s="187">
        <v>22404</v>
      </c>
      <c r="M6710" s="187">
        <v>50577.76953125</v>
      </c>
      <c r="N6710" s="187">
        <v>35376.0859375</v>
      </c>
      <c r="O6710" t="s">
        <v>6743</v>
      </c>
    </row>
    <row r="6711" spans="1:15" hidden="1" x14ac:dyDescent="0.45">
      <c r="A6711" s="187">
        <v>2024</v>
      </c>
      <c r="B6711" t="s">
        <v>313</v>
      </c>
      <c r="C6711" t="s">
        <v>322</v>
      </c>
      <c r="D6711" t="s">
        <v>35</v>
      </c>
      <c r="E6711" t="s">
        <v>353</v>
      </c>
      <c r="F6711" t="s">
        <v>383</v>
      </c>
      <c r="G6711" t="s">
        <v>37</v>
      </c>
      <c r="H6711" t="s">
        <v>43</v>
      </c>
      <c r="I6711" s="187">
        <v>13113.88396534112</v>
      </c>
      <c r="J6711" s="187">
        <v>827</v>
      </c>
      <c r="K6711" s="187">
        <v>15903.280135419031</v>
      </c>
      <c r="L6711" s="187">
        <v>25866</v>
      </c>
      <c r="M6711" s="187">
        <v>55710.1640625</v>
      </c>
      <c r="N6711" s="187">
        <v>38979.8828125</v>
      </c>
      <c r="O6711" t="s">
        <v>6742</v>
      </c>
    </row>
    <row r="6712" spans="1:15" hidden="1" x14ac:dyDescent="0.45">
      <c r="A6712" s="187">
        <v>2024</v>
      </c>
      <c r="B6712" t="s">
        <v>8570</v>
      </c>
      <c r="C6712" t="s">
        <v>322</v>
      </c>
      <c r="D6712" t="s">
        <v>35</v>
      </c>
      <c r="E6712" t="s">
        <v>353</v>
      </c>
      <c r="F6712" t="s">
        <v>383</v>
      </c>
      <c r="G6712" t="s">
        <v>37</v>
      </c>
      <c r="H6712" t="s">
        <v>43</v>
      </c>
      <c r="I6712" s="187">
        <v>12966.875004644609</v>
      </c>
      <c r="J6712" s="187">
        <v>1135.333333333333</v>
      </c>
      <c r="K6712" s="187">
        <v>16751.49944086271</v>
      </c>
      <c r="L6712" s="187">
        <v>23147</v>
      </c>
      <c r="M6712" s="187">
        <v>54000.70703125</v>
      </c>
      <c r="N6712" s="187">
        <v>36113.875</v>
      </c>
      <c r="O6712" t="s">
        <v>8992</v>
      </c>
    </row>
    <row r="6713" spans="1:15" hidden="1" x14ac:dyDescent="0.45">
      <c r="A6713" s="187">
        <v>2024</v>
      </c>
      <c r="B6713" t="s">
        <v>315</v>
      </c>
      <c r="C6713" t="s">
        <v>322</v>
      </c>
      <c r="D6713" t="s">
        <v>35</v>
      </c>
      <c r="E6713" t="s">
        <v>38</v>
      </c>
      <c r="F6713" t="s">
        <v>38</v>
      </c>
      <c r="G6713" t="s">
        <v>36</v>
      </c>
      <c r="H6713" t="s">
        <v>43</v>
      </c>
      <c r="I6713" s="187">
        <v>457.17212370067062</v>
      </c>
      <c r="J6713" s="187">
        <v>67.967846171100106</v>
      </c>
      <c r="K6713" s="187">
        <v>1987.1405687599777</v>
      </c>
      <c r="L6713" s="187">
        <v>2428.7177031806436</v>
      </c>
      <c r="M6713" s="187">
        <v>4940.998046875</v>
      </c>
      <c r="N6713" s="187">
        <v>2885.889892578125</v>
      </c>
      <c r="O6713" t="s">
        <v>6756</v>
      </c>
    </row>
    <row r="6714" spans="1:15" hidden="1" x14ac:dyDescent="0.45">
      <c r="A6714" s="187">
        <v>2024</v>
      </c>
      <c r="B6714" t="s">
        <v>311</v>
      </c>
      <c r="C6714" t="s">
        <v>322</v>
      </c>
      <c r="D6714" t="s">
        <v>35</v>
      </c>
      <c r="E6714" t="s">
        <v>38</v>
      </c>
      <c r="F6714" t="s">
        <v>38</v>
      </c>
      <c r="G6714" t="s">
        <v>36</v>
      </c>
      <c r="H6714" t="s">
        <v>43</v>
      </c>
      <c r="I6714" s="187"/>
      <c r="J6714" s="187">
        <v>89.270588585850277</v>
      </c>
      <c r="K6714" s="187">
        <v>1313.8652080619563</v>
      </c>
      <c r="L6714" s="187">
        <v>2454.9411861108824</v>
      </c>
      <c r="M6714" s="187">
        <v>3858.076904296875</v>
      </c>
      <c r="N6714" s="187">
        <v>2454.941162109375</v>
      </c>
      <c r="O6714" t="s">
        <v>6754</v>
      </c>
    </row>
    <row r="6715" spans="1:15" hidden="1" x14ac:dyDescent="0.45">
      <c r="A6715" s="187">
        <v>2024</v>
      </c>
      <c r="B6715" t="s">
        <v>312</v>
      </c>
      <c r="C6715" t="s">
        <v>322</v>
      </c>
      <c r="D6715" t="s">
        <v>35</v>
      </c>
      <c r="E6715" t="s">
        <v>38</v>
      </c>
      <c r="F6715" t="s">
        <v>38</v>
      </c>
      <c r="G6715" t="s">
        <v>36</v>
      </c>
      <c r="H6715" t="s">
        <v>43</v>
      </c>
      <c r="I6715" s="187">
        <v>305.14695105773387</v>
      </c>
      <c r="J6715" s="187">
        <v>123.65742359533402</v>
      </c>
      <c r="K6715" s="187">
        <v>1288.8979707904164</v>
      </c>
      <c r="L6715" s="187">
        <v>2131.8539827835584</v>
      </c>
      <c r="M6715" s="187">
        <v>3849.55615234375</v>
      </c>
      <c r="N6715" s="187">
        <v>2437.0009765625</v>
      </c>
      <c r="O6715" t="s">
        <v>6755</v>
      </c>
    </row>
    <row r="6716" spans="1:15" hidden="1" x14ac:dyDescent="0.45">
      <c r="A6716" s="187">
        <v>2024</v>
      </c>
      <c r="B6716" t="s">
        <v>310</v>
      </c>
      <c r="C6716" t="s">
        <v>322</v>
      </c>
      <c r="D6716" t="s">
        <v>35</v>
      </c>
      <c r="E6716" t="s">
        <v>38</v>
      </c>
      <c r="F6716" t="s">
        <v>38</v>
      </c>
      <c r="G6716" t="s">
        <v>36</v>
      </c>
      <c r="H6716" t="s">
        <v>43</v>
      </c>
      <c r="I6716" s="187"/>
      <c r="J6716" s="187">
        <v>143.84929064249212</v>
      </c>
      <c r="K6716" s="187">
        <v>1314.3403380850243</v>
      </c>
      <c r="L6716" s="187">
        <v>1225.3344121092282</v>
      </c>
      <c r="M6716" s="187">
        <v>2683.52392578125</v>
      </c>
      <c r="N6716" s="187">
        <v>1225.33447265625</v>
      </c>
      <c r="O6716" t="s">
        <v>6752</v>
      </c>
    </row>
    <row r="6717" spans="1:15" hidden="1" x14ac:dyDescent="0.45">
      <c r="A6717" s="187">
        <v>2024</v>
      </c>
      <c r="B6717" t="s">
        <v>317</v>
      </c>
      <c r="C6717" t="s">
        <v>322</v>
      </c>
      <c r="D6717" t="s">
        <v>35</v>
      </c>
      <c r="E6717" t="s">
        <v>38</v>
      </c>
      <c r="F6717" t="s">
        <v>38</v>
      </c>
      <c r="G6717" t="s">
        <v>36</v>
      </c>
      <c r="H6717" t="s">
        <v>43</v>
      </c>
      <c r="I6717" s="187">
        <v>565.30074868134125</v>
      </c>
      <c r="J6717" s="187">
        <v>59.428000262765714</v>
      </c>
      <c r="K6717" s="187">
        <v>1939.7513422608524</v>
      </c>
      <c r="L6717" s="187">
        <v>1944.9163722359688</v>
      </c>
      <c r="M6717" s="187">
        <v>4509.396484375</v>
      </c>
      <c r="N6717" s="187">
        <v>2510.217041015625</v>
      </c>
      <c r="O6717" t="s">
        <v>6751</v>
      </c>
    </row>
    <row r="6718" spans="1:15" hidden="1" x14ac:dyDescent="0.45">
      <c r="A6718" s="187">
        <v>2024</v>
      </c>
      <c r="B6718" t="s">
        <v>8570</v>
      </c>
      <c r="C6718" t="s">
        <v>322</v>
      </c>
      <c r="D6718" t="s">
        <v>35</v>
      </c>
      <c r="E6718" t="s">
        <v>38</v>
      </c>
      <c r="F6718" t="s">
        <v>38</v>
      </c>
      <c r="G6718" t="s">
        <v>36</v>
      </c>
      <c r="H6718" t="s">
        <v>43</v>
      </c>
      <c r="I6718" s="187">
        <v>415.21480000000003</v>
      </c>
      <c r="J6718" s="187">
        <v>165</v>
      </c>
      <c r="K6718" s="187">
        <v>2815.3125066962862</v>
      </c>
      <c r="L6718" s="187">
        <v>806</v>
      </c>
      <c r="M6718" s="187">
        <v>4201.52734375</v>
      </c>
      <c r="N6718" s="187">
        <v>1221.21484375</v>
      </c>
      <c r="O6718" t="s">
        <v>8993</v>
      </c>
    </row>
    <row r="6719" spans="1:15" hidden="1" x14ac:dyDescent="0.45">
      <c r="A6719" s="187">
        <v>2024</v>
      </c>
      <c r="B6719" t="s">
        <v>313</v>
      </c>
      <c r="C6719" t="s">
        <v>322</v>
      </c>
      <c r="D6719" t="s">
        <v>35</v>
      </c>
      <c r="E6719" t="s">
        <v>38</v>
      </c>
      <c r="F6719" t="s">
        <v>38</v>
      </c>
      <c r="G6719" t="s">
        <v>36</v>
      </c>
      <c r="H6719" t="s">
        <v>43</v>
      </c>
      <c r="I6719" s="187">
        <v>295.60138209452805</v>
      </c>
      <c r="J6719" s="187">
        <v>59.894593726603141</v>
      </c>
      <c r="K6719" s="187">
        <v>647.55764114351871</v>
      </c>
      <c r="L6719" s="187">
        <v>2172.9758604011618</v>
      </c>
      <c r="M6719" s="187">
        <v>3176.029541015625</v>
      </c>
      <c r="N6719" s="187">
        <v>2468.5771484375</v>
      </c>
      <c r="O6719" t="s">
        <v>6753</v>
      </c>
    </row>
    <row r="6720" spans="1:15" hidden="1" x14ac:dyDescent="0.45">
      <c r="A6720" s="187">
        <v>2024</v>
      </c>
      <c r="B6720" t="s">
        <v>316</v>
      </c>
      <c r="C6720" t="s">
        <v>322</v>
      </c>
      <c r="D6720" t="s">
        <v>35</v>
      </c>
      <c r="E6720" t="s">
        <v>38</v>
      </c>
      <c r="F6720" t="s">
        <v>38</v>
      </c>
      <c r="G6720" t="s">
        <v>36</v>
      </c>
      <c r="H6720" t="s">
        <v>43</v>
      </c>
      <c r="I6720" s="187">
        <v>382.8763247900053</v>
      </c>
      <c r="J6720" s="187">
        <v>60.579961124964001</v>
      </c>
      <c r="K6720" s="187">
        <v>1699.6529446684067</v>
      </c>
      <c r="L6720" s="187">
        <v>2511.3147520894167</v>
      </c>
      <c r="M6720" s="187">
        <v>4654.423828125</v>
      </c>
      <c r="N6720" s="187">
        <v>2894.191162109375</v>
      </c>
      <c r="O6720" t="s">
        <v>6757</v>
      </c>
    </row>
    <row r="6721" spans="1:15" hidden="1" x14ac:dyDescent="0.45">
      <c r="A6721" s="187">
        <v>2024</v>
      </c>
      <c r="B6721" t="s">
        <v>314</v>
      </c>
      <c r="C6721" t="s">
        <v>322</v>
      </c>
      <c r="D6721" t="s">
        <v>35</v>
      </c>
      <c r="E6721" t="s">
        <v>38</v>
      </c>
      <c r="F6721" t="s">
        <v>38</v>
      </c>
      <c r="G6721" t="s">
        <v>36</v>
      </c>
      <c r="H6721" t="s">
        <v>43</v>
      </c>
      <c r="I6721" s="187">
        <v>504.34172020127943</v>
      </c>
      <c r="J6721" s="187">
        <v>58.241033054944985</v>
      </c>
      <c r="K6721" s="187">
        <v>644.61976788196694</v>
      </c>
      <c r="L6721" s="187">
        <v>2189.8628428659317</v>
      </c>
      <c r="M6721" s="187">
        <v>3397.0654296875</v>
      </c>
      <c r="N6721" s="187">
        <v>2694.20458984375</v>
      </c>
      <c r="O6721" t="s">
        <v>6750</v>
      </c>
    </row>
    <row r="6722" spans="1:15" hidden="1" x14ac:dyDescent="0.45">
      <c r="A6722" s="187">
        <v>2024</v>
      </c>
      <c r="B6722" t="s">
        <v>316</v>
      </c>
      <c r="C6722" t="s">
        <v>322</v>
      </c>
      <c r="D6722" t="s">
        <v>35</v>
      </c>
      <c r="E6722" t="s">
        <v>38</v>
      </c>
      <c r="F6722" t="s">
        <v>38</v>
      </c>
      <c r="G6722" t="s">
        <v>37</v>
      </c>
      <c r="H6722" t="s">
        <v>43</v>
      </c>
      <c r="I6722" s="187">
        <v>376</v>
      </c>
      <c r="J6722" s="187">
        <v>55</v>
      </c>
      <c r="K6722" s="187">
        <v>1640.4511620694871</v>
      </c>
      <c r="L6722" s="187">
        <v>2521</v>
      </c>
      <c r="M6722" s="187">
        <v>4592.451171875</v>
      </c>
      <c r="N6722" s="187">
        <v>2897</v>
      </c>
      <c r="O6722" t="s">
        <v>6762</v>
      </c>
    </row>
    <row r="6723" spans="1:15" hidden="1" x14ac:dyDescent="0.45">
      <c r="A6723" s="187">
        <v>2024</v>
      </c>
      <c r="B6723" t="s">
        <v>8570</v>
      </c>
      <c r="C6723" t="s">
        <v>322</v>
      </c>
      <c r="D6723" t="s">
        <v>35</v>
      </c>
      <c r="E6723" t="s">
        <v>38</v>
      </c>
      <c r="F6723" t="s">
        <v>38</v>
      </c>
      <c r="G6723" t="s">
        <v>37</v>
      </c>
      <c r="H6723" t="s">
        <v>43</v>
      </c>
      <c r="I6723" s="187">
        <v>431.98947792000001</v>
      </c>
      <c r="J6723" s="187">
        <v>165</v>
      </c>
      <c r="K6723" s="187">
        <v>2938.5503247305628</v>
      </c>
      <c r="L6723" s="187">
        <v>892</v>
      </c>
      <c r="M6723" s="187">
        <v>4427.5400390625</v>
      </c>
      <c r="N6723" s="187">
        <v>1323.989501953125</v>
      </c>
      <c r="O6723" t="s">
        <v>8994</v>
      </c>
    </row>
    <row r="6724" spans="1:15" hidden="1" x14ac:dyDescent="0.45">
      <c r="A6724" s="187">
        <v>2024</v>
      </c>
      <c r="B6724" t="s">
        <v>317</v>
      </c>
      <c r="C6724" t="s">
        <v>322</v>
      </c>
      <c r="D6724" t="s">
        <v>35</v>
      </c>
      <c r="E6724" t="s">
        <v>38</v>
      </c>
      <c r="F6724" t="s">
        <v>38</v>
      </c>
      <c r="G6724" t="s">
        <v>37</v>
      </c>
      <c r="H6724" t="s">
        <v>43</v>
      </c>
      <c r="I6724" s="187">
        <v>555.88197456</v>
      </c>
      <c r="J6724" s="187">
        <v>55</v>
      </c>
      <c r="K6724" s="187">
        <v>1893.489705087592</v>
      </c>
      <c r="L6724" s="187">
        <v>1892</v>
      </c>
      <c r="M6724" s="187">
        <v>4396.37158203125</v>
      </c>
      <c r="N6724" s="187">
        <v>2447.8818359375</v>
      </c>
      <c r="O6724" t="s">
        <v>6763</v>
      </c>
    </row>
    <row r="6725" spans="1:15" hidden="1" x14ac:dyDescent="0.45">
      <c r="A6725" s="187">
        <v>2024</v>
      </c>
      <c r="B6725" t="s">
        <v>312</v>
      </c>
      <c r="C6725" t="s">
        <v>322</v>
      </c>
      <c r="D6725" t="s">
        <v>35</v>
      </c>
      <c r="E6725" t="s">
        <v>38</v>
      </c>
      <c r="F6725" t="s">
        <v>38</v>
      </c>
      <c r="G6725" t="s">
        <v>37</v>
      </c>
      <c r="H6725" t="s">
        <v>43</v>
      </c>
      <c r="I6725" s="187">
        <v>284.28931257984499</v>
      </c>
      <c r="J6725" s="187">
        <v>117</v>
      </c>
      <c r="K6725" s="187">
        <v>1217.4701133003091</v>
      </c>
      <c r="L6725" s="187">
        <v>2025</v>
      </c>
      <c r="M6725" s="187">
        <v>3643.75927734375</v>
      </c>
      <c r="N6725" s="187">
        <v>2309.289306640625</v>
      </c>
      <c r="O6725" t="s">
        <v>6764</v>
      </c>
    </row>
    <row r="6726" spans="1:15" hidden="1" x14ac:dyDescent="0.45">
      <c r="A6726" s="187">
        <v>2024</v>
      </c>
      <c r="B6726" t="s">
        <v>315</v>
      </c>
      <c r="C6726" t="s">
        <v>322</v>
      </c>
      <c r="D6726" t="s">
        <v>35</v>
      </c>
      <c r="E6726" t="s">
        <v>38</v>
      </c>
      <c r="F6726" t="s">
        <v>38</v>
      </c>
      <c r="G6726" t="s">
        <v>37</v>
      </c>
      <c r="H6726" t="s">
        <v>43</v>
      </c>
      <c r="I6726" s="187">
        <v>478.13643646508132</v>
      </c>
      <c r="J6726" s="187">
        <v>65</v>
      </c>
      <c r="K6726" s="187">
        <v>1931.9447025373161</v>
      </c>
      <c r="L6726" s="187">
        <v>2367</v>
      </c>
      <c r="M6726" s="187">
        <v>4842.0810546875</v>
      </c>
      <c r="N6726" s="187">
        <v>2845.136474609375</v>
      </c>
      <c r="O6726" t="s">
        <v>6761</v>
      </c>
    </row>
    <row r="6727" spans="1:15" hidden="1" x14ac:dyDescent="0.45">
      <c r="A6727" s="187">
        <v>2024</v>
      </c>
      <c r="B6727" t="s">
        <v>314</v>
      </c>
      <c r="C6727" t="s">
        <v>322</v>
      </c>
      <c r="D6727" t="s">
        <v>35</v>
      </c>
      <c r="E6727" t="s">
        <v>38</v>
      </c>
      <c r="F6727" t="s">
        <v>38</v>
      </c>
      <c r="G6727" t="s">
        <v>37</v>
      </c>
      <c r="H6727" t="s">
        <v>43</v>
      </c>
      <c r="I6727" s="187">
        <v>487.84260612532262</v>
      </c>
      <c r="J6727" s="187">
        <v>56</v>
      </c>
      <c r="K6727" s="187">
        <v>624.37529450855482</v>
      </c>
      <c r="L6727" s="187">
        <v>2262.651586232043</v>
      </c>
      <c r="M6727" s="187">
        <v>3430.869384765625</v>
      </c>
      <c r="N6727" s="187">
        <v>2750.494140625</v>
      </c>
      <c r="O6727" t="s">
        <v>6759</v>
      </c>
    </row>
    <row r="6728" spans="1:15" hidden="1" x14ac:dyDescent="0.45">
      <c r="A6728" s="187">
        <v>2024</v>
      </c>
      <c r="B6728" t="s">
        <v>311</v>
      </c>
      <c r="C6728" t="s">
        <v>322</v>
      </c>
      <c r="D6728" t="s">
        <v>35</v>
      </c>
      <c r="E6728" t="s">
        <v>38</v>
      </c>
      <c r="F6728" t="s">
        <v>38</v>
      </c>
      <c r="G6728" t="s">
        <v>37</v>
      </c>
      <c r="H6728" t="s">
        <v>43</v>
      </c>
      <c r="I6728" s="187"/>
      <c r="J6728" s="187">
        <v>84</v>
      </c>
      <c r="K6728" s="187">
        <v>1222.2507548046649</v>
      </c>
      <c r="L6728" s="187">
        <v>2431</v>
      </c>
      <c r="M6728" s="187">
        <v>3737.250732421875</v>
      </c>
      <c r="N6728" s="187">
        <v>2431</v>
      </c>
      <c r="O6728" t="s">
        <v>6765</v>
      </c>
    </row>
    <row r="6729" spans="1:15" hidden="1" x14ac:dyDescent="0.45">
      <c r="A6729" s="187">
        <v>2024</v>
      </c>
      <c r="B6729" t="s">
        <v>310</v>
      </c>
      <c r="C6729" t="s">
        <v>322</v>
      </c>
      <c r="D6729" t="s">
        <v>35</v>
      </c>
      <c r="E6729" t="s">
        <v>38</v>
      </c>
      <c r="F6729" t="s">
        <v>38</v>
      </c>
      <c r="G6729" t="s">
        <v>37</v>
      </c>
      <c r="H6729" t="s">
        <v>43</v>
      </c>
      <c r="I6729" s="187"/>
      <c r="J6729" s="187">
        <v>135</v>
      </c>
      <c r="K6729" s="187">
        <v>1230.0665719690701</v>
      </c>
      <c r="L6729" s="187">
        <v>1212</v>
      </c>
      <c r="M6729" s="187">
        <v>2577.06640625</v>
      </c>
      <c r="N6729" s="187">
        <v>1212</v>
      </c>
      <c r="O6729" t="s">
        <v>6758</v>
      </c>
    </row>
    <row r="6730" spans="1:15" hidden="1" x14ac:dyDescent="0.45">
      <c r="A6730" s="187">
        <v>2024</v>
      </c>
      <c r="B6730" t="s">
        <v>313</v>
      </c>
      <c r="C6730" t="s">
        <v>322</v>
      </c>
      <c r="D6730" t="s">
        <v>35</v>
      </c>
      <c r="E6730" t="s">
        <v>38</v>
      </c>
      <c r="F6730" t="s">
        <v>38</v>
      </c>
      <c r="G6730" t="s">
        <v>37</v>
      </c>
      <c r="H6730" t="s">
        <v>43</v>
      </c>
      <c r="I6730" s="187">
        <v>282.87493789039291</v>
      </c>
      <c r="J6730" s="187">
        <v>57</v>
      </c>
      <c r="K6730" s="187">
        <v>618.180306255804</v>
      </c>
      <c r="L6730" s="187">
        <v>2099.2844150329852</v>
      </c>
      <c r="M6730" s="187">
        <v>3057.339599609375</v>
      </c>
      <c r="N6730" s="187">
        <v>2382.159423828125</v>
      </c>
      <c r="O6730" t="s">
        <v>6760</v>
      </c>
    </row>
    <row r="6731" spans="1:15" hidden="1" x14ac:dyDescent="0.45">
      <c r="A6731" s="187">
        <v>2024</v>
      </c>
      <c r="B6731" t="s">
        <v>310</v>
      </c>
      <c r="C6731" t="s">
        <v>322</v>
      </c>
      <c r="D6731" t="s">
        <v>35</v>
      </c>
      <c r="E6731" t="s">
        <v>354</v>
      </c>
      <c r="F6731" t="s">
        <v>384</v>
      </c>
      <c r="G6731" t="s">
        <v>36</v>
      </c>
      <c r="H6731" t="s">
        <v>43</v>
      </c>
      <c r="I6731" s="187"/>
      <c r="J6731" s="187">
        <v>0</v>
      </c>
      <c r="K6731" s="187">
        <v>0</v>
      </c>
      <c r="L6731" s="187">
        <v>0</v>
      </c>
      <c r="M6731" s="187">
        <v>0</v>
      </c>
      <c r="N6731" s="187">
        <v>0</v>
      </c>
      <c r="O6731" t="s">
        <v>6769</v>
      </c>
    </row>
    <row r="6732" spans="1:15" hidden="1" x14ac:dyDescent="0.45">
      <c r="A6732" s="187">
        <v>2024</v>
      </c>
      <c r="B6732" t="s">
        <v>316</v>
      </c>
      <c r="C6732" t="s">
        <v>322</v>
      </c>
      <c r="D6732" t="s">
        <v>35</v>
      </c>
      <c r="E6732" t="s">
        <v>354</v>
      </c>
      <c r="F6732" t="s">
        <v>384</v>
      </c>
      <c r="G6732" t="s">
        <v>36</v>
      </c>
      <c r="H6732" t="s">
        <v>43</v>
      </c>
      <c r="I6732" s="187">
        <v>0</v>
      </c>
      <c r="J6732" s="187">
        <v>44.058153545428361</v>
      </c>
      <c r="K6732" s="187">
        <v>0</v>
      </c>
      <c r="L6732" s="187">
        <v>0</v>
      </c>
      <c r="M6732" s="187">
        <v>44.058155059814453</v>
      </c>
      <c r="N6732" s="187">
        <v>0</v>
      </c>
      <c r="O6732" t="s">
        <v>6768</v>
      </c>
    </row>
    <row r="6733" spans="1:15" hidden="1" x14ac:dyDescent="0.45">
      <c r="A6733" s="187">
        <v>2024</v>
      </c>
      <c r="B6733" t="s">
        <v>313</v>
      </c>
      <c r="C6733" t="s">
        <v>322</v>
      </c>
      <c r="D6733" t="s">
        <v>35</v>
      </c>
      <c r="E6733" t="s">
        <v>354</v>
      </c>
      <c r="F6733" t="s">
        <v>384</v>
      </c>
      <c r="G6733" t="s">
        <v>36</v>
      </c>
      <c r="H6733" t="s">
        <v>43</v>
      </c>
      <c r="I6733" s="187"/>
      <c r="J6733" s="187">
        <v>0</v>
      </c>
      <c r="K6733" s="187">
        <v>0</v>
      </c>
      <c r="L6733" s="187">
        <v>0</v>
      </c>
      <c r="M6733" s="187">
        <v>0</v>
      </c>
      <c r="N6733" s="187">
        <v>0</v>
      </c>
      <c r="O6733" t="s">
        <v>6770</v>
      </c>
    </row>
    <row r="6734" spans="1:15" hidden="1" x14ac:dyDescent="0.45">
      <c r="A6734" s="187">
        <v>2024</v>
      </c>
      <c r="B6734" t="s">
        <v>317</v>
      </c>
      <c r="C6734" t="s">
        <v>322</v>
      </c>
      <c r="D6734" t="s">
        <v>35</v>
      </c>
      <c r="E6734" t="s">
        <v>354</v>
      </c>
      <c r="F6734" t="s">
        <v>384</v>
      </c>
      <c r="G6734" t="s">
        <v>36</v>
      </c>
      <c r="H6734" t="s">
        <v>43</v>
      </c>
      <c r="I6734" s="187">
        <v>0</v>
      </c>
      <c r="J6734" s="187">
        <v>43.220363827465974</v>
      </c>
      <c r="K6734" s="187">
        <v>0</v>
      </c>
      <c r="L6734" s="187">
        <v>0</v>
      </c>
      <c r="M6734" s="187">
        <v>43.220363616943359</v>
      </c>
      <c r="N6734" s="187">
        <v>0</v>
      </c>
      <c r="O6734" t="s">
        <v>6767</v>
      </c>
    </row>
    <row r="6735" spans="1:15" hidden="1" x14ac:dyDescent="0.45">
      <c r="A6735" s="187">
        <v>2024</v>
      </c>
      <c r="B6735" t="s">
        <v>315</v>
      </c>
      <c r="C6735" t="s">
        <v>322</v>
      </c>
      <c r="D6735" t="s">
        <v>35</v>
      </c>
      <c r="E6735" t="s">
        <v>354</v>
      </c>
      <c r="F6735" t="s">
        <v>384</v>
      </c>
      <c r="G6735" t="s">
        <v>36</v>
      </c>
      <c r="H6735" t="s">
        <v>43</v>
      </c>
      <c r="I6735" s="187">
        <v>0</v>
      </c>
      <c r="J6735" s="187">
        <v>0</v>
      </c>
      <c r="K6735" s="187">
        <v>0</v>
      </c>
      <c r="L6735" s="187">
        <v>0</v>
      </c>
      <c r="M6735" s="187">
        <v>0</v>
      </c>
      <c r="N6735" s="187">
        <v>0</v>
      </c>
      <c r="O6735" t="s">
        <v>6766</v>
      </c>
    </row>
    <row r="6736" spans="1:15" hidden="1" x14ac:dyDescent="0.45">
      <c r="A6736" s="187">
        <v>2024</v>
      </c>
      <c r="B6736" t="s">
        <v>312</v>
      </c>
      <c r="C6736" t="s">
        <v>322</v>
      </c>
      <c r="D6736" t="s">
        <v>35</v>
      </c>
      <c r="E6736" t="s">
        <v>354</v>
      </c>
      <c r="F6736" t="s">
        <v>384</v>
      </c>
      <c r="G6736" t="s">
        <v>36</v>
      </c>
      <c r="H6736" t="s">
        <v>43</v>
      </c>
      <c r="I6736" s="187"/>
      <c r="J6736" s="187">
        <v>0</v>
      </c>
      <c r="K6736" s="187">
        <v>0</v>
      </c>
      <c r="L6736" s="187">
        <v>0</v>
      </c>
      <c r="M6736" s="187">
        <v>0</v>
      </c>
      <c r="N6736" s="187">
        <v>0</v>
      </c>
      <c r="O6736" t="s">
        <v>6772</v>
      </c>
    </row>
    <row r="6737" spans="1:15" hidden="1" x14ac:dyDescent="0.45">
      <c r="A6737" s="187">
        <v>2024</v>
      </c>
      <c r="B6737" t="s">
        <v>311</v>
      </c>
      <c r="C6737" t="s">
        <v>322</v>
      </c>
      <c r="D6737" t="s">
        <v>35</v>
      </c>
      <c r="E6737" t="s">
        <v>354</v>
      </c>
      <c r="F6737" t="s">
        <v>384</v>
      </c>
      <c r="G6737" t="s">
        <v>36</v>
      </c>
      <c r="H6737" t="s">
        <v>43</v>
      </c>
      <c r="I6737" s="187"/>
      <c r="J6737" s="187">
        <v>0</v>
      </c>
      <c r="K6737" s="187">
        <v>0</v>
      </c>
      <c r="L6737" s="187">
        <v>0</v>
      </c>
      <c r="M6737" s="187">
        <v>0</v>
      </c>
      <c r="N6737" s="187">
        <v>0</v>
      </c>
      <c r="O6737" t="s">
        <v>6771</v>
      </c>
    </row>
    <row r="6738" spans="1:15" hidden="1" x14ac:dyDescent="0.45">
      <c r="A6738" s="187">
        <v>2024</v>
      </c>
      <c r="B6738" t="s">
        <v>314</v>
      </c>
      <c r="C6738" t="s">
        <v>322</v>
      </c>
      <c r="D6738" t="s">
        <v>35</v>
      </c>
      <c r="E6738" t="s">
        <v>354</v>
      </c>
      <c r="F6738" t="s">
        <v>384</v>
      </c>
      <c r="G6738" t="s">
        <v>36</v>
      </c>
      <c r="H6738" t="s">
        <v>43</v>
      </c>
      <c r="I6738" s="187">
        <v>0</v>
      </c>
      <c r="J6738" s="187">
        <v>0</v>
      </c>
      <c r="K6738" s="187">
        <v>0</v>
      </c>
      <c r="L6738" s="187">
        <v>0</v>
      </c>
      <c r="M6738" s="187">
        <v>0</v>
      </c>
      <c r="N6738" s="187">
        <v>0</v>
      </c>
      <c r="O6738" t="s">
        <v>6773</v>
      </c>
    </row>
    <row r="6739" spans="1:15" hidden="1" x14ac:dyDescent="0.45">
      <c r="A6739" s="187">
        <v>2024</v>
      </c>
      <c r="B6739" t="s">
        <v>8570</v>
      </c>
      <c r="C6739" t="s">
        <v>322</v>
      </c>
      <c r="D6739" t="s">
        <v>35</v>
      </c>
      <c r="E6739" t="s">
        <v>354</v>
      </c>
      <c r="F6739" t="s">
        <v>384</v>
      </c>
      <c r="G6739" t="s">
        <v>36</v>
      </c>
      <c r="H6739" t="s">
        <v>43</v>
      </c>
      <c r="I6739" s="187">
        <v>0</v>
      </c>
      <c r="J6739" s="187">
        <v>40</v>
      </c>
      <c r="K6739" s="187">
        <v>0</v>
      </c>
      <c r="L6739" s="187">
        <v>0</v>
      </c>
      <c r="M6739" s="187">
        <v>40</v>
      </c>
      <c r="N6739" s="187">
        <v>0</v>
      </c>
      <c r="O6739" t="s">
        <v>8995</v>
      </c>
    </row>
    <row r="6740" spans="1:15" hidden="1" x14ac:dyDescent="0.45">
      <c r="A6740" s="187">
        <v>2024</v>
      </c>
      <c r="B6740" t="s">
        <v>312</v>
      </c>
      <c r="C6740" t="s">
        <v>322</v>
      </c>
      <c r="D6740" t="s">
        <v>35</v>
      </c>
      <c r="E6740" t="s">
        <v>354</v>
      </c>
      <c r="F6740" t="s">
        <v>384</v>
      </c>
      <c r="G6740" t="s">
        <v>37</v>
      </c>
      <c r="H6740" t="s">
        <v>43</v>
      </c>
      <c r="I6740" s="187"/>
      <c r="J6740" s="187">
        <v>0</v>
      </c>
      <c r="K6740" s="187">
        <v>0</v>
      </c>
      <c r="L6740" s="187">
        <v>0</v>
      </c>
      <c r="M6740" s="187">
        <v>0</v>
      </c>
      <c r="N6740" s="187">
        <v>0</v>
      </c>
      <c r="O6740" t="s">
        <v>6779</v>
      </c>
    </row>
    <row r="6741" spans="1:15" hidden="1" x14ac:dyDescent="0.45">
      <c r="A6741" s="187">
        <v>2024</v>
      </c>
      <c r="B6741" t="s">
        <v>310</v>
      </c>
      <c r="C6741" t="s">
        <v>322</v>
      </c>
      <c r="D6741" t="s">
        <v>35</v>
      </c>
      <c r="E6741" t="s">
        <v>354</v>
      </c>
      <c r="F6741" t="s">
        <v>384</v>
      </c>
      <c r="G6741" t="s">
        <v>37</v>
      </c>
      <c r="H6741" t="s">
        <v>43</v>
      </c>
      <c r="I6741" s="187"/>
      <c r="J6741" s="187">
        <v>0</v>
      </c>
      <c r="K6741" s="187">
        <v>0</v>
      </c>
      <c r="L6741" s="187">
        <v>0</v>
      </c>
      <c r="M6741" s="187">
        <v>0</v>
      </c>
      <c r="N6741" s="187">
        <v>0</v>
      </c>
      <c r="O6741" t="s">
        <v>6774</v>
      </c>
    </row>
    <row r="6742" spans="1:15" hidden="1" x14ac:dyDescent="0.45">
      <c r="A6742" s="187">
        <v>2024</v>
      </c>
      <c r="B6742" t="s">
        <v>313</v>
      </c>
      <c r="C6742" t="s">
        <v>322</v>
      </c>
      <c r="D6742" t="s">
        <v>35</v>
      </c>
      <c r="E6742" t="s">
        <v>354</v>
      </c>
      <c r="F6742" t="s">
        <v>384</v>
      </c>
      <c r="G6742" t="s">
        <v>37</v>
      </c>
      <c r="H6742" t="s">
        <v>43</v>
      </c>
      <c r="I6742" s="187"/>
      <c r="J6742" s="187">
        <v>0</v>
      </c>
      <c r="K6742" s="187">
        <v>0</v>
      </c>
      <c r="L6742" s="187">
        <v>0</v>
      </c>
      <c r="M6742" s="187">
        <v>0</v>
      </c>
      <c r="N6742" s="187">
        <v>0</v>
      </c>
      <c r="O6742" t="s">
        <v>6778</v>
      </c>
    </row>
    <row r="6743" spans="1:15" hidden="1" x14ac:dyDescent="0.45">
      <c r="A6743" s="187">
        <v>2024</v>
      </c>
      <c r="B6743" t="s">
        <v>317</v>
      </c>
      <c r="C6743" t="s">
        <v>322</v>
      </c>
      <c r="D6743" t="s">
        <v>35</v>
      </c>
      <c r="E6743" t="s">
        <v>354</v>
      </c>
      <c r="F6743" t="s">
        <v>384</v>
      </c>
      <c r="G6743" t="s">
        <v>37</v>
      </c>
      <c r="H6743" t="s">
        <v>43</v>
      </c>
      <c r="I6743" s="187">
        <v>0</v>
      </c>
      <c r="J6743" s="187">
        <v>40</v>
      </c>
      <c r="K6743" s="187">
        <v>0</v>
      </c>
      <c r="L6743" s="187">
        <v>0</v>
      </c>
      <c r="M6743" s="187">
        <v>40</v>
      </c>
      <c r="N6743" s="187">
        <v>0</v>
      </c>
      <c r="O6743" t="s">
        <v>6777</v>
      </c>
    </row>
    <row r="6744" spans="1:15" hidden="1" x14ac:dyDescent="0.45">
      <c r="A6744" s="187">
        <v>2024</v>
      </c>
      <c r="B6744" t="s">
        <v>8570</v>
      </c>
      <c r="C6744" t="s">
        <v>322</v>
      </c>
      <c r="D6744" t="s">
        <v>35</v>
      </c>
      <c r="E6744" t="s">
        <v>354</v>
      </c>
      <c r="F6744" t="s">
        <v>384</v>
      </c>
      <c r="G6744" t="s">
        <v>37</v>
      </c>
      <c r="H6744" t="s">
        <v>43</v>
      </c>
      <c r="I6744" s="187">
        <v>0</v>
      </c>
      <c r="J6744" s="187">
        <v>40</v>
      </c>
      <c r="K6744" s="187">
        <v>0</v>
      </c>
      <c r="L6744" s="187">
        <v>0</v>
      </c>
      <c r="M6744" s="187">
        <v>40</v>
      </c>
      <c r="N6744" s="187">
        <v>0</v>
      </c>
      <c r="O6744" t="s">
        <v>8996</v>
      </c>
    </row>
    <row r="6745" spans="1:15" hidden="1" x14ac:dyDescent="0.45">
      <c r="A6745" s="187">
        <v>2024</v>
      </c>
      <c r="B6745" t="s">
        <v>311</v>
      </c>
      <c r="C6745" t="s">
        <v>322</v>
      </c>
      <c r="D6745" t="s">
        <v>35</v>
      </c>
      <c r="E6745" t="s">
        <v>354</v>
      </c>
      <c r="F6745" t="s">
        <v>384</v>
      </c>
      <c r="G6745" t="s">
        <v>37</v>
      </c>
      <c r="H6745" t="s">
        <v>43</v>
      </c>
      <c r="I6745" s="187"/>
      <c r="J6745" s="187">
        <v>0</v>
      </c>
      <c r="K6745" s="187">
        <v>0</v>
      </c>
      <c r="L6745" s="187">
        <v>0</v>
      </c>
      <c r="M6745" s="187">
        <v>0</v>
      </c>
      <c r="N6745" s="187">
        <v>0</v>
      </c>
      <c r="O6745" t="s">
        <v>6781</v>
      </c>
    </row>
    <row r="6746" spans="1:15" hidden="1" x14ac:dyDescent="0.45">
      <c r="A6746" s="187">
        <v>2024</v>
      </c>
      <c r="B6746" t="s">
        <v>314</v>
      </c>
      <c r="C6746" t="s">
        <v>322</v>
      </c>
      <c r="D6746" t="s">
        <v>35</v>
      </c>
      <c r="E6746" t="s">
        <v>354</v>
      </c>
      <c r="F6746" t="s">
        <v>384</v>
      </c>
      <c r="G6746" t="s">
        <v>37</v>
      </c>
      <c r="H6746" t="s">
        <v>43</v>
      </c>
      <c r="I6746" s="187">
        <v>0</v>
      </c>
      <c r="J6746" s="187">
        <v>0</v>
      </c>
      <c r="K6746" s="187">
        <v>0</v>
      </c>
      <c r="L6746" s="187">
        <v>0</v>
      </c>
      <c r="M6746" s="187">
        <v>0</v>
      </c>
      <c r="N6746" s="187">
        <v>0</v>
      </c>
      <c r="O6746" t="s">
        <v>6775</v>
      </c>
    </row>
    <row r="6747" spans="1:15" hidden="1" x14ac:dyDescent="0.45">
      <c r="A6747" s="187">
        <v>2024</v>
      </c>
      <c r="B6747" t="s">
        <v>316</v>
      </c>
      <c r="C6747" t="s">
        <v>322</v>
      </c>
      <c r="D6747" t="s">
        <v>35</v>
      </c>
      <c r="E6747" t="s">
        <v>354</v>
      </c>
      <c r="F6747" t="s">
        <v>384</v>
      </c>
      <c r="G6747" t="s">
        <v>37</v>
      </c>
      <c r="H6747" t="s">
        <v>43</v>
      </c>
      <c r="I6747" s="187">
        <v>0</v>
      </c>
      <c r="J6747" s="187">
        <v>40</v>
      </c>
      <c r="K6747" s="187">
        <v>0</v>
      </c>
      <c r="L6747" s="187">
        <v>0</v>
      </c>
      <c r="M6747" s="187">
        <v>40</v>
      </c>
      <c r="N6747" s="187">
        <v>0</v>
      </c>
      <c r="O6747" t="s">
        <v>6776</v>
      </c>
    </row>
    <row r="6748" spans="1:15" hidden="1" x14ac:dyDescent="0.45">
      <c r="A6748" s="187">
        <v>2024</v>
      </c>
      <c r="B6748" t="s">
        <v>315</v>
      </c>
      <c r="C6748" t="s">
        <v>322</v>
      </c>
      <c r="D6748" t="s">
        <v>35</v>
      </c>
      <c r="E6748" t="s">
        <v>354</v>
      </c>
      <c r="F6748" t="s">
        <v>384</v>
      </c>
      <c r="G6748" t="s">
        <v>37</v>
      </c>
      <c r="H6748" t="s">
        <v>43</v>
      </c>
      <c r="I6748" s="187">
        <v>0</v>
      </c>
      <c r="J6748" s="187">
        <v>0</v>
      </c>
      <c r="K6748" s="187">
        <v>0</v>
      </c>
      <c r="L6748" s="187">
        <v>0</v>
      </c>
      <c r="M6748" s="187">
        <v>0</v>
      </c>
      <c r="N6748" s="187">
        <v>0</v>
      </c>
      <c r="O6748" t="s">
        <v>6780</v>
      </c>
    </row>
    <row r="6749" spans="1:15" hidden="1" x14ac:dyDescent="0.45">
      <c r="A6749" s="187">
        <v>2024</v>
      </c>
      <c r="B6749" t="s">
        <v>312</v>
      </c>
      <c r="C6749" t="s">
        <v>322</v>
      </c>
      <c r="D6749" t="s">
        <v>35</v>
      </c>
      <c r="E6749" t="s">
        <v>354</v>
      </c>
      <c r="F6749" t="s">
        <v>385</v>
      </c>
      <c r="G6749" t="s">
        <v>36</v>
      </c>
      <c r="H6749" t="s">
        <v>43</v>
      </c>
      <c r="I6749" s="187"/>
      <c r="J6749" s="187">
        <v>43.280098258366905</v>
      </c>
      <c r="K6749" s="187">
        <v>3519.1553547366111</v>
      </c>
      <c r="L6749" s="187">
        <v>0</v>
      </c>
      <c r="M6749" s="187">
        <v>3562.435546875</v>
      </c>
      <c r="N6749" s="187">
        <v>0</v>
      </c>
      <c r="O6749" t="s">
        <v>6785</v>
      </c>
    </row>
    <row r="6750" spans="1:15" hidden="1" x14ac:dyDescent="0.45">
      <c r="A6750" s="187">
        <v>2024</v>
      </c>
      <c r="B6750" t="s">
        <v>311</v>
      </c>
      <c r="C6750" t="s">
        <v>322</v>
      </c>
      <c r="D6750" t="s">
        <v>35</v>
      </c>
      <c r="E6750" t="s">
        <v>354</v>
      </c>
      <c r="F6750" t="s">
        <v>385</v>
      </c>
      <c r="G6750" t="s">
        <v>36</v>
      </c>
      <c r="H6750" t="s">
        <v>43</v>
      </c>
      <c r="I6750" s="187"/>
      <c r="J6750" s="187">
        <v>51.011764906200156</v>
      </c>
      <c r="K6750" s="187">
        <v>2318.2864160272252</v>
      </c>
      <c r="L6750" s="187">
        <v>0</v>
      </c>
      <c r="M6750" s="187">
        <v>2369.298095703125</v>
      </c>
      <c r="N6750" s="187">
        <v>0</v>
      </c>
      <c r="O6750" t="s">
        <v>6783</v>
      </c>
    </row>
    <row r="6751" spans="1:15" hidden="1" x14ac:dyDescent="0.45">
      <c r="A6751" s="187">
        <v>2024</v>
      </c>
      <c r="B6751" t="s">
        <v>8570</v>
      </c>
      <c r="C6751" t="s">
        <v>322</v>
      </c>
      <c r="D6751" t="s">
        <v>35</v>
      </c>
      <c r="E6751" t="s">
        <v>354</v>
      </c>
      <c r="F6751" t="s">
        <v>385</v>
      </c>
      <c r="G6751" t="s">
        <v>36</v>
      </c>
      <c r="H6751" t="s">
        <v>43</v>
      </c>
      <c r="I6751" s="187">
        <v>55.672977359999997</v>
      </c>
      <c r="J6751" s="187">
        <v>20</v>
      </c>
      <c r="K6751" s="187">
        <v>719.6806747816313</v>
      </c>
      <c r="L6751" s="187">
        <v>627</v>
      </c>
      <c r="M6751" s="187">
        <v>1422.3536376953125</v>
      </c>
      <c r="N6751" s="187">
        <v>682.6729736328125</v>
      </c>
      <c r="O6751" t="s">
        <v>8997</v>
      </c>
    </row>
    <row r="6752" spans="1:15" hidden="1" x14ac:dyDescent="0.45">
      <c r="A6752" s="187">
        <v>2024</v>
      </c>
      <c r="B6752" t="s">
        <v>313</v>
      </c>
      <c r="C6752" t="s">
        <v>322</v>
      </c>
      <c r="D6752" t="s">
        <v>35</v>
      </c>
      <c r="E6752" t="s">
        <v>354</v>
      </c>
      <c r="F6752" t="s">
        <v>385</v>
      </c>
      <c r="G6752" t="s">
        <v>36</v>
      </c>
      <c r="H6752" t="s">
        <v>43</v>
      </c>
      <c r="I6752" s="187"/>
      <c r="J6752" s="187">
        <v>47.915674981282514</v>
      </c>
      <c r="K6752" s="187">
        <v>4247.8458934244054</v>
      </c>
      <c r="L6752" s="187">
        <v>0</v>
      </c>
      <c r="M6752" s="187">
        <v>4295.76171875</v>
      </c>
      <c r="N6752" s="187">
        <v>0</v>
      </c>
      <c r="O6752" t="s">
        <v>6786</v>
      </c>
    </row>
    <row r="6753" spans="1:15" hidden="1" x14ac:dyDescent="0.45">
      <c r="A6753" s="187">
        <v>2024</v>
      </c>
      <c r="B6753" t="s">
        <v>316</v>
      </c>
      <c r="C6753" t="s">
        <v>322</v>
      </c>
      <c r="D6753" t="s">
        <v>35</v>
      </c>
      <c r="E6753" t="s">
        <v>354</v>
      </c>
      <c r="F6753" t="s">
        <v>385</v>
      </c>
      <c r="G6753" t="s">
        <v>36</v>
      </c>
      <c r="H6753" t="s">
        <v>43</v>
      </c>
      <c r="I6753" s="187">
        <v>0</v>
      </c>
      <c r="J6753" s="187">
        <v>22.029076772714181</v>
      </c>
      <c r="K6753" s="187">
        <v>1064.2454201663775</v>
      </c>
      <c r="L6753" s="187">
        <v>58.377053447692582</v>
      </c>
      <c r="M6753" s="187">
        <v>1144.651611328125</v>
      </c>
      <c r="N6753" s="187">
        <v>58.377052307128906</v>
      </c>
      <c r="O6753" t="s">
        <v>6782</v>
      </c>
    </row>
    <row r="6754" spans="1:15" hidden="1" x14ac:dyDescent="0.45">
      <c r="A6754" s="187">
        <v>2024</v>
      </c>
      <c r="B6754" t="s">
        <v>310</v>
      </c>
      <c r="C6754" t="s">
        <v>322</v>
      </c>
      <c r="D6754" t="s">
        <v>35</v>
      </c>
      <c r="E6754" t="s">
        <v>354</v>
      </c>
      <c r="F6754" t="s">
        <v>385</v>
      </c>
      <c r="G6754" t="s">
        <v>36</v>
      </c>
      <c r="H6754" t="s">
        <v>43</v>
      </c>
      <c r="I6754" s="187"/>
      <c r="J6754" s="187">
        <v>0</v>
      </c>
      <c r="K6754" s="187">
        <v>2388.5033152541241</v>
      </c>
      <c r="L6754" s="187">
        <v>0</v>
      </c>
      <c r="M6754" s="187">
        <v>2388.50341796875</v>
      </c>
      <c r="N6754" s="187">
        <v>0</v>
      </c>
      <c r="O6754" t="s">
        <v>6788</v>
      </c>
    </row>
    <row r="6755" spans="1:15" hidden="1" x14ac:dyDescent="0.45">
      <c r="A6755" s="187">
        <v>2024</v>
      </c>
      <c r="B6755" t="s">
        <v>317</v>
      </c>
      <c r="C6755" t="s">
        <v>322</v>
      </c>
      <c r="D6755" t="s">
        <v>35</v>
      </c>
      <c r="E6755" t="s">
        <v>354</v>
      </c>
      <c r="F6755" t="s">
        <v>385</v>
      </c>
      <c r="G6755" t="s">
        <v>36</v>
      </c>
      <c r="H6755" t="s">
        <v>43</v>
      </c>
      <c r="I6755" s="187">
        <v>54.025454784332467</v>
      </c>
      <c r="J6755" s="187">
        <v>21.610181913732987</v>
      </c>
      <c r="K6755" s="187">
        <v>1051.7889045019358</v>
      </c>
      <c r="L6755" s="187">
        <v>1287.966842058486</v>
      </c>
      <c r="M6755" s="187">
        <v>2415.391357421875</v>
      </c>
      <c r="N6755" s="187">
        <v>1341.9923095703125</v>
      </c>
      <c r="O6755" t="s">
        <v>6784</v>
      </c>
    </row>
    <row r="6756" spans="1:15" hidden="1" x14ac:dyDescent="0.45">
      <c r="A6756" s="187">
        <v>2024</v>
      </c>
      <c r="B6756" t="s">
        <v>315</v>
      </c>
      <c r="C6756" t="s">
        <v>322</v>
      </c>
      <c r="D6756" t="s">
        <v>35</v>
      </c>
      <c r="E6756" t="s">
        <v>354</v>
      </c>
      <c r="F6756" t="s">
        <v>385</v>
      </c>
      <c r="G6756" t="s">
        <v>36</v>
      </c>
      <c r="H6756" t="s">
        <v>43</v>
      </c>
      <c r="I6756" s="187">
        <v>0</v>
      </c>
      <c r="J6756" s="187">
        <v>45.311897447400071</v>
      </c>
      <c r="K6756" s="187">
        <v>1378.1059984207459</v>
      </c>
      <c r="L6756" s="187">
        <v>60.038264117805099</v>
      </c>
      <c r="M6756" s="187">
        <v>1483.4560546875</v>
      </c>
      <c r="N6756" s="187">
        <v>60.038265228271484</v>
      </c>
      <c r="O6756" t="s">
        <v>6787</v>
      </c>
    </row>
    <row r="6757" spans="1:15" hidden="1" x14ac:dyDescent="0.45">
      <c r="A6757" s="187">
        <v>2024</v>
      </c>
      <c r="B6757" t="s">
        <v>314</v>
      </c>
      <c r="C6757" t="s">
        <v>322</v>
      </c>
      <c r="D6757" t="s">
        <v>35</v>
      </c>
      <c r="E6757" t="s">
        <v>354</v>
      </c>
      <c r="F6757" t="s">
        <v>385</v>
      </c>
      <c r="G6757" t="s">
        <v>36</v>
      </c>
      <c r="H6757" t="s">
        <v>43</v>
      </c>
      <c r="I6757" s="187">
        <v>0</v>
      </c>
      <c r="J6757" s="187">
        <v>46.592826443955992</v>
      </c>
      <c r="K6757" s="187">
        <v>1149.5333302644758</v>
      </c>
      <c r="L6757" s="187">
        <v>0</v>
      </c>
      <c r="M6757" s="187">
        <v>1196.1260986328125</v>
      </c>
      <c r="N6757" s="187">
        <v>0</v>
      </c>
      <c r="O6757" t="s">
        <v>6789</v>
      </c>
    </row>
    <row r="6758" spans="1:15" hidden="1" x14ac:dyDescent="0.45">
      <c r="A6758" s="187">
        <v>2024</v>
      </c>
      <c r="B6758" t="s">
        <v>310</v>
      </c>
      <c r="C6758" t="s">
        <v>322</v>
      </c>
      <c r="D6758" t="s">
        <v>35</v>
      </c>
      <c r="E6758" t="s">
        <v>354</v>
      </c>
      <c r="F6758" t="s">
        <v>385</v>
      </c>
      <c r="G6758" t="s">
        <v>37</v>
      </c>
      <c r="H6758" t="s">
        <v>43</v>
      </c>
      <c r="I6758" s="187"/>
      <c r="J6758" s="187">
        <v>0</v>
      </c>
      <c r="K6758" s="187">
        <v>2235.3556381082012</v>
      </c>
      <c r="L6758" s="187">
        <v>0</v>
      </c>
      <c r="M6758" s="187">
        <v>2235.355712890625</v>
      </c>
      <c r="N6758" s="187">
        <v>0</v>
      </c>
      <c r="O6758" t="s">
        <v>6796</v>
      </c>
    </row>
    <row r="6759" spans="1:15" hidden="1" x14ac:dyDescent="0.45">
      <c r="A6759" s="187">
        <v>2024</v>
      </c>
      <c r="B6759" t="s">
        <v>313</v>
      </c>
      <c r="C6759" t="s">
        <v>322</v>
      </c>
      <c r="D6759" t="s">
        <v>35</v>
      </c>
      <c r="E6759" t="s">
        <v>354</v>
      </c>
      <c r="F6759" t="s">
        <v>385</v>
      </c>
      <c r="G6759" t="s">
        <v>37</v>
      </c>
      <c r="H6759" t="s">
        <v>43</v>
      </c>
      <c r="I6759" s="187"/>
      <c r="J6759" s="187">
        <v>46</v>
      </c>
      <c r="K6759" s="187">
        <v>4055.1365754675271</v>
      </c>
      <c r="L6759" s="187">
        <v>0</v>
      </c>
      <c r="M6759" s="187">
        <v>4101.13671875</v>
      </c>
      <c r="N6759" s="187">
        <v>0</v>
      </c>
      <c r="O6759" t="s">
        <v>6793</v>
      </c>
    </row>
    <row r="6760" spans="1:15" hidden="1" x14ac:dyDescent="0.45">
      <c r="A6760" s="187">
        <v>2024</v>
      </c>
      <c r="B6760" t="s">
        <v>317</v>
      </c>
      <c r="C6760" t="s">
        <v>322</v>
      </c>
      <c r="D6760" t="s">
        <v>35</v>
      </c>
      <c r="E6760" t="s">
        <v>354</v>
      </c>
      <c r="F6760" t="s">
        <v>385</v>
      </c>
      <c r="G6760" t="s">
        <v>37</v>
      </c>
      <c r="H6760" t="s">
        <v>43</v>
      </c>
      <c r="I6760" s="187">
        <v>53.060399999999987</v>
      </c>
      <c r="J6760" s="187">
        <v>20</v>
      </c>
      <c r="K6760" s="187">
        <v>1026.7045157852781</v>
      </c>
      <c r="L6760" s="187">
        <v>1253</v>
      </c>
      <c r="M6760" s="187">
        <v>2352.764892578125</v>
      </c>
      <c r="N6760" s="187">
        <v>1306.0604248046875</v>
      </c>
      <c r="O6760" t="s">
        <v>6795</v>
      </c>
    </row>
    <row r="6761" spans="1:15" hidden="1" x14ac:dyDescent="0.45">
      <c r="A6761" s="187">
        <v>2024</v>
      </c>
      <c r="B6761" t="s">
        <v>311</v>
      </c>
      <c r="C6761" t="s">
        <v>322</v>
      </c>
      <c r="D6761" t="s">
        <v>35</v>
      </c>
      <c r="E6761" t="s">
        <v>354</v>
      </c>
      <c r="F6761" t="s">
        <v>385</v>
      </c>
      <c r="G6761" t="s">
        <v>37</v>
      </c>
      <c r="H6761" t="s">
        <v>43</v>
      </c>
      <c r="I6761" s="187"/>
      <c r="J6761" s="187">
        <v>48</v>
      </c>
      <c r="K6761" s="187">
        <v>2156.634717515909</v>
      </c>
      <c r="L6761" s="187">
        <v>0</v>
      </c>
      <c r="M6761" s="187">
        <v>2204.634765625</v>
      </c>
      <c r="N6761" s="187">
        <v>0</v>
      </c>
      <c r="O6761" t="s">
        <v>6797</v>
      </c>
    </row>
    <row r="6762" spans="1:15" hidden="1" x14ac:dyDescent="0.45">
      <c r="A6762" s="187">
        <v>2024</v>
      </c>
      <c r="B6762" t="s">
        <v>315</v>
      </c>
      <c r="C6762" t="s">
        <v>322</v>
      </c>
      <c r="D6762" t="s">
        <v>35</v>
      </c>
      <c r="E6762" t="s">
        <v>354</v>
      </c>
      <c r="F6762" t="s">
        <v>385</v>
      </c>
      <c r="G6762" t="s">
        <v>37</v>
      </c>
      <c r="H6762" t="s">
        <v>43</v>
      </c>
      <c r="I6762" s="187">
        <v>0</v>
      </c>
      <c r="J6762" s="187">
        <v>43</v>
      </c>
      <c r="K6762" s="187">
        <v>1339.826998170176</v>
      </c>
      <c r="L6762" s="187">
        <v>59</v>
      </c>
      <c r="M6762" s="187">
        <v>1441.8270263671875</v>
      </c>
      <c r="N6762" s="187">
        <v>59</v>
      </c>
      <c r="O6762" t="s">
        <v>6794</v>
      </c>
    </row>
    <row r="6763" spans="1:15" hidden="1" x14ac:dyDescent="0.45">
      <c r="A6763" s="187">
        <v>2024</v>
      </c>
      <c r="B6763" t="s">
        <v>312</v>
      </c>
      <c r="C6763" t="s">
        <v>322</v>
      </c>
      <c r="D6763" t="s">
        <v>35</v>
      </c>
      <c r="E6763" t="s">
        <v>354</v>
      </c>
      <c r="F6763" t="s">
        <v>385</v>
      </c>
      <c r="G6763" t="s">
        <v>37</v>
      </c>
      <c r="H6763" t="s">
        <v>43</v>
      </c>
      <c r="I6763" s="187"/>
      <c r="J6763" s="187">
        <v>41</v>
      </c>
      <c r="K6763" s="187">
        <v>3324.1315957888578</v>
      </c>
      <c r="L6763" s="187">
        <v>0</v>
      </c>
      <c r="M6763" s="187">
        <v>3365.131591796875</v>
      </c>
      <c r="N6763" s="187">
        <v>0</v>
      </c>
      <c r="O6763" t="s">
        <v>6790</v>
      </c>
    </row>
    <row r="6764" spans="1:15" hidden="1" x14ac:dyDescent="0.45">
      <c r="A6764" s="187">
        <v>2024</v>
      </c>
      <c r="B6764" t="s">
        <v>316</v>
      </c>
      <c r="C6764" t="s">
        <v>322</v>
      </c>
      <c r="D6764" t="s">
        <v>35</v>
      </c>
      <c r="E6764" t="s">
        <v>354</v>
      </c>
      <c r="F6764" t="s">
        <v>385</v>
      </c>
      <c r="G6764" t="s">
        <v>37</v>
      </c>
      <c r="H6764" t="s">
        <v>43</v>
      </c>
      <c r="I6764" s="187">
        <v>0</v>
      </c>
      <c r="J6764" s="187">
        <v>20</v>
      </c>
      <c r="K6764" s="187">
        <v>1027.175954782738</v>
      </c>
      <c r="L6764" s="187">
        <v>59</v>
      </c>
      <c r="M6764" s="187">
        <v>1106.1759033203125</v>
      </c>
      <c r="N6764" s="187">
        <v>59</v>
      </c>
      <c r="O6764" t="s">
        <v>6791</v>
      </c>
    </row>
    <row r="6765" spans="1:15" hidden="1" x14ac:dyDescent="0.45">
      <c r="A6765" s="187">
        <v>2024</v>
      </c>
      <c r="B6765" t="s">
        <v>314</v>
      </c>
      <c r="C6765" t="s">
        <v>322</v>
      </c>
      <c r="D6765" t="s">
        <v>35</v>
      </c>
      <c r="E6765" t="s">
        <v>354</v>
      </c>
      <c r="F6765" t="s">
        <v>385</v>
      </c>
      <c r="G6765" t="s">
        <v>37</v>
      </c>
      <c r="H6765" t="s">
        <v>43</v>
      </c>
      <c r="I6765" s="187">
        <v>0</v>
      </c>
      <c r="J6765" s="187">
        <v>45</v>
      </c>
      <c r="K6765" s="187">
        <v>1113.4318979847101</v>
      </c>
      <c r="L6765" s="187">
        <v>0</v>
      </c>
      <c r="M6765" s="187">
        <v>1158.431884765625</v>
      </c>
      <c r="N6765" s="187">
        <v>0</v>
      </c>
      <c r="O6765" t="s">
        <v>6792</v>
      </c>
    </row>
    <row r="6766" spans="1:15" hidden="1" x14ac:dyDescent="0.45">
      <c r="A6766" s="187">
        <v>2024</v>
      </c>
      <c r="B6766" t="s">
        <v>8570</v>
      </c>
      <c r="C6766" t="s">
        <v>322</v>
      </c>
      <c r="D6766" t="s">
        <v>35</v>
      </c>
      <c r="E6766" t="s">
        <v>354</v>
      </c>
      <c r="F6766" t="s">
        <v>385</v>
      </c>
      <c r="G6766" t="s">
        <v>37</v>
      </c>
      <c r="H6766" t="s">
        <v>43</v>
      </c>
      <c r="I6766" s="187">
        <v>57.922165645344002</v>
      </c>
      <c r="J6766" s="187">
        <v>20</v>
      </c>
      <c r="K6766" s="187">
        <v>751.18406058003507</v>
      </c>
      <c r="L6766" s="187">
        <v>694</v>
      </c>
      <c r="M6766" s="187">
        <v>1523.106201171875</v>
      </c>
      <c r="N6766" s="187">
        <v>751.92218017578125</v>
      </c>
      <c r="O6766" t="s">
        <v>8998</v>
      </c>
    </row>
    <row r="6767" spans="1:15" hidden="1" x14ac:dyDescent="0.45">
      <c r="A6767" s="187">
        <v>2024</v>
      </c>
      <c r="B6767" t="s">
        <v>312</v>
      </c>
      <c r="C6767" t="s">
        <v>322</v>
      </c>
      <c r="D6767" t="s">
        <v>35</v>
      </c>
      <c r="E6767" t="s">
        <v>354</v>
      </c>
      <c r="F6767" t="s">
        <v>386</v>
      </c>
      <c r="G6767" t="s">
        <v>36</v>
      </c>
      <c r="H6767" t="s">
        <v>43</v>
      </c>
      <c r="I6767" s="187"/>
      <c r="J6767" s="187">
        <v>61.828711797667012</v>
      </c>
      <c r="K6767" s="187">
        <v>696.23577162055233</v>
      </c>
      <c r="L6767" s="187">
        <v>0</v>
      </c>
      <c r="M6767" s="187">
        <v>758.06451416015625</v>
      </c>
      <c r="N6767" s="187">
        <v>0</v>
      </c>
      <c r="O6767" t="s">
        <v>6805</v>
      </c>
    </row>
    <row r="6768" spans="1:15" hidden="1" x14ac:dyDescent="0.45">
      <c r="A6768" s="187">
        <v>2024</v>
      </c>
      <c r="B6768" t="s">
        <v>315</v>
      </c>
      <c r="C6768" t="s">
        <v>322</v>
      </c>
      <c r="D6768" t="s">
        <v>35</v>
      </c>
      <c r="E6768" t="s">
        <v>354</v>
      </c>
      <c r="F6768" t="s">
        <v>386</v>
      </c>
      <c r="G6768" t="s">
        <v>36</v>
      </c>
      <c r="H6768" t="s">
        <v>43</v>
      </c>
      <c r="I6768" s="187">
        <v>0</v>
      </c>
      <c r="J6768" s="187">
        <v>56.639871809250089</v>
      </c>
      <c r="K6768" s="187">
        <v>2354.8047819608701</v>
      </c>
      <c r="L6768" s="187">
        <v>0</v>
      </c>
      <c r="M6768" s="187">
        <v>2411.444580078125</v>
      </c>
      <c r="N6768" s="187">
        <v>0</v>
      </c>
      <c r="O6768" t="s">
        <v>6799</v>
      </c>
    </row>
    <row r="6769" spans="1:15" hidden="1" x14ac:dyDescent="0.45">
      <c r="A6769" s="187">
        <v>2024</v>
      </c>
      <c r="B6769" t="s">
        <v>313</v>
      </c>
      <c r="C6769" t="s">
        <v>322</v>
      </c>
      <c r="D6769" t="s">
        <v>35</v>
      </c>
      <c r="E6769" t="s">
        <v>354</v>
      </c>
      <c r="F6769" t="s">
        <v>386</v>
      </c>
      <c r="G6769" t="s">
        <v>36</v>
      </c>
      <c r="H6769" t="s">
        <v>43</v>
      </c>
      <c r="I6769" s="187"/>
      <c r="J6769" s="187">
        <v>59.894593726603141</v>
      </c>
      <c r="K6769" s="187">
        <v>914.13879805375268</v>
      </c>
      <c r="L6769" s="187">
        <v>0</v>
      </c>
      <c r="M6769" s="187">
        <v>974.03338623046875</v>
      </c>
      <c r="N6769" s="187">
        <v>0</v>
      </c>
      <c r="O6769" t="s">
        <v>6804</v>
      </c>
    </row>
    <row r="6770" spans="1:15" hidden="1" x14ac:dyDescent="0.45">
      <c r="A6770" s="187">
        <v>2024</v>
      </c>
      <c r="B6770" t="s">
        <v>314</v>
      </c>
      <c r="C6770" t="s">
        <v>322</v>
      </c>
      <c r="D6770" t="s">
        <v>35</v>
      </c>
      <c r="E6770" t="s">
        <v>354</v>
      </c>
      <c r="F6770" t="s">
        <v>386</v>
      </c>
      <c r="G6770" t="s">
        <v>36</v>
      </c>
      <c r="H6770" t="s">
        <v>43</v>
      </c>
      <c r="I6770" s="187">
        <v>0</v>
      </c>
      <c r="J6770" s="187">
        <v>58.241033054944985</v>
      </c>
      <c r="K6770" s="187">
        <v>3199.6450649340095</v>
      </c>
      <c r="L6770" s="187">
        <v>57.076212393846085</v>
      </c>
      <c r="M6770" s="187">
        <v>3314.962158203125</v>
      </c>
      <c r="N6770" s="187">
        <v>57.076213836669922</v>
      </c>
      <c r="O6770" t="s">
        <v>6800</v>
      </c>
    </row>
    <row r="6771" spans="1:15" hidden="1" x14ac:dyDescent="0.45">
      <c r="A6771" s="187">
        <v>2024</v>
      </c>
      <c r="B6771" t="s">
        <v>8570</v>
      </c>
      <c r="C6771" t="s">
        <v>322</v>
      </c>
      <c r="D6771" t="s">
        <v>35</v>
      </c>
      <c r="E6771" t="s">
        <v>354</v>
      </c>
      <c r="F6771" t="s">
        <v>386</v>
      </c>
      <c r="G6771" t="s">
        <v>36</v>
      </c>
      <c r="H6771" t="s">
        <v>43</v>
      </c>
      <c r="I6771" s="187">
        <v>55.672977359999997</v>
      </c>
      <c r="J6771" s="187">
        <v>20</v>
      </c>
      <c r="K6771" s="187">
        <v>0</v>
      </c>
      <c r="L6771" s="187">
        <v>248</v>
      </c>
      <c r="M6771" s="187">
        <v>323.6729736328125</v>
      </c>
      <c r="N6771" s="187">
        <v>303.6729736328125</v>
      </c>
      <c r="O6771" t="s">
        <v>8999</v>
      </c>
    </row>
    <row r="6772" spans="1:15" hidden="1" x14ac:dyDescent="0.45">
      <c r="A6772" s="187">
        <v>2024</v>
      </c>
      <c r="B6772" t="s">
        <v>310</v>
      </c>
      <c r="C6772" t="s">
        <v>322</v>
      </c>
      <c r="D6772" t="s">
        <v>35</v>
      </c>
      <c r="E6772" t="s">
        <v>354</v>
      </c>
      <c r="F6772" t="s">
        <v>386</v>
      </c>
      <c r="G6772" t="s">
        <v>36</v>
      </c>
      <c r="H6772" t="s">
        <v>43</v>
      </c>
      <c r="I6772" s="187"/>
      <c r="J6772" s="187">
        <v>0</v>
      </c>
      <c r="K6772" s="187">
        <v>1854.4702065297986</v>
      </c>
      <c r="L6772" s="187">
        <v>102.00222427376713</v>
      </c>
      <c r="M6772" s="187">
        <v>1956.472412109375</v>
      </c>
      <c r="N6772" s="187">
        <v>102.00222778320313</v>
      </c>
      <c r="O6772" t="s">
        <v>6803</v>
      </c>
    </row>
    <row r="6773" spans="1:15" hidden="1" x14ac:dyDescent="0.45">
      <c r="A6773" s="187">
        <v>2024</v>
      </c>
      <c r="B6773" t="s">
        <v>317</v>
      </c>
      <c r="C6773" t="s">
        <v>322</v>
      </c>
      <c r="D6773" t="s">
        <v>35</v>
      </c>
      <c r="E6773" t="s">
        <v>354</v>
      </c>
      <c r="F6773" t="s">
        <v>386</v>
      </c>
      <c r="G6773" t="s">
        <v>36</v>
      </c>
      <c r="H6773" t="s">
        <v>43</v>
      </c>
      <c r="I6773" s="187">
        <v>54.025454784332467</v>
      </c>
      <c r="J6773" s="187">
        <v>21.610181913732987</v>
      </c>
      <c r="K6773" s="187">
        <v>2421.5348828456449</v>
      </c>
      <c r="L6773" s="187">
        <v>215.0213100416432</v>
      </c>
      <c r="M6773" s="187">
        <v>2712.191650390625</v>
      </c>
      <c r="N6773" s="187">
        <v>269.0467529296875</v>
      </c>
      <c r="O6773" t="s">
        <v>6798</v>
      </c>
    </row>
    <row r="6774" spans="1:15" hidden="1" x14ac:dyDescent="0.45">
      <c r="A6774" s="187">
        <v>2024</v>
      </c>
      <c r="B6774" t="s">
        <v>311</v>
      </c>
      <c r="C6774" t="s">
        <v>322</v>
      </c>
      <c r="D6774" t="s">
        <v>35</v>
      </c>
      <c r="E6774" t="s">
        <v>354</v>
      </c>
      <c r="F6774" t="s">
        <v>386</v>
      </c>
      <c r="G6774" t="s">
        <v>36</v>
      </c>
      <c r="H6774" t="s">
        <v>43</v>
      </c>
      <c r="I6774" s="187"/>
      <c r="J6774" s="187">
        <v>63.764706132750199</v>
      </c>
      <c r="K6774" s="187">
        <v>1079.9716444859507</v>
      </c>
      <c r="L6774" s="187">
        <v>98.197647444435304</v>
      </c>
      <c r="M6774" s="187">
        <v>1241.9339599609375</v>
      </c>
      <c r="N6774" s="187">
        <v>98.197647094726563</v>
      </c>
      <c r="O6774" t="s">
        <v>6802</v>
      </c>
    </row>
    <row r="6775" spans="1:15" hidden="1" x14ac:dyDescent="0.45">
      <c r="A6775" s="187">
        <v>2024</v>
      </c>
      <c r="B6775" t="s">
        <v>316</v>
      </c>
      <c r="C6775" t="s">
        <v>322</v>
      </c>
      <c r="D6775" t="s">
        <v>35</v>
      </c>
      <c r="E6775" t="s">
        <v>354</v>
      </c>
      <c r="F6775" t="s">
        <v>386</v>
      </c>
      <c r="G6775" t="s">
        <v>36</v>
      </c>
      <c r="H6775" t="s">
        <v>43</v>
      </c>
      <c r="I6775" s="187">
        <v>0</v>
      </c>
      <c r="J6775" s="187">
        <v>22.029076772714181</v>
      </c>
      <c r="K6775" s="187">
        <v>1802.5231311479524</v>
      </c>
      <c r="L6775" s="187">
        <v>55.07269193178545</v>
      </c>
      <c r="M6775" s="187">
        <v>1879.6248779296875</v>
      </c>
      <c r="N6775" s="187">
        <v>55.07269287109375</v>
      </c>
      <c r="O6775" t="s">
        <v>6801</v>
      </c>
    </row>
    <row r="6776" spans="1:15" hidden="1" x14ac:dyDescent="0.45">
      <c r="A6776" s="187">
        <v>2024</v>
      </c>
      <c r="B6776" t="s">
        <v>8570</v>
      </c>
      <c r="C6776" t="s">
        <v>322</v>
      </c>
      <c r="D6776" t="s">
        <v>35</v>
      </c>
      <c r="E6776" t="s">
        <v>354</v>
      </c>
      <c r="F6776" t="s">
        <v>386</v>
      </c>
      <c r="G6776" t="s">
        <v>37</v>
      </c>
      <c r="H6776" t="s">
        <v>43</v>
      </c>
      <c r="I6776" s="187">
        <v>57.922165645344002</v>
      </c>
      <c r="J6776" s="187">
        <v>20</v>
      </c>
      <c r="K6776" s="187">
        <v>0</v>
      </c>
      <c r="L6776" s="187">
        <v>275</v>
      </c>
      <c r="M6776" s="187">
        <v>352.92218017578125</v>
      </c>
      <c r="N6776" s="187">
        <v>332.92218017578125</v>
      </c>
      <c r="O6776" t="s">
        <v>9000</v>
      </c>
    </row>
    <row r="6777" spans="1:15" hidden="1" x14ac:dyDescent="0.45">
      <c r="A6777" s="187">
        <v>2024</v>
      </c>
      <c r="B6777" t="s">
        <v>316</v>
      </c>
      <c r="C6777" t="s">
        <v>322</v>
      </c>
      <c r="D6777" t="s">
        <v>35</v>
      </c>
      <c r="E6777" t="s">
        <v>354</v>
      </c>
      <c r="F6777" t="s">
        <v>386</v>
      </c>
      <c r="G6777" t="s">
        <v>37</v>
      </c>
      <c r="H6777" t="s">
        <v>43</v>
      </c>
      <c r="I6777" s="187">
        <v>0</v>
      </c>
      <c r="J6777" s="187">
        <v>20</v>
      </c>
      <c r="K6777" s="187">
        <v>1739.73820621696</v>
      </c>
      <c r="L6777" s="187">
        <v>55</v>
      </c>
      <c r="M6777" s="187">
        <v>1814.7381591796875</v>
      </c>
      <c r="N6777" s="187">
        <v>55</v>
      </c>
      <c r="O6777" t="s">
        <v>6809</v>
      </c>
    </row>
    <row r="6778" spans="1:15" hidden="1" x14ac:dyDescent="0.45">
      <c r="A6778" s="187">
        <v>2024</v>
      </c>
      <c r="B6778" t="s">
        <v>312</v>
      </c>
      <c r="C6778" t="s">
        <v>322</v>
      </c>
      <c r="D6778" t="s">
        <v>35</v>
      </c>
      <c r="E6778" t="s">
        <v>354</v>
      </c>
      <c r="F6778" t="s">
        <v>386</v>
      </c>
      <c r="G6778" t="s">
        <v>37</v>
      </c>
      <c r="H6778" t="s">
        <v>43</v>
      </c>
      <c r="I6778" s="187"/>
      <c r="J6778" s="187">
        <v>59</v>
      </c>
      <c r="K6778" s="187">
        <v>657.65193441865881</v>
      </c>
      <c r="L6778" s="187">
        <v>0</v>
      </c>
      <c r="M6778" s="187">
        <v>716.65191650390625</v>
      </c>
      <c r="N6778" s="187">
        <v>0</v>
      </c>
      <c r="O6778" t="s">
        <v>6807</v>
      </c>
    </row>
    <row r="6779" spans="1:15" hidden="1" x14ac:dyDescent="0.45">
      <c r="A6779" s="187">
        <v>2024</v>
      </c>
      <c r="B6779" t="s">
        <v>313</v>
      </c>
      <c r="C6779" t="s">
        <v>322</v>
      </c>
      <c r="D6779" t="s">
        <v>35</v>
      </c>
      <c r="E6779" t="s">
        <v>354</v>
      </c>
      <c r="F6779" t="s">
        <v>386</v>
      </c>
      <c r="G6779" t="s">
        <v>37</v>
      </c>
      <c r="H6779" t="s">
        <v>43</v>
      </c>
      <c r="I6779" s="187"/>
      <c r="J6779" s="187">
        <v>57</v>
      </c>
      <c r="K6779" s="187">
        <v>872.66764568366409</v>
      </c>
      <c r="L6779" s="187">
        <v>0</v>
      </c>
      <c r="M6779" s="187">
        <v>929.66766357421875</v>
      </c>
      <c r="N6779" s="187">
        <v>0</v>
      </c>
      <c r="O6779" t="s">
        <v>6812</v>
      </c>
    </row>
    <row r="6780" spans="1:15" hidden="1" x14ac:dyDescent="0.45">
      <c r="A6780" s="187">
        <v>2024</v>
      </c>
      <c r="B6780" t="s">
        <v>317</v>
      </c>
      <c r="C6780" t="s">
        <v>322</v>
      </c>
      <c r="D6780" t="s">
        <v>35</v>
      </c>
      <c r="E6780" t="s">
        <v>354</v>
      </c>
      <c r="F6780" t="s">
        <v>386</v>
      </c>
      <c r="G6780" t="s">
        <v>37</v>
      </c>
      <c r="H6780" t="s">
        <v>43</v>
      </c>
      <c r="I6780" s="187">
        <v>53.060399999999987</v>
      </c>
      <c r="J6780" s="187">
        <v>20</v>
      </c>
      <c r="K6780" s="187">
        <v>2363.7830639851782</v>
      </c>
      <c r="L6780" s="187">
        <v>209</v>
      </c>
      <c r="M6780" s="187">
        <v>2645.843505859375</v>
      </c>
      <c r="N6780" s="187">
        <v>262.06039428710938</v>
      </c>
      <c r="O6780" t="s">
        <v>6810</v>
      </c>
    </row>
    <row r="6781" spans="1:15" hidden="1" x14ac:dyDescent="0.45">
      <c r="A6781" s="187">
        <v>2024</v>
      </c>
      <c r="B6781" t="s">
        <v>314</v>
      </c>
      <c r="C6781" t="s">
        <v>322</v>
      </c>
      <c r="D6781" t="s">
        <v>35</v>
      </c>
      <c r="E6781" t="s">
        <v>354</v>
      </c>
      <c r="F6781" t="s">
        <v>386</v>
      </c>
      <c r="G6781" t="s">
        <v>37</v>
      </c>
      <c r="H6781" t="s">
        <v>43</v>
      </c>
      <c r="I6781" s="187">
        <v>0</v>
      </c>
      <c r="J6781" s="187">
        <v>56</v>
      </c>
      <c r="K6781" s="187">
        <v>3099.1592707514051</v>
      </c>
      <c r="L6781" s="187">
        <v>58.973365811367067</v>
      </c>
      <c r="M6781" s="187">
        <v>3214.132568359375</v>
      </c>
      <c r="N6781" s="187">
        <v>58.973365783691406</v>
      </c>
      <c r="O6781" t="s">
        <v>6811</v>
      </c>
    </row>
    <row r="6782" spans="1:15" hidden="1" x14ac:dyDescent="0.45">
      <c r="A6782" s="187">
        <v>2024</v>
      </c>
      <c r="B6782" t="s">
        <v>311</v>
      </c>
      <c r="C6782" t="s">
        <v>322</v>
      </c>
      <c r="D6782" t="s">
        <v>35</v>
      </c>
      <c r="E6782" t="s">
        <v>354</v>
      </c>
      <c r="F6782" t="s">
        <v>386</v>
      </c>
      <c r="G6782" t="s">
        <v>37</v>
      </c>
      <c r="H6782" t="s">
        <v>43</v>
      </c>
      <c r="I6782" s="187"/>
      <c r="J6782" s="187">
        <v>60</v>
      </c>
      <c r="K6782" s="187">
        <v>1004.6663459394561</v>
      </c>
      <c r="L6782" s="187">
        <v>98</v>
      </c>
      <c r="M6782" s="187">
        <v>1162.6663818359375</v>
      </c>
      <c r="N6782" s="187">
        <v>98</v>
      </c>
      <c r="O6782" t="s">
        <v>6813</v>
      </c>
    </row>
    <row r="6783" spans="1:15" hidden="1" x14ac:dyDescent="0.45">
      <c r="A6783" s="187">
        <v>2024</v>
      </c>
      <c r="B6783" t="s">
        <v>315</v>
      </c>
      <c r="C6783" t="s">
        <v>322</v>
      </c>
      <c r="D6783" t="s">
        <v>35</v>
      </c>
      <c r="E6783" t="s">
        <v>354</v>
      </c>
      <c r="F6783" t="s">
        <v>386</v>
      </c>
      <c r="G6783" t="s">
        <v>37</v>
      </c>
      <c r="H6783" t="s">
        <v>43</v>
      </c>
      <c r="I6783" s="187">
        <v>0</v>
      </c>
      <c r="J6783" s="187">
        <v>54</v>
      </c>
      <c r="K6783" s="187">
        <v>2289.3964803193289</v>
      </c>
      <c r="L6783" s="187">
        <v>0</v>
      </c>
      <c r="M6783" s="187">
        <v>2343.396484375</v>
      </c>
      <c r="N6783" s="187">
        <v>0</v>
      </c>
      <c r="O6783" t="s">
        <v>6806</v>
      </c>
    </row>
    <row r="6784" spans="1:15" hidden="1" x14ac:dyDescent="0.45">
      <c r="A6784" s="187">
        <v>2024</v>
      </c>
      <c r="B6784" t="s">
        <v>310</v>
      </c>
      <c r="C6784" t="s">
        <v>322</v>
      </c>
      <c r="D6784" t="s">
        <v>35</v>
      </c>
      <c r="E6784" t="s">
        <v>354</v>
      </c>
      <c r="F6784" t="s">
        <v>386</v>
      </c>
      <c r="G6784" t="s">
        <v>37</v>
      </c>
      <c r="H6784" t="s">
        <v>43</v>
      </c>
      <c r="I6784" s="187"/>
      <c r="J6784" s="187">
        <v>0</v>
      </c>
      <c r="K6784" s="187">
        <v>1735.5640268094071</v>
      </c>
      <c r="L6784" s="187">
        <v>100</v>
      </c>
      <c r="M6784" s="187">
        <v>1835.5640869140625</v>
      </c>
      <c r="N6784" s="187">
        <v>100</v>
      </c>
      <c r="O6784" t="s">
        <v>6808</v>
      </c>
    </row>
    <row r="6785" spans="1:15" hidden="1" x14ac:dyDescent="0.45">
      <c r="A6785" s="187">
        <v>2024</v>
      </c>
      <c r="B6785" t="s">
        <v>316</v>
      </c>
      <c r="C6785" t="s">
        <v>322</v>
      </c>
      <c r="D6785" t="s">
        <v>35</v>
      </c>
      <c r="E6785" t="s">
        <v>354</v>
      </c>
      <c r="F6785" t="s">
        <v>387</v>
      </c>
      <c r="G6785" t="s">
        <v>36</v>
      </c>
      <c r="H6785" t="s">
        <v>43</v>
      </c>
      <c r="I6785" s="187">
        <v>0</v>
      </c>
      <c r="J6785" s="187">
        <v>88.116307090856722</v>
      </c>
      <c r="K6785" s="187">
        <v>2866.7685513143301</v>
      </c>
      <c r="L6785" s="187">
        <v>113.44974537947803</v>
      </c>
      <c r="M6785" s="187">
        <v>3068.33447265625</v>
      </c>
      <c r="N6785" s="187">
        <v>113.44974517822266</v>
      </c>
      <c r="O6785" t="s">
        <v>6819</v>
      </c>
    </row>
    <row r="6786" spans="1:15" hidden="1" x14ac:dyDescent="0.45">
      <c r="A6786" s="187">
        <v>2024</v>
      </c>
      <c r="B6786" t="s">
        <v>315</v>
      </c>
      <c r="C6786" t="s">
        <v>322</v>
      </c>
      <c r="D6786" t="s">
        <v>35</v>
      </c>
      <c r="E6786" t="s">
        <v>354</v>
      </c>
      <c r="F6786" t="s">
        <v>387</v>
      </c>
      <c r="G6786" t="s">
        <v>36</v>
      </c>
      <c r="H6786" t="s">
        <v>43</v>
      </c>
      <c r="I6786" s="187">
        <v>0</v>
      </c>
      <c r="J6786" s="187">
        <v>101.95176925665017</v>
      </c>
      <c r="K6786" s="187">
        <v>3732.910780381616</v>
      </c>
      <c r="L6786" s="187">
        <v>60.038264117805099</v>
      </c>
      <c r="M6786" s="187">
        <v>3894.90087890625</v>
      </c>
      <c r="N6786" s="187">
        <v>60.038265228271484</v>
      </c>
      <c r="O6786" t="s">
        <v>6817</v>
      </c>
    </row>
    <row r="6787" spans="1:15" hidden="1" x14ac:dyDescent="0.45">
      <c r="A6787" s="187">
        <v>2024</v>
      </c>
      <c r="B6787" t="s">
        <v>317</v>
      </c>
      <c r="C6787" t="s">
        <v>322</v>
      </c>
      <c r="D6787" t="s">
        <v>35</v>
      </c>
      <c r="E6787" t="s">
        <v>354</v>
      </c>
      <c r="F6787" t="s">
        <v>387</v>
      </c>
      <c r="G6787" t="s">
        <v>36</v>
      </c>
      <c r="H6787" t="s">
        <v>43</v>
      </c>
      <c r="I6787" s="187">
        <v>108.05090956866493</v>
      </c>
      <c r="J6787" s="187">
        <v>86.440727654931948</v>
      </c>
      <c r="K6787" s="187">
        <v>3473.3237873475814</v>
      </c>
      <c r="L6787" s="187">
        <v>1502.9881521001291</v>
      </c>
      <c r="M6787" s="187">
        <v>5170.8037109375</v>
      </c>
      <c r="N6787" s="187">
        <v>1611.0390625</v>
      </c>
      <c r="O6787" t="s">
        <v>6820</v>
      </c>
    </row>
    <row r="6788" spans="1:15" hidden="1" x14ac:dyDescent="0.45">
      <c r="A6788" s="187">
        <v>2024</v>
      </c>
      <c r="B6788" t="s">
        <v>312</v>
      </c>
      <c r="C6788" t="s">
        <v>322</v>
      </c>
      <c r="D6788" t="s">
        <v>35</v>
      </c>
      <c r="E6788" t="s">
        <v>354</v>
      </c>
      <c r="F6788" t="s">
        <v>387</v>
      </c>
      <c r="G6788" t="s">
        <v>36</v>
      </c>
      <c r="H6788" t="s">
        <v>43</v>
      </c>
      <c r="I6788" s="187">
        <v>0</v>
      </c>
      <c r="J6788" s="187">
        <v>105.10881005603392</v>
      </c>
      <c r="K6788" s="187">
        <v>4215.3911263571636</v>
      </c>
      <c r="L6788" s="187">
        <v>0</v>
      </c>
      <c r="M6788" s="187">
        <v>4320.5</v>
      </c>
      <c r="N6788" s="187">
        <v>0</v>
      </c>
      <c r="O6788" t="s">
        <v>6815</v>
      </c>
    </row>
    <row r="6789" spans="1:15" hidden="1" x14ac:dyDescent="0.45">
      <c r="A6789" s="187">
        <v>2024</v>
      </c>
      <c r="B6789" t="s">
        <v>314</v>
      </c>
      <c r="C6789" t="s">
        <v>322</v>
      </c>
      <c r="D6789" t="s">
        <v>35</v>
      </c>
      <c r="E6789" t="s">
        <v>354</v>
      </c>
      <c r="F6789" t="s">
        <v>387</v>
      </c>
      <c r="G6789" t="s">
        <v>36</v>
      </c>
      <c r="H6789" t="s">
        <v>43</v>
      </c>
      <c r="I6789" s="187">
        <v>0</v>
      </c>
      <c r="J6789" s="187">
        <v>104.83385949890098</v>
      </c>
      <c r="K6789" s="187">
        <v>4349.1783951984853</v>
      </c>
      <c r="L6789" s="187">
        <v>57.076212393846085</v>
      </c>
      <c r="M6789" s="187">
        <v>4511.08837890625</v>
      </c>
      <c r="N6789" s="187">
        <v>57.076213836669922</v>
      </c>
      <c r="O6789" t="s">
        <v>6818</v>
      </c>
    </row>
    <row r="6790" spans="1:15" hidden="1" x14ac:dyDescent="0.45">
      <c r="A6790" s="187">
        <v>2024</v>
      </c>
      <c r="B6790" t="s">
        <v>313</v>
      </c>
      <c r="C6790" t="s">
        <v>322</v>
      </c>
      <c r="D6790" t="s">
        <v>35</v>
      </c>
      <c r="E6790" t="s">
        <v>354</v>
      </c>
      <c r="F6790" t="s">
        <v>387</v>
      </c>
      <c r="G6790" t="s">
        <v>36</v>
      </c>
      <c r="H6790" t="s">
        <v>43</v>
      </c>
      <c r="I6790" s="187">
        <v>0</v>
      </c>
      <c r="J6790" s="187">
        <v>107.81026870788565</v>
      </c>
      <c r="K6790" s="187">
        <v>5161.9846914781565</v>
      </c>
      <c r="L6790" s="187">
        <v>0</v>
      </c>
      <c r="M6790" s="187">
        <v>5269.794921875</v>
      </c>
      <c r="N6790" s="187">
        <v>0</v>
      </c>
      <c r="O6790" t="s">
        <v>6814</v>
      </c>
    </row>
    <row r="6791" spans="1:15" hidden="1" x14ac:dyDescent="0.45">
      <c r="A6791" s="187">
        <v>2024</v>
      </c>
      <c r="B6791" t="s">
        <v>310</v>
      </c>
      <c r="C6791" t="s">
        <v>322</v>
      </c>
      <c r="D6791" t="s">
        <v>35</v>
      </c>
      <c r="E6791" t="s">
        <v>354</v>
      </c>
      <c r="F6791" t="s">
        <v>387</v>
      </c>
      <c r="G6791" t="s">
        <v>36</v>
      </c>
      <c r="H6791" t="s">
        <v>43</v>
      </c>
      <c r="I6791" s="187"/>
      <c r="J6791" s="187">
        <v>0</v>
      </c>
      <c r="K6791" s="187">
        <v>4242.9735217839243</v>
      </c>
      <c r="L6791" s="187">
        <v>102.00222427376713</v>
      </c>
      <c r="M6791" s="187">
        <v>4344.97607421875</v>
      </c>
      <c r="N6791" s="187">
        <v>102.00222778320313</v>
      </c>
      <c r="O6791" t="s">
        <v>6821</v>
      </c>
    </row>
    <row r="6792" spans="1:15" hidden="1" x14ac:dyDescent="0.45">
      <c r="A6792" s="187">
        <v>2024</v>
      </c>
      <c r="B6792" t="s">
        <v>311</v>
      </c>
      <c r="C6792" t="s">
        <v>322</v>
      </c>
      <c r="D6792" t="s">
        <v>35</v>
      </c>
      <c r="E6792" t="s">
        <v>354</v>
      </c>
      <c r="F6792" t="s">
        <v>387</v>
      </c>
      <c r="G6792" t="s">
        <v>36</v>
      </c>
      <c r="H6792" t="s">
        <v>43</v>
      </c>
      <c r="I6792" s="187"/>
      <c r="J6792" s="187">
        <v>114.77647103895036</v>
      </c>
      <c r="K6792" s="187">
        <v>3398.2580605131766</v>
      </c>
      <c r="L6792" s="187">
        <v>98.197647444435304</v>
      </c>
      <c r="M6792" s="187">
        <v>3611.232177734375</v>
      </c>
      <c r="N6792" s="187">
        <v>98.197647094726563</v>
      </c>
      <c r="O6792" t="s">
        <v>6816</v>
      </c>
    </row>
    <row r="6793" spans="1:15" hidden="1" x14ac:dyDescent="0.45">
      <c r="A6793" s="187">
        <v>2024</v>
      </c>
      <c r="B6793" t="s">
        <v>8570</v>
      </c>
      <c r="C6793" t="s">
        <v>322</v>
      </c>
      <c r="D6793" t="s">
        <v>35</v>
      </c>
      <c r="E6793" t="s">
        <v>354</v>
      </c>
      <c r="F6793" t="s">
        <v>387</v>
      </c>
      <c r="G6793" t="s">
        <v>36</v>
      </c>
      <c r="H6793" t="s">
        <v>43</v>
      </c>
      <c r="I6793" s="187">
        <v>111.34595471999999</v>
      </c>
      <c r="J6793" s="187">
        <v>80</v>
      </c>
      <c r="K6793" s="187">
        <v>719.6806747816313</v>
      </c>
      <c r="L6793" s="187">
        <v>875</v>
      </c>
      <c r="M6793" s="187">
        <v>1786.026611328125</v>
      </c>
      <c r="N6793" s="187">
        <v>986.345947265625</v>
      </c>
      <c r="O6793" t="s">
        <v>9001</v>
      </c>
    </row>
    <row r="6794" spans="1:15" hidden="1" x14ac:dyDescent="0.45">
      <c r="A6794" s="187">
        <v>2024</v>
      </c>
      <c r="B6794" t="s">
        <v>310</v>
      </c>
      <c r="C6794" t="s">
        <v>322</v>
      </c>
      <c r="D6794" t="s">
        <v>35</v>
      </c>
      <c r="E6794" t="s">
        <v>354</v>
      </c>
      <c r="F6794" t="s">
        <v>387</v>
      </c>
      <c r="G6794" t="s">
        <v>37</v>
      </c>
      <c r="H6794" t="s">
        <v>43</v>
      </c>
      <c r="I6794" s="187"/>
      <c r="J6794" s="187">
        <v>0</v>
      </c>
      <c r="K6794" s="187">
        <v>3970.919664917607</v>
      </c>
      <c r="L6794" s="187">
        <v>100</v>
      </c>
      <c r="M6794" s="187">
        <v>4070.919677734375</v>
      </c>
      <c r="N6794" s="187">
        <v>100</v>
      </c>
      <c r="O6794" t="s">
        <v>6823</v>
      </c>
    </row>
    <row r="6795" spans="1:15" hidden="1" x14ac:dyDescent="0.45">
      <c r="A6795" s="187">
        <v>2024</v>
      </c>
      <c r="B6795" t="s">
        <v>313</v>
      </c>
      <c r="C6795" t="s">
        <v>322</v>
      </c>
      <c r="D6795" t="s">
        <v>35</v>
      </c>
      <c r="E6795" t="s">
        <v>354</v>
      </c>
      <c r="F6795" t="s">
        <v>387</v>
      </c>
      <c r="G6795" t="s">
        <v>37</v>
      </c>
      <c r="H6795" t="s">
        <v>43</v>
      </c>
      <c r="I6795" s="187">
        <v>0</v>
      </c>
      <c r="J6795" s="187">
        <v>103</v>
      </c>
      <c r="K6795" s="187">
        <v>4927.8042211511911</v>
      </c>
      <c r="L6795" s="187">
        <v>0</v>
      </c>
      <c r="M6795" s="187">
        <v>5030.80419921875</v>
      </c>
      <c r="N6795" s="187">
        <v>0</v>
      </c>
      <c r="O6795" t="s">
        <v>6824</v>
      </c>
    </row>
    <row r="6796" spans="1:15" hidden="1" x14ac:dyDescent="0.45">
      <c r="A6796" s="187">
        <v>2024</v>
      </c>
      <c r="B6796" t="s">
        <v>314</v>
      </c>
      <c r="C6796" t="s">
        <v>322</v>
      </c>
      <c r="D6796" t="s">
        <v>35</v>
      </c>
      <c r="E6796" t="s">
        <v>354</v>
      </c>
      <c r="F6796" t="s">
        <v>387</v>
      </c>
      <c r="G6796" t="s">
        <v>37</v>
      </c>
      <c r="H6796" t="s">
        <v>43</v>
      </c>
      <c r="I6796" s="187">
        <v>0</v>
      </c>
      <c r="J6796" s="187">
        <v>101</v>
      </c>
      <c r="K6796" s="187">
        <v>4212.5911687361149</v>
      </c>
      <c r="L6796" s="187">
        <v>58.973365811367067</v>
      </c>
      <c r="M6796" s="187">
        <v>4372.564453125</v>
      </c>
      <c r="N6796" s="187">
        <v>58.973365783691406</v>
      </c>
      <c r="O6796" t="s">
        <v>6826</v>
      </c>
    </row>
    <row r="6797" spans="1:15" hidden="1" x14ac:dyDescent="0.45">
      <c r="A6797" s="187">
        <v>2024</v>
      </c>
      <c r="B6797" t="s">
        <v>317</v>
      </c>
      <c r="C6797" t="s">
        <v>322</v>
      </c>
      <c r="D6797" t="s">
        <v>35</v>
      </c>
      <c r="E6797" t="s">
        <v>354</v>
      </c>
      <c r="F6797" t="s">
        <v>387</v>
      </c>
      <c r="G6797" t="s">
        <v>37</v>
      </c>
      <c r="H6797" t="s">
        <v>43</v>
      </c>
      <c r="I6797" s="187">
        <v>106.1208</v>
      </c>
      <c r="J6797" s="187">
        <v>80</v>
      </c>
      <c r="K6797" s="187">
        <v>3390.4875797704558</v>
      </c>
      <c r="L6797" s="187">
        <v>1462</v>
      </c>
      <c r="M6797" s="187">
        <v>5038.6083984375</v>
      </c>
      <c r="N6797" s="187">
        <v>1568.120849609375</v>
      </c>
      <c r="O6797" t="s">
        <v>6829</v>
      </c>
    </row>
    <row r="6798" spans="1:15" hidden="1" x14ac:dyDescent="0.45">
      <c r="A6798" s="187">
        <v>2024</v>
      </c>
      <c r="B6798" t="s">
        <v>316</v>
      </c>
      <c r="C6798" t="s">
        <v>322</v>
      </c>
      <c r="D6798" t="s">
        <v>35</v>
      </c>
      <c r="E6798" t="s">
        <v>354</v>
      </c>
      <c r="F6798" t="s">
        <v>387</v>
      </c>
      <c r="G6798" t="s">
        <v>37</v>
      </c>
      <c r="H6798" t="s">
        <v>43</v>
      </c>
      <c r="I6798" s="187">
        <v>0</v>
      </c>
      <c r="J6798" s="187">
        <v>80</v>
      </c>
      <c r="K6798" s="187">
        <v>2766.9141609996991</v>
      </c>
      <c r="L6798" s="187">
        <v>114</v>
      </c>
      <c r="M6798" s="187">
        <v>2960.9140625</v>
      </c>
      <c r="N6798" s="187">
        <v>114</v>
      </c>
      <c r="O6798" t="s">
        <v>6825</v>
      </c>
    </row>
    <row r="6799" spans="1:15" hidden="1" x14ac:dyDescent="0.45">
      <c r="A6799" s="187">
        <v>2024</v>
      </c>
      <c r="B6799" t="s">
        <v>8570</v>
      </c>
      <c r="C6799" t="s">
        <v>322</v>
      </c>
      <c r="D6799" t="s">
        <v>35</v>
      </c>
      <c r="E6799" t="s">
        <v>354</v>
      </c>
      <c r="F6799" t="s">
        <v>387</v>
      </c>
      <c r="G6799" t="s">
        <v>37</v>
      </c>
      <c r="H6799" t="s">
        <v>43</v>
      </c>
      <c r="I6799" s="187">
        <v>115.844331290688</v>
      </c>
      <c r="J6799" s="187">
        <v>80</v>
      </c>
      <c r="K6799" s="187">
        <v>751.18406058003507</v>
      </c>
      <c r="L6799" s="187">
        <v>969</v>
      </c>
      <c r="M6799" s="187">
        <v>1916.0283203125</v>
      </c>
      <c r="N6799" s="187">
        <v>1084.8443603515625</v>
      </c>
      <c r="O6799" t="s">
        <v>9002</v>
      </c>
    </row>
    <row r="6800" spans="1:15" hidden="1" x14ac:dyDescent="0.45">
      <c r="A6800" s="187">
        <v>2024</v>
      </c>
      <c r="B6800" t="s">
        <v>312</v>
      </c>
      <c r="C6800" t="s">
        <v>322</v>
      </c>
      <c r="D6800" t="s">
        <v>35</v>
      </c>
      <c r="E6800" t="s">
        <v>354</v>
      </c>
      <c r="F6800" t="s">
        <v>387</v>
      </c>
      <c r="G6800" t="s">
        <v>37</v>
      </c>
      <c r="H6800" t="s">
        <v>43</v>
      </c>
      <c r="I6800" s="187">
        <v>0</v>
      </c>
      <c r="J6800" s="187">
        <v>100</v>
      </c>
      <c r="K6800" s="187">
        <v>3981.7835302075159</v>
      </c>
      <c r="L6800" s="187">
        <v>0</v>
      </c>
      <c r="M6800" s="187">
        <v>4081.783447265625</v>
      </c>
      <c r="N6800" s="187">
        <v>0</v>
      </c>
      <c r="O6800" t="s">
        <v>6827</v>
      </c>
    </row>
    <row r="6801" spans="1:15" hidden="1" x14ac:dyDescent="0.45">
      <c r="A6801" s="187">
        <v>2024</v>
      </c>
      <c r="B6801" t="s">
        <v>311</v>
      </c>
      <c r="C6801" t="s">
        <v>322</v>
      </c>
      <c r="D6801" t="s">
        <v>35</v>
      </c>
      <c r="E6801" t="s">
        <v>354</v>
      </c>
      <c r="F6801" t="s">
        <v>387</v>
      </c>
      <c r="G6801" t="s">
        <v>37</v>
      </c>
      <c r="H6801" t="s">
        <v>43</v>
      </c>
      <c r="I6801" s="187"/>
      <c r="J6801" s="187">
        <v>108</v>
      </c>
      <c r="K6801" s="187">
        <v>3161.3010634553648</v>
      </c>
      <c r="L6801" s="187">
        <v>98</v>
      </c>
      <c r="M6801" s="187">
        <v>3367.301025390625</v>
      </c>
      <c r="N6801" s="187">
        <v>98</v>
      </c>
      <c r="O6801" t="s">
        <v>6822</v>
      </c>
    </row>
    <row r="6802" spans="1:15" hidden="1" x14ac:dyDescent="0.45">
      <c r="A6802" s="187">
        <v>2024</v>
      </c>
      <c r="B6802" t="s">
        <v>315</v>
      </c>
      <c r="C6802" t="s">
        <v>322</v>
      </c>
      <c r="D6802" t="s">
        <v>35</v>
      </c>
      <c r="E6802" t="s">
        <v>354</v>
      </c>
      <c r="F6802" t="s">
        <v>387</v>
      </c>
      <c r="G6802" t="s">
        <v>37</v>
      </c>
      <c r="H6802" t="s">
        <v>43</v>
      </c>
      <c r="I6802" s="187">
        <v>0</v>
      </c>
      <c r="J6802" s="187">
        <v>97</v>
      </c>
      <c r="K6802" s="187">
        <v>3629.2234784895049</v>
      </c>
      <c r="L6802" s="187">
        <v>59</v>
      </c>
      <c r="M6802" s="187">
        <v>3785.223388671875</v>
      </c>
      <c r="N6802" s="187">
        <v>59</v>
      </c>
      <c r="O6802" t="s">
        <v>6828</v>
      </c>
    </row>
    <row r="6803" spans="1:15" hidden="1" x14ac:dyDescent="0.45">
      <c r="A6803" s="187">
        <v>2024</v>
      </c>
      <c r="B6803" t="s">
        <v>315</v>
      </c>
      <c r="C6803" t="s">
        <v>322</v>
      </c>
      <c r="D6803" t="s">
        <v>35</v>
      </c>
      <c r="E6803" t="s">
        <v>17</v>
      </c>
      <c r="F6803" t="s">
        <v>17</v>
      </c>
      <c r="G6803" t="s">
        <v>36</v>
      </c>
      <c r="H6803" t="s">
        <v>43</v>
      </c>
      <c r="I6803" s="187">
        <v>2378.8746159885036</v>
      </c>
      <c r="J6803" s="187">
        <v>79.295820532950131</v>
      </c>
      <c r="K6803" s="187">
        <v>1517.4345540506006</v>
      </c>
      <c r="L6803" s="187">
        <v>1673.1418132452477</v>
      </c>
      <c r="M6803" s="187">
        <v>5648.74658203125</v>
      </c>
      <c r="N6803" s="187">
        <v>4052.016357421875</v>
      </c>
      <c r="O6803" t="s">
        <v>6833</v>
      </c>
    </row>
    <row r="6804" spans="1:15" hidden="1" x14ac:dyDescent="0.45">
      <c r="A6804" s="187">
        <v>2024</v>
      </c>
      <c r="B6804" t="s">
        <v>317</v>
      </c>
      <c r="C6804" t="s">
        <v>322</v>
      </c>
      <c r="D6804" t="s">
        <v>35</v>
      </c>
      <c r="E6804" t="s">
        <v>17</v>
      </c>
      <c r="F6804" t="s">
        <v>17</v>
      </c>
      <c r="G6804" t="s">
        <v>36</v>
      </c>
      <c r="H6804" t="s">
        <v>43</v>
      </c>
      <c r="I6804" s="187">
        <v>4822.4474747961804</v>
      </c>
      <c r="J6804" s="187">
        <v>162.07636435299739</v>
      </c>
      <c r="K6804" s="187">
        <v>1578.6519951766495</v>
      </c>
      <c r="L6804" s="187">
        <v>4692.6510025671178</v>
      </c>
      <c r="M6804" s="187">
        <v>11255.826171875</v>
      </c>
      <c r="N6804" s="187">
        <v>9515.0986328125</v>
      </c>
      <c r="O6804" t="s">
        <v>6834</v>
      </c>
    </row>
    <row r="6805" spans="1:15" hidden="1" x14ac:dyDescent="0.45">
      <c r="A6805" s="187">
        <v>2024</v>
      </c>
      <c r="B6805" t="s">
        <v>8570</v>
      </c>
      <c r="C6805" t="s">
        <v>322</v>
      </c>
      <c r="D6805" t="s">
        <v>35</v>
      </c>
      <c r="E6805" t="s">
        <v>17</v>
      </c>
      <c r="F6805" t="s">
        <v>17</v>
      </c>
      <c r="G6805" t="s">
        <v>36</v>
      </c>
      <c r="H6805" t="s">
        <v>43</v>
      </c>
      <c r="I6805" s="187">
        <v>2938.3145126795612</v>
      </c>
      <c r="J6805" s="187">
        <v>150</v>
      </c>
      <c r="K6805" s="187">
        <v>1313.1540171093329</v>
      </c>
      <c r="L6805" s="187">
        <v>1152</v>
      </c>
      <c r="M6805" s="187">
        <v>5553.46826171875</v>
      </c>
      <c r="N6805" s="187">
        <v>4090.314453125</v>
      </c>
      <c r="O6805" t="s">
        <v>9003</v>
      </c>
    </row>
    <row r="6806" spans="1:15" hidden="1" x14ac:dyDescent="0.45">
      <c r="A6806" s="187">
        <v>2024</v>
      </c>
      <c r="B6806" t="s">
        <v>312</v>
      </c>
      <c r="C6806" t="s">
        <v>322</v>
      </c>
      <c r="D6806" t="s">
        <v>35</v>
      </c>
      <c r="E6806" t="s">
        <v>17</v>
      </c>
      <c r="F6806" t="s">
        <v>17</v>
      </c>
      <c r="G6806" t="s">
        <v>36</v>
      </c>
      <c r="H6806" t="s">
        <v>43</v>
      </c>
      <c r="I6806" s="187">
        <v>2188.7363976374122</v>
      </c>
      <c r="J6806" s="187">
        <v>80.377325336967118</v>
      </c>
      <c r="K6806" s="187">
        <v>1623.1809585879637</v>
      </c>
      <c r="L6806" s="187">
        <v>1351.5756398970009</v>
      </c>
      <c r="M6806" s="187">
        <v>5243.8701171875</v>
      </c>
      <c r="N6806" s="187">
        <v>3540.31201171875</v>
      </c>
      <c r="O6806" t="s">
        <v>6832</v>
      </c>
    </row>
    <row r="6807" spans="1:15" hidden="1" x14ac:dyDescent="0.45">
      <c r="A6807" s="187">
        <v>2024</v>
      </c>
      <c r="B6807" t="s">
        <v>310</v>
      </c>
      <c r="C6807" t="s">
        <v>322</v>
      </c>
      <c r="D6807" t="s">
        <v>35</v>
      </c>
      <c r="E6807" t="s">
        <v>17</v>
      </c>
      <c r="F6807" t="s">
        <v>17</v>
      </c>
      <c r="G6807" t="s">
        <v>36</v>
      </c>
      <c r="H6807" t="s">
        <v>43</v>
      </c>
      <c r="I6807" s="187"/>
      <c r="J6807" s="187">
        <v>52.308832960906223</v>
      </c>
      <c r="K6807" s="187">
        <v>2426.6249341643288</v>
      </c>
      <c r="L6807" s="187">
        <v>1536.5719682266204</v>
      </c>
      <c r="M6807" s="187">
        <v>4015.505859375</v>
      </c>
      <c r="N6807" s="187">
        <v>1536.572021484375</v>
      </c>
      <c r="O6807" t="s">
        <v>6831</v>
      </c>
    </row>
    <row r="6808" spans="1:15" hidden="1" x14ac:dyDescent="0.45">
      <c r="A6808" s="187">
        <v>2024</v>
      </c>
      <c r="B6808" t="s">
        <v>314</v>
      </c>
      <c r="C6808" t="s">
        <v>322</v>
      </c>
      <c r="D6808" t="s">
        <v>35</v>
      </c>
      <c r="E6808" t="s">
        <v>17</v>
      </c>
      <c r="F6808" t="s">
        <v>17</v>
      </c>
      <c r="G6808" t="s">
        <v>36</v>
      </c>
      <c r="H6808" t="s">
        <v>43</v>
      </c>
      <c r="I6808" s="187">
        <v>2329.6413221977996</v>
      </c>
      <c r="J6808" s="187">
        <v>81.537446276922978</v>
      </c>
      <c r="K6808" s="187">
        <v>1390.6202401333182</v>
      </c>
      <c r="L6808" s="187">
        <v>1537.5632726505478</v>
      </c>
      <c r="M6808" s="187">
        <v>5339.3623046875</v>
      </c>
      <c r="N6808" s="187">
        <v>3867.20458984375</v>
      </c>
      <c r="O6808" t="s">
        <v>6830</v>
      </c>
    </row>
    <row r="6809" spans="1:15" hidden="1" x14ac:dyDescent="0.45">
      <c r="A6809" s="187">
        <v>2024</v>
      </c>
      <c r="B6809" t="s">
        <v>316</v>
      </c>
      <c r="C6809" t="s">
        <v>322</v>
      </c>
      <c r="D6809" t="s">
        <v>35</v>
      </c>
      <c r="E6809" t="s">
        <v>17</v>
      </c>
      <c r="F6809" t="s">
        <v>17</v>
      </c>
      <c r="G6809" t="s">
        <v>36</v>
      </c>
      <c r="H6809" t="s">
        <v>43</v>
      </c>
      <c r="I6809" s="187">
        <v>2359.5454276638025</v>
      </c>
      <c r="J6809" s="187">
        <v>165.21807579535636</v>
      </c>
      <c r="K6809" s="187">
        <v>2295.3934033406849</v>
      </c>
      <c r="L6809" s="187">
        <v>5196.659210683275</v>
      </c>
      <c r="M6809" s="187">
        <v>10016.81640625</v>
      </c>
      <c r="N6809" s="187">
        <v>7556.20458984375</v>
      </c>
      <c r="O6809" t="s">
        <v>6836</v>
      </c>
    </row>
    <row r="6810" spans="1:15" hidden="1" x14ac:dyDescent="0.45">
      <c r="A6810" s="187">
        <v>2024</v>
      </c>
      <c r="B6810" t="s">
        <v>311</v>
      </c>
      <c r="C6810" t="s">
        <v>322</v>
      </c>
      <c r="D6810" t="s">
        <v>35</v>
      </c>
      <c r="E6810" t="s">
        <v>17</v>
      </c>
      <c r="F6810" t="s">
        <v>17</v>
      </c>
      <c r="G6810" t="s">
        <v>36</v>
      </c>
      <c r="H6810" t="s">
        <v>43</v>
      </c>
      <c r="I6810" s="187"/>
      <c r="J6810" s="187">
        <v>57.388235519475181</v>
      </c>
      <c r="K6810" s="187">
        <v>1786.620136487556</v>
      </c>
      <c r="L6810" s="187">
        <v>1933.3458899449861</v>
      </c>
      <c r="M6810" s="187">
        <v>3777.354248046875</v>
      </c>
      <c r="N6810" s="187">
        <v>1933.345947265625</v>
      </c>
      <c r="O6810" t="s">
        <v>6837</v>
      </c>
    </row>
    <row r="6811" spans="1:15" hidden="1" x14ac:dyDescent="0.45">
      <c r="A6811" s="187">
        <v>2024</v>
      </c>
      <c r="B6811" t="s">
        <v>313</v>
      </c>
      <c r="C6811" t="s">
        <v>322</v>
      </c>
      <c r="D6811" t="s">
        <v>35</v>
      </c>
      <c r="E6811" t="s">
        <v>17</v>
      </c>
      <c r="F6811" t="s">
        <v>17</v>
      </c>
      <c r="G6811" t="s">
        <v>36</v>
      </c>
      <c r="H6811" t="s">
        <v>43</v>
      </c>
      <c r="I6811" s="187">
        <v>2275.9945616109194</v>
      </c>
      <c r="J6811" s="187">
        <v>77.862971844584081</v>
      </c>
      <c r="K6811" s="187">
        <v>1458.3278878156004</v>
      </c>
      <c r="L6811" s="187">
        <v>822.95171780352712</v>
      </c>
      <c r="M6811" s="187">
        <v>4635.13720703125</v>
      </c>
      <c r="N6811" s="187">
        <v>3098.9462890625</v>
      </c>
      <c r="O6811" t="s">
        <v>6835</v>
      </c>
    </row>
    <row r="6812" spans="1:15" hidden="1" x14ac:dyDescent="0.45">
      <c r="A6812" s="187">
        <v>2024</v>
      </c>
      <c r="B6812" t="s">
        <v>313</v>
      </c>
      <c r="C6812" t="s">
        <v>322</v>
      </c>
      <c r="D6812" t="s">
        <v>35</v>
      </c>
      <c r="E6812" t="s">
        <v>17</v>
      </c>
      <c r="F6812" t="s">
        <v>17</v>
      </c>
      <c r="G6812" t="s">
        <v>37</v>
      </c>
      <c r="H6812" t="s">
        <v>43</v>
      </c>
      <c r="I6812" s="187">
        <v>2178.00679987578</v>
      </c>
      <c r="J6812" s="187">
        <v>75</v>
      </c>
      <c r="K6812" s="187">
        <v>1392.168855762797</v>
      </c>
      <c r="L6812" s="187">
        <v>795</v>
      </c>
      <c r="M6812" s="187">
        <v>4440.17578125</v>
      </c>
      <c r="N6812" s="187">
        <v>2973.0068359375</v>
      </c>
      <c r="O6812" t="s">
        <v>6840</v>
      </c>
    </row>
    <row r="6813" spans="1:15" hidden="1" x14ac:dyDescent="0.45">
      <c r="A6813" s="187">
        <v>2024</v>
      </c>
      <c r="B6813" t="s">
        <v>312</v>
      </c>
      <c r="C6813" t="s">
        <v>322</v>
      </c>
      <c r="D6813" t="s">
        <v>35</v>
      </c>
      <c r="E6813" t="s">
        <v>17</v>
      </c>
      <c r="F6813" t="s">
        <v>17</v>
      </c>
      <c r="G6813" t="s">
        <v>37</v>
      </c>
      <c r="H6813" t="s">
        <v>43</v>
      </c>
      <c r="I6813" s="187">
        <v>2039.130208399491</v>
      </c>
      <c r="J6813" s="187">
        <v>76</v>
      </c>
      <c r="K6813" s="187">
        <v>1533.227881759409</v>
      </c>
      <c r="L6813" s="187">
        <v>1284</v>
      </c>
      <c r="M6813" s="187">
        <v>4932.3583984375</v>
      </c>
      <c r="N6813" s="187">
        <v>3323.13037109375</v>
      </c>
      <c r="O6813" t="s">
        <v>6838</v>
      </c>
    </row>
    <row r="6814" spans="1:15" hidden="1" x14ac:dyDescent="0.45">
      <c r="A6814" s="187">
        <v>2024</v>
      </c>
      <c r="B6814" t="s">
        <v>316</v>
      </c>
      <c r="C6814" t="s">
        <v>322</v>
      </c>
      <c r="D6814" t="s">
        <v>35</v>
      </c>
      <c r="E6814" t="s">
        <v>17</v>
      </c>
      <c r="F6814" t="s">
        <v>17</v>
      </c>
      <c r="G6814" t="s">
        <v>37</v>
      </c>
      <c r="H6814" t="s">
        <v>43</v>
      </c>
      <c r="I6814" s="187">
        <v>2319</v>
      </c>
      <c r="J6814" s="187">
        <v>150</v>
      </c>
      <c r="K6814" s="187">
        <v>2215.4409744228619</v>
      </c>
      <c r="L6814" s="187">
        <v>5216</v>
      </c>
      <c r="M6814" s="187">
        <v>9900.44140625</v>
      </c>
      <c r="N6814" s="187">
        <v>7535</v>
      </c>
      <c r="O6814" t="s">
        <v>6843</v>
      </c>
    </row>
    <row r="6815" spans="1:15" hidden="1" x14ac:dyDescent="0.45">
      <c r="A6815" s="187">
        <v>2024</v>
      </c>
      <c r="B6815" t="s">
        <v>317</v>
      </c>
      <c r="C6815" t="s">
        <v>322</v>
      </c>
      <c r="D6815" t="s">
        <v>35</v>
      </c>
      <c r="E6815" t="s">
        <v>17</v>
      </c>
      <c r="F6815" t="s">
        <v>17</v>
      </c>
      <c r="G6815" t="s">
        <v>37</v>
      </c>
      <c r="H6815" t="s">
        <v>43</v>
      </c>
      <c r="I6815" s="187">
        <v>4736.3042664451841</v>
      </c>
      <c r="J6815" s="187">
        <v>150</v>
      </c>
      <c r="K6815" s="187">
        <v>1541.0023107905131</v>
      </c>
      <c r="L6815" s="187">
        <v>4566</v>
      </c>
      <c r="M6815" s="187">
        <v>10993.306640625</v>
      </c>
      <c r="N6815" s="187">
        <v>9302.3046875</v>
      </c>
      <c r="O6815" t="s">
        <v>6842</v>
      </c>
    </row>
    <row r="6816" spans="1:15" hidden="1" x14ac:dyDescent="0.45">
      <c r="A6816" s="187">
        <v>2024</v>
      </c>
      <c r="B6816" t="s">
        <v>315</v>
      </c>
      <c r="C6816" t="s">
        <v>322</v>
      </c>
      <c r="D6816" t="s">
        <v>35</v>
      </c>
      <c r="E6816" t="s">
        <v>17</v>
      </c>
      <c r="F6816" t="s">
        <v>17</v>
      </c>
      <c r="G6816" t="s">
        <v>37</v>
      </c>
      <c r="H6816" t="s">
        <v>43</v>
      </c>
      <c r="I6816" s="187">
        <v>2319.0243305125682</v>
      </c>
      <c r="J6816" s="187">
        <v>76</v>
      </c>
      <c r="K6816" s="187">
        <v>1475.285490233093</v>
      </c>
      <c r="L6816" s="187">
        <v>1631</v>
      </c>
      <c r="M6816" s="187">
        <v>5501.3095703125</v>
      </c>
      <c r="N6816" s="187">
        <v>3950.0244140625</v>
      </c>
      <c r="O6816" t="s">
        <v>6839</v>
      </c>
    </row>
    <row r="6817" spans="1:15" hidden="1" x14ac:dyDescent="0.45">
      <c r="A6817" s="187">
        <v>2024</v>
      </c>
      <c r="B6817" t="s">
        <v>314</v>
      </c>
      <c r="C6817" t="s">
        <v>322</v>
      </c>
      <c r="D6817" t="s">
        <v>35</v>
      </c>
      <c r="E6817" t="s">
        <v>17</v>
      </c>
      <c r="F6817" t="s">
        <v>17</v>
      </c>
      <c r="G6817" t="s">
        <v>37</v>
      </c>
      <c r="H6817" t="s">
        <v>43</v>
      </c>
      <c r="I6817" s="187">
        <v>2253.42907087807</v>
      </c>
      <c r="J6817" s="187">
        <v>79</v>
      </c>
      <c r="K6817" s="187">
        <v>1346.94740255279</v>
      </c>
      <c r="L6817" s="187">
        <v>1589</v>
      </c>
      <c r="M6817" s="187">
        <v>5268.37646484375</v>
      </c>
      <c r="N6817" s="187">
        <v>3842.428955078125</v>
      </c>
      <c r="O6817" t="s">
        <v>6844</v>
      </c>
    </row>
    <row r="6818" spans="1:15" hidden="1" x14ac:dyDescent="0.45">
      <c r="A6818" s="187">
        <v>2024</v>
      </c>
      <c r="B6818" t="s">
        <v>8570</v>
      </c>
      <c r="C6818" t="s">
        <v>322</v>
      </c>
      <c r="D6818" t="s">
        <v>35</v>
      </c>
      <c r="E6818" t="s">
        <v>17</v>
      </c>
      <c r="F6818" t="s">
        <v>17</v>
      </c>
      <c r="G6818" t="s">
        <v>37</v>
      </c>
      <c r="H6818" t="s">
        <v>43</v>
      </c>
      <c r="I6818" s="187">
        <v>3057.0224189918149</v>
      </c>
      <c r="J6818" s="187">
        <v>150</v>
      </c>
      <c r="K6818" s="187">
        <v>1370.636174215012</v>
      </c>
      <c r="L6818" s="187">
        <v>1275</v>
      </c>
      <c r="M6818" s="187">
        <v>5852.65869140625</v>
      </c>
      <c r="N6818" s="187">
        <v>4332.0224609375</v>
      </c>
      <c r="O6818" t="s">
        <v>9004</v>
      </c>
    </row>
    <row r="6819" spans="1:15" hidden="1" x14ac:dyDescent="0.45">
      <c r="A6819" s="187">
        <v>2024</v>
      </c>
      <c r="B6819" t="s">
        <v>310</v>
      </c>
      <c r="C6819" t="s">
        <v>322</v>
      </c>
      <c r="D6819" t="s">
        <v>35</v>
      </c>
      <c r="E6819" t="s">
        <v>17</v>
      </c>
      <c r="F6819" t="s">
        <v>17</v>
      </c>
      <c r="G6819" t="s">
        <v>37</v>
      </c>
      <c r="H6819" t="s">
        <v>43</v>
      </c>
      <c r="I6819" s="187"/>
      <c r="J6819" s="187">
        <v>49</v>
      </c>
      <c r="K6819" s="187">
        <v>2271.0329491759771</v>
      </c>
      <c r="L6819" s="187">
        <v>1520</v>
      </c>
      <c r="M6819" s="187">
        <v>3840.032958984375</v>
      </c>
      <c r="N6819" s="187">
        <v>1520</v>
      </c>
      <c r="O6819" t="s">
        <v>6845</v>
      </c>
    </row>
    <row r="6820" spans="1:15" hidden="1" x14ac:dyDescent="0.45">
      <c r="A6820" s="187">
        <v>2024</v>
      </c>
      <c r="B6820" t="s">
        <v>311</v>
      </c>
      <c r="C6820" t="s">
        <v>322</v>
      </c>
      <c r="D6820" t="s">
        <v>35</v>
      </c>
      <c r="E6820" t="s">
        <v>17</v>
      </c>
      <c r="F6820" t="s">
        <v>17</v>
      </c>
      <c r="G6820" t="s">
        <v>37</v>
      </c>
      <c r="H6820" t="s">
        <v>43</v>
      </c>
      <c r="I6820" s="187"/>
      <c r="J6820" s="187">
        <v>54</v>
      </c>
      <c r="K6820" s="187">
        <v>1662.040974197221</v>
      </c>
      <c r="L6820" s="187">
        <v>1914</v>
      </c>
      <c r="M6820" s="187">
        <v>3630.041015625</v>
      </c>
      <c r="N6820" s="187">
        <v>1914</v>
      </c>
      <c r="O6820" t="s">
        <v>6841</v>
      </c>
    </row>
    <row r="6821" spans="1:15" hidden="1" x14ac:dyDescent="0.45">
      <c r="A6821" s="187">
        <v>2024</v>
      </c>
      <c r="B6821" t="s">
        <v>312</v>
      </c>
      <c r="C6821" t="s">
        <v>322</v>
      </c>
      <c r="D6821" t="s">
        <v>35</v>
      </c>
      <c r="E6821" t="s">
        <v>45</v>
      </c>
      <c r="F6821" t="s">
        <v>45</v>
      </c>
      <c r="G6821" t="s">
        <v>37</v>
      </c>
      <c r="H6821" t="s">
        <v>43</v>
      </c>
      <c r="I6821" s="187">
        <v>1188.7515133025399</v>
      </c>
      <c r="J6821" s="187">
        <v>0</v>
      </c>
      <c r="K6821" s="187">
        <v>808.21984632992303</v>
      </c>
      <c r="L6821" s="187">
        <v>4035</v>
      </c>
      <c r="M6821" s="187">
        <v>6031.97119140625</v>
      </c>
      <c r="N6821" s="187">
        <v>5223.75146484375</v>
      </c>
      <c r="O6821" t="s">
        <v>6852</v>
      </c>
    </row>
    <row r="6822" spans="1:15" hidden="1" x14ac:dyDescent="0.45">
      <c r="A6822" s="187">
        <v>2024</v>
      </c>
      <c r="B6822" t="s">
        <v>310</v>
      </c>
      <c r="C6822" t="s">
        <v>322</v>
      </c>
      <c r="D6822" t="s">
        <v>35</v>
      </c>
      <c r="E6822" t="s">
        <v>45</v>
      </c>
      <c r="F6822" t="s">
        <v>45</v>
      </c>
      <c r="G6822" t="s">
        <v>37</v>
      </c>
      <c r="H6822" t="s">
        <v>43</v>
      </c>
      <c r="I6822" s="187"/>
      <c r="J6822" s="187">
        <v>0</v>
      </c>
      <c r="K6822" s="187">
        <v>735.86998379515364</v>
      </c>
      <c r="L6822" s="187">
        <v>7164</v>
      </c>
      <c r="M6822" s="187">
        <v>7899.8701171875</v>
      </c>
      <c r="N6822" s="187">
        <v>7164</v>
      </c>
      <c r="O6822" t="s">
        <v>6847</v>
      </c>
    </row>
    <row r="6823" spans="1:15" hidden="1" x14ac:dyDescent="0.45">
      <c r="A6823" s="187">
        <v>2024</v>
      </c>
      <c r="B6823" t="s">
        <v>315</v>
      </c>
      <c r="C6823" t="s">
        <v>322</v>
      </c>
      <c r="D6823" t="s">
        <v>35</v>
      </c>
      <c r="E6823" t="s">
        <v>45</v>
      </c>
      <c r="F6823" t="s">
        <v>45</v>
      </c>
      <c r="G6823" t="s">
        <v>37</v>
      </c>
      <c r="H6823" t="s">
        <v>43</v>
      </c>
      <c r="I6823" s="187">
        <v>1866.559877681721</v>
      </c>
      <c r="J6823" s="187">
        <v>0</v>
      </c>
      <c r="K6823" s="187">
        <v>882.02882811209327</v>
      </c>
      <c r="L6823" s="187">
        <v>7450</v>
      </c>
      <c r="M6823" s="187">
        <v>10198.5888671875</v>
      </c>
      <c r="N6823" s="187">
        <v>9316.5595703125</v>
      </c>
      <c r="O6823" t="s">
        <v>6848</v>
      </c>
    </row>
    <row r="6824" spans="1:15" hidden="1" x14ac:dyDescent="0.45">
      <c r="A6824" s="187">
        <v>2024</v>
      </c>
      <c r="B6824" t="s">
        <v>313</v>
      </c>
      <c r="C6824" t="s">
        <v>322</v>
      </c>
      <c r="D6824" t="s">
        <v>35</v>
      </c>
      <c r="E6824" t="s">
        <v>45</v>
      </c>
      <c r="F6824" t="s">
        <v>45</v>
      </c>
      <c r="G6824" t="s">
        <v>37</v>
      </c>
      <c r="H6824" t="s">
        <v>43</v>
      </c>
      <c r="I6824" s="187">
        <v>1182.19866302111</v>
      </c>
      <c r="J6824" s="187">
        <v>0</v>
      </c>
      <c r="K6824" s="187">
        <v>336.44779359438451</v>
      </c>
      <c r="L6824" s="187">
        <v>5100</v>
      </c>
      <c r="M6824" s="187">
        <v>6618.646484375</v>
      </c>
      <c r="N6824" s="187">
        <v>6282.19873046875</v>
      </c>
      <c r="O6824" t="s">
        <v>6853</v>
      </c>
    </row>
    <row r="6825" spans="1:15" hidden="1" x14ac:dyDescent="0.45">
      <c r="A6825" s="187">
        <v>2024</v>
      </c>
      <c r="B6825" t="s">
        <v>8570</v>
      </c>
      <c r="C6825" t="s">
        <v>322</v>
      </c>
      <c r="D6825" t="s">
        <v>35</v>
      </c>
      <c r="E6825" t="s">
        <v>45</v>
      </c>
      <c r="F6825" t="s">
        <v>45</v>
      </c>
      <c r="G6825" t="s">
        <v>37</v>
      </c>
      <c r="H6825" t="s">
        <v>43</v>
      </c>
      <c r="I6825" s="187">
        <v>1532.881298159647</v>
      </c>
      <c r="J6825" s="187"/>
      <c r="K6825" s="187">
        <v>626.31184852915317</v>
      </c>
      <c r="L6825" s="187">
        <v>18576</v>
      </c>
      <c r="M6825" s="187">
        <v>20735.193359375</v>
      </c>
      <c r="N6825" s="187">
        <v>20108.880859375</v>
      </c>
      <c r="O6825" t="s">
        <v>9005</v>
      </c>
    </row>
    <row r="6826" spans="1:15" hidden="1" x14ac:dyDescent="0.45">
      <c r="A6826" s="187">
        <v>2024</v>
      </c>
      <c r="B6826" t="s">
        <v>316</v>
      </c>
      <c r="C6826" t="s">
        <v>322</v>
      </c>
      <c r="D6826" t="s">
        <v>35</v>
      </c>
      <c r="E6826" t="s">
        <v>45</v>
      </c>
      <c r="F6826" t="s">
        <v>45</v>
      </c>
      <c r="G6826" t="s">
        <v>37</v>
      </c>
      <c r="H6826" t="s">
        <v>43</v>
      </c>
      <c r="I6826" s="187">
        <v>1880</v>
      </c>
      <c r="J6826" s="187"/>
      <c r="K6826" s="187">
        <v>956.26985767701922</v>
      </c>
      <c r="L6826" s="187">
        <v>7747</v>
      </c>
      <c r="M6826" s="187">
        <v>10583.26953125</v>
      </c>
      <c r="N6826" s="187">
        <v>9627</v>
      </c>
      <c r="O6826" t="s">
        <v>6850</v>
      </c>
    </row>
    <row r="6827" spans="1:15" hidden="1" x14ac:dyDescent="0.45">
      <c r="A6827" s="187">
        <v>2024</v>
      </c>
      <c r="B6827" t="s">
        <v>317</v>
      </c>
      <c r="C6827" t="s">
        <v>322</v>
      </c>
      <c r="D6827" t="s">
        <v>35</v>
      </c>
      <c r="E6827" t="s">
        <v>45</v>
      </c>
      <c r="F6827" t="s">
        <v>45</v>
      </c>
      <c r="G6827" t="s">
        <v>37</v>
      </c>
      <c r="H6827" t="s">
        <v>43</v>
      </c>
      <c r="I6827" s="187">
        <v>2074.1943901176001</v>
      </c>
      <c r="J6827" s="187"/>
      <c r="K6827" s="187">
        <v>926.32775048408553</v>
      </c>
      <c r="L6827" s="187">
        <v>24341</v>
      </c>
      <c r="M6827" s="187">
        <v>27341.521484375</v>
      </c>
      <c r="N6827" s="187">
        <v>26415.1953125</v>
      </c>
      <c r="O6827" t="s">
        <v>6851</v>
      </c>
    </row>
    <row r="6828" spans="1:15" hidden="1" x14ac:dyDescent="0.45">
      <c r="A6828" s="187">
        <v>2024</v>
      </c>
      <c r="B6828" t="s">
        <v>311</v>
      </c>
      <c r="C6828" t="s">
        <v>322</v>
      </c>
      <c r="D6828" t="s">
        <v>35</v>
      </c>
      <c r="E6828" t="s">
        <v>45</v>
      </c>
      <c r="F6828" t="s">
        <v>45</v>
      </c>
      <c r="G6828" t="s">
        <v>37</v>
      </c>
      <c r="H6828" t="s">
        <v>43</v>
      </c>
      <c r="I6828" s="187"/>
      <c r="J6828" s="187">
        <v>0</v>
      </c>
      <c r="K6828" s="187">
        <v>733.71904062640647</v>
      </c>
      <c r="L6828" s="187">
        <v>8509</v>
      </c>
      <c r="M6828" s="187">
        <v>9242.71875</v>
      </c>
      <c r="N6828" s="187">
        <v>8509</v>
      </c>
      <c r="O6828" t="s">
        <v>6846</v>
      </c>
    </row>
    <row r="6829" spans="1:15" hidden="1" x14ac:dyDescent="0.45">
      <c r="A6829" s="187">
        <v>2024</v>
      </c>
      <c r="B6829" t="s">
        <v>314</v>
      </c>
      <c r="C6829" t="s">
        <v>322</v>
      </c>
      <c r="D6829" t="s">
        <v>35</v>
      </c>
      <c r="E6829" t="s">
        <v>45</v>
      </c>
      <c r="F6829" t="s">
        <v>45</v>
      </c>
      <c r="G6829" t="s">
        <v>37</v>
      </c>
      <c r="H6829" t="s">
        <v>43</v>
      </c>
      <c r="I6829" s="187">
        <v>1690.269348</v>
      </c>
      <c r="J6829" s="187">
        <v>0</v>
      </c>
      <c r="K6829" s="187">
        <v>354.47838640020279</v>
      </c>
      <c r="L6829" s="187">
        <v>8427</v>
      </c>
      <c r="M6829" s="187">
        <v>10471.748046875</v>
      </c>
      <c r="N6829" s="187">
        <v>10117.26953125</v>
      </c>
      <c r="O6829" t="s">
        <v>6849</v>
      </c>
    </row>
    <row r="6830" spans="1:15" hidden="1" x14ac:dyDescent="0.45">
      <c r="A6830" s="187">
        <v>2024</v>
      </c>
      <c r="B6830" t="s">
        <v>8570</v>
      </c>
      <c r="C6830" t="s">
        <v>322</v>
      </c>
      <c r="D6830" t="s">
        <v>35</v>
      </c>
      <c r="E6830" t="s">
        <v>355</v>
      </c>
      <c r="F6830" t="s">
        <v>355</v>
      </c>
      <c r="G6830" t="s">
        <v>37</v>
      </c>
      <c r="H6830" t="s">
        <v>43</v>
      </c>
      <c r="I6830" s="187">
        <v>11730.66605445206</v>
      </c>
      <c r="J6830" s="187"/>
      <c r="K6830" s="187"/>
      <c r="L6830" s="187"/>
      <c r="M6830" s="187">
        <v>11730.666015625</v>
      </c>
      <c r="N6830" s="187">
        <v>11730.666015625</v>
      </c>
      <c r="O6830" t="s">
        <v>9006</v>
      </c>
    </row>
    <row r="6831" spans="1:15" hidden="1" x14ac:dyDescent="0.45">
      <c r="A6831" s="187">
        <v>2024</v>
      </c>
      <c r="B6831" t="s">
        <v>313</v>
      </c>
      <c r="C6831" t="s">
        <v>322</v>
      </c>
      <c r="D6831" t="s">
        <v>35</v>
      </c>
      <c r="E6831" t="s">
        <v>355</v>
      </c>
      <c r="F6831" t="s">
        <v>355</v>
      </c>
      <c r="G6831" t="s">
        <v>37</v>
      </c>
      <c r="H6831" t="s">
        <v>43</v>
      </c>
      <c r="I6831" s="187"/>
      <c r="J6831" s="187"/>
      <c r="K6831" s="187"/>
      <c r="L6831" s="187">
        <v>23256</v>
      </c>
      <c r="M6831" s="187">
        <v>23256</v>
      </c>
      <c r="N6831" s="187">
        <v>23256</v>
      </c>
      <c r="O6831" t="s">
        <v>6854</v>
      </c>
    </row>
    <row r="6832" spans="1:15" hidden="1" x14ac:dyDescent="0.45">
      <c r="A6832" s="187">
        <v>2024</v>
      </c>
      <c r="B6832" t="s">
        <v>310</v>
      </c>
      <c r="C6832" t="s">
        <v>322</v>
      </c>
      <c r="D6832" t="s">
        <v>35</v>
      </c>
      <c r="E6832" t="s">
        <v>355</v>
      </c>
      <c r="F6832" t="s">
        <v>355</v>
      </c>
      <c r="G6832" t="s">
        <v>37</v>
      </c>
      <c r="H6832" t="s">
        <v>43</v>
      </c>
      <c r="I6832" s="187"/>
      <c r="J6832" s="187">
        <v>893</v>
      </c>
      <c r="K6832" s="187">
        <v>15460.37576533527</v>
      </c>
      <c r="L6832" s="187">
        <v>24232</v>
      </c>
      <c r="M6832" s="187">
        <v>40585.375</v>
      </c>
      <c r="N6832" s="187">
        <v>24232</v>
      </c>
      <c r="O6832" t="s">
        <v>6855</v>
      </c>
    </row>
    <row r="6833" spans="1:15" hidden="1" x14ac:dyDescent="0.45">
      <c r="A6833" s="187">
        <v>2024</v>
      </c>
      <c r="B6833" t="s">
        <v>312</v>
      </c>
      <c r="C6833" t="s">
        <v>322</v>
      </c>
      <c r="D6833" t="s">
        <v>35</v>
      </c>
      <c r="E6833" t="s">
        <v>356</v>
      </c>
      <c r="F6833" t="s">
        <v>356</v>
      </c>
      <c r="G6833" t="s">
        <v>37</v>
      </c>
      <c r="H6833" t="s">
        <v>43</v>
      </c>
      <c r="I6833" s="187">
        <v>0</v>
      </c>
      <c r="J6833" s="187">
        <v>0</v>
      </c>
      <c r="K6833" s="187">
        <v>0</v>
      </c>
      <c r="L6833" s="187">
        <v>0</v>
      </c>
      <c r="M6833" s="187">
        <v>0</v>
      </c>
      <c r="N6833" s="187">
        <v>0</v>
      </c>
      <c r="O6833" t="s">
        <v>6857</v>
      </c>
    </row>
    <row r="6834" spans="1:15" hidden="1" x14ac:dyDescent="0.45">
      <c r="A6834" s="187">
        <v>2024</v>
      </c>
      <c r="B6834" t="s">
        <v>315</v>
      </c>
      <c r="C6834" t="s">
        <v>322</v>
      </c>
      <c r="D6834" t="s">
        <v>35</v>
      </c>
      <c r="E6834" t="s">
        <v>356</v>
      </c>
      <c r="F6834" t="s">
        <v>356</v>
      </c>
      <c r="G6834" t="s">
        <v>37</v>
      </c>
      <c r="H6834" t="s">
        <v>43</v>
      </c>
      <c r="I6834" s="187"/>
      <c r="J6834" s="187">
        <v>0</v>
      </c>
      <c r="K6834" s="187">
        <v>0</v>
      </c>
      <c r="L6834" s="187">
        <v>0</v>
      </c>
      <c r="M6834" s="187">
        <v>0</v>
      </c>
      <c r="N6834" s="187">
        <v>0</v>
      </c>
      <c r="O6834" t="s">
        <v>6863</v>
      </c>
    </row>
    <row r="6835" spans="1:15" hidden="1" x14ac:dyDescent="0.45">
      <c r="A6835" s="187">
        <v>2024</v>
      </c>
      <c r="B6835" t="s">
        <v>311</v>
      </c>
      <c r="C6835" t="s">
        <v>322</v>
      </c>
      <c r="D6835" t="s">
        <v>35</v>
      </c>
      <c r="E6835" t="s">
        <v>356</v>
      </c>
      <c r="F6835" t="s">
        <v>356</v>
      </c>
      <c r="G6835" t="s">
        <v>37</v>
      </c>
      <c r="H6835" t="s">
        <v>43</v>
      </c>
      <c r="I6835" s="187"/>
      <c r="J6835" s="187">
        <v>0</v>
      </c>
      <c r="K6835" s="187">
        <v>0</v>
      </c>
      <c r="L6835" s="187">
        <v>0</v>
      </c>
      <c r="M6835" s="187">
        <v>0</v>
      </c>
      <c r="N6835" s="187">
        <v>0</v>
      </c>
      <c r="O6835" t="s">
        <v>6859</v>
      </c>
    </row>
    <row r="6836" spans="1:15" hidden="1" x14ac:dyDescent="0.45">
      <c r="A6836" s="187">
        <v>2024</v>
      </c>
      <c r="B6836" t="s">
        <v>316</v>
      </c>
      <c r="C6836" t="s">
        <v>322</v>
      </c>
      <c r="D6836" t="s">
        <v>35</v>
      </c>
      <c r="E6836" t="s">
        <v>356</v>
      </c>
      <c r="F6836" t="s">
        <v>356</v>
      </c>
      <c r="G6836" t="s">
        <v>37</v>
      </c>
      <c r="H6836" t="s">
        <v>43</v>
      </c>
      <c r="I6836" s="187"/>
      <c r="J6836" s="187"/>
      <c r="K6836" s="187">
        <v>0</v>
      </c>
      <c r="L6836" s="187">
        <v>0</v>
      </c>
      <c r="M6836" s="187">
        <v>0</v>
      </c>
      <c r="N6836" s="187">
        <v>0</v>
      </c>
      <c r="O6836" t="s">
        <v>6856</v>
      </c>
    </row>
    <row r="6837" spans="1:15" hidden="1" x14ac:dyDescent="0.45">
      <c r="A6837" s="187">
        <v>2024</v>
      </c>
      <c r="B6837" t="s">
        <v>314</v>
      </c>
      <c r="C6837" t="s">
        <v>322</v>
      </c>
      <c r="D6837" t="s">
        <v>35</v>
      </c>
      <c r="E6837" t="s">
        <v>356</v>
      </c>
      <c r="F6837" t="s">
        <v>356</v>
      </c>
      <c r="G6837" t="s">
        <v>37</v>
      </c>
      <c r="H6837" t="s">
        <v>43</v>
      </c>
      <c r="I6837" s="187"/>
      <c r="J6837" s="187">
        <v>0</v>
      </c>
      <c r="K6837" s="187">
        <v>0</v>
      </c>
      <c r="L6837" s="187">
        <v>0</v>
      </c>
      <c r="M6837" s="187">
        <v>0</v>
      </c>
      <c r="N6837" s="187">
        <v>0</v>
      </c>
      <c r="O6837" t="s">
        <v>6861</v>
      </c>
    </row>
    <row r="6838" spans="1:15" hidden="1" x14ac:dyDescent="0.45">
      <c r="A6838" s="187">
        <v>2024</v>
      </c>
      <c r="B6838" t="s">
        <v>313</v>
      </c>
      <c r="C6838" t="s">
        <v>322</v>
      </c>
      <c r="D6838" t="s">
        <v>35</v>
      </c>
      <c r="E6838" t="s">
        <v>356</v>
      </c>
      <c r="F6838" t="s">
        <v>356</v>
      </c>
      <c r="G6838" t="s">
        <v>37</v>
      </c>
      <c r="H6838" t="s">
        <v>43</v>
      </c>
      <c r="I6838" s="187"/>
      <c r="J6838" s="187">
        <v>0</v>
      </c>
      <c r="K6838" s="187">
        <v>0</v>
      </c>
      <c r="L6838" s="187">
        <v>0</v>
      </c>
      <c r="M6838" s="187">
        <v>0</v>
      </c>
      <c r="N6838" s="187">
        <v>0</v>
      </c>
      <c r="O6838" t="s">
        <v>6860</v>
      </c>
    </row>
    <row r="6839" spans="1:15" hidden="1" x14ac:dyDescent="0.45">
      <c r="A6839" s="187">
        <v>2024</v>
      </c>
      <c r="B6839" t="s">
        <v>310</v>
      </c>
      <c r="C6839" t="s">
        <v>322</v>
      </c>
      <c r="D6839" t="s">
        <v>35</v>
      </c>
      <c r="E6839" t="s">
        <v>356</v>
      </c>
      <c r="F6839" t="s">
        <v>356</v>
      </c>
      <c r="G6839" t="s">
        <v>37</v>
      </c>
      <c r="H6839" t="s">
        <v>43</v>
      </c>
      <c r="I6839" s="187"/>
      <c r="J6839" s="187">
        <v>0</v>
      </c>
      <c r="K6839" s="187">
        <v>0</v>
      </c>
      <c r="L6839" s="187">
        <v>0</v>
      </c>
      <c r="M6839" s="187">
        <v>0</v>
      </c>
      <c r="N6839" s="187">
        <v>0</v>
      </c>
      <c r="O6839" t="s">
        <v>6862</v>
      </c>
    </row>
    <row r="6840" spans="1:15" hidden="1" x14ac:dyDescent="0.45">
      <c r="A6840" s="187">
        <v>2024</v>
      </c>
      <c r="B6840" t="s">
        <v>317</v>
      </c>
      <c r="C6840" t="s">
        <v>322</v>
      </c>
      <c r="D6840" t="s">
        <v>35</v>
      </c>
      <c r="E6840" t="s">
        <v>356</v>
      </c>
      <c r="F6840" t="s">
        <v>356</v>
      </c>
      <c r="G6840" t="s">
        <v>37</v>
      </c>
      <c r="H6840" t="s">
        <v>43</v>
      </c>
      <c r="I6840" s="187"/>
      <c r="J6840" s="187"/>
      <c r="K6840" s="187">
        <v>0</v>
      </c>
      <c r="L6840" s="187">
        <v>0</v>
      </c>
      <c r="M6840" s="187">
        <v>0</v>
      </c>
      <c r="N6840" s="187">
        <v>0</v>
      </c>
      <c r="O6840" t="s">
        <v>6858</v>
      </c>
    </row>
    <row r="6841" spans="1:15" hidden="1" x14ac:dyDescent="0.45">
      <c r="A6841" s="187">
        <v>2024</v>
      </c>
      <c r="B6841" t="s">
        <v>8570</v>
      </c>
      <c r="C6841" t="s">
        <v>322</v>
      </c>
      <c r="D6841" t="s">
        <v>35</v>
      </c>
      <c r="E6841" t="s">
        <v>356</v>
      </c>
      <c r="F6841" t="s">
        <v>356</v>
      </c>
      <c r="G6841" t="s">
        <v>37</v>
      </c>
      <c r="H6841" t="s">
        <v>43</v>
      </c>
      <c r="I6841" s="187">
        <v>0</v>
      </c>
      <c r="J6841" s="187"/>
      <c r="K6841" s="187">
        <v>0</v>
      </c>
      <c r="L6841" s="187">
        <v>0</v>
      </c>
      <c r="M6841" s="187">
        <v>0</v>
      </c>
      <c r="N6841" s="187">
        <v>0</v>
      </c>
      <c r="O6841" t="s">
        <v>9007</v>
      </c>
    </row>
    <row r="6842" spans="1:15" hidden="1" x14ac:dyDescent="0.45">
      <c r="A6842" s="187">
        <v>2024</v>
      </c>
      <c r="B6842" t="s">
        <v>316</v>
      </c>
      <c r="C6842" t="s">
        <v>323</v>
      </c>
      <c r="D6842" t="s">
        <v>35</v>
      </c>
      <c r="E6842" t="s">
        <v>349</v>
      </c>
      <c r="F6842" t="s">
        <v>388</v>
      </c>
      <c r="G6842" t="s">
        <v>36</v>
      </c>
      <c r="H6842" t="s">
        <v>43</v>
      </c>
      <c r="I6842" s="187">
        <v>4662.4684178448588</v>
      </c>
      <c r="J6842" s="187">
        <v>545.21965012467604</v>
      </c>
      <c r="K6842" s="187">
        <v>5067.8603750304183</v>
      </c>
      <c r="L6842" s="187">
        <v>3268.0135392321486</v>
      </c>
      <c r="M6842" s="187">
        <v>13543.5625</v>
      </c>
      <c r="N6842" s="187">
        <v>7930.48193359375</v>
      </c>
      <c r="O6842" t="s">
        <v>6864</v>
      </c>
    </row>
    <row r="6843" spans="1:15" hidden="1" x14ac:dyDescent="0.45">
      <c r="A6843" s="187">
        <v>2024</v>
      </c>
      <c r="B6843" t="s">
        <v>8570</v>
      </c>
      <c r="C6843" t="s">
        <v>323</v>
      </c>
      <c r="D6843" t="s">
        <v>35</v>
      </c>
      <c r="E6843" t="s">
        <v>349</v>
      </c>
      <c r="F6843" t="s">
        <v>388</v>
      </c>
      <c r="G6843" t="s">
        <v>36</v>
      </c>
      <c r="H6843" t="s">
        <v>43</v>
      </c>
      <c r="I6843" s="187">
        <v>3043.4560956800001</v>
      </c>
      <c r="J6843" s="187">
        <v>495</v>
      </c>
      <c r="K6843" s="187">
        <v>5859.9241423824078</v>
      </c>
      <c r="L6843" s="187">
        <v>3059</v>
      </c>
      <c r="M6843" s="187">
        <v>12457.3798828125</v>
      </c>
      <c r="N6843" s="187">
        <v>6102.4560546875</v>
      </c>
      <c r="O6843" t="s">
        <v>9008</v>
      </c>
    </row>
    <row r="6844" spans="1:15" hidden="1" x14ac:dyDescent="0.45">
      <c r="A6844" s="187">
        <v>2024</v>
      </c>
      <c r="B6844" t="s">
        <v>317</v>
      </c>
      <c r="C6844" t="s">
        <v>323</v>
      </c>
      <c r="D6844" t="s">
        <v>35</v>
      </c>
      <c r="E6844" t="s">
        <v>349</v>
      </c>
      <c r="F6844" t="s">
        <v>388</v>
      </c>
      <c r="G6844" t="s">
        <v>36</v>
      </c>
      <c r="H6844" t="s">
        <v>43</v>
      </c>
      <c r="I6844" s="187">
        <v>5316.1047507783151</v>
      </c>
      <c r="J6844" s="187">
        <v>534.8520023648914</v>
      </c>
      <c r="K6844" s="187">
        <v>5130.8253322795281</v>
      </c>
      <c r="L6844" s="187">
        <v>3431.6968879007982</v>
      </c>
      <c r="M6844" s="187">
        <v>14413.4794921875</v>
      </c>
      <c r="N6844" s="187">
        <v>8747.8017578125</v>
      </c>
      <c r="O6844" t="s">
        <v>6866</v>
      </c>
    </row>
    <row r="6845" spans="1:15" hidden="1" x14ac:dyDescent="0.45">
      <c r="A6845" s="187">
        <v>2024</v>
      </c>
      <c r="B6845" t="s">
        <v>315</v>
      </c>
      <c r="C6845" t="s">
        <v>323</v>
      </c>
      <c r="D6845" t="s">
        <v>35</v>
      </c>
      <c r="E6845" t="s">
        <v>349</v>
      </c>
      <c r="F6845" t="s">
        <v>388</v>
      </c>
      <c r="G6845" t="s">
        <v>36</v>
      </c>
      <c r="H6845" t="s">
        <v>43</v>
      </c>
      <c r="I6845" s="187">
        <v>4701.1093601677576</v>
      </c>
      <c r="J6845" s="187">
        <v>464.44694883585072</v>
      </c>
      <c r="K6845" s="187">
        <v>4187.0046044955934</v>
      </c>
      <c r="L6845" s="187">
        <v>2709.6514673545244</v>
      </c>
      <c r="M6845" s="187">
        <v>12062.2119140625</v>
      </c>
      <c r="N6845" s="187">
        <v>7410.7607421875</v>
      </c>
      <c r="O6845" t="s">
        <v>6865</v>
      </c>
    </row>
    <row r="6846" spans="1:15" hidden="1" x14ac:dyDescent="0.45">
      <c r="A6846" s="187">
        <v>2024</v>
      </c>
      <c r="B6846" t="s">
        <v>315</v>
      </c>
      <c r="C6846" t="s">
        <v>323</v>
      </c>
      <c r="D6846" t="s">
        <v>35</v>
      </c>
      <c r="E6846" t="s">
        <v>349</v>
      </c>
      <c r="F6846" t="s">
        <v>389</v>
      </c>
      <c r="G6846" t="s">
        <v>36</v>
      </c>
      <c r="H6846" t="s">
        <v>43</v>
      </c>
      <c r="I6846" s="187">
        <v>0</v>
      </c>
      <c r="J6846" s="187">
        <v>0</v>
      </c>
      <c r="K6846" s="187">
        <v>0</v>
      </c>
      <c r="L6846" s="187"/>
      <c r="M6846" s="187">
        <v>0</v>
      </c>
      <c r="N6846" s="187">
        <v>0</v>
      </c>
      <c r="O6846" t="s">
        <v>6869</v>
      </c>
    </row>
    <row r="6847" spans="1:15" hidden="1" x14ac:dyDescent="0.45">
      <c r="A6847" s="187">
        <v>2024</v>
      </c>
      <c r="B6847" t="s">
        <v>8570</v>
      </c>
      <c r="C6847" t="s">
        <v>323</v>
      </c>
      <c r="D6847" t="s">
        <v>35</v>
      </c>
      <c r="E6847" t="s">
        <v>349</v>
      </c>
      <c r="F6847" t="s">
        <v>389</v>
      </c>
      <c r="G6847" t="s">
        <v>36</v>
      </c>
      <c r="H6847" t="s">
        <v>43</v>
      </c>
      <c r="I6847" s="187">
        <v>0</v>
      </c>
      <c r="J6847" s="187"/>
      <c r="K6847" s="187">
        <v>0</v>
      </c>
      <c r="L6847" s="187">
        <v>0</v>
      </c>
      <c r="M6847" s="187">
        <v>0</v>
      </c>
      <c r="N6847" s="187">
        <v>0</v>
      </c>
      <c r="O6847" t="s">
        <v>9009</v>
      </c>
    </row>
    <row r="6848" spans="1:15" hidden="1" x14ac:dyDescent="0.45">
      <c r="A6848" s="187">
        <v>2024</v>
      </c>
      <c r="B6848" t="s">
        <v>316</v>
      </c>
      <c r="C6848" t="s">
        <v>323</v>
      </c>
      <c r="D6848" t="s">
        <v>35</v>
      </c>
      <c r="E6848" t="s">
        <v>349</v>
      </c>
      <c r="F6848" t="s">
        <v>389</v>
      </c>
      <c r="G6848" t="s">
        <v>36</v>
      </c>
      <c r="H6848" t="s">
        <v>43</v>
      </c>
      <c r="I6848" s="187">
        <v>0</v>
      </c>
      <c r="J6848" s="187"/>
      <c r="K6848" s="187">
        <v>0</v>
      </c>
      <c r="L6848" s="187"/>
      <c r="M6848" s="187">
        <v>0</v>
      </c>
      <c r="N6848" s="187">
        <v>0</v>
      </c>
      <c r="O6848" t="s">
        <v>6867</v>
      </c>
    </row>
    <row r="6849" spans="1:15" hidden="1" x14ac:dyDescent="0.45">
      <c r="A6849" s="187">
        <v>2024</v>
      </c>
      <c r="B6849" t="s">
        <v>317</v>
      </c>
      <c r="C6849" t="s">
        <v>323</v>
      </c>
      <c r="D6849" t="s">
        <v>35</v>
      </c>
      <c r="E6849" t="s">
        <v>349</v>
      </c>
      <c r="F6849" t="s">
        <v>389</v>
      </c>
      <c r="G6849" t="s">
        <v>36</v>
      </c>
      <c r="H6849" t="s">
        <v>43</v>
      </c>
      <c r="I6849" s="187">
        <v>0</v>
      </c>
      <c r="J6849" s="187"/>
      <c r="K6849" s="187">
        <v>0</v>
      </c>
      <c r="L6849" s="187">
        <v>0</v>
      </c>
      <c r="M6849" s="187">
        <v>0</v>
      </c>
      <c r="N6849" s="187">
        <v>0</v>
      </c>
      <c r="O6849" t="s">
        <v>6868</v>
      </c>
    </row>
    <row r="6850" spans="1:15" hidden="1" x14ac:dyDescent="0.45">
      <c r="A6850" s="187">
        <v>2024</v>
      </c>
      <c r="B6850" t="s">
        <v>8570</v>
      </c>
      <c r="C6850" t="s">
        <v>323</v>
      </c>
      <c r="D6850" t="s">
        <v>35</v>
      </c>
      <c r="E6850" t="s">
        <v>349</v>
      </c>
      <c r="F6850" t="s">
        <v>390</v>
      </c>
      <c r="G6850" t="s">
        <v>36</v>
      </c>
      <c r="H6850" t="s">
        <v>43</v>
      </c>
      <c r="I6850" s="187">
        <v>3043.4560956800001</v>
      </c>
      <c r="J6850" s="187">
        <v>495</v>
      </c>
      <c r="K6850" s="187">
        <v>5859.9241423824078</v>
      </c>
      <c r="L6850" s="187">
        <v>3059</v>
      </c>
      <c r="M6850" s="187">
        <v>12457.3798828125</v>
      </c>
      <c r="N6850" s="187">
        <v>6102.4560546875</v>
      </c>
      <c r="O6850" t="s">
        <v>9010</v>
      </c>
    </row>
    <row r="6851" spans="1:15" hidden="1" x14ac:dyDescent="0.45">
      <c r="A6851" s="187">
        <v>2024</v>
      </c>
      <c r="B6851" t="s">
        <v>317</v>
      </c>
      <c r="C6851" t="s">
        <v>323</v>
      </c>
      <c r="D6851" t="s">
        <v>35</v>
      </c>
      <c r="E6851" t="s">
        <v>349</v>
      </c>
      <c r="F6851" t="s">
        <v>390</v>
      </c>
      <c r="G6851" t="s">
        <v>36</v>
      </c>
      <c r="H6851" t="s">
        <v>43</v>
      </c>
      <c r="I6851" s="187">
        <v>5316.1047507783151</v>
      </c>
      <c r="J6851" s="187">
        <v>534.8520023648914</v>
      </c>
      <c r="K6851" s="187">
        <v>5130.8253322795281</v>
      </c>
      <c r="L6851" s="187">
        <v>3431.6968879007982</v>
      </c>
      <c r="M6851" s="187">
        <v>14413.4794921875</v>
      </c>
      <c r="N6851" s="187">
        <v>8747.8017578125</v>
      </c>
      <c r="O6851" t="s">
        <v>6870</v>
      </c>
    </row>
    <row r="6852" spans="1:15" hidden="1" x14ac:dyDescent="0.45">
      <c r="A6852" s="187">
        <v>2024</v>
      </c>
      <c r="B6852" t="s">
        <v>315</v>
      </c>
      <c r="C6852" t="s">
        <v>323</v>
      </c>
      <c r="D6852" t="s">
        <v>35</v>
      </c>
      <c r="E6852" t="s">
        <v>349</v>
      </c>
      <c r="F6852" t="s">
        <v>390</v>
      </c>
      <c r="G6852" t="s">
        <v>36</v>
      </c>
      <c r="H6852" t="s">
        <v>43</v>
      </c>
      <c r="I6852" s="187">
        <v>4701.1093601677576</v>
      </c>
      <c r="J6852" s="187">
        <v>464.44694883585072</v>
      </c>
      <c r="K6852" s="187">
        <v>4187.0046044955934</v>
      </c>
      <c r="L6852" s="187">
        <v>2709.6514673545244</v>
      </c>
      <c r="M6852" s="187">
        <v>12062.2119140625</v>
      </c>
      <c r="N6852" s="187">
        <v>7410.7607421875</v>
      </c>
      <c r="O6852" t="s">
        <v>6872</v>
      </c>
    </row>
    <row r="6853" spans="1:15" hidden="1" x14ac:dyDescent="0.45">
      <c r="A6853" s="187">
        <v>2024</v>
      </c>
      <c r="B6853" t="s">
        <v>316</v>
      </c>
      <c r="C6853" t="s">
        <v>323</v>
      </c>
      <c r="D6853" t="s">
        <v>35</v>
      </c>
      <c r="E6853" t="s">
        <v>349</v>
      </c>
      <c r="F6853" t="s">
        <v>390</v>
      </c>
      <c r="G6853" t="s">
        <v>36</v>
      </c>
      <c r="H6853" t="s">
        <v>43</v>
      </c>
      <c r="I6853" s="187">
        <v>4662.4684178448588</v>
      </c>
      <c r="J6853" s="187">
        <v>545.21965012467604</v>
      </c>
      <c r="K6853" s="187">
        <v>5067.8603750304183</v>
      </c>
      <c r="L6853" s="187">
        <v>3268.0135392321486</v>
      </c>
      <c r="M6853" s="187">
        <v>13543.5625</v>
      </c>
      <c r="N6853" s="187">
        <v>7930.48193359375</v>
      </c>
      <c r="O6853" t="s">
        <v>6871</v>
      </c>
    </row>
    <row r="6854" spans="1:15" hidden="1" x14ac:dyDescent="0.45">
      <c r="A6854" s="187">
        <v>2024</v>
      </c>
      <c r="B6854" t="s">
        <v>8570</v>
      </c>
      <c r="C6854" t="s">
        <v>323</v>
      </c>
      <c r="D6854" t="s">
        <v>35</v>
      </c>
      <c r="E6854" t="s">
        <v>349</v>
      </c>
      <c r="F6854" t="s">
        <v>391</v>
      </c>
      <c r="G6854" t="s">
        <v>36</v>
      </c>
      <c r="H6854" t="s">
        <v>43</v>
      </c>
      <c r="I6854" s="187">
        <v>447.55585339520002</v>
      </c>
      <c r="J6854" s="187">
        <v>10</v>
      </c>
      <c r="K6854" s="187">
        <v>2445.2202164391761</v>
      </c>
      <c r="L6854" s="187">
        <v>1197</v>
      </c>
      <c r="M6854" s="187">
        <v>4099.7763671875</v>
      </c>
      <c r="N6854" s="187">
        <v>1644.555908203125</v>
      </c>
      <c r="O6854" t="s">
        <v>9011</v>
      </c>
    </row>
    <row r="6855" spans="1:15" hidden="1" x14ac:dyDescent="0.45">
      <c r="A6855" s="187">
        <v>2024</v>
      </c>
      <c r="B6855" t="s">
        <v>316</v>
      </c>
      <c r="C6855" t="s">
        <v>323</v>
      </c>
      <c r="D6855" t="s">
        <v>35</v>
      </c>
      <c r="E6855" t="s">
        <v>349</v>
      </c>
      <c r="F6855" t="s">
        <v>391</v>
      </c>
      <c r="G6855" t="s">
        <v>36</v>
      </c>
      <c r="H6855" t="s">
        <v>43</v>
      </c>
      <c r="I6855" s="187">
        <v>381.57885622624599</v>
      </c>
      <c r="J6855" s="187">
        <v>11.01453838635709</v>
      </c>
      <c r="K6855" s="187">
        <v>1153.5131422719389</v>
      </c>
      <c r="L6855" s="187">
        <v>665.27811853596825</v>
      </c>
      <c r="M6855" s="187">
        <v>2211.384765625</v>
      </c>
      <c r="N6855" s="187">
        <v>1046.85693359375</v>
      </c>
      <c r="O6855" t="s">
        <v>6873</v>
      </c>
    </row>
    <row r="6856" spans="1:15" hidden="1" x14ac:dyDescent="0.45">
      <c r="A6856" s="187">
        <v>2024</v>
      </c>
      <c r="B6856" t="s">
        <v>317</v>
      </c>
      <c r="C6856" t="s">
        <v>323</v>
      </c>
      <c r="D6856" t="s">
        <v>35</v>
      </c>
      <c r="E6856" t="s">
        <v>349</v>
      </c>
      <c r="F6856" t="s">
        <v>391</v>
      </c>
      <c r="G6856" t="s">
        <v>36</v>
      </c>
      <c r="H6856" t="s">
        <v>43</v>
      </c>
      <c r="I6856" s="187">
        <v>324.15272870599478</v>
      </c>
      <c r="J6856" s="187">
        <v>10.805090956866493</v>
      </c>
      <c r="K6856" s="187">
        <v>76.185113019268258</v>
      </c>
      <c r="L6856" s="187">
        <v>1298.7719330153525</v>
      </c>
      <c r="M6856" s="187">
        <v>1709.9149169921875</v>
      </c>
      <c r="N6856" s="187">
        <v>1622.9246826171875</v>
      </c>
      <c r="O6856" t="s">
        <v>6874</v>
      </c>
    </row>
    <row r="6857" spans="1:15" hidden="1" x14ac:dyDescent="0.45">
      <c r="A6857" s="187">
        <v>2024</v>
      </c>
      <c r="B6857" t="s">
        <v>315</v>
      </c>
      <c r="C6857" t="s">
        <v>323</v>
      </c>
      <c r="D6857" t="s">
        <v>35</v>
      </c>
      <c r="E6857" t="s">
        <v>349</v>
      </c>
      <c r="F6857" t="s">
        <v>391</v>
      </c>
      <c r="G6857" t="s">
        <v>36</v>
      </c>
      <c r="H6857" t="s">
        <v>43</v>
      </c>
      <c r="I6857" s="187">
        <v>385.15112830290059</v>
      </c>
      <c r="J6857" s="187">
        <v>5.6639871809250089</v>
      </c>
      <c r="K6857" s="187">
        <v>984.36972212716773</v>
      </c>
      <c r="L6857" s="187">
        <v>568.66431296487087</v>
      </c>
      <c r="M6857" s="187">
        <v>1943.84912109375</v>
      </c>
      <c r="N6857" s="187">
        <v>953.8154296875</v>
      </c>
      <c r="O6857" t="s">
        <v>6875</v>
      </c>
    </row>
    <row r="6858" spans="1:15" hidden="1" x14ac:dyDescent="0.45">
      <c r="A6858" s="187">
        <v>2024</v>
      </c>
      <c r="B6858" t="s">
        <v>315</v>
      </c>
      <c r="C6858" t="s">
        <v>323</v>
      </c>
      <c r="D6858" t="s">
        <v>35</v>
      </c>
      <c r="E6858" t="s">
        <v>349</v>
      </c>
      <c r="F6858" t="s">
        <v>392</v>
      </c>
      <c r="G6858" t="s">
        <v>36</v>
      </c>
      <c r="H6858" t="s">
        <v>43</v>
      </c>
      <c r="I6858" s="187">
        <v>113.27974361850018</v>
      </c>
      <c r="J6858" s="187">
        <v>0</v>
      </c>
      <c r="K6858" s="187">
        <v>0.35414940854846688</v>
      </c>
      <c r="L6858" s="187">
        <v>0</v>
      </c>
      <c r="M6858" s="187">
        <v>113.63389587402344</v>
      </c>
      <c r="N6858" s="187">
        <v>113.27974700927734</v>
      </c>
      <c r="O6858" t="s">
        <v>6877</v>
      </c>
    </row>
    <row r="6859" spans="1:15" hidden="1" x14ac:dyDescent="0.45">
      <c r="A6859" s="187">
        <v>2024</v>
      </c>
      <c r="B6859" t="s">
        <v>317</v>
      </c>
      <c r="C6859" t="s">
        <v>323</v>
      </c>
      <c r="D6859" t="s">
        <v>35</v>
      </c>
      <c r="E6859" t="s">
        <v>349</v>
      </c>
      <c r="F6859" t="s">
        <v>392</v>
      </c>
      <c r="G6859" t="s">
        <v>36</v>
      </c>
      <c r="H6859" t="s">
        <v>43</v>
      </c>
      <c r="I6859" s="187">
        <v>86.440727654931948</v>
      </c>
      <c r="J6859" s="187"/>
      <c r="K6859" s="187">
        <v>0.81844499132506676</v>
      </c>
      <c r="L6859" s="187">
        <v>267.96625573028905</v>
      </c>
      <c r="M6859" s="187">
        <v>355.22543334960938</v>
      </c>
      <c r="N6859" s="187">
        <v>354.406982421875</v>
      </c>
      <c r="O6859" t="s">
        <v>6876</v>
      </c>
    </row>
    <row r="6860" spans="1:15" hidden="1" x14ac:dyDescent="0.45">
      <c r="A6860" s="187">
        <v>2024</v>
      </c>
      <c r="B6860" t="s">
        <v>316</v>
      </c>
      <c r="C6860" t="s">
        <v>323</v>
      </c>
      <c r="D6860" t="s">
        <v>35</v>
      </c>
      <c r="E6860" t="s">
        <v>349</v>
      </c>
      <c r="F6860" t="s">
        <v>392</v>
      </c>
      <c r="G6860" t="s">
        <v>36</v>
      </c>
      <c r="H6860" t="s">
        <v>43</v>
      </c>
      <c r="I6860" s="187">
        <v>112.35930607922869</v>
      </c>
      <c r="J6860" s="187"/>
      <c r="K6860" s="187">
        <v>0.45321894486406383</v>
      </c>
      <c r="L6860" s="187">
        <v>0</v>
      </c>
      <c r="M6860" s="187">
        <v>112.81252288818359</v>
      </c>
      <c r="N6860" s="187">
        <v>112.35930633544922</v>
      </c>
      <c r="O6860" t="s">
        <v>6878</v>
      </c>
    </row>
    <row r="6861" spans="1:15" hidden="1" x14ac:dyDescent="0.45">
      <c r="A6861" s="187">
        <v>2024</v>
      </c>
      <c r="B6861" t="s">
        <v>8570</v>
      </c>
      <c r="C6861" t="s">
        <v>323</v>
      </c>
      <c r="D6861" t="s">
        <v>35</v>
      </c>
      <c r="E6861" t="s">
        <v>349</v>
      </c>
      <c r="F6861" t="s">
        <v>392</v>
      </c>
      <c r="G6861" t="s">
        <v>36</v>
      </c>
      <c r="H6861" t="s">
        <v>43</v>
      </c>
      <c r="I6861" s="187">
        <v>121.73824382719999</v>
      </c>
      <c r="J6861" s="187"/>
      <c r="K6861" s="187">
        <v>297.24479003787451</v>
      </c>
      <c r="L6861" s="187">
        <v>248</v>
      </c>
      <c r="M6861" s="187">
        <v>666.9830322265625</v>
      </c>
      <c r="N6861" s="187">
        <v>369.73825073242188</v>
      </c>
      <c r="O6861" t="s">
        <v>9012</v>
      </c>
    </row>
    <row r="6862" spans="1:15" hidden="1" x14ac:dyDescent="0.45">
      <c r="A6862" s="187">
        <v>2024</v>
      </c>
      <c r="B6862" t="s">
        <v>8570</v>
      </c>
      <c r="C6862" t="s">
        <v>323</v>
      </c>
      <c r="D6862" t="s">
        <v>35</v>
      </c>
      <c r="E6862" t="s">
        <v>349</v>
      </c>
      <c r="F6862" t="s">
        <v>393</v>
      </c>
      <c r="G6862" t="s">
        <v>36</v>
      </c>
      <c r="H6862" t="s">
        <v>43</v>
      </c>
      <c r="I6862" s="187">
        <v>21.472000000000001</v>
      </c>
      <c r="J6862" s="187"/>
      <c r="K6862" s="187">
        <v>32.253552624879603</v>
      </c>
      <c r="L6862" s="187">
        <v>0</v>
      </c>
      <c r="M6862" s="187">
        <v>53.725551605224609</v>
      </c>
      <c r="N6862" s="187">
        <v>21.472000122070313</v>
      </c>
      <c r="O6862" t="s">
        <v>9013</v>
      </c>
    </row>
    <row r="6863" spans="1:15" hidden="1" x14ac:dyDescent="0.45">
      <c r="A6863" s="187">
        <v>2024</v>
      </c>
      <c r="B6863" t="s">
        <v>315</v>
      </c>
      <c r="C6863" t="s">
        <v>323</v>
      </c>
      <c r="D6863" t="s">
        <v>35</v>
      </c>
      <c r="E6863" t="s">
        <v>349</v>
      </c>
      <c r="F6863" t="s">
        <v>393</v>
      </c>
      <c r="G6863" t="s">
        <v>36</v>
      </c>
      <c r="H6863" t="s">
        <v>43</v>
      </c>
      <c r="I6863" s="187">
        <v>22.655948723700035</v>
      </c>
      <c r="J6863" s="187">
        <v>0</v>
      </c>
      <c r="K6863" s="187">
        <v>24.530284954274766</v>
      </c>
      <c r="L6863" s="187">
        <v>0</v>
      </c>
      <c r="M6863" s="187">
        <v>47.186233520507813</v>
      </c>
      <c r="N6863" s="187">
        <v>22.655948638916016</v>
      </c>
      <c r="O6863" t="s">
        <v>6881</v>
      </c>
    </row>
    <row r="6864" spans="1:15" hidden="1" x14ac:dyDescent="0.45">
      <c r="A6864" s="187">
        <v>2024</v>
      </c>
      <c r="B6864" t="s">
        <v>316</v>
      </c>
      <c r="C6864" t="s">
        <v>323</v>
      </c>
      <c r="D6864" t="s">
        <v>35</v>
      </c>
      <c r="E6864" t="s">
        <v>349</v>
      </c>
      <c r="F6864" t="s">
        <v>393</v>
      </c>
      <c r="G6864" t="s">
        <v>36</v>
      </c>
      <c r="H6864" t="s">
        <v>43</v>
      </c>
      <c r="I6864" s="187">
        <v>22.029076772714181</v>
      </c>
      <c r="J6864" s="187"/>
      <c r="K6864" s="187">
        <v>28.573217825029563</v>
      </c>
      <c r="L6864" s="187">
        <v>0</v>
      </c>
      <c r="M6864" s="187">
        <v>50.602294921875</v>
      </c>
      <c r="N6864" s="187">
        <v>22.029077529907227</v>
      </c>
      <c r="O6864" t="s">
        <v>6880</v>
      </c>
    </row>
    <row r="6865" spans="1:15" hidden="1" x14ac:dyDescent="0.45">
      <c r="A6865" s="187">
        <v>2024</v>
      </c>
      <c r="B6865" t="s">
        <v>317</v>
      </c>
      <c r="C6865" t="s">
        <v>323</v>
      </c>
      <c r="D6865" t="s">
        <v>35</v>
      </c>
      <c r="E6865" t="s">
        <v>349</v>
      </c>
      <c r="F6865" t="s">
        <v>393</v>
      </c>
      <c r="G6865" t="s">
        <v>36</v>
      </c>
      <c r="H6865" t="s">
        <v>43</v>
      </c>
      <c r="I6865" s="187">
        <v>21.610181913732987</v>
      </c>
      <c r="J6865" s="187"/>
      <c r="K6865" s="187">
        <v>51.086442161605355</v>
      </c>
      <c r="L6865" s="187">
        <v>0</v>
      </c>
      <c r="M6865" s="187">
        <v>72.696624755859375</v>
      </c>
      <c r="N6865" s="187">
        <v>21.61018180847168</v>
      </c>
      <c r="O6865" t="s">
        <v>6879</v>
      </c>
    </row>
    <row r="6866" spans="1:15" hidden="1" x14ac:dyDescent="0.45">
      <c r="A6866" s="187">
        <v>2024</v>
      </c>
      <c r="B6866" t="s">
        <v>317</v>
      </c>
      <c r="C6866" t="s">
        <v>323</v>
      </c>
      <c r="D6866" t="s">
        <v>35</v>
      </c>
      <c r="E6866" t="s">
        <v>349</v>
      </c>
      <c r="F6866" t="s">
        <v>394</v>
      </c>
      <c r="G6866" t="s">
        <v>36</v>
      </c>
      <c r="H6866" t="s">
        <v>43</v>
      </c>
      <c r="I6866" s="187">
        <v>0</v>
      </c>
      <c r="J6866" s="187"/>
      <c r="K6866" s="187">
        <v>24.079610705713012</v>
      </c>
      <c r="L6866" s="187">
        <v>0</v>
      </c>
      <c r="M6866" s="187">
        <v>24.079610824584961</v>
      </c>
      <c r="N6866" s="187">
        <v>0</v>
      </c>
      <c r="O6866" t="s">
        <v>6883</v>
      </c>
    </row>
    <row r="6867" spans="1:15" hidden="1" x14ac:dyDescent="0.45">
      <c r="A6867" s="187">
        <v>2024</v>
      </c>
      <c r="B6867" t="s">
        <v>316</v>
      </c>
      <c r="C6867" t="s">
        <v>323</v>
      </c>
      <c r="D6867" t="s">
        <v>35</v>
      </c>
      <c r="E6867" t="s">
        <v>349</v>
      </c>
      <c r="F6867" t="s">
        <v>394</v>
      </c>
      <c r="G6867" t="s">
        <v>36</v>
      </c>
      <c r="H6867" t="s">
        <v>43</v>
      </c>
      <c r="I6867" s="187">
        <v>0</v>
      </c>
      <c r="J6867" s="187"/>
      <c r="K6867" s="187">
        <v>13.212140443560022</v>
      </c>
      <c r="L6867" s="187">
        <v>0</v>
      </c>
      <c r="M6867" s="187">
        <v>13.212140083312988</v>
      </c>
      <c r="N6867" s="187">
        <v>0</v>
      </c>
      <c r="O6867" t="s">
        <v>6884</v>
      </c>
    </row>
    <row r="6868" spans="1:15" hidden="1" x14ac:dyDescent="0.45">
      <c r="A6868" s="187">
        <v>2024</v>
      </c>
      <c r="B6868" t="s">
        <v>315</v>
      </c>
      <c r="C6868" t="s">
        <v>323</v>
      </c>
      <c r="D6868" t="s">
        <v>35</v>
      </c>
      <c r="E6868" t="s">
        <v>349</v>
      </c>
      <c r="F6868" t="s">
        <v>394</v>
      </c>
      <c r="G6868" t="s">
        <v>36</v>
      </c>
      <c r="H6868" t="s">
        <v>43</v>
      </c>
      <c r="I6868" s="187">
        <v>0</v>
      </c>
      <c r="J6868" s="187">
        <v>0</v>
      </c>
      <c r="K6868" s="187">
        <v>11.17615479950002</v>
      </c>
      <c r="L6868" s="187">
        <v>0</v>
      </c>
      <c r="M6868" s="187">
        <v>11.176155090332031</v>
      </c>
      <c r="N6868" s="187">
        <v>0</v>
      </c>
      <c r="O6868" t="s">
        <v>6882</v>
      </c>
    </row>
    <row r="6869" spans="1:15" hidden="1" x14ac:dyDescent="0.45">
      <c r="A6869" s="187">
        <v>2024</v>
      </c>
      <c r="B6869" t="s">
        <v>8570</v>
      </c>
      <c r="C6869" t="s">
        <v>323</v>
      </c>
      <c r="D6869" t="s">
        <v>35</v>
      </c>
      <c r="E6869" t="s">
        <v>349</v>
      </c>
      <c r="F6869" t="s">
        <v>394</v>
      </c>
      <c r="G6869" t="s">
        <v>36</v>
      </c>
      <c r="H6869" t="s">
        <v>43</v>
      </c>
      <c r="I6869" s="187">
        <v>0</v>
      </c>
      <c r="J6869" s="187"/>
      <c r="K6869" s="187">
        <v>15.635718517606049</v>
      </c>
      <c r="L6869" s="187">
        <v>0</v>
      </c>
      <c r="M6869" s="187">
        <v>15.63571834564209</v>
      </c>
      <c r="N6869" s="187">
        <v>0</v>
      </c>
      <c r="O6869" t="s">
        <v>9014</v>
      </c>
    </row>
    <row r="6870" spans="1:15" hidden="1" x14ac:dyDescent="0.45">
      <c r="A6870" s="187">
        <v>2024</v>
      </c>
      <c r="B6870" t="s">
        <v>316</v>
      </c>
      <c r="C6870" t="s">
        <v>323</v>
      </c>
      <c r="D6870" t="s">
        <v>35</v>
      </c>
      <c r="E6870" t="s">
        <v>349</v>
      </c>
      <c r="F6870" t="s">
        <v>395</v>
      </c>
      <c r="G6870" t="s">
        <v>36</v>
      </c>
      <c r="H6870" t="s">
        <v>43</v>
      </c>
      <c r="I6870" s="187">
        <v>0</v>
      </c>
      <c r="J6870" s="187"/>
      <c r="K6870" s="187">
        <v>0.1088878250171057</v>
      </c>
      <c r="L6870" s="187">
        <v>58.377053447692582</v>
      </c>
      <c r="M6870" s="187">
        <v>58.485942840576172</v>
      </c>
      <c r="N6870" s="187">
        <v>58.377052307128906</v>
      </c>
      <c r="O6870" t="s">
        <v>6887</v>
      </c>
    </row>
    <row r="6871" spans="1:15" hidden="1" x14ac:dyDescent="0.45">
      <c r="A6871" s="187">
        <v>2024</v>
      </c>
      <c r="B6871" t="s">
        <v>8570</v>
      </c>
      <c r="C6871" t="s">
        <v>323</v>
      </c>
      <c r="D6871" t="s">
        <v>35</v>
      </c>
      <c r="E6871" t="s">
        <v>349</v>
      </c>
      <c r="F6871" t="s">
        <v>395</v>
      </c>
      <c r="G6871" t="s">
        <v>36</v>
      </c>
      <c r="H6871" t="s">
        <v>43</v>
      </c>
      <c r="I6871" s="187">
        <v>0</v>
      </c>
      <c r="J6871" s="187"/>
      <c r="K6871" s="187">
        <v>358.1563932345598</v>
      </c>
      <c r="L6871" s="187">
        <v>636</v>
      </c>
      <c r="M6871" s="187">
        <v>994.1563720703125</v>
      </c>
      <c r="N6871" s="187">
        <v>636</v>
      </c>
      <c r="O6871" t="s">
        <v>9015</v>
      </c>
    </row>
    <row r="6872" spans="1:15" hidden="1" x14ac:dyDescent="0.45">
      <c r="A6872" s="187">
        <v>2024</v>
      </c>
      <c r="B6872" t="s">
        <v>315</v>
      </c>
      <c r="C6872" t="s">
        <v>323</v>
      </c>
      <c r="D6872" t="s">
        <v>35</v>
      </c>
      <c r="E6872" t="s">
        <v>349</v>
      </c>
      <c r="F6872" t="s">
        <v>395</v>
      </c>
      <c r="G6872" t="s">
        <v>36</v>
      </c>
      <c r="H6872" t="s">
        <v>43</v>
      </c>
      <c r="I6872" s="187">
        <v>0</v>
      </c>
      <c r="J6872" s="187">
        <v>0</v>
      </c>
      <c r="K6872" s="187">
        <v>6.5478484012953683E-2</v>
      </c>
      <c r="L6872" s="187">
        <v>60.038264117805099</v>
      </c>
      <c r="M6872" s="187">
        <v>60.103740692138672</v>
      </c>
      <c r="N6872" s="187">
        <v>60.038265228271484</v>
      </c>
      <c r="O6872" t="s">
        <v>6886</v>
      </c>
    </row>
    <row r="6873" spans="1:15" hidden="1" x14ac:dyDescent="0.45">
      <c r="A6873" s="187">
        <v>2024</v>
      </c>
      <c r="B6873" t="s">
        <v>317</v>
      </c>
      <c r="C6873" t="s">
        <v>323</v>
      </c>
      <c r="D6873" t="s">
        <v>35</v>
      </c>
      <c r="E6873" t="s">
        <v>349</v>
      </c>
      <c r="F6873" t="s">
        <v>395</v>
      </c>
      <c r="G6873" t="s">
        <v>36</v>
      </c>
      <c r="H6873" t="s">
        <v>43</v>
      </c>
      <c r="I6873" s="187">
        <v>0</v>
      </c>
      <c r="J6873" s="187"/>
      <c r="K6873" s="187">
        <v>0.20061516062482532</v>
      </c>
      <c r="L6873" s="187">
        <v>359.80952886365424</v>
      </c>
      <c r="M6873" s="187">
        <v>360.0101318359375</v>
      </c>
      <c r="N6873" s="187">
        <v>359.80953979492188</v>
      </c>
      <c r="O6873" t="s">
        <v>6885</v>
      </c>
    </row>
    <row r="6874" spans="1:15" hidden="1" x14ac:dyDescent="0.45">
      <c r="A6874" s="187">
        <v>2024</v>
      </c>
      <c r="B6874" t="s">
        <v>316</v>
      </c>
      <c r="C6874" t="s">
        <v>323</v>
      </c>
      <c r="D6874" t="s">
        <v>35</v>
      </c>
      <c r="E6874" t="s">
        <v>349</v>
      </c>
      <c r="F6874" t="s">
        <v>396</v>
      </c>
      <c r="G6874" t="s">
        <v>36</v>
      </c>
      <c r="H6874" t="s">
        <v>43</v>
      </c>
      <c r="I6874" s="187">
        <v>247.19047337430308</v>
      </c>
      <c r="J6874" s="187">
        <v>11.01453838635709</v>
      </c>
      <c r="K6874" s="187">
        <v>1111.1656772334679</v>
      </c>
      <c r="L6874" s="187">
        <v>606.90106508827569</v>
      </c>
      <c r="M6874" s="187">
        <v>1976.2718505859375</v>
      </c>
      <c r="N6874" s="187">
        <v>854.091552734375</v>
      </c>
      <c r="O6874" t="s">
        <v>6890</v>
      </c>
    </row>
    <row r="6875" spans="1:15" hidden="1" x14ac:dyDescent="0.45">
      <c r="A6875" s="187">
        <v>2024</v>
      </c>
      <c r="B6875" t="s">
        <v>315</v>
      </c>
      <c r="C6875" t="s">
        <v>323</v>
      </c>
      <c r="D6875" t="s">
        <v>35</v>
      </c>
      <c r="E6875" t="s">
        <v>349</v>
      </c>
      <c r="F6875" t="s">
        <v>396</v>
      </c>
      <c r="G6875" t="s">
        <v>36</v>
      </c>
      <c r="H6875" t="s">
        <v>43</v>
      </c>
      <c r="I6875" s="187">
        <v>249.2154359607004</v>
      </c>
      <c r="J6875" s="187">
        <v>5.6639871809250089</v>
      </c>
      <c r="K6875" s="187">
        <v>948.24365448083154</v>
      </c>
      <c r="L6875" s="187">
        <v>508.62604884706582</v>
      </c>
      <c r="M6875" s="187">
        <v>1711.7491455078125</v>
      </c>
      <c r="N6875" s="187">
        <v>757.84149169921875</v>
      </c>
      <c r="O6875" t="s">
        <v>6889</v>
      </c>
    </row>
    <row r="6876" spans="1:15" hidden="1" x14ac:dyDescent="0.45">
      <c r="A6876" s="187">
        <v>2024</v>
      </c>
      <c r="B6876" t="s">
        <v>317</v>
      </c>
      <c r="C6876" t="s">
        <v>323</v>
      </c>
      <c r="D6876" t="s">
        <v>35</v>
      </c>
      <c r="E6876" t="s">
        <v>349</v>
      </c>
      <c r="F6876" t="s">
        <v>396</v>
      </c>
      <c r="G6876" t="s">
        <v>36</v>
      </c>
      <c r="H6876" t="s">
        <v>43</v>
      </c>
      <c r="I6876" s="187">
        <v>216.10181913732987</v>
      </c>
      <c r="J6876" s="187">
        <v>10.805090956866493</v>
      </c>
      <c r="K6876" s="187">
        <v>0</v>
      </c>
      <c r="L6876" s="187">
        <v>670.9961484214092</v>
      </c>
      <c r="M6876" s="187">
        <v>897.903076171875</v>
      </c>
      <c r="N6876" s="187">
        <v>887.09796142578125</v>
      </c>
      <c r="O6876" t="s">
        <v>6888</v>
      </c>
    </row>
    <row r="6877" spans="1:15" hidden="1" x14ac:dyDescent="0.45">
      <c r="A6877" s="187">
        <v>2024</v>
      </c>
      <c r="B6877" t="s">
        <v>8570</v>
      </c>
      <c r="C6877" t="s">
        <v>323</v>
      </c>
      <c r="D6877" t="s">
        <v>35</v>
      </c>
      <c r="E6877" t="s">
        <v>349</v>
      </c>
      <c r="F6877" t="s">
        <v>396</v>
      </c>
      <c r="G6877" t="s">
        <v>36</v>
      </c>
      <c r="H6877" t="s">
        <v>43</v>
      </c>
      <c r="I6877" s="187">
        <v>304.34560956799999</v>
      </c>
      <c r="J6877" s="187">
        <v>10</v>
      </c>
      <c r="K6877" s="187">
        <v>1741.929762024256</v>
      </c>
      <c r="L6877" s="187">
        <v>313</v>
      </c>
      <c r="M6877" s="187">
        <v>2369.275390625</v>
      </c>
      <c r="N6877" s="187">
        <v>617.3455810546875</v>
      </c>
      <c r="O6877" t="s">
        <v>9016</v>
      </c>
    </row>
    <row r="6878" spans="1:15" hidden="1" x14ac:dyDescent="0.45">
      <c r="A6878" s="187">
        <v>2024</v>
      </c>
      <c r="B6878" t="s">
        <v>8570</v>
      </c>
      <c r="C6878" t="s">
        <v>323</v>
      </c>
      <c r="D6878" t="s">
        <v>35</v>
      </c>
      <c r="E6878" t="s">
        <v>349</v>
      </c>
      <c r="F6878" t="s">
        <v>397</v>
      </c>
      <c r="G6878" t="s">
        <v>36</v>
      </c>
      <c r="H6878" t="s">
        <v>43</v>
      </c>
      <c r="I6878" s="187">
        <v>0</v>
      </c>
      <c r="J6878" s="187"/>
      <c r="K6878" s="187">
        <v>3.6829777741265397E-2</v>
      </c>
      <c r="L6878" s="187">
        <v>0</v>
      </c>
      <c r="M6878" s="187">
        <v>3.682977706193924E-2</v>
      </c>
      <c r="N6878" s="187">
        <v>0</v>
      </c>
      <c r="O6878" t="s">
        <v>9017</v>
      </c>
    </row>
    <row r="6879" spans="1:15" hidden="1" x14ac:dyDescent="0.45">
      <c r="A6879" s="187">
        <v>2024</v>
      </c>
      <c r="B6879" t="s">
        <v>316</v>
      </c>
      <c r="C6879" t="s">
        <v>323</v>
      </c>
      <c r="D6879" t="s">
        <v>35</v>
      </c>
      <c r="E6879" t="s">
        <v>349</v>
      </c>
      <c r="F6879" t="s">
        <v>397</v>
      </c>
      <c r="G6879" t="s">
        <v>36</v>
      </c>
      <c r="H6879" t="s">
        <v>43</v>
      </c>
      <c r="I6879" s="187">
        <v>0</v>
      </c>
      <c r="J6879" s="187"/>
      <c r="K6879" s="187">
        <v>4.9085290844611829E-2</v>
      </c>
      <c r="L6879" s="187">
        <v>0</v>
      </c>
      <c r="M6879" s="187">
        <v>4.9085289239883423E-2</v>
      </c>
      <c r="N6879" s="187">
        <v>0</v>
      </c>
      <c r="O6879" t="s">
        <v>6891</v>
      </c>
    </row>
    <row r="6880" spans="1:15" hidden="1" x14ac:dyDescent="0.45">
      <c r="A6880" s="187">
        <v>2024</v>
      </c>
      <c r="B6880" t="s">
        <v>315</v>
      </c>
      <c r="C6880" t="s">
        <v>323</v>
      </c>
      <c r="D6880" t="s">
        <v>35</v>
      </c>
      <c r="E6880" t="s">
        <v>349</v>
      </c>
      <c r="F6880" t="s">
        <v>397</v>
      </c>
      <c r="G6880" t="s">
        <v>36</v>
      </c>
      <c r="H6880" t="s">
        <v>43</v>
      </c>
      <c r="I6880" s="187">
        <v>0</v>
      </c>
      <c r="J6880" s="187">
        <v>0</v>
      </c>
      <c r="K6880" s="187">
        <v>6.0890695569684211E-2</v>
      </c>
      <c r="L6880" s="187">
        <v>0</v>
      </c>
      <c r="M6880" s="187">
        <v>6.0890696942806244E-2</v>
      </c>
      <c r="N6880" s="187">
        <v>0</v>
      </c>
      <c r="O6880" t="s">
        <v>6893</v>
      </c>
    </row>
    <row r="6881" spans="1:15" hidden="1" x14ac:dyDescent="0.45">
      <c r="A6881" s="187">
        <v>2024</v>
      </c>
      <c r="B6881" t="s">
        <v>317</v>
      </c>
      <c r="C6881" t="s">
        <v>323</v>
      </c>
      <c r="D6881" t="s">
        <v>35</v>
      </c>
      <c r="E6881" t="s">
        <v>349</v>
      </c>
      <c r="F6881" t="s">
        <v>397</v>
      </c>
      <c r="G6881" t="s">
        <v>36</v>
      </c>
      <c r="H6881" t="s">
        <v>43</v>
      </c>
      <c r="I6881" s="187">
        <v>0</v>
      </c>
      <c r="J6881" s="187"/>
      <c r="K6881" s="187">
        <v>5.9826610661226305E-2</v>
      </c>
      <c r="L6881" s="187">
        <v>0</v>
      </c>
      <c r="M6881" s="187">
        <v>5.982661247253418E-2</v>
      </c>
      <c r="N6881" s="187">
        <v>0</v>
      </c>
      <c r="O6881" t="s">
        <v>6892</v>
      </c>
    </row>
    <row r="6882" spans="1:15" hidden="1" x14ac:dyDescent="0.45">
      <c r="A6882" s="187">
        <v>2024</v>
      </c>
      <c r="B6882" t="s">
        <v>315</v>
      </c>
      <c r="C6882" t="s">
        <v>323</v>
      </c>
      <c r="D6882" t="s">
        <v>35</v>
      </c>
      <c r="E6882" t="s">
        <v>349</v>
      </c>
      <c r="F6882" t="s">
        <v>398</v>
      </c>
      <c r="G6882" t="s">
        <v>36</v>
      </c>
      <c r="H6882" t="s">
        <v>43</v>
      </c>
      <c r="I6882" s="187">
        <v>0</v>
      </c>
      <c r="J6882" s="187">
        <v>458.78296165492571</v>
      </c>
      <c r="K6882" s="187">
        <v>6.2113371760208187</v>
      </c>
      <c r="L6882" s="187">
        <v>0</v>
      </c>
      <c r="M6882" s="187">
        <v>464.99429321289063</v>
      </c>
      <c r="N6882" s="187">
        <v>0</v>
      </c>
      <c r="O6882" t="s">
        <v>6895</v>
      </c>
    </row>
    <row r="6883" spans="1:15" hidden="1" x14ac:dyDescent="0.45">
      <c r="A6883" s="187">
        <v>2024</v>
      </c>
      <c r="B6883" t="s">
        <v>316</v>
      </c>
      <c r="C6883" t="s">
        <v>323</v>
      </c>
      <c r="D6883" t="s">
        <v>35</v>
      </c>
      <c r="E6883" t="s">
        <v>349</v>
      </c>
      <c r="F6883" t="s">
        <v>398</v>
      </c>
      <c r="G6883" t="s">
        <v>36</v>
      </c>
      <c r="H6883" t="s">
        <v>43</v>
      </c>
      <c r="I6883" s="187">
        <v>0</v>
      </c>
      <c r="J6883" s="187">
        <v>523.1905733519618</v>
      </c>
      <c r="K6883" s="187">
        <v>4.5863873553847645</v>
      </c>
      <c r="L6883" s="187">
        <v>0</v>
      </c>
      <c r="M6883" s="187">
        <v>527.77691650390625</v>
      </c>
      <c r="N6883" s="187">
        <v>0</v>
      </c>
      <c r="O6883" t="s">
        <v>6894</v>
      </c>
    </row>
    <row r="6884" spans="1:15" hidden="1" x14ac:dyDescent="0.45">
      <c r="A6884" s="187">
        <v>2024</v>
      </c>
      <c r="B6884" t="s">
        <v>8570</v>
      </c>
      <c r="C6884" t="s">
        <v>323</v>
      </c>
      <c r="D6884" t="s">
        <v>35</v>
      </c>
      <c r="E6884" t="s">
        <v>349</v>
      </c>
      <c r="F6884" t="s">
        <v>398</v>
      </c>
      <c r="G6884" t="s">
        <v>36</v>
      </c>
      <c r="H6884" t="s">
        <v>43</v>
      </c>
      <c r="I6884" s="187">
        <v>0</v>
      </c>
      <c r="J6884" s="187">
        <v>475</v>
      </c>
      <c r="K6884" s="187">
        <v>2.6368934048397361</v>
      </c>
      <c r="L6884" s="187">
        <v>0</v>
      </c>
      <c r="M6884" s="187">
        <v>477.63690185546875</v>
      </c>
      <c r="N6884" s="187">
        <v>0</v>
      </c>
      <c r="O6884" t="s">
        <v>9018</v>
      </c>
    </row>
    <row r="6885" spans="1:15" hidden="1" x14ac:dyDescent="0.45">
      <c r="A6885" s="187">
        <v>2024</v>
      </c>
      <c r="B6885" t="s">
        <v>317</v>
      </c>
      <c r="C6885" t="s">
        <v>323</v>
      </c>
      <c r="D6885" t="s">
        <v>35</v>
      </c>
      <c r="E6885" t="s">
        <v>349</v>
      </c>
      <c r="F6885" t="s">
        <v>398</v>
      </c>
      <c r="G6885" t="s">
        <v>36</v>
      </c>
      <c r="H6885" t="s">
        <v>43</v>
      </c>
      <c r="I6885" s="187">
        <v>0</v>
      </c>
      <c r="J6885" s="187">
        <v>513.24182045115845</v>
      </c>
      <c r="K6885" s="187">
        <v>5.5689718222919602</v>
      </c>
      <c r="L6885" s="187">
        <v>0</v>
      </c>
      <c r="M6885" s="187">
        <v>518.810791015625</v>
      </c>
      <c r="N6885" s="187">
        <v>0</v>
      </c>
      <c r="O6885" t="s">
        <v>6896</v>
      </c>
    </row>
    <row r="6886" spans="1:15" hidden="1" x14ac:dyDescent="0.45">
      <c r="A6886" s="187">
        <v>2024</v>
      </c>
      <c r="B6886" t="s">
        <v>316</v>
      </c>
      <c r="C6886" t="s">
        <v>323</v>
      </c>
      <c r="D6886" t="s">
        <v>35</v>
      </c>
      <c r="E6886" t="s">
        <v>349</v>
      </c>
      <c r="F6886" t="s">
        <v>399</v>
      </c>
      <c r="G6886" t="s">
        <v>36</v>
      </c>
      <c r="H6886" t="s">
        <v>43</v>
      </c>
      <c r="I6886" s="187">
        <v>0</v>
      </c>
      <c r="J6886" s="187">
        <v>468.11788142017633</v>
      </c>
      <c r="K6886" s="187">
        <v>3.0945853504175309</v>
      </c>
      <c r="L6886" s="187">
        <v>0</v>
      </c>
      <c r="M6886" s="187">
        <v>471.21246337890625</v>
      </c>
      <c r="N6886" s="187">
        <v>0</v>
      </c>
      <c r="O6886" t="s">
        <v>6899</v>
      </c>
    </row>
    <row r="6887" spans="1:15" hidden="1" x14ac:dyDescent="0.45">
      <c r="A6887" s="187">
        <v>2024</v>
      </c>
      <c r="B6887" t="s">
        <v>315</v>
      </c>
      <c r="C6887" t="s">
        <v>323</v>
      </c>
      <c r="D6887" t="s">
        <v>35</v>
      </c>
      <c r="E6887" t="s">
        <v>349</v>
      </c>
      <c r="F6887" t="s">
        <v>399</v>
      </c>
      <c r="G6887" t="s">
        <v>36</v>
      </c>
      <c r="H6887" t="s">
        <v>43</v>
      </c>
      <c r="I6887" s="187">
        <v>0</v>
      </c>
      <c r="J6887" s="187">
        <v>322.84726931272553</v>
      </c>
      <c r="K6887" s="187">
        <v>4.2176157218795298</v>
      </c>
      <c r="L6887" s="187">
        <v>0</v>
      </c>
      <c r="M6887" s="187">
        <v>327.06488037109375</v>
      </c>
      <c r="N6887" s="187">
        <v>0</v>
      </c>
      <c r="O6887" t="s">
        <v>6897</v>
      </c>
    </row>
    <row r="6888" spans="1:15" hidden="1" x14ac:dyDescent="0.45">
      <c r="A6888" s="187">
        <v>2024</v>
      </c>
      <c r="B6888" t="s">
        <v>8570</v>
      </c>
      <c r="C6888" t="s">
        <v>323</v>
      </c>
      <c r="D6888" t="s">
        <v>35</v>
      </c>
      <c r="E6888" t="s">
        <v>349</v>
      </c>
      <c r="F6888" t="s">
        <v>399</v>
      </c>
      <c r="G6888" t="s">
        <v>36</v>
      </c>
      <c r="H6888" t="s">
        <v>43</v>
      </c>
      <c r="I6888" s="187">
        <v>0</v>
      </c>
      <c r="J6888" s="187">
        <v>425</v>
      </c>
      <c r="K6888" s="187">
        <v>1.746582272105393</v>
      </c>
      <c r="L6888" s="187">
        <v>0</v>
      </c>
      <c r="M6888" s="187">
        <v>426.74658203125</v>
      </c>
      <c r="N6888" s="187">
        <v>0</v>
      </c>
      <c r="O6888" t="s">
        <v>9019</v>
      </c>
    </row>
    <row r="6889" spans="1:15" hidden="1" x14ac:dyDescent="0.45">
      <c r="A6889" s="187">
        <v>2024</v>
      </c>
      <c r="B6889" t="s">
        <v>317</v>
      </c>
      <c r="C6889" t="s">
        <v>323</v>
      </c>
      <c r="D6889" t="s">
        <v>35</v>
      </c>
      <c r="E6889" t="s">
        <v>349</v>
      </c>
      <c r="F6889" t="s">
        <v>399</v>
      </c>
      <c r="G6889" t="s">
        <v>36</v>
      </c>
      <c r="H6889" t="s">
        <v>43</v>
      </c>
      <c r="I6889" s="187">
        <v>0</v>
      </c>
      <c r="J6889" s="187">
        <v>459.21636566682594</v>
      </c>
      <c r="K6889" s="187">
        <v>3.7343116735572019</v>
      </c>
      <c r="L6889" s="187">
        <v>0</v>
      </c>
      <c r="M6889" s="187">
        <v>462.95068359375</v>
      </c>
      <c r="N6889" s="187">
        <v>0</v>
      </c>
      <c r="O6889" t="s">
        <v>6898</v>
      </c>
    </row>
    <row r="6890" spans="1:15" hidden="1" x14ac:dyDescent="0.45">
      <c r="A6890" s="187">
        <v>2024</v>
      </c>
      <c r="B6890" t="s">
        <v>315</v>
      </c>
      <c r="C6890" t="s">
        <v>323</v>
      </c>
      <c r="D6890" t="s">
        <v>35</v>
      </c>
      <c r="E6890" t="s">
        <v>349</v>
      </c>
      <c r="F6890" t="s">
        <v>400</v>
      </c>
      <c r="G6890" t="s">
        <v>36</v>
      </c>
      <c r="H6890" t="s">
        <v>43</v>
      </c>
      <c r="I6890" s="187">
        <v>0</v>
      </c>
      <c r="J6890" s="187">
        <v>135.93569234220021</v>
      </c>
      <c r="K6890" s="187">
        <v>1.9215727122777013</v>
      </c>
      <c r="L6890" s="187">
        <v>0</v>
      </c>
      <c r="M6890" s="187">
        <v>137.85726928710938</v>
      </c>
      <c r="N6890" s="187">
        <v>0</v>
      </c>
      <c r="O6890" t="s">
        <v>6902</v>
      </c>
    </row>
    <row r="6891" spans="1:15" hidden="1" x14ac:dyDescent="0.45">
      <c r="A6891" s="187">
        <v>2024</v>
      </c>
      <c r="B6891" t="s">
        <v>317</v>
      </c>
      <c r="C6891" t="s">
        <v>323</v>
      </c>
      <c r="D6891" t="s">
        <v>35</v>
      </c>
      <c r="E6891" t="s">
        <v>349</v>
      </c>
      <c r="F6891" t="s">
        <v>400</v>
      </c>
      <c r="G6891" t="s">
        <v>36</v>
      </c>
      <c r="H6891" t="s">
        <v>43</v>
      </c>
      <c r="I6891" s="187">
        <v>0</v>
      </c>
      <c r="J6891" s="187">
        <v>54.025454784332467</v>
      </c>
      <c r="K6891" s="187">
        <v>1.7601689909938198</v>
      </c>
      <c r="L6891" s="187">
        <v>0</v>
      </c>
      <c r="M6891" s="187">
        <v>55.785625457763672</v>
      </c>
      <c r="N6891" s="187">
        <v>0</v>
      </c>
      <c r="O6891" t="s">
        <v>6900</v>
      </c>
    </row>
    <row r="6892" spans="1:15" hidden="1" x14ac:dyDescent="0.45">
      <c r="A6892" s="187">
        <v>2024</v>
      </c>
      <c r="B6892" t="s">
        <v>316</v>
      </c>
      <c r="C6892" t="s">
        <v>323</v>
      </c>
      <c r="D6892" t="s">
        <v>35</v>
      </c>
      <c r="E6892" t="s">
        <v>349</v>
      </c>
      <c r="F6892" t="s">
        <v>400</v>
      </c>
      <c r="G6892" t="s">
        <v>36</v>
      </c>
      <c r="H6892" t="s">
        <v>43</v>
      </c>
      <c r="I6892" s="187">
        <v>0</v>
      </c>
      <c r="J6892" s="187">
        <v>55.07269193178545</v>
      </c>
      <c r="K6892" s="187">
        <v>1.4309237592583788</v>
      </c>
      <c r="L6892" s="187">
        <v>0</v>
      </c>
      <c r="M6892" s="187">
        <v>56.503616333007813</v>
      </c>
      <c r="N6892" s="187">
        <v>0</v>
      </c>
      <c r="O6892" t="s">
        <v>6901</v>
      </c>
    </row>
    <row r="6893" spans="1:15" hidden="1" x14ac:dyDescent="0.45">
      <c r="A6893" s="187">
        <v>2024</v>
      </c>
      <c r="B6893" t="s">
        <v>8570</v>
      </c>
      <c r="C6893" t="s">
        <v>323</v>
      </c>
      <c r="D6893" t="s">
        <v>35</v>
      </c>
      <c r="E6893" t="s">
        <v>349</v>
      </c>
      <c r="F6893" t="s">
        <v>400</v>
      </c>
      <c r="G6893" t="s">
        <v>36</v>
      </c>
      <c r="H6893" t="s">
        <v>43</v>
      </c>
      <c r="I6893" s="187">
        <v>0</v>
      </c>
      <c r="J6893" s="187">
        <v>50</v>
      </c>
      <c r="K6893" s="187">
        <v>0.84669955871512914</v>
      </c>
      <c r="L6893" s="187">
        <v>0</v>
      </c>
      <c r="M6893" s="187">
        <v>50.846698760986328</v>
      </c>
      <c r="N6893" s="187">
        <v>0</v>
      </c>
      <c r="O6893" t="s">
        <v>9020</v>
      </c>
    </row>
    <row r="6894" spans="1:15" hidden="1" x14ac:dyDescent="0.45">
      <c r="A6894" s="187">
        <v>2024</v>
      </c>
      <c r="B6894" t="s">
        <v>317</v>
      </c>
      <c r="C6894" t="s">
        <v>323</v>
      </c>
      <c r="D6894" t="s">
        <v>35</v>
      </c>
      <c r="E6894" t="s">
        <v>349</v>
      </c>
      <c r="F6894" t="s">
        <v>401</v>
      </c>
      <c r="G6894" t="s">
        <v>36</v>
      </c>
      <c r="H6894" t="s">
        <v>43</v>
      </c>
      <c r="I6894" s="187">
        <v>0</v>
      </c>
      <c r="J6894" s="187"/>
      <c r="K6894" s="187">
        <v>1.4664547079711852E-2</v>
      </c>
      <c r="L6894" s="187">
        <v>0</v>
      </c>
      <c r="M6894" s="187">
        <v>1.4664547517895699E-2</v>
      </c>
      <c r="N6894" s="187">
        <v>0</v>
      </c>
      <c r="O6894" t="s">
        <v>6905</v>
      </c>
    </row>
    <row r="6895" spans="1:15" hidden="1" x14ac:dyDescent="0.45">
      <c r="A6895" s="187">
        <v>2024</v>
      </c>
      <c r="B6895" t="s">
        <v>8570</v>
      </c>
      <c r="C6895" t="s">
        <v>323</v>
      </c>
      <c r="D6895" t="s">
        <v>35</v>
      </c>
      <c r="E6895" t="s">
        <v>349</v>
      </c>
      <c r="F6895" t="s">
        <v>401</v>
      </c>
      <c r="G6895" t="s">
        <v>36</v>
      </c>
      <c r="H6895" t="s">
        <v>43</v>
      </c>
      <c r="I6895" s="187">
        <v>0</v>
      </c>
      <c r="J6895" s="187"/>
      <c r="K6895" s="187">
        <v>6.7817962779480002E-3</v>
      </c>
      <c r="L6895" s="187">
        <v>0</v>
      </c>
      <c r="M6895" s="187">
        <v>6.7817964591085911E-3</v>
      </c>
      <c r="N6895" s="187">
        <v>0</v>
      </c>
      <c r="O6895" t="s">
        <v>9021</v>
      </c>
    </row>
    <row r="6896" spans="1:15" hidden="1" x14ac:dyDescent="0.45">
      <c r="A6896" s="187">
        <v>2024</v>
      </c>
      <c r="B6896" t="s">
        <v>316</v>
      </c>
      <c r="C6896" t="s">
        <v>323</v>
      </c>
      <c r="D6896" t="s">
        <v>35</v>
      </c>
      <c r="E6896" t="s">
        <v>349</v>
      </c>
      <c r="F6896" t="s">
        <v>401</v>
      </c>
      <c r="G6896" t="s">
        <v>36</v>
      </c>
      <c r="H6896" t="s">
        <v>43</v>
      </c>
      <c r="I6896" s="187">
        <v>0</v>
      </c>
      <c r="J6896" s="187"/>
      <c r="K6896" s="187">
        <v>1.1792954864243227E-2</v>
      </c>
      <c r="L6896" s="187">
        <v>0</v>
      </c>
      <c r="M6896" s="187">
        <v>1.1792954988777637E-2</v>
      </c>
      <c r="N6896" s="187">
        <v>0</v>
      </c>
      <c r="O6896" t="s">
        <v>6903</v>
      </c>
    </row>
    <row r="6897" spans="1:15" hidden="1" x14ac:dyDescent="0.45">
      <c r="A6897" s="187">
        <v>2024</v>
      </c>
      <c r="B6897" t="s">
        <v>315</v>
      </c>
      <c r="C6897" t="s">
        <v>323</v>
      </c>
      <c r="D6897" t="s">
        <v>35</v>
      </c>
      <c r="E6897" t="s">
        <v>349</v>
      </c>
      <c r="F6897" t="s">
        <v>401</v>
      </c>
      <c r="G6897" t="s">
        <v>36</v>
      </c>
      <c r="H6897" t="s">
        <v>43</v>
      </c>
      <c r="I6897" s="187">
        <v>0</v>
      </c>
      <c r="J6897" s="187">
        <v>0</v>
      </c>
      <c r="K6897" s="187">
        <v>1.1258046293903519E-2</v>
      </c>
      <c r="L6897" s="187">
        <v>0</v>
      </c>
      <c r="M6897" s="187">
        <v>1.1258046142756939E-2</v>
      </c>
      <c r="N6897" s="187">
        <v>0</v>
      </c>
      <c r="O6897" t="s">
        <v>6904</v>
      </c>
    </row>
    <row r="6898" spans="1:15" hidden="1" x14ac:dyDescent="0.45">
      <c r="A6898" s="187">
        <v>2024</v>
      </c>
      <c r="B6898" t="s">
        <v>317</v>
      </c>
      <c r="C6898" t="s">
        <v>323</v>
      </c>
      <c r="D6898" t="s">
        <v>35</v>
      </c>
      <c r="E6898" t="s">
        <v>349</v>
      </c>
      <c r="F6898" t="s">
        <v>402</v>
      </c>
      <c r="G6898" t="s">
        <v>36</v>
      </c>
      <c r="H6898" t="s">
        <v>43</v>
      </c>
      <c r="I6898" s="187">
        <v>0</v>
      </c>
      <c r="J6898" s="187"/>
      <c r="K6898" s="187">
        <v>17.103261667525388</v>
      </c>
      <c r="L6898" s="187">
        <v>0</v>
      </c>
      <c r="M6898" s="187">
        <v>17.103261947631836</v>
      </c>
      <c r="N6898" s="187">
        <v>0</v>
      </c>
      <c r="O6898" t="s">
        <v>6906</v>
      </c>
    </row>
    <row r="6899" spans="1:15" hidden="1" x14ac:dyDescent="0.45">
      <c r="A6899" s="187">
        <v>2024</v>
      </c>
      <c r="B6899" t="s">
        <v>316</v>
      </c>
      <c r="C6899" t="s">
        <v>323</v>
      </c>
      <c r="D6899" t="s">
        <v>35</v>
      </c>
      <c r="E6899" t="s">
        <v>349</v>
      </c>
      <c r="F6899" t="s">
        <v>402</v>
      </c>
      <c r="G6899" t="s">
        <v>36</v>
      </c>
      <c r="H6899" t="s">
        <v>43</v>
      </c>
      <c r="I6899" s="187">
        <v>0</v>
      </c>
      <c r="J6899" s="187"/>
      <c r="K6899" s="187">
        <v>9.3537476222323725</v>
      </c>
      <c r="L6899" s="187">
        <v>0</v>
      </c>
      <c r="M6899" s="187">
        <v>9.3537473678588867</v>
      </c>
      <c r="N6899" s="187">
        <v>0</v>
      </c>
      <c r="O6899" t="s">
        <v>6908</v>
      </c>
    </row>
    <row r="6900" spans="1:15" hidden="1" x14ac:dyDescent="0.45">
      <c r="A6900" s="187">
        <v>2024</v>
      </c>
      <c r="B6900" t="s">
        <v>8570</v>
      </c>
      <c r="C6900" t="s">
        <v>323</v>
      </c>
      <c r="D6900" t="s">
        <v>35</v>
      </c>
      <c r="E6900" t="s">
        <v>349</v>
      </c>
      <c r="F6900" t="s">
        <v>402</v>
      </c>
      <c r="G6900" t="s">
        <v>36</v>
      </c>
      <c r="H6900" t="s">
        <v>43</v>
      </c>
      <c r="I6900" s="187">
        <v>0</v>
      </c>
      <c r="J6900" s="187"/>
      <c r="K6900" s="187">
        <v>14.388166504254331</v>
      </c>
      <c r="L6900" s="187">
        <v>0</v>
      </c>
      <c r="M6900" s="187">
        <v>14.388166427612305</v>
      </c>
      <c r="N6900" s="187">
        <v>0</v>
      </c>
      <c r="O6900" t="s">
        <v>9022</v>
      </c>
    </row>
    <row r="6901" spans="1:15" hidden="1" x14ac:dyDescent="0.45">
      <c r="A6901" s="187">
        <v>2024</v>
      </c>
      <c r="B6901" t="s">
        <v>315</v>
      </c>
      <c r="C6901" t="s">
        <v>323</v>
      </c>
      <c r="D6901" t="s">
        <v>35</v>
      </c>
      <c r="E6901" t="s">
        <v>349</v>
      </c>
      <c r="F6901" t="s">
        <v>402</v>
      </c>
      <c r="G6901" t="s">
        <v>36</v>
      </c>
      <c r="H6901" t="s">
        <v>43</v>
      </c>
      <c r="I6901" s="187">
        <v>0</v>
      </c>
      <c r="J6901" s="187">
        <v>0</v>
      </c>
      <c r="K6901" s="187">
        <v>7.2149992864868029</v>
      </c>
      <c r="L6901" s="187">
        <v>0</v>
      </c>
      <c r="M6901" s="187">
        <v>7.2149991989135742</v>
      </c>
      <c r="N6901" s="187">
        <v>0</v>
      </c>
      <c r="O6901" t="s">
        <v>6907</v>
      </c>
    </row>
    <row r="6902" spans="1:15" hidden="1" x14ac:dyDescent="0.45">
      <c r="A6902" s="187">
        <v>2024</v>
      </c>
      <c r="B6902" t="s">
        <v>315</v>
      </c>
      <c r="C6902" t="s">
        <v>323</v>
      </c>
      <c r="D6902" t="s">
        <v>35</v>
      </c>
      <c r="E6902" t="s">
        <v>349</v>
      </c>
      <c r="F6902" t="s">
        <v>403</v>
      </c>
      <c r="G6902" t="s">
        <v>36</v>
      </c>
      <c r="H6902" t="s">
        <v>43</v>
      </c>
      <c r="I6902" s="187">
        <v>4032.7588728186065</v>
      </c>
      <c r="J6902" s="187">
        <v>0</v>
      </c>
      <c r="K6902" s="187">
        <v>1802.6324702436746</v>
      </c>
      <c r="L6902" s="187">
        <v>1532.6749311583073</v>
      </c>
      <c r="M6902" s="187">
        <v>7368.06591796875</v>
      </c>
      <c r="N6902" s="187">
        <v>5565.43359375</v>
      </c>
      <c r="O6902" t="s">
        <v>6909</v>
      </c>
    </row>
    <row r="6903" spans="1:15" hidden="1" x14ac:dyDescent="0.45">
      <c r="A6903" s="187">
        <v>2024</v>
      </c>
      <c r="B6903" t="s">
        <v>317</v>
      </c>
      <c r="C6903" t="s">
        <v>323</v>
      </c>
      <c r="D6903" t="s">
        <v>35</v>
      </c>
      <c r="E6903" t="s">
        <v>349</v>
      </c>
      <c r="F6903" t="s">
        <v>403</v>
      </c>
      <c r="G6903" t="s">
        <v>36</v>
      </c>
      <c r="H6903" t="s">
        <v>43</v>
      </c>
      <c r="I6903" s="187">
        <v>4740.1934027773304</v>
      </c>
      <c r="J6903" s="187"/>
      <c r="K6903" s="187">
        <v>2918.7116851361729</v>
      </c>
      <c r="L6903" s="187">
        <v>1526.7593522052355</v>
      </c>
      <c r="M6903" s="187">
        <v>9185.6650390625</v>
      </c>
      <c r="N6903" s="187">
        <v>6266.95263671875</v>
      </c>
      <c r="O6903" t="s">
        <v>6911</v>
      </c>
    </row>
    <row r="6904" spans="1:15" hidden="1" x14ac:dyDescent="0.45">
      <c r="A6904" s="187">
        <v>2024</v>
      </c>
      <c r="B6904" t="s">
        <v>8570</v>
      </c>
      <c r="C6904" t="s">
        <v>323</v>
      </c>
      <c r="D6904" t="s">
        <v>35</v>
      </c>
      <c r="E6904" t="s">
        <v>349</v>
      </c>
      <c r="F6904" t="s">
        <v>403</v>
      </c>
      <c r="G6904" t="s">
        <v>36</v>
      </c>
      <c r="H6904" t="s">
        <v>43</v>
      </c>
      <c r="I6904" s="187">
        <v>2230.6855108032</v>
      </c>
      <c r="J6904" s="187"/>
      <c r="K6904" s="187">
        <v>1974.827101858996</v>
      </c>
      <c r="L6904" s="187">
        <v>1199</v>
      </c>
      <c r="M6904" s="187">
        <v>5404.5126953125</v>
      </c>
      <c r="N6904" s="187">
        <v>3429.685546875</v>
      </c>
      <c r="O6904" t="s">
        <v>9023</v>
      </c>
    </row>
    <row r="6905" spans="1:15" hidden="1" x14ac:dyDescent="0.45">
      <c r="A6905" s="187">
        <v>2024</v>
      </c>
      <c r="B6905" t="s">
        <v>316</v>
      </c>
      <c r="C6905" t="s">
        <v>323</v>
      </c>
      <c r="D6905" t="s">
        <v>35</v>
      </c>
      <c r="E6905" t="s">
        <v>349</v>
      </c>
      <c r="F6905" t="s">
        <v>403</v>
      </c>
      <c r="G6905" t="s">
        <v>36</v>
      </c>
      <c r="H6905" t="s">
        <v>43</v>
      </c>
      <c r="I6905" s="187">
        <v>3999.9912964205409</v>
      </c>
      <c r="J6905" s="187"/>
      <c r="K6905" s="187">
        <v>2362.6336925052742</v>
      </c>
      <c r="L6905" s="187">
        <v>1950.6747482238407</v>
      </c>
      <c r="M6905" s="187">
        <v>8313.2998046875</v>
      </c>
      <c r="N6905" s="187">
        <v>5950.666015625</v>
      </c>
      <c r="O6905" t="s">
        <v>6910</v>
      </c>
    </row>
    <row r="6906" spans="1:15" hidden="1" x14ac:dyDescent="0.45">
      <c r="A6906" s="187">
        <v>2024</v>
      </c>
      <c r="B6906" t="s">
        <v>317</v>
      </c>
      <c r="C6906" t="s">
        <v>323</v>
      </c>
      <c r="D6906" t="s">
        <v>35</v>
      </c>
      <c r="E6906" t="s">
        <v>349</v>
      </c>
      <c r="F6906" t="s">
        <v>404</v>
      </c>
      <c r="G6906" t="s">
        <v>36</v>
      </c>
      <c r="H6906" t="s">
        <v>43</v>
      </c>
      <c r="I6906" s="187">
        <v>4740.1934027773304</v>
      </c>
      <c r="J6906" s="187">
        <v>10.805090956866493</v>
      </c>
      <c r="K6906" s="187">
        <v>4566.3819174303499</v>
      </c>
      <c r="L6906" s="187">
        <v>1949.2384086187153</v>
      </c>
      <c r="M6906" s="187">
        <v>11266.619140625</v>
      </c>
      <c r="N6906" s="187">
        <v>6689.431640625</v>
      </c>
      <c r="O6906" t="s">
        <v>6914</v>
      </c>
    </row>
    <row r="6907" spans="1:15" hidden="1" x14ac:dyDescent="0.45">
      <c r="A6907" s="187">
        <v>2024</v>
      </c>
      <c r="B6907" t="s">
        <v>8570</v>
      </c>
      <c r="C6907" t="s">
        <v>323</v>
      </c>
      <c r="D6907" t="s">
        <v>35</v>
      </c>
      <c r="E6907" t="s">
        <v>349</v>
      </c>
      <c r="F6907" t="s">
        <v>404</v>
      </c>
      <c r="G6907" t="s">
        <v>36</v>
      </c>
      <c r="H6907" t="s">
        <v>43</v>
      </c>
      <c r="I6907" s="187">
        <v>2230.6855108032</v>
      </c>
      <c r="J6907" s="187">
        <v>10</v>
      </c>
      <c r="K6907" s="187">
        <v>2949.2116541700711</v>
      </c>
      <c r="L6907" s="187">
        <v>1741</v>
      </c>
      <c r="M6907" s="187">
        <v>6930.89697265625</v>
      </c>
      <c r="N6907" s="187">
        <v>3971.685546875</v>
      </c>
      <c r="O6907" t="s">
        <v>9024</v>
      </c>
    </row>
    <row r="6908" spans="1:15" hidden="1" x14ac:dyDescent="0.45">
      <c r="A6908" s="187">
        <v>2024</v>
      </c>
      <c r="B6908" t="s">
        <v>315</v>
      </c>
      <c r="C6908" t="s">
        <v>323</v>
      </c>
      <c r="D6908" t="s">
        <v>35</v>
      </c>
      <c r="E6908" t="s">
        <v>349</v>
      </c>
      <c r="F6908" t="s">
        <v>404</v>
      </c>
      <c r="G6908" t="s">
        <v>36</v>
      </c>
      <c r="H6908" t="s">
        <v>43</v>
      </c>
      <c r="I6908" s="187">
        <v>4032.7588728186065</v>
      </c>
      <c r="J6908" s="187">
        <v>0</v>
      </c>
      <c r="K6908" s="187">
        <v>2942.231518660059</v>
      </c>
      <c r="L6908" s="187">
        <v>1815.8742902045578</v>
      </c>
      <c r="M6908" s="187">
        <v>8790.8642578125</v>
      </c>
      <c r="N6908" s="187">
        <v>5848.63330078125</v>
      </c>
      <c r="O6908" t="s">
        <v>6913</v>
      </c>
    </row>
    <row r="6909" spans="1:15" hidden="1" x14ac:dyDescent="0.45">
      <c r="A6909" s="187">
        <v>2024</v>
      </c>
      <c r="B6909" t="s">
        <v>316</v>
      </c>
      <c r="C6909" t="s">
        <v>323</v>
      </c>
      <c r="D6909" t="s">
        <v>35</v>
      </c>
      <c r="E6909" t="s">
        <v>349</v>
      </c>
      <c r="F6909" t="s">
        <v>404</v>
      </c>
      <c r="G6909" t="s">
        <v>36</v>
      </c>
      <c r="H6909" t="s">
        <v>43</v>
      </c>
      <c r="I6909" s="187">
        <v>3999.9912964205409</v>
      </c>
      <c r="J6909" s="187">
        <v>11.01453838635709</v>
      </c>
      <c r="K6909" s="187">
        <v>3713.6326956002063</v>
      </c>
      <c r="L6909" s="187">
        <v>2281.1108998145532</v>
      </c>
      <c r="M6909" s="187">
        <v>10005.75</v>
      </c>
      <c r="N6909" s="187">
        <v>6281.10205078125</v>
      </c>
      <c r="O6909" t="s">
        <v>6912</v>
      </c>
    </row>
    <row r="6910" spans="1:15" hidden="1" x14ac:dyDescent="0.45">
      <c r="A6910" s="187">
        <v>2024</v>
      </c>
      <c r="B6910" t="s">
        <v>316</v>
      </c>
      <c r="C6910" t="s">
        <v>323</v>
      </c>
      <c r="D6910" t="s">
        <v>35</v>
      </c>
      <c r="E6910" t="s">
        <v>349</v>
      </c>
      <c r="F6910" t="s">
        <v>405</v>
      </c>
      <c r="G6910" t="s">
        <v>36</v>
      </c>
      <c r="H6910" t="s">
        <v>43</v>
      </c>
      <c r="I6910" s="187">
        <v>0</v>
      </c>
      <c r="J6910" s="187"/>
      <c r="K6910" s="187">
        <v>1339.3979768761496</v>
      </c>
      <c r="L6910" s="187">
        <v>0</v>
      </c>
      <c r="M6910" s="187">
        <v>1339.39794921875</v>
      </c>
      <c r="N6910" s="187">
        <v>0</v>
      </c>
      <c r="O6910" t="s">
        <v>6917</v>
      </c>
    </row>
    <row r="6911" spans="1:15" hidden="1" x14ac:dyDescent="0.45">
      <c r="A6911" s="187">
        <v>2024</v>
      </c>
      <c r="B6911" t="s">
        <v>315</v>
      </c>
      <c r="C6911" t="s">
        <v>323</v>
      </c>
      <c r="D6911" t="s">
        <v>35</v>
      </c>
      <c r="E6911" t="s">
        <v>349</v>
      </c>
      <c r="F6911" t="s">
        <v>405</v>
      </c>
      <c r="G6911" t="s">
        <v>36</v>
      </c>
      <c r="H6911" t="s">
        <v>43</v>
      </c>
      <c r="I6911" s="187">
        <v>0</v>
      </c>
      <c r="J6911" s="187">
        <v>0</v>
      </c>
      <c r="K6911" s="187">
        <v>1131.0500719890915</v>
      </c>
      <c r="L6911" s="187">
        <v>0</v>
      </c>
      <c r="M6911" s="187">
        <v>1131.050048828125</v>
      </c>
      <c r="N6911" s="187">
        <v>0</v>
      </c>
      <c r="O6911" t="s">
        <v>6916</v>
      </c>
    </row>
    <row r="6912" spans="1:15" hidden="1" x14ac:dyDescent="0.45">
      <c r="A6912" s="187">
        <v>2024</v>
      </c>
      <c r="B6912" t="s">
        <v>8570</v>
      </c>
      <c r="C6912" t="s">
        <v>323</v>
      </c>
      <c r="D6912" t="s">
        <v>35</v>
      </c>
      <c r="E6912" t="s">
        <v>349</v>
      </c>
      <c r="F6912" t="s">
        <v>405</v>
      </c>
      <c r="G6912" t="s">
        <v>36</v>
      </c>
      <c r="H6912" t="s">
        <v>43</v>
      </c>
      <c r="I6912" s="187">
        <v>0</v>
      </c>
      <c r="J6912" s="187"/>
      <c r="K6912" s="187">
        <v>957.3469640609012</v>
      </c>
      <c r="L6912" s="187">
        <v>433</v>
      </c>
      <c r="M6912" s="187">
        <v>1390.346923828125</v>
      </c>
      <c r="N6912" s="187">
        <v>433</v>
      </c>
      <c r="O6912" t="s">
        <v>9025</v>
      </c>
    </row>
    <row r="6913" spans="1:15" hidden="1" x14ac:dyDescent="0.45">
      <c r="A6913" s="187">
        <v>2024</v>
      </c>
      <c r="B6913" t="s">
        <v>317</v>
      </c>
      <c r="C6913" t="s">
        <v>323</v>
      </c>
      <c r="D6913" t="s">
        <v>35</v>
      </c>
      <c r="E6913" t="s">
        <v>349</v>
      </c>
      <c r="F6913" t="s">
        <v>405</v>
      </c>
      <c r="G6913" t="s">
        <v>36</v>
      </c>
      <c r="H6913" t="s">
        <v>43</v>
      </c>
      <c r="I6913" s="187">
        <v>0</v>
      </c>
      <c r="J6913" s="187"/>
      <c r="K6913" s="187">
        <v>1626.3746625020915</v>
      </c>
      <c r="L6913" s="187">
        <v>89.6822549419919</v>
      </c>
      <c r="M6913" s="187">
        <v>1716.056884765625</v>
      </c>
      <c r="N6913" s="187">
        <v>89.682258605957031</v>
      </c>
      <c r="O6913" t="s">
        <v>6915</v>
      </c>
    </row>
    <row r="6914" spans="1:15" hidden="1" x14ac:dyDescent="0.45">
      <c r="A6914" s="187">
        <v>2024</v>
      </c>
      <c r="B6914" t="s">
        <v>315</v>
      </c>
      <c r="C6914" t="s">
        <v>323</v>
      </c>
      <c r="D6914" t="s">
        <v>35</v>
      </c>
      <c r="E6914" t="s">
        <v>349</v>
      </c>
      <c r="F6914" t="s">
        <v>406</v>
      </c>
      <c r="G6914" t="s">
        <v>36</v>
      </c>
      <c r="H6914" t="s">
        <v>43</v>
      </c>
      <c r="I6914" s="187"/>
      <c r="J6914" s="187">
        <v>0</v>
      </c>
      <c r="K6914" s="187">
        <v>1.3339771408062207</v>
      </c>
      <c r="L6914" s="187">
        <v>0</v>
      </c>
      <c r="M6914" s="187">
        <v>1.3339771032333374</v>
      </c>
      <c r="N6914" s="187">
        <v>0</v>
      </c>
      <c r="O6914" t="s">
        <v>6919</v>
      </c>
    </row>
    <row r="6915" spans="1:15" hidden="1" x14ac:dyDescent="0.45">
      <c r="A6915" s="187">
        <v>2024</v>
      </c>
      <c r="B6915" t="s">
        <v>317</v>
      </c>
      <c r="C6915" t="s">
        <v>323</v>
      </c>
      <c r="D6915" t="s">
        <v>35</v>
      </c>
      <c r="E6915" t="s">
        <v>349</v>
      </c>
      <c r="F6915" t="s">
        <v>406</v>
      </c>
      <c r="G6915" t="s">
        <v>36</v>
      </c>
      <c r="H6915" t="s">
        <v>43</v>
      </c>
      <c r="I6915" s="187">
        <v>0</v>
      </c>
      <c r="J6915" s="187"/>
      <c r="K6915" s="187">
        <v>4.1923081245618405</v>
      </c>
      <c r="L6915" s="187">
        <v>0</v>
      </c>
      <c r="M6915" s="187">
        <v>4.1923079490661621</v>
      </c>
      <c r="N6915" s="187">
        <v>0</v>
      </c>
      <c r="O6915" t="s">
        <v>6918</v>
      </c>
    </row>
    <row r="6916" spans="1:15" hidden="1" x14ac:dyDescent="0.45">
      <c r="A6916" s="187">
        <v>2024</v>
      </c>
      <c r="B6916" t="s">
        <v>316</v>
      </c>
      <c r="C6916" t="s">
        <v>323</v>
      </c>
      <c r="D6916" t="s">
        <v>35</v>
      </c>
      <c r="E6916" t="s">
        <v>349</v>
      </c>
      <c r="F6916" t="s">
        <v>406</v>
      </c>
      <c r="G6916" t="s">
        <v>36</v>
      </c>
      <c r="H6916" t="s">
        <v>43</v>
      </c>
      <c r="I6916" s="187">
        <v>0</v>
      </c>
      <c r="J6916" s="187"/>
      <c r="K6916" s="187">
        <v>2.247278596549608</v>
      </c>
      <c r="L6916" s="187">
        <v>0</v>
      </c>
      <c r="M6916" s="187">
        <v>2.2472786903381348</v>
      </c>
      <c r="N6916" s="187">
        <v>0</v>
      </c>
      <c r="O6916" t="s">
        <v>6920</v>
      </c>
    </row>
    <row r="6917" spans="1:15" hidden="1" x14ac:dyDescent="0.45">
      <c r="A6917" s="187">
        <v>2024</v>
      </c>
      <c r="B6917" t="s">
        <v>8570</v>
      </c>
      <c r="C6917" t="s">
        <v>323</v>
      </c>
      <c r="D6917" t="s">
        <v>35</v>
      </c>
      <c r="E6917" t="s">
        <v>349</v>
      </c>
      <c r="F6917" t="s">
        <v>406</v>
      </c>
      <c r="G6917" t="s">
        <v>36</v>
      </c>
      <c r="H6917" t="s">
        <v>43</v>
      </c>
      <c r="I6917" s="187">
        <v>0</v>
      </c>
      <c r="J6917" s="187"/>
      <c r="K6917" s="187">
        <v>2.649421745918354</v>
      </c>
      <c r="L6917" s="187">
        <v>0</v>
      </c>
      <c r="M6917" s="187">
        <v>2.6494216918945313</v>
      </c>
      <c r="N6917" s="187">
        <v>0</v>
      </c>
      <c r="O6917" t="s">
        <v>9026</v>
      </c>
    </row>
    <row r="6918" spans="1:15" hidden="1" x14ac:dyDescent="0.45">
      <c r="A6918" s="187">
        <v>2024</v>
      </c>
      <c r="B6918" t="s">
        <v>316</v>
      </c>
      <c r="C6918" t="s">
        <v>323</v>
      </c>
      <c r="D6918" t="s">
        <v>35</v>
      </c>
      <c r="E6918" t="s">
        <v>349</v>
      </c>
      <c r="F6918" t="s">
        <v>407</v>
      </c>
      <c r="G6918" t="s">
        <v>36</v>
      </c>
      <c r="H6918" t="s">
        <v>43</v>
      </c>
      <c r="I6918" s="187">
        <v>0</v>
      </c>
      <c r="J6918" s="187">
        <v>11.01453838635709</v>
      </c>
      <c r="K6918" s="187">
        <v>0</v>
      </c>
      <c r="L6918" s="187">
        <v>330.43615159071271</v>
      </c>
      <c r="M6918" s="187">
        <v>341.45068359375</v>
      </c>
      <c r="N6918" s="187">
        <v>330.4361572265625</v>
      </c>
      <c r="O6918" t="s">
        <v>6921</v>
      </c>
    </row>
    <row r="6919" spans="1:15" hidden="1" x14ac:dyDescent="0.45">
      <c r="A6919" s="187">
        <v>2024</v>
      </c>
      <c r="B6919" t="s">
        <v>8570</v>
      </c>
      <c r="C6919" t="s">
        <v>323</v>
      </c>
      <c r="D6919" t="s">
        <v>35</v>
      </c>
      <c r="E6919" t="s">
        <v>349</v>
      </c>
      <c r="F6919" t="s">
        <v>407</v>
      </c>
      <c r="G6919" t="s">
        <v>36</v>
      </c>
      <c r="H6919" t="s">
        <v>43</v>
      </c>
      <c r="I6919" s="187">
        <v>0</v>
      </c>
      <c r="J6919" s="187">
        <v>10</v>
      </c>
      <c r="K6919" s="187">
        <v>0</v>
      </c>
      <c r="L6919" s="187">
        <v>109</v>
      </c>
      <c r="M6919" s="187">
        <v>119</v>
      </c>
      <c r="N6919" s="187">
        <v>109</v>
      </c>
      <c r="O6919" t="s">
        <v>9027</v>
      </c>
    </row>
    <row r="6920" spans="1:15" hidden="1" x14ac:dyDescent="0.45">
      <c r="A6920" s="187">
        <v>2024</v>
      </c>
      <c r="B6920" t="s">
        <v>317</v>
      </c>
      <c r="C6920" t="s">
        <v>323</v>
      </c>
      <c r="D6920" t="s">
        <v>35</v>
      </c>
      <c r="E6920" t="s">
        <v>349</v>
      </c>
      <c r="F6920" t="s">
        <v>407</v>
      </c>
      <c r="G6920" t="s">
        <v>36</v>
      </c>
      <c r="H6920" t="s">
        <v>43</v>
      </c>
      <c r="I6920" s="187">
        <v>0</v>
      </c>
      <c r="J6920" s="187">
        <v>10.805090956866493</v>
      </c>
      <c r="K6920" s="187">
        <v>0</v>
      </c>
      <c r="L6920" s="187">
        <v>332.79680147148798</v>
      </c>
      <c r="M6920" s="187">
        <v>343.60189819335938</v>
      </c>
      <c r="N6920" s="187">
        <v>332.79681396484375</v>
      </c>
      <c r="O6920" t="s">
        <v>6922</v>
      </c>
    </row>
    <row r="6921" spans="1:15" hidden="1" x14ac:dyDescent="0.45">
      <c r="A6921" s="187">
        <v>2024</v>
      </c>
      <c r="B6921" t="s">
        <v>315</v>
      </c>
      <c r="C6921" t="s">
        <v>323</v>
      </c>
      <c r="D6921" t="s">
        <v>35</v>
      </c>
      <c r="E6921" t="s">
        <v>349</v>
      </c>
      <c r="F6921" t="s">
        <v>407</v>
      </c>
      <c r="G6921" t="s">
        <v>36</v>
      </c>
      <c r="H6921" t="s">
        <v>43</v>
      </c>
      <c r="I6921" s="187">
        <v>0</v>
      </c>
      <c r="J6921" s="187">
        <v>0</v>
      </c>
      <c r="K6921" s="187">
        <v>0</v>
      </c>
      <c r="L6921" s="187">
        <v>283.19935904625044</v>
      </c>
      <c r="M6921" s="187">
        <v>283.19937133789063</v>
      </c>
      <c r="N6921" s="187">
        <v>283.19937133789063</v>
      </c>
      <c r="O6921" t="s">
        <v>6923</v>
      </c>
    </row>
    <row r="6922" spans="1:15" hidden="1" x14ac:dyDescent="0.45">
      <c r="A6922" s="187">
        <v>2024</v>
      </c>
      <c r="B6922" t="s">
        <v>8570</v>
      </c>
      <c r="C6922" t="s">
        <v>323</v>
      </c>
      <c r="D6922" t="s">
        <v>35</v>
      </c>
      <c r="E6922" t="s">
        <v>349</v>
      </c>
      <c r="F6922" t="s">
        <v>408</v>
      </c>
      <c r="G6922" t="s">
        <v>36</v>
      </c>
      <c r="H6922" t="s">
        <v>43</v>
      </c>
      <c r="I6922" s="187">
        <v>121.73824382719999</v>
      </c>
      <c r="J6922" s="187"/>
      <c r="K6922" s="187"/>
      <c r="L6922" s="187"/>
      <c r="M6922" s="187">
        <v>121.73824310302734</v>
      </c>
      <c r="N6922" s="187">
        <v>121.73824310302734</v>
      </c>
      <c r="O6922" t="s">
        <v>9028</v>
      </c>
    </row>
    <row r="6923" spans="1:15" hidden="1" x14ac:dyDescent="0.45">
      <c r="A6923" s="187">
        <v>2024</v>
      </c>
      <c r="B6923" t="s">
        <v>8570</v>
      </c>
      <c r="C6923" t="s">
        <v>323</v>
      </c>
      <c r="D6923" t="s">
        <v>35</v>
      </c>
      <c r="E6923" t="s">
        <v>349</v>
      </c>
      <c r="F6923" t="s">
        <v>409</v>
      </c>
      <c r="G6923" t="s">
        <v>36</v>
      </c>
      <c r="H6923" t="s">
        <v>43</v>
      </c>
      <c r="I6923" s="187">
        <v>121.73824382719999</v>
      </c>
      <c r="J6923" s="187"/>
      <c r="K6923" s="187"/>
      <c r="L6923" s="187"/>
      <c r="M6923" s="187">
        <v>121.73824310302734</v>
      </c>
      <c r="N6923" s="187">
        <v>121.73824310302734</v>
      </c>
      <c r="O6923" t="s">
        <v>9029</v>
      </c>
    </row>
    <row r="6924" spans="1:15" hidden="1" x14ac:dyDescent="0.45">
      <c r="A6924" s="187">
        <v>2024</v>
      </c>
      <c r="B6924" t="s">
        <v>8570</v>
      </c>
      <c r="C6924" t="s">
        <v>323</v>
      </c>
      <c r="D6924" t="s">
        <v>35</v>
      </c>
      <c r="E6924" t="s">
        <v>349</v>
      </c>
      <c r="F6924" t="s">
        <v>410</v>
      </c>
      <c r="G6924" t="s">
        <v>36</v>
      </c>
      <c r="H6924" t="s">
        <v>43</v>
      </c>
      <c r="I6924" s="187">
        <v>121.73824382719999</v>
      </c>
      <c r="J6924" s="187"/>
      <c r="K6924" s="187"/>
      <c r="L6924" s="187"/>
      <c r="M6924" s="187">
        <v>121.73824310302734</v>
      </c>
      <c r="N6924" s="187">
        <v>121.73824310302734</v>
      </c>
      <c r="O6924" t="s">
        <v>9030</v>
      </c>
    </row>
    <row r="6925" spans="1:15" hidden="1" x14ac:dyDescent="0.45">
      <c r="A6925" s="187">
        <v>2024</v>
      </c>
      <c r="B6925" t="s">
        <v>8570</v>
      </c>
      <c r="C6925" t="s">
        <v>323</v>
      </c>
      <c r="D6925" t="s">
        <v>35</v>
      </c>
      <c r="E6925" t="s">
        <v>349</v>
      </c>
      <c r="F6925" t="s">
        <v>411</v>
      </c>
      <c r="G6925" t="s">
        <v>36</v>
      </c>
      <c r="H6925" t="s">
        <v>43</v>
      </c>
      <c r="I6925" s="187">
        <v>365.21473148159998</v>
      </c>
      <c r="J6925" s="187"/>
      <c r="K6925" s="187"/>
      <c r="L6925" s="187"/>
      <c r="M6925" s="187">
        <v>365.2147216796875</v>
      </c>
      <c r="N6925" s="187">
        <v>365.2147216796875</v>
      </c>
      <c r="O6925" t="s">
        <v>9031</v>
      </c>
    </row>
    <row r="6926" spans="1:15" hidden="1" x14ac:dyDescent="0.45">
      <c r="A6926" s="187">
        <v>2024</v>
      </c>
      <c r="B6926" t="s">
        <v>8570</v>
      </c>
      <c r="C6926" t="s">
        <v>323</v>
      </c>
      <c r="D6926" t="s">
        <v>35</v>
      </c>
      <c r="E6926" t="s">
        <v>349</v>
      </c>
      <c r="F6926" t="s">
        <v>423</v>
      </c>
      <c r="G6926" t="s">
        <v>36</v>
      </c>
      <c r="H6926" t="s">
        <v>43</v>
      </c>
      <c r="I6926" s="187"/>
      <c r="J6926" s="187"/>
      <c r="K6926" s="187">
        <v>462.85537836832219</v>
      </c>
      <c r="L6926" s="187">
        <v>55</v>
      </c>
      <c r="M6926" s="187">
        <v>517.8553466796875</v>
      </c>
      <c r="N6926" s="187">
        <v>55</v>
      </c>
      <c r="O6926" t="s">
        <v>9032</v>
      </c>
    </row>
    <row r="6927" spans="1:15" hidden="1" x14ac:dyDescent="0.45">
      <c r="A6927" s="187">
        <v>2024</v>
      </c>
      <c r="B6927" t="s">
        <v>317</v>
      </c>
      <c r="C6927" t="s">
        <v>323</v>
      </c>
      <c r="D6927" t="s">
        <v>35</v>
      </c>
      <c r="E6927" t="s">
        <v>349</v>
      </c>
      <c r="F6927" t="s">
        <v>423</v>
      </c>
      <c r="G6927" t="s">
        <v>36</v>
      </c>
      <c r="H6927" t="s">
        <v>43</v>
      </c>
      <c r="I6927" s="187">
        <v>55.105963880019118</v>
      </c>
      <c r="J6927" s="187"/>
      <c r="K6927" s="187">
        <v>482.68933000761751</v>
      </c>
      <c r="L6927" s="187">
        <v>88.601745846305249</v>
      </c>
      <c r="M6927" s="187">
        <v>626.39703369140625</v>
      </c>
      <c r="N6927" s="187">
        <v>143.70771789550781</v>
      </c>
      <c r="O6927" t="s">
        <v>6925</v>
      </c>
    </row>
    <row r="6928" spans="1:15" hidden="1" x14ac:dyDescent="0.45">
      <c r="A6928" s="187">
        <v>2024</v>
      </c>
      <c r="B6928" t="s">
        <v>315</v>
      </c>
      <c r="C6928" t="s">
        <v>323</v>
      </c>
      <c r="D6928" t="s">
        <v>35</v>
      </c>
      <c r="E6928" t="s">
        <v>349</v>
      </c>
      <c r="F6928" t="s">
        <v>423</v>
      </c>
      <c r="G6928" t="s">
        <v>36</v>
      </c>
      <c r="H6928" t="s">
        <v>43</v>
      </c>
      <c r="I6928" s="187">
        <v>56.639871809250089</v>
      </c>
      <c r="J6928" s="187">
        <v>0</v>
      </c>
      <c r="K6928" s="187">
        <v>254.19202653234549</v>
      </c>
      <c r="L6928" s="187">
        <v>140.46688208694022</v>
      </c>
      <c r="M6928" s="187">
        <v>451.29879760742188</v>
      </c>
      <c r="N6928" s="187">
        <v>197.10675048828125</v>
      </c>
      <c r="O6928" t="s">
        <v>6924</v>
      </c>
    </row>
    <row r="6929" spans="1:15" hidden="1" x14ac:dyDescent="0.45">
      <c r="A6929" s="187">
        <v>2024</v>
      </c>
      <c r="B6929" t="s">
        <v>316</v>
      </c>
      <c r="C6929" t="s">
        <v>323</v>
      </c>
      <c r="D6929" t="s">
        <v>35</v>
      </c>
      <c r="E6929" t="s">
        <v>349</v>
      </c>
      <c r="F6929" t="s">
        <v>423</v>
      </c>
      <c r="G6929" t="s">
        <v>36</v>
      </c>
      <c r="H6929" t="s">
        <v>43</v>
      </c>
      <c r="I6929" s="187">
        <v>56.179653039614344</v>
      </c>
      <c r="J6929" s="187"/>
      <c r="K6929" s="187">
        <v>196.12814980288857</v>
      </c>
      <c r="L6929" s="187">
        <v>138.78318366809935</v>
      </c>
      <c r="M6929" s="187">
        <v>391.09097290039063</v>
      </c>
      <c r="N6929" s="187">
        <v>194.96282958984375</v>
      </c>
      <c r="O6929" t="s">
        <v>6926</v>
      </c>
    </row>
    <row r="6930" spans="1:15" hidden="1" x14ac:dyDescent="0.45">
      <c r="A6930" s="187">
        <v>2024</v>
      </c>
      <c r="B6930" t="s">
        <v>317</v>
      </c>
      <c r="C6930" t="s">
        <v>323</v>
      </c>
      <c r="D6930" t="s">
        <v>35</v>
      </c>
      <c r="E6930" t="s">
        <v>349</v>
      </c>
      <c r="F6930" t="s">
        <v>424</v>
      </c>
      <c r="G6930" t="s">
        <v>36</v>
      </c>
      <c r="H6930" t="s">
        <v>43</v>
      </c>
      <c r="I6930" s="187">
        <v>110.21192776003824</v>
      </c>
      <c r="J6930" s="187"/>
      <c r="K6930" s="187">
        <v>0</v>
      </c>
      <c r="L6930" s="187">
        <v>71.313600315318851</v>
      </c>
      <c r="M6930" s="187">
        <v>181.52552795410156</v>
      </c>
      <c r="N6930" s="187">
        <v>181.52552795410156</v>
      </c>
      <c r="O6930" t="s">
        <v>6927</v>
      </c>
    </row>
    <row r="6931" spans="1:15" hidden="1" x14ac:dyDescent="0.45">
      <c r="A6931" s="187">
        <v>2024</v>
      </c>
      <c r="B6931" t="s">
        <v>316</v>
      </c>
      <c r="C6931" t="s">
        <v>323</v>
      </c>
      <c r="D6931" t="s">
        <v>35</v>
      </c>
      <c r="E6931" t="s">
        <v>349</v>
      </c>
      <c r="F6931" t="s">
        <v>424</v>
      </c>
      <c r="G6931" t="s">
        <v>36</v>
      </c>
      <c r="H6931" t="s">
        <v>43</v>
      </c>
      <c r="I6931" s="187">
        <v>112.35930607922869</v>
      </c>
      <c r="J6931" s="187"/>
      <c r="K6931" s="187">
        <v>0</v>
      </c>
      <c r="L6931" s="187">
        <v>70.493045672685383</v>
      </c>
      <c r="M6931" s="187">
        <v>182.85235595703125</v>
      </c>
      <c r="N6931" s="187">
        <v>182.85235595703125</v>
      </c>
      <c r="O6931" t="s">
        <v>6928</v>
      </c>
    </row>
    <row r="6932" spans="1:15" hidden="1" x14ac:dyDescent="0.45">
      <c r="A6932" s="187">
        <v>2024</v>
      </c>
      <c r="B6932" t="s">
        <v>315</v>
      </c>
      <c r="C6932" t="s">
        <v>323</v>
      </c>
      <c r="D6932" t="s">
        <v>35</v>
      </c>
      <c r="E6932" t="s">
        <v>349</v>
      </c>
      <c r="F6932" t="s">
        <v>424</v>
      </c>
      <c r="G6932" t="s">
        <v>36</v>
      </c>
      <c r="H6932" t="s">
        <v>43</v>
      </c>
      <c r="I6932" s="187">
        <v>113.27974361850018</v>
      </c>
      <c r="J6932" s="187">
        <v>0</v>
      </c>
      <c r="K6932" s="187">
        <v>0</v>
      </c>
      <c r="L6932" s="187">
        <v>71.366238479655109</v>
      </c>
      <c r="M6932" s="187">
        <v>184.64598083496094</v>
      </c>
      <c r="N6932" s="187">
        <v>184.64598083496094</v>
      </c>
      <c r="O6932" t="s">
        <v>6929</v>
      </c>
    </row>
    <row r="6933" spans="1:15" hidden="1" x14ac:dyDescent="0.45">
      <c r="A6933" s="187">
        <v>2024</v>
      </c>
      <c r="B6933" t="s">
        <v>8570</v>
      </c>
      <c r="C6933" t="s">
        <v>323</v>
      </c>
      <c r="D6933" t="s">
        <v>35</v>
      </c>
      <c r="E6933" t="s">
        <v>349</v>
      </c>
      <c r="F6933" t="s">
        <v>424</v>
      </c>
      <c r="G6933" t="s">
        <v>36</v>
      </c>
      <c r="H6933" t="s">
        <v>43</v>
      </c>
      <c r="I6933" s="187"/>
      <c r="J6933" s="187"/>
      <c r="K6933" s="187">
        <v>0</v>
      </c>
      <c r="L6933" s="187">
        <v>66</v>
      </c>
      <c r="M6933" s="187">
        <v>66</v>
      </c>
      <c r="N6933" s="187">
        <v>66</v>
      </c>
      <c r="O6933" t="s">
        <v>9033</v>
      </c>
    </row>
    <row r="6934" spans="1:15" hidden="1" x14ac:dyDescent="0.45">
      <c r="A6934" s="187">
        <v>2024</v>
      </c>
      <c r="B6934" t="s">
        <v>317</v>
      </c>
      <c r="C6934" t="s">
        <v>323</v>
      </c>
      <c r="D6934" t="s">
        <v>35</v>
      </c>
      <c r="E6934" t="s">
        <v>349</v>
      </c>
      <c r="F6934" t="s">
        <v>446</v>
      </c>
      <c r="G6934" t="s">
        <v>36</v>
      </c>
      <c r="H6934" t="s">
        <v>43</v>
      </c>
      <c r="I6934" s="187">
        <v>86.440727654931948</v>
      </c>
      <c r="J6934" s="187"/>
      <c r="K6934" s="187">
        <v>0</v>
      </c>
      <c r="L6934" s="187">
        <v>23.771200105106285</v>
      </c>
      <c r="M6934" s="187">
        <v>110.21192932128906</v>
      </c>
      <c r="N6934" s="187">
        <v>110.21192932128906</v>
      </c>
      <c r="O6934" t="s">
        <v>6931</v>
      </c>
    </row>
    <row r="6935" spans="1:15" hidden="1" x14ac:dyDescent="0.45">
      <c r="A6935" s="187">
        <v>2024</v>
      </c>
      <c r="B6935" t="s">
        <v>315</v>
      </c>
      <c r="C6935" t="s">
        <v>323</v>
      </c>
      <c r="D6935" t="s">
        <v>35</v>
      </c>
      <c r="E6935" t="s">
        <v>349</v>
      </c>
      <c r="F6935" t="s">
        <v>446</v>
      </c>
      <c r="G6935" t="s">
        <v>36</v>
      </c>
      <c r="H6935" t="s">
        <v>43</v>
      </c>
      <c r="I6935" s="187">
        <v>113.27974361850018</v>
      </c>
      <c r="J6935" s="187">
        <v>0</v>
      </c>
      <c r="K6935" s="187">
        <v>0</v>
      </c>
      <c r="L6935" s="187">
        <v>113.27974361850018</v>
      </c>
      <c r="M6935" s="187">
        <v>226.55949401855469</v>
      </c>
      <c r="N6935" s="187">
        <v>226.55949401855469</v>
      </c>
      <c r="O6935" t="s">
        <v>6932</v>
      </c>
    </row>
    <row r="6936" spans="1:15" hidden="1" x14ac:dyDescent="0.45">
      <c r="A6936" s="187">
        <v>2024</v>
      </c>
      <c r="B6936" t="s">
        <v>8570</v>
      </c>
      <c r="C6936" t="s">
        <v>323</v>
      </c>
      <c r="D6936" t="s">
        <v>35</v>
      </c>
      <c r="E6936" t="s">
        <v>349</v>
      </c>
      <c r="F6936" t="s">
        <v>446</v>
      </c>
      <c r="G6936" t="s">
        <v>36</v>
      </c>
      <c r="H6936" t="s">
        <v>43</v>
      </c>
      <c r="I6936" s="187"/>
      <c r="J6936" s="187"/>
      <c r="K6936" s="187">
        <v>0</v>
      </c>
      <c r="L6936" s="187">
        <v>0</v>
      </c>
      <c r="M6936" s="187">
        <v>0</v>
      </c>
      <c r="N6936" s="187">
        <v>0</v>
      </c>
      <c r="O6936" t="s">
        <v>9034</v>
      </c>
    </row>
    <row r="6937" spans="1:15" hidden="1" x14ac:dyDescent="0.45">
      <c r="A6937" s="187">
        <v>2024</v>
      </c>
      <c r="B6937" t="s">
        <v>316</v>
      </c>
      <c r="C6937" t="s">
        <v>323</v>
      </c>
      <c r="D6937" t="s">
        <v>35</v>
      </c>
      <c r="E6937" t="s">
        <v>349</v>
      </c>
      <c r="F6937" t="s">
        <v>446</v>
      </c>
      <c r="G6937" t="s">
        <v>36</v>
      </c>
      <c r="H6937" t="s">
        <v>43</v>
      </c>
      <c r="I6937" s="187">
        <v>112.35930607922869</v>
      </c>
      <c r="J6937" s="187"/>
      <c r="K6937" s="187">
        <v>0</v>
      </c>
      <c r="L6937" s="187">
        <v>112.34829154084233</v>
      </c>
      <c r="M6937" s="187">
        <v>224.70759582519531</v>
      </c>
      <c r="N6937" s="187">
        <v>224.70759582519531</v>
      </c>
      <c r="O6937" t="s">
        <v>6930</v>
      </c>
    </row>
    <row r="6938" spans="1:15" hidden="1" x14ac:dyDescent="0.45">
      <c r="A6938" s="187">
        <v>2024</v>
      </c>
      <c r="B6938" t="s">
        <v>315</v>
      </c>
      <c r="C6938" t="s">
        <v>323</v>
      </c>
      <c r="D6938" t="s">
        <v>35</v>
      </c>
      <c r="E6938" t="s">
        <v>349</v>
      </c>
      <c r="F6938" t="s">
        <v>447</v>
      </c>
      <c r="G6938" t="s">
        <v>36</v>
      </c>
      <c r="H6938" t="s">
        <v>43</v>
      </c>
      <c r="I6938" s="187">
        <v>283.19935904625044</v>
      </c>
      <c r="J6938" s="187">
        <v>0</v>
      </c>
      <c r="K6938" s="187">
        <v>254.19202653234549</v>
      </c>
      <c r="L6938" s="187">
        <v>325.11286418509553</v>
      </c>
      <c r="M6938" s="187">
        <v>862.5042724609375</v>
      </c>
      <c r="N6938" s="187">
        <v>608.312255859375</v>
      </c>
      <c r="O6938" t="s">
        <v>6934</v>
      </c>
    </row>
    <row r="6939" spans="1:15" hidden="1" x14ac:dyDescent="0.45">
      <c r="A6939" s="187">
        <v>2024</v>
      </c>
      <c r="B6939" t="s">
        <v>317</v>
      </c>
      <c r="C6939" t="s">
        <v>323</v>
      </c>
      <c r="D6939" t="s">
        <v>35</v>
      </c>
      <c r="E6939" t="s">
        <v>349</v>
      </c>
      <c r="F6939" t="s">
        <v>447</v>
      </c>
      <c r="G6939" t="s">
        <v>36</v>
      </c>
      <c r="H6939" t="s">
        <v>43</v>
      </c>
      <c r="I6939" s="187">
        <v>251.7586192949893</v>
      </c>
      <c r="J6939" s="187">
        <v>0</v>
      </c>
      <c r="K6939" s="187">
        <v>482.68933000761751</v>
      </c>
      <c r="L6939" s="187">
        <v>183.68654626673037</v>
      </c>
      <c r="M6939" s="187">
        <v>918.13446044921875</v>
      </c>
      <c r="N6939" s="187">
        <v>435.44515991210938</v>
      </c>
      <c r="O6939" t="s">
        <v>6935</v>
      </c>
    </row>
    <row r="6940" spans="1:15" hidden="1" x14ac:dyDescent="0.45">
      <c r="A6940" s="187">
        <v>2024</v>
      </c>
      <c r="B6940" t="s">
        <v>8570</v>
      </c>
      <c r="C6940" t="s">
        <v>323</v>
      </c>
      <c r="D6940" t="s">
        <v>35</v>
      </c>
      <c r="E6940" t="s">
        <v>349</v>
      </c>
      <c r="F6940" t="s">
        <v>447</v>
      </c>
      <c r="G6940" t="s">
        <v>36</v>
      </c>
      <c r="H6940" t="s">
        <v>43</v>
      </c>
      <c r="I6940" s="187"/>
      <c r="J6940" s="187">
        <v>0</v>
      </c>
      <c r="K6940" s="187">
        <v>462.85537836832219</v>
      </c>
      <c r="L6940" s="187">
        <v>121</v>
      </c>
      <c r="M6940" s="187">
        <v>583.8553466796875</v>
      </c>
      <c r="N6940" s="187">
        <v>121</v>
      </c>
      <c r="O6940" t="s">
        <v>9035</v>
      </c>
    </row>
    <row r="6941" spans="1:15" hidden="1" x14ac:dyDescent="0.45">
      <c r="A6941" s="187">
        <v>2024</v>
      </c>
      <c r="B6941" t="s">
        <v>316</v>
      </c>
      <c r="C6941" t="s">
        <v>323</v>
      </c>
      <c r="D6941" t="s">
        <v>35</v>
      </c>
      <c r="E6941" t="s">
        <v>349</v>
      </c>
      <c r="F6941" t="s">
        <v>447</v>
      </c>
      <c r="G6941" t="s">
        <v>36</v>
      </c>
      <c r="H6941" t="s">
        <v>43</v>
      </c>
      <c r="I6941" s="187">
        <v>280.89826519807173</v>
      </c>
      <c r="J6941" s="187">
        <v>0</v>
      </c>
      <c r="K6941" s="187">
        <v>196.12814980288857</v>
      </c>
      <c r="L6941" s="187">
        <v>321.62452088162706</v>
      </c>
      <c r="M6941" s="187">
        <v>798.65093994140625</v>
      </c>
      <c r="N6941" s="187">
        <v>602.52276611328125</v>
      </c>
      <c r="O6941" t="s">
        <v>6933</v>
      </c>
    </row>
    <row r="6942" spans="1:15" hidden="1" x14ac:dyDescent="0.45">
      <c r="A6942" s="187">
        <v>2024</v>
      </c>
      <c r="B6942" t="s">
        <v>8570</v>
      </c>
      <c r="C6942" t="s">
        <v>328</v>
      </c>
      <c r="D6942" t="s">
        <v>39</v>
      </c>
      <c r="E6942" t="s">
        <v>349</v>
      </c>
      <c r="F6942" t="s">
        <v>349</v>
      </c>
      <c r="G6942" t="s">
        <v>36</v>
      </c>
      <c r="H6942" t="s">
        <v>43</v>
      </c>
      <c r="I6942" s="187">
        <v>0</v>
      </c>
      <c r="J6942" s="187"/>
      <c r="K6942" s="187">
        <v>2499.414705705321</v>
      </c>
      <c r="L6942" s="187">
        <v>0</v>
      </c>
      <c r="M6942" s="187">
        <v>2499.414794921875</v>
      </c>
      <c r="N6942" s="187">
        <v>0</v>
      </c>
      <c r="O6942" t="s">
        <v>9036</v>
      </c>
    </row>
    <row r="6943" spans="1:15" hidden="1" x14ac:dyDescent="0.45">
      <c r="A6943" s="187">
        <v>2024</v>
      </c>
      <c r="B6943" t="s">
        <v>314</v>
      </c>
      <c r="C6943" t="s">
        <v>328</v>
      </c>
      <c r="D6943" t="s">
        <v>39</v>
      </c>
      <c r="E6943" t="s">
        <v>349</v>
      </c>
      <c r="F6943" t="s">
        <v>349</v>
      </c>
      <c r="G6943" t="s">
        <v>36</v>
      </c>
      <c r="H6943" t="s">
        <v>43</v>
      </c>
      <c r="I6943" s="187">
        <v>0</v>
      </c>
      <c r="J6943" s="187">
        <v>22.192551404189587</v>
      </c>
      <c r="K6943" s="187">
        <v>2897.3128561445042</v>
      </c>
      <c r="L6943" s="187">
        <v>0</v>
      </c>
      <c r="M6943" s="187">
        <v>2919.50537109375</v>
      </c>
      <c r="N6943" s="187">
        <v>0</v>
      </c>
      <c r="O6943" t="s">
        <v>6942</v>
      </c>
    </row>
    <row r="6944" spans="1:15" hidden="1" x14ac:dyDescent="0.45">
      <c r="A6944" s="187">
        <v>2024</v>
      </c>
      <c r="B6944" t="s">
        <v>317</v>
      </c>
      <c r="C6944" t="s">
        <v>328</v>
      </c>
      <c r="D6944" t="s">
        <v>39</v>
      </c>
      <c r="E6944" t="s">
        <v>349</v>
      </c>
      <c r="F6944" t="s">
        <v>349</v>
      </c>
      <c r="G6944" t="s">
        <v>36</v>
      </c>
      <c r="H6944" t="s">
        <v>43</v>
      </c>
      <c r="I6944" s="187">
        <v>0</v>
      </c>
      <c r="J6944" s="187">
        <v>26.131645976874857</v>
      </c>
      <c r="K6944" s="187">
        <v>2370.9071014244523</v>
      </c>
      <c r="L6944" s="187">
        <v>0</v>
      </c>
      <c r="M6944" s="187">
        <v>2397.038818359375</v>
      </c>
      <c r="N6944" s="187">
        <v>0</v>
      </c>
      <c r="O6944" t="s">
        <v>6939</v>
      </c>
    </row>
    <row r="6945" spans="1:15" hidden="1" x14ac:dyDescent="0.45">
      <c r="A6945" s="187">
        <v>2024</v>
      </c>
      <c r="B6945" t="s">
        <v>315</v>
      </c>
      <c r="C6945" t="s">
        <v>328</v>
      </c>
      <c r="D6945" t="s">
        <v>39</v>
      </c>
      <c r="E6945" t="s">
        <v>349</v>
      </c>
      <c r="F6945" t="s">
        <v>349</v>
      </c>
      <c r="G6945" t="s">
        <v>36</v>
      </c>
      <c r="H6945" t="s">
        <v>43</v>
      </c>
      <c r="I6945" s="187">
        <v>0</v>
      </c>
      <c r="J6945" s="187">
        <v>21.603009729083823</v>
      </c>
      <c r="K6945" s="187">
        <v>2320.395544215296</v>
      </c>
      <c r="L6945" s="187">
        <v>0</v>
      </c>
      <c r="M6945" s="187">
        <v>2341.99853515625</v>
      </c>
      <c r="N6945" s="187">
        <v>0</v>
      </c>
      <c r="O6945" t="s">
        <v>6936</v>
      </c>
    </row>
    <row r="6946" spans="1:15" hidden="1" x14ac:dyDescent="0.45">
      <c r="A6946" s="187">
        <v>2024</v>
      </c>
      <c r="B6946" t="s">
        <v>310</v>
      </c>
      <c r="C6946" t="s">
        <v>328</v>
      </c>
      <c r="D6946" t="s">
        <v>39</v>
      </c>
      <c r="E6946" t="s">
        <v>349</v>
      </c>
      <c r="F6946" t="s">
        <v>349</v>
      </c>
      <c r="G6946" t="s">
        <v>36</v>
      </c>
      <c r="H6946" t="s">
        <v>43</v>
      </c>
      <c r="I6946" s="187"/>
      <c r="J6946" s="187">
        <v>0</v>
      </c>
      <c r="K6946" s="187">
        <v>3633.0956778704108</v>
      </c>
      <c r="L6946" s="187">
        <v>0</v>
      </c>
      <c r="M6946" s="187">
        <v>3633.095703125</v>
      </c>
      <c r="N6946" s="187">
        <v>0</v>
      </c>
      <c r="O6946" t="s">
        <v>6940</v>
      </c>
    </row>
    <row r="6947" spans="1:15" hidden="1" x14ac:dyDescent="0.45">
      <c r="A6947" s="187">
        <v>2024</v>
      </c>
      <c r="B6947" t="s">
        <v>311</v>
      </c>
      <c r="C6947" t="s">
        <v>328</v>
      </c>
      <c r="D6947" t="s">
        <v>39</v>
      </c>
      <c r="E6947" t="s">
        <v>349</v>
      </c>
      <c r="F6947" t="s">
        <v>349</v>
      </c>
      <c r="G6947" t="s">
        <v>36</v>
      </c>
      <c r="H6947" t="s">
        <v>43</v>
      </c>
      <c r="I6947" s="187"/>
      <c r="J6947" s="187">
        <v>0</v>
      </c>
      <c r="K6947" s="187">
        <v>2853.2132983181923</v>
      </c>
      <c r="L6947" s="187">
        <v>0</v>
      </c>
      <c r="M6947" s="187">
        <v>2853.21337890625</v>
      </c>
      <c r="N6947" s="187">
        <v>0</v>
      </c>
      <c r="O6947" t="s">
        <v>6937</v>
      </c>
    </row>
    <row r="6948" spans="1:15" hidden="1" x14ac:dyDescent="0.45">
      <c r="A6948" s="187">
        <v>2024</v>
      </c>
      <c r="B6948" t="s">
        <v>313</v>
      </c>
      <c r="C6948" t="s">
        <v>328</v>
      </c>
      <c r="D6948" t="s">
        <v>39</v>
      </c>
      <c r="E6948" t="s">
        <v>349</v>
      </c>
      <c r="F6948" t="s">
        <v>349</v>
      </c>
      <c r="G6948" t="s">
        <v>36</v>
      </c>
      <c r="H6948" t="s">
        <v>43</v>
      </c>
      <c r="I6948" s="187">
        <v>0</v>
      </c>
      <c r="J6948" s="187">
        <v>0</v>
      </c>
      <c r="K6948" s="187">
        <v>3093.7000381055173</v>
      </c>
      <c r="L6948" s="187">
        <v>0</v>
      </c>
      <c r="M6948" s="187">
        <v>3093.699951171875</v>
      </c>
      <c r="N6948" s="187">
        <v>0</v>
      </c>
      <c r="O6948" t="s">
        <v>6938</v>
      </c>
    </row>
    <row r="6949" spans="1:15" hidden="1" x14ac:dyDescent="0.45">
      <c r="A6949" s="187">
        <v>2024</v>
      </c>
      <c r="B6949" t="s">
        <v>316</v>
      </c>
      <c r="C6949" t="s">
        <v>328</v>
      </c>
      <c r="D6949" t="s">
        <v>39</v>
      </c>
      <c r="E6949" t="s">
        <v>349</v>
      </c>
      <c r="F6949" t="s">
        <v>349</v>
      </c>
      <c r="G6949" t="s">
        <v>36</v>
      </c>
      <c r="H6949" t="s">
        <v>43</v>
      </c>
      <c r="I6949" s="187">
        <v>0</v>
      </c>
      <c r="J6949" s="187">
        <v>26.440360977435727</v>
      </c>
      <c r="K6949" s="187">
        <v>2461.679874091496</v>
      </c>
      <c r="L6949" s="187">
        <v>0</v>
      </c>
      <c r="M6949" s="187">
        <v>2488.1201171875</v>
      </c>
      <c r="N6949" s="187">
        <v>0</v>
      </c>
      <c r="O6949" t="s">
        <v>6943</v>
      </c>
    </row>
    <row r="6950" spans="1:15" hidden="1" x14ac:dyDescent="0.45">
      <c r="A6950" s="187">
        <v>2024</v>
      </c>
      <c r="B6950" t="s">
        <v>312</v>
      </c>
      <c r="C6950" t="s">
        <v>328</v>
      </c>
      <c r="D6950" t="s">
        <v>39</v>
      </c>
      <c r="E6950" t="s">
        <v>349</v>
      </c>
      <c r="F6950" t="s">
        <v>349</v>
      </c>
      <c r="G6950" t="s">
        <v>36</v>
      </c>
      <c r="H6950" t="s">
        <v>43</v>
      </c>
      <c r="I6950" s="187">
        <v>0</v>
      </c>
      <c r="J6950" s="187">
        <v>0</v>
      </c>
      <c r="K6950" s="187">
        <v>3559.8283474145655</v>
      </c>
      <c r="L6950" s="187">
        <v>0</v>
      </c>
      <c r="M6950" s="187">
        <v>3559.828369140625</v>
      </c>
      <c r="N6950" s="187">
        <v>0</v>
      </c>
      <c r="O6950" t="s">
        <v>6941</v>
      </c>
    </row>
    <row r="6951" spans="1:15" hidden="1" x14ac:dyDescent="0.45">
      <c r="A6951" s="187">
        <v>2024</v>
      </c>
      <c r="B6951" t="s">
        <v>310</v>
      </c>
      <c r="C6951" t="s">
        <v>328</v>
      </c>
      <c r="D6951" t="s">
        <v>39</v>
      </c>
      <c r="E6951" t="s">
        <v>349</v>
      </c>
      <c r="F6951" t="s">
        <v>349</v>
      </c>
      <c r="G6951" t="s">
        <v>37</v>
      </c>
      <c r="H6951" t="s">
        <v>43</v>
      </c>
      <c r="I6951" s="187"/>
      <c r="J6951" s="187">
        <v>0</v>
      </c>
      <c r="K6951" s="187">
        <v>3803.8114579231601</v>
      </c>
      <c r="L6951" s="187">
        <v>0</v>
      </c>
      <c r="M6951" s="187">
        <v>3803.8115234375</v>
      </c>
      <c r="N6951" s="187">
        <v>0</v>
      </c>
      <c r="O6951" t="s">
        <v>6949</v>
      </c>
    </row>
    <row r="6952" spans="1:15" hidden="1" x14ac:dyDescent="0.45">
      <c r="A6952" s="187">
        <v>2024</v>
      </c>
      <c r="B6952" t="s">
        <v>314</v>
      </c>
      <c r="C6952" t="s">
        <v>328</v>
      </c>
      <c r="D6952" t="s">
        <v>39</v>
      </c>
      <c r="E6952" t="s">
        <v>349</v>
      </c>
      <c r="F6952" t="s">
        <v>349</v>
      </c>
      <c r="G6952" t="s">
        <v>37</v>
      </c>
      <c r="H6952" t="s">
        <v>43</v>
      </c>
      <c r="I6952" s="187">
        <v>0</v>
      </c>
      <c r="J6952" s="187">
        <v>23</v>
      </c>
      <c r="K6952" s="187">
        <v>2945.9088900207189</v>
      </c>
      <c r="L6952" s="187">
        <v>0</v>
      </c>
      <c r="M6952" s="187">
        <v>2968.908935546875</v>
      </c>
      <c r="N6952" s="187">
        <v>0</v>
      </c>
      <c r="O6952" t="s">
        <v>6946</v>
      </c>
    </row>
    <row r="6953" spans="1:15" hidden="1" x14ac:dyDescent="0.45">
      <c r="A6953" s="187">
        <v>2024</v>
      </c>
      <c r="B6953" t="s">
        <v>317</v>
      </c>
      <c r="C6953" t="s">
        <v>328</v>
      </c>
      <c r="D6953" t="s">
        <v>39</v>
      </c>
      <c r="E6953" t="s">
        <v>349</v>
      </c>
      <c r="F6953" t="s">
        <v>349</v>
      </c>
      <c r="G6953" t="s">
        <v>37</v>
      </c>
      <c r="H6953" t="s">
        <v>43</v>
      </c>
      <c r="I6953" s="187">
        <v>0</v>
      </c>
      <c r="J6953" s="187">
        <v>25</v>
      </c>
      <c r="K6953" s="187">
        <v>2392.396148216113</v>
      </c>
      <c r="L6953" s="187">
        <v>0</v>
      </c>
      <c r="M6953" s="187">
        <v>2417.396240234375</v>
      </c>
      <c r="N6953" s="187">
        <v>0</v>
      </c>
      <c r="O6953" t="s">
        <v>6948</v>
      </c>
    </row>
    <row r="6954" spans="1:15" hidden="1" x14ac:dyDescent="0.45">
      <c r="A6954" s="187">
        <v>2024</v>
      </c>
      <c r="B6954" t="s">
        <v>8570</v>
      </c>
      <c r="C6954" t="s">
        <v>328</v>
      </c>
      <c r="D6954" t="s">
        <v>39</v>
      </c>
      <c r="E6954" t="s">
        <v>349</v>
      </c>
      <c r="F6954" t="s">
        <v>349</v>
      </c>
      <c r="G6954" t="s">
        <v>37</v>
      </c>
      <c r="H6954" t="s">
        <v>43</v>
      </c>
      <c r="I6954" s="187">
        <v>0</v>
      </c>
      <c r="J6954" s="187">
        <v>5</v>
      </c>
      <c r="K6954" s="187">
        <v>2608.8243765540351</v>
      </c>
      <c r="L6954" s="187">
        <v>0</v>
      </c>
      <c r="M6954" s="187">
        <v>2613.824462890625</v>
      </c>
      <c r="N6954" s="187">
        <v>0</v>
      </c>
      <c r="O6954" t="s">
        <v>9037</v>
      </c>
    </row>
    <row r="6955" spans="1:15" hidden="1" x14ac:dyDescent="0.45">
      <c r="A6955" s="187">
        <v>2024</v>
      </c>
      <c r="B6955" t="s">
        <v>313</v>
      </c>
      <c r="C6955" t="s">
        <v>328</v>
      </c>
      <c r="D6955" t="s">
        <v>39</v>
      </c>
      <c r="E6955" t="s">
        <v>349</v>
      </c>
      <c r="F6955" t="s">
        <v>349</v>
      </c>
      <c r="G6955" t="s">
        <v>37</v>
      </c>
      <c r="H6955" t="s">
        <v>43</v>
      </c>
      <c r="I6955" s="187">
        <v>0</v>
      </c>
      <c r="J6955" s="187">
        <v>0</v>
      </c>
      <c r="K6955" s="187">
        <v>3100.413507255877</v>
      </c>
      <c r="L6955" s="187">
        <v>0</v>
      </c>
      <c r="M6955" s="187">
        <v>3100.41357421875</v>
      </c>
      <c r="N6955" s="187">
        <v>0</v>
      </c>
      <c r="O6955" t="s">
        <v>6950</v>
      </c>
    </row>
    <row r="6956" spans="1:15" hidden="1" x14ac:dyDescent="0.45">
      <c r="A6956" s="187">
        <v>2024</v>
      </c>
      <c r="B6956" t="s">
        <v>312</v>
      </c>
      <c r="C6956" t="s">
        <v>328</v>
      </c>
      <c r="D6956" t="s">
        <v>39</v>
      </c>
      <c r="E6956" t="s">
        <v>349</v>
      </c>
      <c r="F6956" t="s">
        <v>349</v>
      </c>
      <c r="G6956" t="s">
        <v>37</v>
      </c>
      <c r="H6956" t="s">
        <v>43</v>
      </c>
      <c r="I6956" s="187">
        <v>0</v>
      </c>
      <c r="J6956" s="187">
        <v>0</v>
      </c>
      <c r="K6956" s="187">
        <v>3585.2606688031169</v>
      </c>
      <c r="L6956" s="187">
        <v>0</v>
      </c>
      <c r="M6956" s="187">
        <v>3585.2607421875</v>
      </c>
      <c r="N6956" s="187">
        <v>0</v>
      </c>
      <c r="O6956" t="s">
        <v>6945</v>
      </c>
    </row>
    <row r="6957" spans="1:15" hidden="1" x14ac:dyDescent="0.45">
      <c r="A6957" s="187">
        <v>2024</v>
      </c>
      <c r="B6957" t="s">
        <v>315</v>
      </c>
      <c r="C6957" t="s">
        <v>328</v>
      </c>
      <c r="D6957" t="s">
        <v>39</v>
      </c>
      <c r="E6957" t="s">
        <v>349</v>
      </c>
      <c r="F6957" t="s">
        <v>349</v>
      </c>
      <c r="G6957" t="s">
        <v>37</v>
      </c>
      <c r="H6957" t="s">
        <v>43</v>
      </c>
      <c r="I6957" s="187">
        <v>0</v>
      </c>
      <c r="J6957" s="187">
        <v>22</v>
      </c>
      <c r="K6957" s="187">
        <v>2365.8985409217289</v>
      </c>
      <c r="L6957" s="187">
        <v>0</v>
      </c>
      <c r="M6957" s="187">
        <v>2387.8984375</v>
      </c>
      <c r="N6957" s="187">
        <v>0</v>
      </c>
      <c r="O6957" t="s">
        <v>6944</v>
      </c>
    </row>
    <row r="6958" spans="1:15" hidden="1" x14ac:dyDescent="0.45">
      <c r="A6958" s="187">
        <v>2024</v>
      </c>
      <c r="B6958" t="s">
        <v>311</v>
      </c>
      <c r="C6958" t="s">
        <v>328</v>
      </c>
      <c r="D6958" t="s">
        <v>39</v>
      </c>
      <c r="E6958" t="s">
        <v>349</v>
      </c>
      <c r="F6958" t="s">
        <v>349</v>
      </c>
      <c r="G6958" t="s">
        <v>37</v>
      </c>
      <c r="H6958" t="s">
        <v>43</v>
      </c>
      <c r="I6958" s="187"/>
      <c r="J6958" s="187">
        <v>0</v>
      </c>
      <c r="K6958" s="187">
        <v>2905.3898589509672</v>
      </c>
      <c r="L6958" s="187">
        <v>0</v>
      </c>
      <c r="M6958" s="187">
        <v>2905.389892578125</v>
      </c>
      <c r="N6958" s="187">
        <v>0</v>
      </c>
      <c r="O6958" t="s">
        <v>6951</v>
      </c>
    </row>
    <row r="6959" spans="1:15" hidden="1" x14ac:dyDescent="0.45">
      <c r="A6959" s="187">
        <v>2024</v>
      </c>
      <c r="B6959" t="s">
        <v>316</v>
      </c>
      <c r="C6959" t="s">
        <v>328</v>
      </c>
      <c r="D6959" t="s">
        <v>39</v>
      </c>
      <c r="E6959" t="s">
        <v>349</v>
      </c>
      <c r="F6959" t="s">
        <v>349</v>
      </c>
      <c r="G6959" t="s">
        <v>37</v>
      </c>
      <c r="H6959" t="s">
        <v>43</v>
      </c>
      <c r="I6959" s="187">
        <v>0</v>
      </c>
      <c r="J6959" s="187">
        <v>25</v>
      </c>
      <c r="K6959" s="187">
        <v>2474.4208070154541</v>
      </c>
      <c r="L6959" s="187">
        <v>0</v>
      </c>
      <c r="M6959" s="187">
        <v>2499.4208984375</v>
      </c>
      <c r="N6959" s="187">
        <v>0</v>
      </c>
      <c r="O6959" t="s">
        <v>6947</v>
      </c>
    </row>
    <row r="6960" spans="1:15" hidden="1" x14ac:dyDescent="0.45">
      <c r="A6960" s="187">
        <v>2024</v>
      </c>
      <c r="B6960" t="s">
        <v>312</v>
      </c>
      <c r="C6960" t="s">
        <v>328</v>
      </c>
      <c r="D6960" t="s">
        <v>39</v>
      </c>
      <c r="E6960" t="s">
        <v>21</v>
      </c>
      <c r="F6960" t="s">
        <v>21</v>
      </c>
      <c r="G6960" t="s">
        <v>36</v>
      </c>
      <c r="H6960" t="s">
        <v>43</v>
      </c>
      <c r="I6960" s="187">
        <v>1901.6232069035862</v>
      </c>
      <c r="J6960" s="187">
        <v>887.21672074134676</v>
      </c>
      <c r="K6960" s="187">
        <v>7740.5961297988915</v>
      </c>
      <c r="L6960" s="187">
        <v>5028.7211779535683</v>
      </c>
      <c r="M6960" s="187">
        <v>15558.15625</v>
      </c>
      <c r="N6960" s="187">
        <v>6930.34423828125</v>
      </c>
      <c r="O6960" t="s">
        <v>6952</v>
      </c>
    </row>
    <row r="6961" spans="1:15" hidden="1" x14ac:dyDescent="0.45">
      <c r="A6961" s="187">
        <v>2024</v>
      </c>
      <c r="B6961" t="s">
        <v>311</v>
      </c>
      <c r="C6961" t="s">
        <v>328</v>
      </c>
      <c r="D6961" t="s">
        <v>39</v>
      </c>
      <c r="E6961" t="s">
        <v>21</v>
      </c>
      <c r="F6961" t="s">
        <v>21</v>
      </c>
      <c r="G6961" t="s">
        <v>36</v>
      </c>
      <c r="H6961" t="s">
        <v>43</v>
      </c>
      <c r="I6961" s="187"/>
      <c r="J6961" s="187">
        <v>891.27375513324205</v>
      </c>
      <c r="K6961" s="187">
        <v>7610.0854182394442</v>
      </c>
      <c r="L6961" s="187">
        <v>647.77543510337591</v>
      </c>
      <c r="M6961" s="187">
        <v>9149.134765625</v>
      </c>
      <c r="N6961" s="187">
        <v>647.77545166015625</v>
      </c>
      <c r="O6961" t="s">
        <v>6958</v>
      </c>
    </row>
    <row r="6962" spans="1:15" hidden="1" x14ac:dyDescent="0.45">
      <c r="A6962" s="187">
        <v>2024</v>
      </c>
      <c r="B6962" t="s">
        <v>316</v>
      </c>
      <c r="C6962" t="s">
        <v>328</v>
      </c>
      <c r="D6962" t="s">
        <v>39</v>
      </c>
      <c r="E6962" t="s">
        <v>21</v>
      </c>
      <c r="F6962" t="s">
        <v>21</v>
      </c>
      <c r="G6962" t="s">
        <v>36</v>
      </c>
      <c r="H6962" t="s">
        <v>43</v>
      </c>
      <c r="I6962" s="187">
        <v>3117.8522850700328</v>
      </c>
      <c r="J6962" s="187">
        <v>1327.3061210672736</v>
      </c>
      <c r="K6962" s="187">
        <v>6354.5123359254694</v>
      </c>
      <c r="L6962" s="187">
        <v>5255.2861478751247</v>
      </c>
      <c r="M6962" s="187">
        <v>16054.95703125</v>
      </c>
      <c r="N6962" s="187">
        <v>8373.138671875</v>
      </c>
      <c r="O6962" t="s">
        <v>6954</v>
      </c>
    </row>
    <row r="6963" spans="1:15" hidden="1" x14ac:dyDescent="0.45">
      <c r="A6963" s="187">
        <v>2024</v>
      </c>
      <c r="B6963" t="s">
        <v>310</v>
      </c>
      <c r="C6963" t="s">
        <v>328</v>
      </c>
      <c r="D6963" t="s">
        <v>39</v>
      </c>
      <c r="E6963" t="s">
        <v>21</v>
      </c>
      <c r="F6963" t="s">
        <v>21</v>
      </c>
      <c r="G6963" t="s">
        <v>36</v>
      </c>
      <c r="H6963" t="s">
        <v>43</v>
      </c>
      <c r="I6963" s="187"/>
      <c r="J6963" s="187">
        <v>1039.1238095670417</v>
      </c>
      <c r="K6963" s="187">
        <v>7598.9595581503854</v>
      </c>
      <c r="L6963" s="187">
        <v>9421.6878950891751</v>
      </c>
      <c r="M6963" s="187">
        <v>18059.771484375</v>
      </c>
      <c r="N6963" s="187">
        <v>9421.6875</v>
      </c>
      <c r="O6963" t="s">
        <v>6959</v>
      </c>
    </row>
    <row r="6964" spans="1:15" hidden="1" x14ac:dyDescent="0.45">
      <c r="A6964" s="187">
        <v>2024</v>
      </c>
      <c r="B6964" t="s">
        <v>317</v>
      </c>
      <c r="C6964" t="s">
        <v>328</v>
      </c>
      <c r="D6964" t="s">
        <v>39</v>
      </c>
      <c r="E6964" t="s">
        <v>21</v>
      </c>
      <c r="F6964" t="s">
        <v>21</v>
      </c>
      <c r="G6964" t="s">
        <v>36</v>
      </c>
      <c r="H6964" t="s">
        <v>43</v>
      </c>
      <c r="I6964" s="187">
        <v>3081.448554774689</v>
      </c>
      <c r="J6964" s="187">
        <v>1311.8086280391178</v>
      </c>
      <c r="K6964" s="187">
        <v>7571.4178000549628</v>
      </c>
      <c r="L6964" s="187">
        <v>5351.7610960639713</v>
      </c>
      <c r="M6964" s="187">
        <v>17316.435546875</v>
      </c>
      <c r="N6964" s="187">
        <v>8433.2099609375</v>
      </c>
      <c r="O6964" t="s">
        <v>6956</v>
      </c>
    </row>
    <row r="6965" spans="1:15" hidden="1" x14ac:dyDescent="0.45">
      <c r="A6965" s="187">
        <v>2024</v>
      </c>
      <c r="B6965" t="s">
        <v>314</v>
      </c>
      <c r="C6965" t="s">
        <v>328</v>
      </c>
      <c r="D6965" t="s">
        <v>39</v>
      </c>
      <c r="E6965" t="s">
        <v>21</v>
      </c>
      <c r="F6965" t="s">
        <v>21</v>
      </c>
      <c r="G6965" t="s">
        <v>36</v>
      </c>
      <c r="H6965" t="s">
        <v>43</v>
      </c>
      <c r="I6965" s="187">
        <v>1958.4926614197309</v>
      </c>
      <c r="J6965" s="187">
        <v>909.89460757177301</v>
      </c>
      <c r="K6965" s="187">
        <v>5662.0990566243881</v>
      </c>
      <c r="L6965" s="187">
        <v>5066.5594855764821</v>
      </c>
      <c r="M6965" s="187">
        <v>13597.0458984375</v>
      </c>
      <c r="N6965" s="187">
        <v>7025.05224609375</v>
      </c>
      <c r="O6965" t="s">
        <v>6955</v>
      </c>
    </row>
    <row r="6966" spans="1:15" hidden="1" x14ac:dyDescent="0.45">
      <c r="A6966" s="187">
        <v>2024</v>
      </c>
      <c r="B6966" t="s">
        <v>8570</v>
      </c>
      <c r="C6966" t="s">
        <v>328</v>
      </c>
      <c r="D6966" t="s">
        <v>39</v>
      </c>
      <c r="E6966" t="s">
        <v>21</v>
      </c>
      <c r="F6966" t="s">
        <v>21</v>
      </c>
      <c r="G6966" t="s">
        <v>36</v>
      </c>
      <c r="H6966" t="s">
        <v>43</v>
      </c>
      <c r="I6966" s="187">
        <v>3178.9001411561881</v>
      </c>
      <c r="J6966" s="187">
        <v>1531</v>
      </c>
      <c r="K6966" s="187">
        <v>6715.544034368183</v>
      </c>
      <c r="L6966" s="187">
        <v>5400</v>
      </c>
      <c r="M6966" s="187">
        <v>16825.4453125</v>
      </c>
      <c r="N6966" s="187">
        <v>8578.900390625</v>
      </c>
      <c r="O6966" t="s">
        <v>9038</v>
      </c>
    </row>
    <row r="6967" spans="1:15" hidden="1" x14ac:dyDescent="0.45">
      <c r="A6967" s="187">
        <v>2024</v>
      </c>
      <c r="B6967" t="s">
        <v>315</v>
      </c>
      <c r="C6967" t="s">
        <v>328</v>
      </c>
      <c r="D6967" t="s">
        <v>39</v>
      </c>
      <c r="E6967" t="s">
        <v>21</v>
      </c>
      <c r="F6967" t="s">
        <v>21</v>
      </c>
      <c r="G6967" t="s">
        <v>36</v>
      </c>
      <c r="H6967" t="s">
        <v>43</v>
      </c>
      <c r="I6967" s="187">
        <v>1906.4656085916472</v>
      </c>
      <c r="J6967" s="187">
        <v>1069.3489815896492</v>
      </c>
      <c r="K6967" s="187">
        <v>6188.150386151935</v>
      </c>
      <c r="L6967" s="187">
        <v>5191.2032378988424</v>
      </c>
      <c r="M6967" s="187">
        <v>14355.16796875</v>
      </c>
      <c r="N6967" s="187">
        <v>7097.6689453125</v>
      </c>
      <c r="O6967" t="s">
        <v>6957</v>
      </c>
    </row>
    <row r="6968" spans="1:15" hidden="1" x14ac:dyDescent="0.45">
      <c r="A6968" s="187">
        <v>2024</v>
      </c>
      <c r="B6968" t="s">
        <v>313</v>
      </c>
      <c r="C6968" t="s">
        <v>328</v>
      </c>
      <c r="D6968" t="s">
        <v>39</v>
      </c>
      <c r="E6968" t="s">
        <v>21</v>
      </c>
      <c r="F6968" t="s">
        <v>21</v>
      </c>
      <c r="G6968" t="s">
        <v>36</v>
      </c>
      <c r="H6968" t="s">
        <v>43</v>
      </c>
      <c r="I6968" s="187">
        <v>1940.0044612941792</v>
      </c>
      <c r="J6968" s="187">
        <v>912.85735991632748</v>
      </c>
      <c r="K6968" s="187">
        <v>7402.4466311730148</v>
      </c>
      <c r="L6968" s="187">
        <v>5323.0994800120843</v>
      </c>
      <c r="M6968" s="187">
        <v>15578.408203125</v>
      </c>
      <c r="N6968" s="187">
        <v>7263.10400390625</v>
      </c>
      <c r="O6968" t="s">
        <v>6953</v>
      </c>
    </row>
    <row r="6969" spans="1:15" hidden="1" x14ac:dyDescent="0.45">
      <c r="A6969" s="187">
        <v>2024</v>
      </c>
      <c r="B6969" t="s">
        <v>314</v>
      </c>
      <c r="C6969" t="s">
        <v>328</v>
      </c>
      <c r="D6969" t="s">
        <v>39</v>
      </c>
      <c r="E6969" t="s">
        <v>21</v>
      </c>
      <c r="F6969" t="s">
        <v>21</v>
      </c>
      <c r="G6969" t="s">
        <v>37</v>
      </c>
      <c r="H6969" t="s">
        <v>43</v>
      </c>
      <c r="I6969" s="187">
        <v>1988.6511550498969</v>
      </c>
      <c r="J6969" s="187">
        <v>923</v>
      </c>
      <c r="K6969" s="187">
        <v>5757.0682819818294</v>
      </c>
      <c r="L6969" s="187">
        <v>5487</v>
      </c>
      <c r="M6969" s="187">
        <v>14155.7197265625</v>
      </c>
      <c r="N6969" s="187">
        <v>7475.6513671875</v>
      </c>
      <c r="O6969" t="s">
        <v>6965</v>
      </c>
    </row>
    <row r="6970" spans="1:15" hidden="1" x14ac:dyDescent="0.45">
      <c r="A6970" s="187">
        <v>2024</v>
      </c>
      <c r="B6970" t="s">
        <v>8570</v>
      </c>
      <c r="C6970" t="s">
        <v>328</v>
      </c>
      <c r="D6970" t="s">
        <v>39</v>
      </c>
      <c r="E6970" t="s">
        <v>21</v>
      </c>
      <c r="F6970" t="s">
        <v>21</v>
      </c>
      <c r="G6970" t="s">
        <v>37</v>
      </c>
      <c r="H6970" t="s">
        <v>43</v>
      </c>
      <c r="I6970" s="187">
        <v>3307.3277068588982</v>
      </c>
      <c r="J6970" s="187">
        <v>1562</v>
      </c>
      <c r="K6970" s="187">
        <v>7009.5110422012949</v>
      </c>
      <c r="L6970" s="187">
        <v>5791</v>
      </c>
      <c r="M6970" s="187">
        <v>17669.83984375</v>
      </c>
      <c r="N6970" s="187">
        <v>9098.328125</v>
      </c>
      <c r="O6970" t="s">
        <v>9039</v>
      </c>
    </row>
    <row r="6971" spans="1:15" hidden="1" x14ac:dyDescent="0.45">
      <c r="A6971" s="187">
        <v>2024</v>
      </c>
      <c r="B6971" t="s">
        <v>315</v>
      </c>
      <c r="C6971" t="s">
        <v>328</v>
      </c>
      <c r="D6971" t="s">
        <v>39</v>
      </c>
      <c r="E6971" t="s">
        <v>21</v>
      </c>
      <c r="F6971" t="s">
        <v>21</v>
      </c>
      <c r="G6971" t="s">
        <v>37</v>
      </c>
      <c r="H6971" t="s">
        <v>43</v>
      </c>
      <c r="I6971" s="187">
        <v>1949.084734930801</v>
      </c>
      <c r="J6971" s="187">
        <v>1072</v>
      </c>
      <c r="K6971" s="187">
        <v>6309.5001221234406</v>
      </c>
      <c r="L6971" s="187">
        <v>5406</v>
      </c>
      <c r="M6971" s="187">
        <v>14736.5849609375</v>
      </c>
      <c r="N6971" s="187">
        <v>7355.0849609375</v>
      </c>
      <c r="O6971" t="s">
        <v>6960</v>
      </c>
    </row>
    <row r="6972" spans="1:15" hidden="1" x14ac:dyDescent="0.45">
      <c r="A6972" s="187">
        <v>2024</v>
      </c>
      <c r="B6972" t="s">
        <v>312</v>
      </c>
      <c r="C6972" t="s">
        <v>328</v>
      </c>
      <c r="D6972" t="s">
        <v>39</v>
      </c>
      <c r="E6972" t="s">
        <v>21</v>
      </c>
      <c r="F6972" t="s">
        <v>21</v>
      </c>
      <c r="G6972" t="s">
        <v>37</v>
      </c>
      <c r="H6972" t="s">
        <v>43</v>
      </c>
      <c r="I6972" s="187">
        <v>1888.9822540543421</v>
      </c>
      <c r="J6972" s="187">
        <v>896</v>
      </c>
      <c r="K6972" s="187">
        <v>7795.8969222247397</v>
      </c>
      <c r="L6972" s="187">
        <v>5093</v>
      </c>
      <c r="M6972" s="187">
        <v>15673.87890625</v>
      </c>
      <c r="N6972" s="187">
        <v>6981.982421875</v>
      </c>
      <c r="O6972" t="s">
        <v>6961</v>
      </c>
    </row>
    <row r="6973" spans="1:15" hidden="1" x14ac:dyDescent="0.45">
      <c r="A6973" s="187">
        <v>2024</v>
      </c>
      <c r="B6973" t="s">
        <v>313</v>
      </c>
      <c r="C6973" t="s">
        <v>328</v>
      </c>
      <c r="D6973" t="s">
        <v>39</v>
      </c>
      <c r="E6973" t="s">
        <v>21</v>
      </c>
      <c r="F6973" t="s">
        <v>21</v>
      </c>
      <c r="G6973" t="s">
        <v>37</v>
      </c>
      <c r="H6973" t="s">
        <v>43</v>
      </c>
      <c r="I6973" s="187">
        <v>1948.9263373035822</v>
      </c>
      <c r="J6973" s="187">
        <v>919</v>
      </c>
      <c r="K6973" s="187">
        <v>7418.5102755093922</v>
      </c>
      <c r="L6973" s="187">
        <v>5399</v>
      </c>
      <c r="M6973" s="187">
        <v>15685.4365234375</v>
      </c>
      <c r="N6973" s="187">
        <v>7347.92626953125</v>
      </c>
      <c r="O6973" t="s">
        <v>6963</v>
      </c>
    </row>
    <row r="6974" spans="1:15" hidden="1" x14ac:dyDescent="0.45">
      <c r="A6974" s="187">
        <v>2024</v>
      </c>
      <c r="B6974" t="s">
        <v>311</v>
      </c>
      <c r="C6974" t="s">
        <v>328</v>
      </c>
      <c r="D6974" t="s">
        <v>39</v>
      </c>
      <c r="E6974" t="s">
        <v>21</v>
      </c>
      <c r="F6974" t="s">
        <v>21</v>
      </c>
      <c r="G6974" t="s">
        <v>37</v>
      </c>
      <c r="H6974" t="s">
        <v>43</v>
      </c>
      <c r="I6974" s="187"/>
      <c r="J6974" s="187">
        <v>915</v>
      </c>
      <c r="K6974" s="187">
        <v>7749.2506476596964</v>
      </c>
      <c r="L6974" s="187">
        <v>703</v>
      </c>
      <c r="M6974" s="187">
        <v>9367.2509765625</v>
      </c>
      <c r="N6974" s="187">
        <v>703</v>
      </c>
      <c r="O6974" t="s">
        <v>6964</v>
      </c>
    </row>
    <row r="6975" spans="1:15" hidden="1" x14ac:dyDescent="0.45">
      <c r="A6975" s="187">
        <v>2024</v>
      </c>
      <c r="B6975" t="s">
        <v>317</v>
      </c>
      <c r="C6975" t="s">
        <v>328</v>
      </c>
      <c r="D6975" t="s">
        <v>39</v>
      </c>
      <c r="E6975" t="s">
        <v>21</v>
      </c>
      <c r="F6975" t="s">
        <v>21</v>
      </c>
      <c r="G6975" t="s">
        <v>37</v>
      </c>
      <c r="H6975" t="s">
        <v>43</v>
      </c>
      <c r="I6975" s="187">
        <v>3128</v>
      </c>
      <c r="J6975" s="187">
        <v>1255</v>
      </c>
      <c r="K6975" s="187">
        <v>7640.0424000179246</v>
      </c>
      <c r="L6975" s="187">
        <v>5413</v>
      </c>
      <c r="M6975" s="187">
        <v>17436.04296875</v>
      </c>
      <c r="N6975" s="187">
        <v>8541</v>
      </c>
      <c r="O6975" t="s">
        <v>6966</v>
      </c>
    </row>
    <row r="6976" spans="1:15" hidden="1" x14ac:dyDescent="0.45">
      <c r="A6976" s="187">
        <v>2024</v>
      </c>
      <c r="B6976" t="s">
        <v>316</v>
      </c>
      <c r="C6976" t="s">
        <v>328</v>
      </c>
      <c r="D6976" t="s">
        <v>39</v>
      </c>
      <c r="E6976" t="s">
        <v>21</v>
      </c>
      <c r="F6976" t="s">
        <v>21</v>
      </c>
      <c r="G6976" t="s">
        <v>37</v>
      </c>
      <c r="H6976" t="s">
        <v>43</v>
      </c>
      <c r="I6976" s="187">
        <v>3191.3278863216601</v>
      </c>
      <c r="J6976" s="187">
        <v>1255</v>
      </c>
      <c r="K6976" s="187">
        <v>6387.4014277560491</v>
      </c>
      <c r="L6976" s="187">
        <v>5424</v>
      </c>
      <c r="M6976" s="187">
        <v>16257.7294921875</v>
      </c>
      <c r="N6976" s="187">
        <v>8615.328125</v>
      </c>
      <c r="O6976" t="s">
        <v>6962</v>
      </c>
    </row>
    <row r="6977" spans="1:15" hidden="1" x14ac:dyDescent="0.45">
      <c r="A6977" s="187">
        <v>2024</v>
      </c>
      <c r="B6977" t="s">
        <v>310</v>
      </c>
      <c r="C6977" t="s">
        <v>328</v>
      </c>
      <c r="D6977" t="s">
        <v>39</v>
      </c>
      <c r="E6977" t="s">
        <v>21</v>
      </c>
      <c r="F6977" t="s">
        <v>21</v>
      </c>
      <c r="G6977" t="s">
        <v>37</v>
      </c>
      <c r="H6977" t="s">
        <v>43</v>
      </c>
      <c r="I6977" s="187"/>
      <c r="J6977" s="187">
        <v>1087</v>
      </c>
      <c r="K6977" s="187">
        <v>7956.0275859649837</v>
      </c>
      <c r="L6977" s="187">
        <v>10424</v>
      </c>
      <c r="M6977" s="187">
        <v>19467.02734375</v>
      </c>
      <c r="N6977" s="187">
        <v>10424</v>
      </c>
      <c r="O6977" t="s">
        <v>6967</v>
      </c>
    </row>
    <row r="6978" spans="1:15" hidden="1" x14ac:dyDescent="0.45">
      <c r="A6978" s="187">
        <v>2024</v>
      </c>
      <c r="B6978" t="s">
        <v>8570</v>
      </c>
      <c r="C6978" t="s">
        <v>328</v>
      </c>
      <c r="D6978" t="s">
        <v>39</v>
      </c>
      <c r="E6978" t="s">
        <v>352</v>
      </c>
      <c r="F6978" t="s">
        <v>433</v>
      </c>
      <c r="G6978" t="s">
        <v>36</v>
      </c>
      <c r="H6978" t="s">
        <v>43</v>
      </c>
      <c r="I6978" s="187">
        <v>0</v>
      </c>
      <c r="J6978" s="187">
        <v>397</v>
      </c>
      <c r="K6978" s="187">
        <v>79.982563771807406</v>
      </c>
      <c r="L6978" s="187">
        <v>366</v>
      </c>
      <c r="M6978" s="187">
        <v>842.9825439453125</v>
      </c>
      <c r="N6978" s="187">
        <v>366</v>
      </c>
      <c r="O6978" t="s">
        <v>9040</v>
      </c>
    </row>
    <row r="6979" spans="1:15" hidden="1" x14ac:dyDescent="0.45">
      <c r="A6979" s="187">
        <v>2024</v>
      </c>
      <c r="B6979" t="s">
        <v>311</v>
      </c>
      <c r="C6979" t="s">
        <v>328</v>
      </c>
      <c r="D6979" t="s">
        <v>39</v>
      </c>
      <c r="E6979" t="s">
        <v>352</v>
      </c>
      <c r="F6979" t="s">
        <v>433</v>
      </c>
      <c r="G6979" t="s">
        <v>36</v>
      </c>
      <c r="H6979" t="s">
        <v>43</v>
      </c>
      <c r="I6979" s="187"/>
      <c r="J6979" s="187">
        <v>233.0127464400633</v>
      </c>
      <c r="K6979" s="187">
        <v>172.85701075536434</v>
      </c>
      <c r="L6979" s="187">
        <v>259.80921228067058</v>
      </c>
      <c r="M6979" s="187">
        <v>665.678955078125</v>
      </c>
      <c r="N6979" s="187">
        <v>259.8092041015625</v>
      </c>
      <c r="O6979" t="s">
        <v>6968</v>
      </c>
    </row>
    <row r="6980" spans="1:15" hidden="1" x14ac:dyDescent="0.45">
      <c r="A6980" s="187">
        <v>2024</v>
      </c>
      <c r="B6980" t="s">
        <v>316</v>
      </c>
      <c r="C6980" t="s">
        <v>328</v>
      </c>
      <c r="D6980" t="s">
        <v>39</v>
      </c>
      <c r="E6980" t="s">
        <v>352</v>
      </c>
      <c r="F6980" t="s">
        <v>433</v>
      </c>
      <c r="G6980" t="s">
        <v>36</v>
      </c>
      <c r="H6980" t="s">
        <v>43</v>
      </c>
      <c r="I6980" s="187"/>
      <c r="J6980" s="187">
        <v>301.42011514276726</v>
      </c>
      <c r="K6980" s="187">
        <v>115.86904749648855</v>
      </c>
      <c r="L6980" s="187">
        <v>285.55589855630586</v>
      </c>
      <c r="M6980" s="187">
        <v>702.84503173828125</v>
      </c>
      <c r="N6980" s="187">
        <v>285.555908203125</v>
      </c>
      <c r="O6980" t="s">
        <v>6972</v>
      </c>
    </row>
    <row r="6981" spans="1:15" hidden="1" x14ac:dyDescent="0.45">
      <c r="A6981" s="187">
        <v>2024</v>
      </c>
      <c r="B6981" t="s">
        <v>313</v>
      </c>
      <c r="C6981" t="s">
        <v>328</v>
      </c>
      <c r="D6981" t="s">
        <v>39</v>
      </c>
      <c r="E6981" t="s">
        <v>352</v>
      </c>
      <c r="F6981" t="s">
        <v>433</v>
      </c>
      <c r="G6981" t="s">
        <v>36</v>
      </c>
      <c r="H6981" t="s">
        <v>43</v>
      </c>
      <c r="I6981" s="187"/>
      <c r="J6981" s="187">
        <v>182.5714719832655</v>
      </c>
      <c r="K6981" s="187">
        <v>155.63419236383456</v>
      </c>
      <c r="L6981" s="187">
        <v>289.83221177343398</v>
      </c>
      <c r="M6981" s="187">
        <v>628.037841796875</v>
      </c>
      <c r="N6981" s="187">
        <v>289.83221435546875</v>
      </c>
      <c r="O6981" t="s">
        <v>6974</v>
      </c>
    </row>
    <row r="6982" spans="1:15" hidden="1" x14ac:dyDescent="0.45">
      <c r="A6982" s="187">
        <v>2024</v>
      </c>
      <c r="B6982" t="s">
        <v>310</v>
      </c>
      <c r="C6982" t="s">
        <v>328</v>
      </c>
      <c r="D6982" t="s">
        <v>39</v>
      </c>
      <c r="E6982" t="s">
        <v>352</v>
      </c>
      <c r="F6982" t="s">
        <v>433</v>
      </c>
      <c r="G6982" t="s">
        <v>36</v>
      </c>
      <c r="H6982" t="s">
        <v>43</v>
      </c>
      <c r="I6982" s="187"/>
      <c r="J6982" s="187">
        <v>251.32294012954995</v>
      </c>
      <c r="K6982" s="187">
        <v>523.39463461863249</v>
      </c>
      <c r="L6982" s="187">
        <v>310.93907941609439</v>
      </c>
      <c r="M6982" s="187">
        <v>1085.6566162109375</v>
      </c>
      <c r="N6982" s="187">
        <v>310.9390869140625</v>
      </c>
      <c r="O6982" t="s">
        <v>6975</v>
      </c>
    </row>
    <row r="6983" spans="1:15" hidden="1" x14ac:dyDescent="0.45">
      <c r="A6983" s="187">
        <v>2024</v>
      </c>
      <c r="B6983" t="s">
        <v>317</v>
      </c>
      <c r="C6983" t="s">
        <v>328</v>
      </c>
      <c r="D6983" t="s">
        <v>39</v>
      </c>
      <c r="E6983" t="s">
        <v>352</v>
      </c>
      <c r="F6983" t="s">
        <v>433</v>
      </c>
      <c r="G6983" t="s">
        <v>36</v>
      </c>
      <c r="H6983" t="s">
        <v>43</v>
      </c>
      <c r="I6983" s="187"/>
      <c r="J6983" s="187">
        <v>414.97053811277277</v>
      </c>
      <c r="K6983" s="187">
        <v>79.70495726039735</v>
      </c>
      <c r="L6983" s="187">
        <v>307.30815668804831</v>
      </c>
      <c r="M6983" s="187">
        <v>801.983642578125</v>
      </c>
      <c r="N6983" s="187">
        <v>307.30816650390625</v>
      </c>
      <c r="O6983" t="s">
        <v>6969</v>
      </c>
    </row>
    <row r="6984" spans="1:15" hidden="1" x14ac:dyDescent="0.45">
      <c r="A6984" s="187">
        <v>2024</v>
      </c>
      <c r="B6984" t="s">
        <v>312</v>
      </c>
      <c r="C6984" t="s">
        <v>328</v>
      </c>
      <c r="D6984" t="s">
        <v>39</v>
      </c>
      <c r="E6984" t="s">
        <v>352</v>
      </c>
      <c r="F6984" t="s">
        <v>433</v>
      </c>
      <c r="G6984" t="s">
        <v>36</v>
      </c>
      <c r="H6984" t="s">
        <v>43</v>
      </c>
      <c r="I6984" s="187"/>
      <c r="J6984" s="187">
        <v>197.15927127585482</v>
      </c>
      <c r="K6984" s="187">
        <v>159.79874912949961</v>
      </c>
      <c r="L6984" s="187">
        <v>242.38992762737448</v>
      </c>
      <c r="M6984" s="187">
        <v>599.34796142578125</v>
      </c>
      <c r="N6984" s="187">
        <v>242.38992309570313</v>
      </c>
      <c r="O6984" t="s">
        <v>6970</v>
      </c>
    </row>
    <row r="6985" spans="1:15" hidden="1" x14ac:dyDescent="0.45">
      <c r="A6985" s="187">
        <v>2024</v>
      </c>
      <c r="B6985" t="s">
        <v>315</v>
      </c>
      <c r="C6985" t="s">
        <v>328</v>
      </c>
      <c r="D6985" t="s">
        <v>39</v>
      </c>
      <c r="E6985" t="s">
        <v>352</v>
      </c>
      <c r="F6985" t="s">
        <v>433</v>
      </c>
      <c r="G6985" t="s">
        <v>36</v>
      </c>
      <c r="H6985" t="s">
        <v>43</v>
      </c>
      <c r="I6985" s="187">
        <v>0</v>
      </c>
      <c r="J6985" s="187">
        <v>194.4270875617544</v>
      </c>
      <c r="K6985" s="187">
        <v>111.89074508684354</v>
      </c>
      <c r="L6985" s="187">
        <v>258.15596626255166</v>
      </c>
      <c r="M6985" s="187">
        <v>564.47381591796875</v>
      </c>
      <c r="N6985" s="187">
        <v>258.15597534179688</v>
      </c>
      <c r="O6985" t="s">
        <v>6971</v>
      </c>
    </row>
    <row r="6986" spans="1:15" hidden="1" x14ac:dyDescent="0.45">
      <c r="A6986" s="187">
        <v>2024</v>
      </c>
      <c r="B6986" t="s">
        <v>314</v>
      </c>
      <c r="C6986" t="s">
        <v>328</v>
      </c>
      <c r="D6986" t="s">
        <v>39</v>
      </c>
      <c r="E6986" t="s">
        <v>352</v>
      </c>
      <c r="F6986" t="s">
        <v>433</v>
      </c>
      <c r="G6986" t="s">
        <v>36</v>
      </c>
      <c r="H6986" t="s">
        <v>43</v>
      </c>
      <c r="I6986" s="187">
        <v>0</v>
      </c>
      <c r="J6986" s="187">
        <v>210.82923833980107</v>
      </c>
      <c r="K6986" s="187">
        <v>113.70353711936534</v>
      </c>
      <c r="L6986" s="187">
        <v>96.537598608224698</v>
      </c>
      <c r="M6986" s="187">
        <v>421.07037353515625</v>
      </c>
      <c r="N6986" s="187">
        <v>96.53759765625</v>
      </c>
      <c r="O6986" t="s">
        <v>6973</v>
      </c>
    </row>
    <row r="6987" spans="1:15" hidden="1" x14ac:dyDescent="0.45">
      <c r="A6987" s="187">
        <v>2024</v>
      </c>
      <c r="B6987" t="s">
        <v>314</v>
      </c>
      <c r="C6987" t="s">
        <v>328</v>
      </c>
      <c r="D6987" t="s">
        <v>39</v>
      </c>
      <c r="E6987" t="s">
        <v>352</v>
      </c>
      <c r="F6987" t="s">
        <v>361</v>
      </c>
      <c r="G6987" t="s">
        <v>36</v>
      </c>
      <c r="H6987" t="s">
        <v>43</v>
      </c>
      <c r="I6987" s="187"/>
      <c r="J6987" s="187">
        <v>0</v>
      </c>
      <c r="K6987" s="187"/>
      <c r="L6987" s="187">
        <v>0</v>
      </c>
      <c r="M6987" s="187">
        <v>0</v>
      </c>
      <c r="N6987" s="187">
        <v>0</v>
      </c>
      <c r="O6987" t="s">
        <v>6979</v>
      </c>
    </row>
    <row r="6988" spans="1:15" hidden="1" x14ac:dyDescent="0.45">
      <c r="A6988" s="187">
        <v>2024</v>
      </c>
      <c r="B6988" t="s">
        <v>311</v>
      </c>
      <c r="C6988" t="s">
        <v>328</v>
      </c>
      <c r="D6988" t="s">
        <v>39</v>
      </c>
      <c r="E6988" t="s">
        <v>352</v>
      </c>
      <c r="F6988" t="s">
        <v>361</v>
      </c>
      <c r="G6988" t="s">
        <v>36</v>
      </c>
      <c r="H6988" t="s">
        <v>43</v>
      </c>
      <c r="I6988" s="187"/>
      <c r="J6988" s="187"/>
      <c r="K6988" s="187">
        <v>0</v>
      </c>
      <c r="L6988" s="187">
        <v>0</v>
      </c>
      <c r="M6988" s="187">
        <v>0</v>
      </c>
      <c r="N6988" s="187">
        <v>0</v>
      </c>
      <c r="O6988" t="s">
        <v>6977</v>
      </c>
    </row>
    <row r="6989" spans="1:15" hidden="1" x14ac:dyDescent="0.45">
      <c r="A6989" s="187">
        <v>2024</v>
      </c>
      <c r="B6989" t="s">
        <v>315</v>
      </c>
      <c r="C6989" t="s">
        <v>328</v>
      </c>
      <c r="D6989" t="s">
        <v>39</v>
      </c>
      <c r="E6989" t="s">
        <v>352</v>
      </c>
      <c r="F6989" t="s">
        <v>361</v>
      </c>
      <c r="G6989" t="s">
        <v>36</v>
      </c>
      <c r="H6989" t="s">
        <v>43</v>
      </c>
      <c r="I6989" s="187"/>
      <c r="J6989" s="187">
        <v>0</v>
      </c>
      <c r="K6989" s="187">
        <v>0</v>
      </c>
      <c r="L6989" s="187">
        <v>0</v>
      </c>
      <c r="M6989" s="187">
        <v>0</v>
      </c>
      <c r="N6989" s="187">
        <v>0</v>
      </c>
      <c r="O6989" t="s">
        <v>6976</v>
      </c>
    </row>
    <row r="6990" spans="1:15" hidden="1" x14ac:dyDescent="0.45">
      <c r="A6990" s="187">
        <v>2024</v>
      </c>
      <c r="B6990" t="s">
        <v>310</v>
      </c>
      <c r="C6990" t="s">
        <v>328</v>
      </c>
      <c r="D6990" t="s">
        <v>39</v>
      </c>
      <c r="E6990" t="s">
        <v>352</v>
      </c>
      <c r="F6990" t="s">
        <v>361</v>
      </c>
      <c r="G6990" t="s">
        <v>36</v>
      </c>
      <c r="H6990" t="s">
        <v>43</v>
      </c>
      <c r="I6990" s="187"/>
      <c r="J6990" s="187">
        <v>0</v>
      </c>
      <c r="K6990" s="187">
        <v>0</v>
      </c>
      <c r="L6990" s="187"/>
      <c r="M6990" s="187">
        <v>0</v>
      </c>
      <c r="N6990" s="187">
        <v>0</v>
      </c>
      <c r="O6990" t="s">
        <v>6983</v>
      </c>
    </row>
    <row r="6991" spans="1:15" hidden="1" x14ac:dyDescent="0.45">
      <c r="A6991" s="187">
        <v>2024</v>
      </c>
      <c r="B6991" t="s">
        <v>316</v>
      </c>
      <c r="C6991" t="s">
        <v>328</v>
      </c>
      <c r="D6991" t="s">
        <v>39</v>
      </c>
      <c r="E6991" t="s">
        <v>352</v>
      </c>
      <c r="F6991" t="s">
        <v>361</v>
      </c>
      <c r="G6991" t="s">
        <v>36</v>
      </c>
      <c r="H6991" t="s">
        <v>43</v>
      </c>
      <c r="I6991" s="187"/>
      <c r="J6991" s="187"/>
      <c r="K6991" s="187">
        <v>0</v>
      </c>
      <c r="L6991" s="187"/>
      <c r="M6991" s="187">
        <v>0</v>
      </c>
      <c r="N6991" s="187">
        <v>0</v>
      </c>
      <c r="O6991" t="s">
        <v>6980</v>
      </c>
    </row>
    <row r="6992" spans="1:15" hidden="1" x14ac:dyDescent="0.45">
      <c r="A6992" s="187">
        <v>2024</v>
      </c>
      <c r="B6992" t="s">
        <v>317</v>
      </c>
      <c r="C6992" t="s">
        <v>328</v>
      </c>
      <c r="D6992" t="s">
        <v>39</v>
      </c>
      <c r="E6992" t="s">
        <v>352</v>
      </c>
      <c r="F6992" t="s">
        <v>361</v>
      </c>
      <c r="G6992" t="s">
        <v>36</v>
      </c>
      <c r="H6992" t="s">
        <v>43</v>
      </c>
      <c r="I6992" s="187"/>
      <c r="J6992" s="187"/>
      <c r="K6992" s="187"/>
      <c r="L6992" s="187">
        <v>0</v>
      </c>
      <c r="M6992" s="187">
        <v>0</v>
      </c>
      <c r="N6992" s="187">
        <v>0</v>
      </c>
      <c r="O6992" t="s">
        <v>6978</v>
      </c>
    </row>
    <row r="6993" spans="1:15" hidden="1" x14ac:dyDescent="0.45">
      <c r="A6993" s="187">
        <v>2024</v>
      </c>
      <c r="B6993" t="s">
        <v>8570</v>
      </c>
      <c r="C6993" t="s">
        <v>328</v>
      </c>
      <c r="D6993" t="s">
        <v>39</v>
      </c>
      <c r="E6993" t="s">
        <v>352</v>
      </c>
      <c r="F6993" t="s">
        <v>361</v>
      </c>
      <c r="G6993" t="s">
        <v>36</v>
      </c>
      <c r="H6993" t="s">
        <v>43</v>
      </c>
      <c r="I6993" s="187">
        <v>0</v>
      </c>
      <c r="J6993" s="187"/>
      <c r="K6993" s="187">
        <v>45</v>
      </c>
      <c r="L6993" s="187"/>
      <c r="M6993" s="187">
        <v>45</v>
      </c>
      <c r="N6993" s="187">
        <v>0</v>
      </c>
      <c r="O6993" t="s">
        <v>9041</v>
      </c>
    </row>
    <row r="6994" spans="1:15" hidden="1" x14ac:dyDescent="0.45">
      <c r="A6994" s="187">
        <v>2024</v>
      </c>
      <c r="B6994" t="s">
        <v>312</v>
      </c>
      <c r="C6994" t="s">
        <v>328</v>
      </c>
      <c r="D6994" t="s">
        <v>39</v>
      </c>
      <c r="E6994" t="s">
        <v>352</v>
      </c>
      <c r="F6994" t="s">
        <v>361</v>
      </c>
      <c r="G6994" t="s">
        <v>36</v>
      </c>
      <c r="H6994" t="s">
        <v>43</v>
      </c>
      <c r="I6994" s="187"/>
      <c r="J6994" s="187"/>
      <c r="K6994" s="187">
        <v>0</v>
      </c>
      <c r="L6994" s="187"/>
      <c r="M6994" s="187">
        <v>0</v>
      </c>
      <c r="N6994" s="187">
        <v>0</v>
      </c>
      <c r="O6994" t="s">
        <v>6981</v>
      </c>
    </row>
    <row r="6995" spans="1:15" hidden="1" x14ac:dyDescent="0.45">
      <c r="A6995" s="187">
        <v>2024</v>
      </c>
      <c r="B6995" t="s">
        <v>313</v>
      </c>
      <c r="C6995" t="s">
        <v>328</v>
      </c>
      <c r="D6995" t="s">
        <v>39</v>
      </c>
      <c r="E6995" t="s">
        <v>352</v>
      </c>
      <c r="F6995" t="s">
        <v>361</v>
      </c>
      <c r="G6995" t="s">
        <v>36</v>
      </c>
      <c r="H6995" t="s">
        <v>43</v>
      </c>
      <c r="I6995" s="187"/>
      <c r="J6995" s="187">
        <v>0</v>
      </c>
      <c r="K6995" s="187">
        <v>0</v>
      </c>
      <c r="L6995" s="187">
        <v>0</v>
      </c>
      <c r="M6995" s="187">
        <v>0</v>
      </c>
      <c r="N6995" s="187">
        <v>0</v>
      </c>
      <c r="O6995" t="s">
        <v>6982</v>
      </c>
    </row>
    <row r="6996" spans="1:15" hidden="1" x14ac:dyDescent="0.45">
      <c r="A6996" s="187">
        <v>2024</v>
      </c>
      <c r="B6996" t="s">
        <v>315</v>
      </c>
      <c r="C6996" t="s">
        <v>328</v>
      </c>
      <c r="D6996" t="s">
        <v>39</v>
      </c>
      <c r="E6996" t="s">
        <v>40</v>
      </c>
      <c r="F6996" t="s">
        <v>40</v>
      </c>
      <c r="G6996" t="s">
        <v>36</v>
      </c>
      <c r="H6996" t="s">
        <v>43</v>
      </c>
      <c r="I6996" s="187">
        <v>5343.5044564888831</v>
      </c>
      <c r="J6996" s="187">
        <v>172.82407783267058</v>
      </c>
      <c r="K6996" s="187">
        <v>6361.9631303604183</v>
      </c>
      <c r="L6996" s="187">
        <v>5159.8788737916711</v>
      </c>
      <c r="M6996" s="187">
        <v>17038.169921875</v>
      </c>
      <c r="N6996" s="187">
        <v>10503.3828125</v>
      </c>
      <c r="O6996" t="s">
        <v>6984</v>
      </c>
    </row>
    <row r="6997" spans="1:15" hidden="1" x14ac:dyDescent="0.45">
      <c r="A6997" s="187">
        <v>2024</v>
      </c>
      <c r="B6997" t="s">
        <v>312</v>
      </c>
      <c r="C6997" t="s">
        <v>328</v>
      </c>
      <c r="D6997" t="s">
        <v>39</v>
      </c>
      <c r="E6997" t="s">
        <v>40</v>
      </c>
      <c r="F6997" t="s">
        <v>40</v>
      </c>
      <c r="G6997" t="s">
        <v>36</v>
      </c>
      <c r="H6997" t="s">
        <v>43</v>
      </c>
      <c r="I6997" s="187">
        <v>4780.2793114116112</v>
      </c>
      <c r="J6997" s="187">
        <v>168.16526079411148</v>
      </c>
      <c r="K6997" s="187">
        <v>6495.8425922737406</v>
      </c>
      <c r="L6997" s="187">
        <v>5136.5788969456535</v>
      </c>
      <c r="M6997" s="187">
        <v>16580.865234375</v>
      </c>
      <c r="N6997" s="187">
        <v>9916.8583984375</v>
      </c>
      <c r="O6997" t="s">
        <v>6986</v>
      </c>
    </row>
    <row r="6998" spans="1:15" hidden="1" x14ac:dyDescent="0.45">
      <c r="A6998" s="187">
        <v>2024</v>
      </c>
      <c r="B6998" t="s">
        <v>316</v>
      </c>
      <c r="C6998" t="s">
        <v>328</v>
      </c>
      <c r="D6998" t="s">
        <v>39</v>
      </c>
      <c r="E6998" t="s">
        <v>40</v>
      </c>
      <c r="F6998" t="s">
        <v>40</v>
      </c>
      <c r="G6998" t="s">
        <v>36</v>
      </c>
      <c r="H6998" t="s">
        <v>43</v>
      </c>
      <c r="I6998" s="187">
        <v>4373.6888723027332</v>
      </c>
      <c r="J6998" s="187">
        <v>248.53939318789583</v>
      </c>
      <c r="K6998" s="187">
        <v>6469.0034171458028</v>
      </c>
      <c r="L6998" s="187">
        <v>5283.841737730756</v>
      </c>
      <c r="M6998" s="187">
        <v>16375.0732421875</v>
      </c>
      <c r="N6998" s="187">
        <v>9657.5302734375</v>
      </c>
      <c r="O6998" t="s">
        <v>6989</v>
      </c>
    </row>
    <row r="6999" spans="1:15" hidden="1" x14ac:dyDescent="0.45">
      <c r="A6999" s="187">
        <v>2024</v>
      </c>
      <c r="B6999" t="s">
        <v>310</v>
      </c>
      <c r="C6999" t="s">
        <v>328</v>
      </c>
      <c r="D6999" t="s">
        <v>39</v>
      </c>
      <c r="E6999" t="s">
        <v>40</v>
      </c>
      <c r="F6999" t="s">
        <v>40</v>
      </c>
      <c r="G6999" t="s">
        <v>36</v>
      </c>
      <c r="H6999" t="s">
        <v>43</v>
      </c>
      <c r="I6999" s="187"/>
      <c r="J6999" s="187">
        <v>140.27326890951625</v>
      </c>
      <c r="K6999" s="187">
        <v>6284.3416593498732</v>
      </c>
      <c r="L6999" s="187">
        <v>9958.2331486680741</v>
      </c>
      <c r="M6999" s="187">
        <v>16382.84765625</v>
      </c>
      <c r="N6999" s="187">
        <v>9958.2333984375</v>
      </c>
      <c r="O6999" t="s">
        <v>6985</v>
      </c>
    </row>
    <row r="7000" spans="1:15" hidden="1" x14ac:dyDescent="0.45">
      <c r="A7000" s="187">
        <v>2024</v>
      </c>
      <c r="B7000" t="s">
        <v>311</v>
      </c>
      <c r="C7000" t="s">
        <v>328</v>
      </c>
      <c r="D7000" t="s">
        <v>39</v>
      </c>
      <c r="E7000" t="s">
        <v>40</v>
      </c>
      <c r="F7000" t="s">
        <v>40</v>
      </c>
      <c r="G7000" t="s">
        <v>36</v>
      </c>
      <c r="H7000" t="s">
        <v>43</v>
      </c>
      <c r="I7000" s="187"/>
      <c r="J7000" s="187">
        <v>168.93424116904589</v>
      </c>
      <c r="K7000" s="187">
        <v>6283.6777240369547</v>
      </c>
      <c r="L7000" s="187">
        <v>9614.1059181170112</v>
      </c>
      <c r="M7000" s="187">
        <v>16066.7177734375</v>
      </c>
      <c r="N7000" s="187">
        <v>9614.10546875</v>
      </c>
      <c r="O7000" t="s">
        <v>6990</v>
      </c>
    </row>
    <row r="7001" spans="1:15" hidden="1" x14ac:dyDescent="0.45">
      <c r="A7001" s="187">
        <v>2024</v>
      </c>
      <c r="B7001" t="s">
        <v>313</v>
      </c>
      <c r="C7001" t="s">
        <v>328</v>
      </c>
      <c r="D7001" t="s">
        <v>39</v>
      </c>
      <c r="E7001" t="s">
        <v>40</v>
      </c>
      <c r="F7001" t="s">
        <v>40</v>
      </c>
      <c r="G7001" t="s">
        <v>36</v>
      </c>
      <c r="H7001" t="s">
        <v>43</v>
      </c>
      <c r="I7001" s="187">
        <v>5438.3522859883205</v>
      </c>
      <c r="J7001" s="187">
        <v>136.92860398744912</v>
      </c>
      <c r="K7001" s="187">
        <v>6390.5592017476583</v>
      </c>
      <c r="L7001" s="187">
        <v>5159.9262269270412</v>
      </c>
      <c r="M7001" s="187">
        <v>17125.765625</v>
      </c>
      <c r="N7001" s="187">
        <v>10598.2783203125</v>
      </c>
      <c r="O7001" t="s">
        <v>6987</v>
      </c>
    </row>
    <row r="7002" spans="1:15" hidden="1" x14ac:dyDescent="0.45">
      <c r="A7002" s="187">
        <v>2024</v>
      </c>
      <c r="B7002" t="s">
        <v>317</v>
      </c>
      <c r="C7002" t="s">
        <v>328</v>
      </c>
      <c r="D7002" t="s">
        <v>39</v>
      </c>
      <c r="E7002" t="s">
        <v>40</v>
      </c>
      <c r="F7002" t="s">
        <v>40</v>
      </c>
      <c r="G7002" t="s">
        <v>36</v>
      </c>
      <c r="H7002" t="s">
        <v>43</v>
      </c>
      <c r="I7002" s="187">
        <v>4322.6221200818281</v>
      </c>
      <c r="J7002" s="187">
        <v>194.41944606794894</v>
      </c>
      <c r="K7002" s="187">
        <v>6348.5165371198264</v>
      </c>
      <c r="L7002" s="187">
        <v>5665.3408477864696</v>
      </c>
      <c r="M7002" s="187">
        <v>16530.8984375</v>
      </c>
      <c r="N7002" s="187">
        <v>9987.962890625</v>
      </c>
      <c r="O7002" t="s">
        <v>6991</v>
      </c>
    </row>
    <row r="7003" spans="1:15" hidden="1" x14ac:dyDescent="0.45">
      <c r="A7003" s="187">
        <v>2024</v>
      </c>
      <c r="B7003" t="s">
        <v>8570</v>
      </c>
      <c r="C7003" t="s">
        <v>328</v>
      </c>
      <c r="D7003" t="s">
        <v>39</v>
      </c>
      <c r="E7003" t="s">
        <v>40</v>
      </c>
      <c r="F7003" t="s">
        <v>40</v>
      </c>
      <c r="G7003" t="s">
        <v>36</v>
      </c>
      <c r="H7003" t="s">
        <v>43</v>
      </c>
      <c r="I7003" s="187">
        <v>4355.4575561572419</v>
      </c>
      <c r="J7003" s="187">
        <v>210</v>
      </c>
      <c r="K7003" s="187">
        <v>6648.4623286376063</v>
      </c>
      <c r="L7003" s="187">
        <v>5812</v>
      </c>
      <c r="M7003" s="187">
        <v>17025.919921875</v>
      </c>
      <c r="N7003" s="187">
        <v>10167.45703125</v>
      </c>
      <c r="O7003" t="s">
        <v>9042</v>
      </c>
    </row>
    <row r="7004" spans="1:15" hidden="1" x14ac:dyDescent="0.45">
      <c r="A7004" s="187">
        <v>2024</v>
      </c>
      <c r="B7004" t="s">
        <v>314</v>
      </c>
      <c r="C7004" t="s">
        <v>328</v>
      </c>
      <c r="D7004" t="s">
        <v>39</v>
      </c>
      <c r="E7004" t="s">
        <v>40</v>
      </c>
      <c r="F7004" t="s">
        <v>40</v>
      </c>
      <c r="G7004" t="s">
        <v>36</v>
      </c>
      <c r="H7004" t="s">
        <v>43</v>
      </c>
      <c r="I7004" s="187">
        <v>5489.3275898262937</v>
      </c>
      <c r="J7004" s="187">
        <v>160.89599768037451</v>
      </c>
      <c r="K7004" s="187">
        <v>6411.8992126333133</v>
      </c>
      <c r="L7004" s="187">
        <v>5193.0570285803633</v>
      </c>
      <c r="M7004" s="187">
        <v>17255.1796875</v>
      </c>
      <c r="N7004" s="187">
        <v>10682.384765625</v>
      </c>
      <c r="O7004" t="s">
        <v>6988</v>
      </c>
    </row>
    <row r="7005" spans="1:15" hidden="1" x14ac:dyDescent="0.45">
      <c r="A7005" s="187">
        <v>2024</v>
      </c>
      <c r="B7005" t="s">
        <v>312</v>
      </c>
      <c r="C7005" t="s">
        <v>328</v>
      </c>
      <c r="D7005" t="s">
        <v>39</v>
      </c>
      <c r="E7005" t="s">
        <v>40</v>
      </c>
      <c r="F7005" t="s">
        <v>40</v>
      </c>
      <c r="G7005" t="s">
        <v>37</v>
      </c>
      <c r="H7005" t="s">
        <v>43</v>
      </c>
      <c r="I7005" s="187">
        <v>4748.5026244410274</v>
      </c>
      <c r="J7005" s="187">
        <v>170</v>
      </c>
      <c r="K7005" s="187">
        <v>6542.2505480438922</v>
      </c>
      <c r="L7005" s="187">
        <v>5202</v>
      </c>
      <c r="M7005" s="187">
        <v>16662.75390625</v>
      </c>
      <c r="N7005" s="187">
        <v>9950.501953125</v>
      </c>
      <c r="O7005" t="s">
        <v>6999</v>
      </c>
    </row>
    <row r="7006" spans="1:15" hidden="1" x14ac:dyDescent="0.45">
      <c r="A7006" s="187">
        <v>2024</v>
      </c>
      <c r="B7006" t="s">
        <v>8570</v>
      </c>
      <c r="C7006" t="s">
        <v>328</v>
      </c>
      <c r="D7006" t="s">
        <v>39</v>
      </c>
      <c r="E7006" t="s">
        <v>40</v>
      </c>
      <c r="F7006" t="s">
        <v>40</v>
      </c>
      <c r="G7006" t="s">
        <v>37</v>
      </c>
      <c r="H7006" t="s">
        <v>43</v>
      </c>
      <c r="I7006" s="187">
        <v>4531.4180414259936</v>
      </c>
      <c r="J7006" s="187">
        <v>219</v>
      </c>
      <c r="K7006" s="187">
        <v>6939.4928940599402</v>
      </c>
      <c r="L7006" s="187">
        <v>6232</v>
      </c>
      <c r="M7006" s="187">
        <v>17921.91015625</v>
      </c>
      <c r="N7006" s="187">
        <v>10763.41796875</v>
      </c>
      <c r="O7006" t="s">
        <v>9043</v>
      </c>
    </row>
    <row r="7007" spans="1:15" hidden="1" x14ac:dyDescent="0.45">
      <c r="A7007" s="187">
        <v>2024</v>
      </c>
      <c r="B7007" t="s">
        <v>310</v>
      </c>
      <c r="C7007" t="s">
        <v>328</v>
      </c>
      <c r="D7007" t="s">
        <v>39</v>
      </c>
      <c r="E7007" t="s">
        <v>40</v>
      </c>
      <c r="F7007" t="s">
        <v>40</v>
      </c>
      <c r="G7007" t="s">
        <v>37</v>
      </c>
      <c r="H7007" t="s">
        <v>43</v>
      </c>
      <c r="I7007" s="187"/>
      <c r="J7007" s="187">
        <v>147</v>
      </c>
      <c r="K7007" s="187">
        <v>6579.6370172532343</v>
      </c>
      <c r="L7007" s="187">
        <v>11017</v>
      </c>
      <c r="M7007" s="187">
        <v>17743.63671875</v>
      </c>
      <c r="N7007" s="187">
        <v>11017</v>
      </c>
      <c r="O7007" t="s">
        <v>6994</v>
      </c>
    </row>
    <row r="7008" spans="1:15" hidden="1" x14ac:dyDescent="0.45">
      <c r="A7008" s="187">
        <v>2024</v>
      </c>
      <c r="B7008" t="s">
        <v>314</v>
      </c>
      <c r="C7008" t="s">
        <v>328</v>
      </c>
      <c r="D7008" t="s">
        <v>39</v>
      </c>
      <c r="E7008" t="s">
        <v>40</v>
      </c>
      <c r="F7008" t="s">
        <v>40</v>
      </c>
      <c r="G7008" t="s">
        <v>37</v>
      </c>
      <c r="H7008" t="s">
        <v>43</v>
      </c>
      <c r="I7008" s="187">
        <v>5573.8568068169061</v>
      </c>
      <c r="J7008" s="187">
        <v>163</v>
      </c>
      <c r="K7008" s="187">
        <v>6519.444682114522</v>
      </c>
      <c r="L7008" s="187">
        <v>5623</v>
      </c>
      <c r="M7008" s="187">
        <v>17879.30078125</v>
      </c>
      <c r="N7008" s="187">
        <v>11196.857421875</v>
      </c>
      <c r="O7008" t="s">
        <v>6993</v>
      </c>
    </row>
    <row r="7009" spans="1:15" hidden="1" x14ac:dyDescent="0.45">
      <c r="A7009" s="187">
        <v>2024</v>
      </c>
      <c r="B7009" t="s">
        <v>315</v>
      </c>
      <c r="C7009" t="s">
        <v>328</v>
      </c>
      <c r="D7009" t="s">
        <v>39</v>
      </c>
      <c r="E7009" t="s">
        <v>40</v>
      </c>
      <c r="F7009" t="s">
        <v>40</v>
      </c>
      <c r="G7009" t="s">
        <v>37</v>
      </c>
      <c r="H7009" t="s">
        <v>43</v>
      </c>
      <c r="I7009" s="187">
        <v>5462.9587443074633</v>
      </c>
      <c r="J7009" s="187">
        <v>174</v>
      </c>
      <c r="K7009" s="187">
        <v>6486.7213372484321</v>
      </c>
      <c r="L7009" s="187">
        <v>5374</v>
      </c>
      <c r="M7009" s="187">
        <v>17497.6796875</v>
      </c>
      <c r="N7009" s="187">
        <v>10836.958984375</v>
      </c>
      <c r="O7009" t="s">
        <v>6996</v>
      </c>
    </row>
    <row r="7010" spans="1:15" hidden="1" x14ac:dyDescent="0.45">
      <c r="A7010" s="187">
        <v>2024</v>
      </c>
      <c r="B7010" t="s">
        <v>313</v>
      </c>
      <c r="C7010" t="s">
        <v>328</v>
      </c>
      <c r="D7010" t="s">
        <v>39</v>
      </c>
      <c r="E7010" t="s">
        <v>40</v>
      </c>
      <c r="F7010" t="s">
        <v>40</v>
      </c>
      <c r="G7010" t="s">
        <v>37</v>
      </c>
      <c r="H7010" t="s">
        <v>43</v>
      </c>
      <c r="I7010" s="187">
        <v>5463.3626948606152</v>
      </c>
      <c r="J7010" s="187">
        <v>137</v>
      </c>
      <c r="K7010" s="187">
        <v>6404.4270045488493</v>
      </c>
      <c r="L7010" s="187">
        <v>5233</v>
      </c>
      <c r="M7010" s="187">
        <v>17237.7890625</v>
      </c>
      <c r="N7010" s="187">
        <v>10696.36328125</v>
      </c>
      <c r="O7010" t="s">
        <v>6992</v>
      </c>
    </row>
    <row r="7011" spans="1:15" hidden="1" x14ac:dyDescent="0.45">
      <c r="A7011" s="187">
        <v>2024</v>
      </c>
      <c r="B7011" t="s">
        <v>317</v>
      </c>
      <c r="C7011" t="s">
        <v>328</v>
      </c>
      <c r="D7011" t="s">
        <v>39</v>
      </c>
      <c r="E7011" t="s">
        <v>40</v>
      </c>
      <c r="F7011" t="s">
        <v>40</v>
      </c>
      <c r="G7011" t="s">
        <v>37</v>
      </c>
      <c r="H7011" t="s">
        <v>43</v>
      </c>
      <c r="I7011" s="187">
        <v>4388.65545616896</v>
      </c>
      <c r="J7011" s="187">
        <v>186</v>
      </c>
      <c r="K7011" s="187">
        <v>6406.0572011305921</v>
      </c>
      <c r="L7011" s="187">
        <v>5730</v>
      </c>
      <c r="M7011" s="187">
        <v>16710.712890625</v>
      </c>
      <c r="N7011" s="187">
        <v>10118.6552734375</v>
      </c>
      <c r="O7011" t="s">
        <v>6995</v>
      </c>
    </row>
    <row r="7012" spans="1:15" hidden="1" x14ac:dyDescent="0.45">
      <c r="A7012" s="187">
        <v>2024</v>
      </c>
      <c r="B7012" t="s">
        <v>316</v>
      </c>
      <c r="C7012" t="s">
        <v>328</v>
      </c>
      <c r="D7012" t="s">
        <v>39</v>
      </c>
      <c r="E7012" t="s">
        <v>40</v>
      </c>
      <c r="F7012" t="s">
        <v>40</v>
      </c>
      <c r="G7012" t="s">
        <v>37</v>
      </c>
      <c r="H7012" t="s">
        <v>43</v>
      </c>
      <c r="I7012" s="187">
        <v>4476.7596371105601</v>
      </c>
      <c r="J7012" s="187">
        <v>235</v>
      </c>
      <c r="K7012" s="187">
        <v>6502.4850812281893</v>
      </c>
      <c r="L7012" s="187">
        <v>5454</v>
      </c>
      <c r="M7012" s="187">
        <v>16668.24609375</v>
      </c>
      <c r="N7012" s="187">
        <v>9930.759765625</v>
      </c>
      <c r="O7012" t="s">
        <v>6997</v>
      </c>
    </row>
    <row r="7013" spans="1:15" hidden="1" x14ac:dyDescent="0.45">
      <c r="A7013" s="187">
        <v>2024</v>
      </c>
      <c r="B7013" t="s">
        <v>311</v>
      </c>
      <c r="C7013" t="s">
        <v>328</v>
      </c>
      <c r="D7013" t="s">
        <v>39</v>
      </c>
      <c r="E7013" t="s">
        <v>40</v>
      </c>
      <c r="F7013" t="s">
        <v>40</v>
      </c>
      <c r="G7013" t="s">
        <v>37</v>
      </c>
      <c r="H7013" t="s">
        <v>43</v>
      </c>
      <c r="I7013" s="187"/>
      <c r="J7013" s="187">
        <v>174</v>
      </c>
      <c r="K7013" s="187">
        <v>6398.5870061289334</v>
      </c>
      <c r="L7013" s="187">
        <v>10421</v>
      </c>
      <c r="M7013" s="187">
        <v>16993.5859375</v>
      </c>
      <c r="N7013" s="187">
        <v>10421</v>
      </c>
      <c r="O7013" t="s">
        <v>6998</v>
      </c>
    </row>
    <row r="7014" spans="1:15" hidden="1" x14ac:dyDescent="0.45">
      <c r="A7014" s="187">
        <v>2024</v>
      </c>
      <c r="B7014" t="s">
        <v>311</v>
      </c>
      <c r="C7014" t="s">
        <v>328</v>
      </c>
      <c r="D7014" t="s">
        <v>39</v>
      </c>
      <c r="E7014" t="s">
        <v>41</v>
      </c>
      <c r="F7014" t="s">
        <v>41</v>
      </c>
      <c r="G7014" t="s">
        <v>36</v>
      </c>
      <c r="H7014" t="s">
        <v>43</v>
      </c>
      <c r="I7014" s="187"/>
      <c r="J7014" s="187">
        <v>1683.5170930294573</v>
      </c>
      <c r="K7014" s="187">
        <v>12096.635642772129</v>
      </c>
      <c r="L7014" s="187">
        <v>12276.276546194735</v>
      </c>
      <c r="M7014" s="187">
        <v>26056.4296875</v>
      </c>
      <c r="N7014" s="187">
        <v>12276.2763671875</v>
      </c>
      <c r="O7014" t="s">
        <v>7002</v>
      </c>
    </row>
    <row r="7015" spans="1:15" hidden="1" x14ac:dyDescent="0.45">
      <c r="A7015" s="187">
        <v>2024</v>
      </c>
      <c r="B7015" t="s">
        <v>8570</v>
      </c>
      <c r="C7015" t="s">
        <v>328</v>
      </c>
      <c r="D7015" t="s">
        <v>39</v>
      </c>
      <c r="E7015" t="s">
        <v>41</v>
      </c>
      <c r="F7015" t="s">
        <v>41</v>
      </c>
      <c r="G7015" t="s">
        <v>36</v>
      </c>
      <c r="H7015" t="s">
        <v>43</v>
      </c>
      <c r="I7015" s="187">
        <v>6186.2398823123795</v>
      </c>
      <c r="J7015" s="187">
        <v>2554</v>
      </c>
      <c r="K7015" s="187">
        <v>11709.81618774868</v>
      </c>
      <c r="L7015" s="187">
        <v>9415</v>
      </c>
      <c r="M7015" s="187">
        <v>29865.056640625</v>
      </c>
      <c r="N7015" s="187">
        <v>15601.240234375</v>
      </c>
      <c r="O7015" t="s">
        <v>9044</v>
      </c>
    </row>
    <row r="7016" spans="1:15" hidden="1" x14ac:dyDescent="0.45">
      <c r="A7016" s="187">
        <v>2024</v>
      </c>
      <c r="B7016" t="s">
        <v>315</v>
      </c>
      <c r="C7016" t="s">
        <v>328</v>
      </c>
      <c r="D7016" t="s">
        <v>39</v>
      </c>
      <c r="E7016" t="s">
        <v>41</v>
      </c>
      <c r="F7016" t="s">
        <v>41</v>
      </c>
      <c r="G7016" t="s">
        <v>36</v>
      </c>
      <c r="H7016" t="s">
        <v>43</v>
      </c>
      <c r="I7016" s="187">
        <v>3653.0689451880744</v>
      </c>
      <c r="J7016" s="187">
        <v>1809.25206481077</v>
      </c>
      <c r="K7016" s="187">
        <v>11361.769731280627</v>
      </c>
      <c r="L7016" s="187">
        <v>7736.037783984917</v>
      </c>
      <c r="M7016" s="187">
        <v>24560.126953125</v>
      </c>
      <c r="N7016" s="187">
        <v>11389.1064453125</v>
      </c>
      <c r="O7016" t="s">
        <v>7006</v>
      </c>
    </row>
    <row r="7017" spans="1:15" hidden="1" x14ac:dyDescent="0.45">
      <c r="A7017" s="187">
        <v>2024</v>
      </c>
      <c r="B7017" t="s">
        <v>316</v>
      </c>
      <c r="C7017" t="s">
        <v>328</v>
      </c>
      <c r="D7017" t="s">
        <v>39</v>
      </c>
      <c r="E7017" t="s">
        <v>41</v>
      </c>
      <c r="F7017" t="s">
        <v>41</v>
      </c>
      <c r="G7017" t="s">
        <v>36</v>
      </c>
      <c r="H7017" t="s">
        <v>43</v>
      </c>
      <c r="I7017" s="187">
        <v>6151.6769224556501</v>
      </c>
      <c r="J7017" s="187">
        <v>2247.4306830820369</v>
      </c>
      <c r="K7017" s="187">
        <v>11479.124790465854</v>
      </c>
      <c r="L7017" s="187">
        <v>8318.1375635012791</v>
      </c>
      <c r="M7017" s="187">
        <v>28196.369140625</v>
      </c>
      <c r="N7017" s="187">
        <v>14469.814453125</v>
      </c>
      <c r="O7017" t="s">
        <v>7000</v>
      </c>
    </row>
    <row r="7018" spans="1:15" hidden="1" x14ac:dyDescent="0.45">
      <c r="A7018" s="187">
        <v>2024</v>
      </c>
      <c r="B7018" t="s">
        <v>312</v>
      </c>
      <c r="C7018" t="s">
        <v>328</v>
      </c>
      <c r="D7018" t="s">
        <v>39</v>
      </c>
      <c r="E7018" t="s">
        <v>41</v>
      </c>
      <c r="F7018" t="s">
        <v>41</v>
      </c>
      <c r="G7018" t="s">
        <v>36</v>
      </c>
      <c r="H7018" t="s">
        <v>43</v>
      </c>
      <c r="I7018" s="187">
        <v>3335.0819750877085</v>
      </c>
      <c r="J7018" s="187">
        <v>1675.8538058447662</v>
      </c>
      <c r="K7018" s="187">
        <v>12537.609643575104</v>
      </c>
      <c r="L7018" s="187">
        <v>8532.3574045674359</v>
      </c>
      <c r="M7018" s="187">
        <v>26080.90234375</v>
      </c>
      <c r="N7018" s="187">
        <v>11867.439453125</v>
      </c>
      <c r="O7018" t="s">
        <v>7005</v>
      </c>
    </row>
    <row r="7019" spans="1:15" hidden="1" x14ac:dyDescent="0.45">
      <c r="A7019" s="187">
        <v>2024</v>
      </c>
      <c r="B7019" t="s">
        <v>313</v>
      </c>
      <c r="C7019" t="s">
        <v>328</v>
      </c>
      <c r="D7019" t="s">
        <v>39</v>
      </c>
      <c r="E7019" t="s">
        <v>41</v>
      </c>
      <c r="F7019" t="s">
        <v>41</v>
      </c>
      <c r="G7019" t="s">
        <v>36</v>
      </c>
      <c r="H7019" t="s">
        <v>43</v>
      </c>
      <c r="I7019" s="187">
        <v>3717.2418910284773</v>
      </c>
      <c r="J7019" s="187">
        <v>1688.7861158452058</v>
      </c>
      <c r="K7019" s="187">
        <v>12470.766032055597</v>
      </c>
      <c r="L7019" s="187">
        <v>8283.0394695407758</v>
      </c>
      <c r="M7019" s="187">
        <v>26159.83203125</v>
      </c>
      <c r="N7019" s="187">
        <v>12000.28125</v>
      </c>
      <c r="O7019" t="s">
        <v>7004</v>
      </c>
    </row>
    <row r="7020" spans="1:15" hidden="1" x14ac:dyDescent="0.45">
      <c r="A7020" s="187">
        <v>2024</v>
      </c>
      <c r="B7020" t="s">
        <v>317</v>
      </c>
      <c r="C7020" t="s">
        <v>328</v>
      </c>
      <c r="D7020" t="s">
        <v>39</v>
      </c>
      <c r="E7020" t="s">
        <v>41</v>
      </c>
      <c r="F7020" t="s">
        <v>41</v>
      </c>
      <c r="G7020" t="s">
        <v>36</v>
      </c>
      <c r="H7020" t="s">
        <v>43</v>
      </c>
      <c r="I7020" s="187">
        <v>6644.759800181344</v>
      </c>
      <c r="J7020" s="187">
        <v>2221.1899080343628</v>
      </c>
      <c r="K7020" s="187">
        <v>12739.039897864324</v>
      </c>
      <c r="L7020" s="187">
        <v>9174.2982695612245</v>
      </c>
      <c r="M7020" s="187">
        <v>30779.287109375</v>
      </c>
      <c r="N7020" s="187">
        <v>15819.0576171875</v>
      </c>
      <c r="O7020" t="s">
        <v>7007</v>
      </c>
    </row>
    <row r="7021" spans="1:15" hidden="1" x14ac:dyDescent="0.45">
      <c r="A7021" s="187">
        <v>2024</v>
      </c>
      <c r="B7021" t="s">
        <v>310</v>
      </c>
      <c r="C7021" t="s">
        <v>328</v>
      </c>
      <c r="D7021" t="s">
        <v>39</v>
      </c>
      <c r="E7021" t="s">
        <v>41</v>
      </c>
      <c r="F7021" t="s">
        <v>41</v>
      </c>
      <c r="G7021" t="s">
        <v>36</v>
      </c>
      <c r="H7021" t="s">
        <v>43</v>
      </c>
      <c r="I7021" s="187"/>
      <c r="J7021" s="187">
        <v>1810.6267885693817</v>
      </c>
      <c r="K7021" s="187">
        <v>11774.939415554512</v>
      </c>
      <c r="L7021" s="187">
        <v>14030.833722674362</v>
      </c>
      <c r="M7021" s="187">
        <v>27616.400390625</v>
      </c>
      <c r="N7021" s="187">
        <v>14030.833984375</v>
      </c>
      <c r="O7021" t="s">
        <v>7003</v>
      </c>
    </row>
    <row r="7022" spans="1:15" hidden="1" x14ac:dyDescent="0.45">
      <c r="A7022" s="187">
        <v>2024</v>
      </c>
      <c r="B7022" t="s">
        <v>314</v>
      </c>
      <c r="C7022" t="s">
        <v>328</v>
      </c>
      <c r="D7022" t="s">
        <v>39</v>
      </c>
      <c r="E7022" t="s">
        <v>41</v>
      </c>
      <c r="F7022" t="s">
        <v>41</v>
      </c>
      <c r="G7022" t="s">
        <v>36</v>
      </c>
      <c r="H7022" t="s">
        <v>43</v>
      </c>
      <c r="I7022" s="187">
        <v>3752.7604424484589</v>
      </c>
      <c r="J7022" s="187">
        <v>1675.5376310163138</v>
      </c>
      <c r="K7022" s="187">
        <v>10829.315350773766</v>
      </c>
      <c r="L7022" s="187">
        <v>7767.3929914663549</v>
      </c>
      <c r="M7022" s="187">
        <v>24025.005859375</v>
      </c>
      <c r="N7022" s="187">
        <v>11520.1533203125</v>
      </c>
      <c r="O7022" t="s">
        <v>7001</v>
      </c>
    </row>
    <row r="7023" spans="1:15" hidden="1" x14ac:dyDescent="0.45">
      <c r="A7023" s="187">
        <v>2024</v>
      </c>
      <c r="B7023" t="s">
        <v>312</v>
      </c>
      <c r="C7023" t="s">
        <v>328</v>
      </c>
      <c r="D7023" t="s">
        <v>39</v>
      </c>
      <c r="E7023" t="s">
        <v>41</v>
      </c>
      <c r="F7023" t="s">
        <v>41</v>
      </c>
      <c r="G7023" t="s">
        <v>37</v>
      </c>
      <c r="H7023" t="s">
        <v>43</v>
      </c>
      <c r="I7023" s="187">
        <v>3312.9121709738338</v>
      </c>
      <c r="J7023" s="187">
        <v>1693</v>
      </c>
      <c r="K7023" s="187">
        <v>12627.181523671839</v>
      </c>
      <c r="L7023" s="187">
        <v>8641</v>
      </c>
      <c r="M7023" s="187">
        <v>26274.09375</v>
      </c>
      <c r="N7023" s="187">
        <v>11953.912109375</v>
      </c>
      <c r="O7023" t="s">
        <v>7014</v>
      </c>
    </row>
    <row r="7024" spans="1:15" hidden="1" x14ac:dyDescent="0.45">
      <c r="A7024" s="187">
        <v>2024</v>
      </c>
      <c r="B7024" t="s">
        <v>310</v>
      </c>
      <c r="C7024" t="s">
        <v>328</v>
      </c>
      <c r="D7024" t="s">
        <v>39</v>
      </c>
      <c r="E7024" t="s">
        <v>41</v>
      </c>
      <c r="F7024" t="s">
        <v>41</v>
      </c>
      <c r="G7024" t="s">
        <v>37</v>
      </c>
      <c r="H7024" t="s">
        <v>43</v>
      </c>
      <c r="I7024" s="187"/>
      <c r="J7024" s="187">
        <v>1894</v>
      </c>
      <c r="K7024" s="187">
        <v>12328.232845079199</v>
      </c>
      <c r="L7024" s="187">
        <v>15523</v>
      </c>
      <c r="M7024" s="187">
        <v>29745.232421875</v>
      </c>
      <c r="N7024" s="187">
        <v>15523</v>
      </c>
      <c r="O7024" t="s">
        <v>7008</v>
      </c>
    </row>
    <row r="7025" spans="1:15" hidden="1" x14ac:dyDescent="0.45">
      <c r="A7025" s="187">
        <v>2024</v>
      </c>
      <c r="B7025" t="s">
        <v>313</v>
      </c>
      <c r="C7025" t="s">
        <v>328</v>
      </c>
      <c r="D7025" t="s">
        <v>39</v>
      </c>
      <c r="E7025" t="s">
        <v>41</v>
      </c>
      <c r="F7025" t="s">
        <v>41</v>
      </c>
      <c r="G7025" t="s">
        <v>37</v>
      </c>
      <c r="H7025" t="s">
        <v>43</v>
      </c>
      <c r="I7025" s="187">
        <v>3734.3370946274381</v>
      </c>
      <c r="J7025" s="187">
        <v>1700</v>
      </c>
      <c r="K7025" s="187">
        <v>12497.82815896071</v>
      </c>
      <c r="L7025" s="187">
        <v>8401</v>
      </c>
      <c r="M7025" s="187">
        <v>26333.166015625</v>
      </c>
      <c r="N7025" s="187">
        <v>12135.3369140625</v>
      </c>
      <c r="O7025" t="s">
        <v>7013</v>
      </c>
    </row>
    <row r="7026" spans="1:15" hidden="1" x14ac:dyDescent="0.45">
      <c r="A7026" s="187">
        <v>2024</v>
      </c>
      <c r="B7026" t="s">
        <v>311</v>
      </c>
      <c r="C7026" t="s">
        <v>328</v>
      </c>
      <c r="D7026" t="s">
        <v>39</v>
      </c>
      <c r="E7026" t="s">
        <v>41</v>
      </c>
      <c r="F7026" t="s">
        <v>41</v>
      </c>
      <c r="G7026" t="s">
        <v>37</v>
      </c>
      <c r="H7026" t="s">
        <v>43</v>
      </c>
      <c r="I7026" s="187"/>
      <c r="J7026" s="187">
        <v>1729</v>
      </c>
      <c r="K7026" s="187">
        <v>12317.846178780679</v>
      </c>
      <c r="L7026" s="187">
        <v>13308</v>
      </c>
      <c r="M7026" s="187">
        <v>27354.845703125</v>
      </c>
      <c r="N7026" s="187">
        <v>13308</v>
      </c>
      <c r="O7026" t="s">
        <v>7012</v>
      </c>
    </row>
    <row r="7027" spans="1:15" hidden="1" x14ac:dyDescent="0.45">
      <c r="A7027" s="187">
        <v>2024</v>
      </c>
      <c r="B7027" t="s">
        <v>8570</v>
      </c>
      <c r="C7027" t="s">
        <v>328</v>
      </c>
      <c r="D7027" t="s">
        <v>39</v>
      </c>
      <c r="E7027" t="s">
        <v>41</v>
      </c>
      <c r="F7027" t="s">
        <v>41</v>
      </c>
      <c r="G7027" t="s">
        <v>37</v>
      </c>
      <c r="H7027" t="s">
        <v>43</v>
      </c>
      <c r="I7027" s="187">
        <v>6436.1639735577983</v>
      </c>
      <c r="J7027" s="187">
        <v>2605</v>
      </c>
      <c r="K7027" s="187">
        <v>12222.403047334659</v>
      </c>
      <c r="L7027" s="187">
        <v>10096</v>
      </c>
      <c r="M7027" s="187">
        <v>31359.56640625</v>
      </c>
      <c r="N7027" s="187">
        <v>16532.1640625</v>
      </c>
      <c r="O7027" t="s">
        <v>9045</v>
      </c>
    </row>
    <row r="7028" spans="1:15" hidden="1" x14ac:dyDescent="0.45">
      <c r="A7028" s="187">
        <v>2024</v>
      </c>
      <c r="B7028" t="s">
        <v>317</v>
      </c>
      <c r="C7028" t="s">
        <v>328</v>
      </c>
      <c r="D7028" t="s">
        <v>39</v>
      </c>
      <c r="E7028" t="s">
        <v>41</v>
      </c>
      <c r="F7028" t="s">
        <v>41</v>
      </c>
      <c r="G7028" t="s">
        <v>37</v>
      </c>
      <c r="H7028" t="s">
        <v>43</v>
      </c>
      <c r="I7028" s="187">
        <v>6745.1852826118393</v>
      </c>
      <c r="J7028" s="187">
        <v>2125</v>
      </c>
      <c r="K7028" s="187">
        <v>12854.50196058351</v>
      </c>
      <c r="L7028" s="187">
        <v>9279</v>
      </c>
      <c r="M7028" s="187">
        <v>31003.6875</v>
      </c>
      <c r="N7028" s="187">
        <v>16024.185546875</v>
      </c>
      <c r="O7028" t="s">
        <v>7015</v>
      </c>
    </row>
    <row r="7029" spans="1:15" hidden="1" x14ac:dyDescent="0.45">
      <c r="A7029" s="187">
        <v>2024</v>
      </c>
      <c r="B7029" t="s">
        <v>315</v>
      </c>
      <c r="C7029" t="s">
        <v>328</v>
      </c>
      <c r="D7029" t="s">
        <v>39</v>
      </c>
      <c r="E7029" t="s">
        <v>41</v>
      </c>
      <c r="F7029" t="s">
        <v>41</v>
      </c>
      <c r="G7029" t="s">
        <v>37</v>
      </c>
      <c r="H7029" t="s">
        <v>43</v>
      </c>
      <c r="I7029" s="187">
        <v>3734.7334694254778</v>
      </c>
      <c r="J7029" s="187">
        <v>1813</v>
      </c>
      <c r="K7029" s="187">
        <v>11584.574231983361</v>
      </c>
      <c r="L7029" s="187">
        <v>8056</v>
      </c>
      <c r="M7029" s="187">
        <v>25188.30859375</v>
      </c>
      <c r="N7029" s="187">
        <v>11790.7333984375</v>
      </c>
      <c r="O7029" t="s">
        <v>7011</v>
      </c>
    </row>
    <row r="7030" spans="1:15" hidden="1" x14ac:dyDescent="0.45">
      <c r="A7030" s="187">
        <v>2024</v>
      </c>
      <c r="B7030" t="s">
        <v>316</v>
      </c>
      <c r="C7030" t="s">
        <v>328</v>
      </c>
      <c r="D7030" t="s">
        <v>39</v>
      </c>
      <c r="E7030" t="s">
        <v>41</v>
      </c>
      <c r="F7030" t="s">
        <v>41</v>
      </c>
      <c r="G7030" t="s">
        <v>37</v>
      </c>
      <c r="H7030" t="s">
        <v>43</v>
      </c>
      <c r="I7030" s="187">
        <v>6296.6479214820001</v>
      </c>
      <c r="J7030" s="187">
        <v>2125</v>
      </c>
      <c r="K7030" s="187">
        <v>11538.53737311738</v>
      </c>
      <c r="L7030" s="187">
        <v>8585</v>
      </c>
      <c r="M7030" s="187">
        <v>28545.185546875</v>
      </c>
      <c r="N7030" s="187">
        <v>14881.6484375</v>
      </c>
      <c r="O7030" t="s">
        <v>7010</v>
      </c>
    </row>
    <row r="7031" spans="1:15" hidden="1" x14ac:dyDescent="0.45">
      <c r="A7031" s="187">
        <v>2024</v>
      </c>
      <c r="B7031" t="s">
        <v>314</v>
      </c>
      <c r="C7031" t="s">
        <v>328</v>
      </c>
      <c r="D7031" t="s">
        <v>39</v>
      </c>
      <c r="E7031" t="s">
        <v>41</v>
      </c>
      <c r="F7031" t="s">
        <v>41</v>
      </c>
      <c r="G7031" t="s">
        <v>37</v>
      </c>
      <c r="H7031" t="s">
        <v>43</v>
      </c>
      <c r="I7031" s="187">
        <v>3810.5485588548172</v>
      </c>
      <c r="J7031" s="187">
        <v>1700</v>
      </c>
      <c r="K7031" s="187">
        <v>11010.953234486031</v>
      </c>
      <c r="L7031" s="187">
        <v>8412</v>
      </c>
      <c r="M7031" s="187">
        <v>24933.501953125</v>
      </c>
      <c r="N7031" s="187">
        <v>12222.548828125</v>
      </c>
      <c r="O7031" t="s">
        <v>7009</v>
      </c>
    </row>
    <row r="7032" spans="1:15" hidden="1" x14ac:dyDescent="0.45">
      <c r="A7032" s="187">
        <v>2024</v>
      </c>
      <c r="B7032" t="s">
        <v>316</v>
      </c>
      <c r="C7032" t="s">
        <v>328</v>
      </c>
      <c r="D7032" t="s">
        <v>39</v>
      </c>
      <c r="E7032" t="s">
        <v>361</v>
      </c>
      <c r="F7032" t="s">
        <v>361</v>
      </c>
      <c r="G7032" t="s">
        <v>36</v>
      </c>
      <c r="H7032" t="s">
        <v>43</v>
      </c>
      <c r="I7032" s="187"/>
      <c r="J7032" s="187"/>
      <c r="K7032" s="187"/>
      <c r="L7032" s="187">
        <v>0</v>
      </c>
      <c r="M7032" s="187">
        <v>0</v>
      </c>
      <c r="N7032" s="187">
        <v>0</v>
      </c>
      <c r="O7032" t="s">
        <v>7022</v>
      </c>
    </row>
    <row r="7033" spans="1:15" hidden="1" x14ac:dyDescent="0.45">
      <c r="A7033" s="187">
        <v>2024</v>
      </c>
      <c r="B7033" t="s">
        <v>312</v>
      </c>
      <c r="C7033" t="s">
        <v>328</v>
      </c>
      <c r="D7033" t="s">
        <v>39</v>
      </c>
      <c r="E7033" t="s">
        <v>361</v>
      </c>
      <c r="F7033" t="s">
        <v>361</v>
      </c>
      <c r="G7033" t="s">
        <v>36</v>
      </c>
      <c r="H7033" t="s">
        <v>43</v>
      </c>
      <c r="I7033" s="187"/>
      <c r="J7033" s="187">
        <v>0</v>
      </c>
      <c r="K7033" s="187"/>
      <c r="L7033" s="187"/>
      <c r="M7033" s="187">
        <v>0</v>
      </c>
      <c r="N7033" s="187">
        <v>0</v>
      </c>
      <c r="O7033" t="s">
        <v>7018</v>
      </c>
    </row>
    <row r="7034" spans="1:15" hidden="1" x14ac:dyDescent="0.45">
      <c r="A7034" s="187">
        <v>2024</v>
      </c>
      <c r="B7034" t="s">
        <v>311</v>
      </c>
      <c r="C7034" t="s">
        <v>328</v>
      </c>
      <c r="D7034" t="s">
        <v>39</v>
      </c>
      <c r="E7034" t="s">
        <v>361</v>
      </c>
      <c r="F7034" t="s">
        <v>361</v>
      </c>
      <c r="G7034" t="s">
        <v>36</v>
      </c>
      <c r="H7034" t="s">
        <v>43</v>
      </c>
      <c r="I7034" s="187"/>
      <c r="J7034" s="187">
        <v>0</v>
      </c>
      <c r="K7034" s="187"/>
      <c r="L7034" s="187"/>
      <c r="M7034" s="187">
        <v>0</v>
      </c>
      <c r="N7034" s="187">
        <v>0</v>
      </c>
      <c r="O7034" t="s">
        <v>7017</v>
      </c>
    </row>
    <row r="7035" spans="1:15" hidden="1" x14ac:dyDescent="0.45">
      <c r="A7035" s="187">
        <v>2024</v>
      </c>
      <c r="B7035" t="s">
        <v>315</v>
      </c>
      <c r="C7035" t="s">
        <v>328</v>
      </c>
      <c r="D7035" t="s">
        <v>39</v>
      </c>
      <c r="E7035" t="s">
        <v>361</v>
      </c>
      <c r="F7035" t="s">
        <v>361</v>
      </c>
      <c r="G7035" t="s">
        <v>36</v>
      </c>
      <c r="H7035" t="s">
        <v>43</v>
      </c>
      <c r="I7035" s="187">
        <v>0</v>
      </c>
      <c r="J7035" s="187"/>
      <c r="K7035" s="187"/>
      <c r="L7035" s="187"/>
      <c r="M7035" s="187">
        <v>0</v>
      </c>
      <c r="N7035" s="187">
        <v>0</v>
      </c>
      <c r="O7035" t="s">
        <v>7020</v>
      </c>
    </row>
    <row r="7036" spans="1:15" hidden="1" x14ac:dyDescent="0.45">
      <c r="A7036" s="187">
        <v>2024</v>
      </c>
      <c r="B7036" t="s">
        <v>8570</v>
      </c>
      <c r="C7036" t="s">
        <v>328</v>
      </c>
      <c r="D7036" t="s">
        <v>39</v>
      </c>
      <c r="E7036" t="s">
        <v>361</v>
      </c>
      <c r="F7036" t="s">
        <v>361</v>
      </c>
      <c r="G7036" t="s">
        <v>36</v>
      </c>
      <c r="H7036" t="s">
        <v>43</v>
      </c>
      <c r="I7036" s="187"/>
      <c r="J7036" s="187"/>
      <c r="K7036" s="187"/>
      <c r="L7036" s="187">
        <v>0</v>
      </c>
      <c r="M7036" s="187">
        <v>0</v>
      </c>
      <c r="N7036" s="187">
        <v>0</v>
      </c>
      <c r="O7036" t="s">
        <v>9046</v>
      </c>
    </row>
    <row r="7037" spans="1:15" hidden="1" x14ac:dyDescent="0.45">
      <c r="A7037" s="187">
        <v>2024</v>
      </c>
      <c r="B7037" t="s">
        <v>317</v>
      </c>
      <c r="C7037" t="s">
        <v>328</v>
      </c>
      <c r="D7037" t="s">
        <v>39</v>
      </c>
      <c r="E7037" t="s">
        <v>361</v>
      </c>
      <c r="F7037" t="s">
        <v>361</v>
      </c>
      <c r="G7037" t="s">
        <v>36</v>
      </c>
      <c r="H7037" t="s">
        <v>43</v>
      </c>
      <c r="I7037" s="187"/>
      <c r="J7037" s="187"/>
      <c r="K7037" s="187">
        <v>0</v>
      </c>
      <c r="L7037" s="187"/>
      <c r="M7037" s="187">
        <v>0</v>
      </c>
      <c r="N7037" s="187">
        <v>0</v>
      </c>
      <c r="O7037" t="s">
        <v>7021</v>
      </c>
    </row>
    <row r="7038" spans="1:15" hidden="1" x14ac:dyDescent="0.45">
      <c r="A7038" s="187">
        <v>2024</v>
      </c>
      <c r="B7038" t="s">
        <v>313</v>
      </c>
      <c r="C7038" t="s">
        <v>328</v>
      </c>
      <c r="D7038" t="s">
        <v>39</v>
      </c>
      <c r="E7038" t="s">
        <v>361</v>
      </c>
      <c r="F7038" t="s">
        <v>361</v>
      </c>
      <c r="G7038" t="s">
        <v>36</v>
      </c>
      <c r="H7038" t="s">
        <v>43</v>
      </c>
      <c r="I7038" s="187"/>
      <c r="J7038" s="187"/>
      <c r="K7038" s="187"/>
      <c r="L7038" s="187"/>
      <c r="M7038" s="187">
        <v>0</v>
      </c>
      <c r="N7038" s="187">
        <v>0</v>
      </c>
      <c r="O7038" t="s">
        <v>7016</v>
      </c>
    </row>
    <row r="7039" spans="1:15" hidden="1" x14ac:dyDescent="0.45">
      <c r="A7039" s="187">
        <v>2024</v>
      </c>
      <c r="B7039" t="s">
        <v>314</v>
      </c>
      <c r="C7039" t="s">
        <v>328</v>
      </c>
      <c r="D7039" t="s">
        <v>39</v>
      </c>
      <c r="E7039" t="s">
        <v>361</v>
      </c>
      <c r="F7039" t="s">
        <v>361</v>
      </c>
      <c r="G7039" t="s">
        <v>36</v>
      </c>
      <c r="H7039" t="s">
        <v>43</v>
      </c>
      <c r="I7039" s="187">
        <v>0</v>
      </c>
      <c r="J7039" s="187"/>
      <c r="K7039" s="187">
        <v>0</v>
      </c>
      <c r="L7039" s="187"/>
      <c r="M7039" s="187">
        <v>0</v>
      </c>
      <c r="N7039" s="187">
        <v>0</v>
      </c>
      <c r="O7039" t="s">
        <v>7023</v>
      </c>
    </row>
    <row r="7040" spans="1:15" hidden="1" x14ac:dyDescent="0.45">
      <c r="A7040" s="187">
        <v>2024</v>
      </c>
      <c r="B7040" t="s">
        <v>310</v>
      </c>
      <c r="C7040" t="s">
        <v>328</v>
      </c>
      <c r="D7040" t="s">
        <v>39</v>
      </c>
      <c r="E7040" t="s">
        <v>361</v>
      </c>
      <c r="F7040" t="s">
        <v>361</v>
      </c>
      <c r="G7040" t="s">
        <v>36</v>
      </c>
      <c r="H7040" t="s">
        <v>43</v>
      </c>
      <c r="I7040" s="187"/>
      <c r="J7040" s="187"/>
      <c r="K7040" s="187"/>
      <c r="L7040" s="187"/>
      <c r="M7040" s="187">
        <v>0</v>
      </c>
      <c r="N7040" s="187">
        <v>0</v>
      </c>
      <c r="O7040" t="s">
        <v>7019</v>
      </c>
    </row>
    <row r="7041" spans="1:15" hidden="1" x14ac:dyDescent="0.45">
      <c r="A7041" s="187">
        <v>2024</v>
      </c>
      <c r="B7041" t="s">
        <v>317</v>
      </c>
      <c r="C7041" t="s">
        <v>328</v>
      </c>
      <c r="D7041" t="s">
        <v>39</v>
      </c>
      <c r="E7041" t="s">
        <v>362</v>
      </c>
      <c r="F7041" t="s">
        <v>362</v>
      </c>
      <c r="G7041" t="s">
        <v>36</v>
      </c>
      <c r="H7041" t="s">
        <v>43</v>
      </c>
      <c r="I7041" s="187">
        <v>1092.9854858581857</v>
      </c>
      <c r="J7041" s="187">
        <v>121.25083733269935</v>
      </c>
      <c r="K7041" s="187">
        <v>3346.3376228729721</v>
      </c>
      <c r="L7041" s="187">
        <v>3357.3938751088817</v>
      </c>
      <c r="M7041" s="187">
        <v>7917.9677734375</v>
      </c>
      <c r="N7041" s="187">
        <v>4450.37939453125</v>
      </c>
      <c r="O7041" t="s">
        <v>7028</v>
      </c>
    </row>
    <row r="7042" spans="1:15" hidden="1" x14ac:dyDescent="0.45">
      <c r="A7042" s="187">
        <v>2024</v>
      </c>
      <c r="B7042" t="s">
        <v>8570</v>
      </c>
      <c r="C7042" t="s">
        <v>328</v>
      </c>
      <c r="D7042" t="s">
        <v>39</v>
      </c>
      <c r="E7042" t="s">
        <v>362</v>
      </c>
      <c r="F7042" t="s">
        <v>362</v>
      </c>
      <c r="G7042" t="s">
        <v>36</v>
      </c>
      <c r="H7042" t="s">
        <v>43</v>
      </c>
      <c r="I7042" s="187">
        <v>2177.728778078621</v>
      </c>
      <c r="J7042" s="187">
        <v>165</v>
      </c>
      <c r="K7042" s="187">
        <v>3535.1082660805941</v>
      </c>
      <c r="L7042" s="187">
        <v>3526</v>
      </c>
      <c r="M7042" s="187">
        <v>9403.8369140625</v>
      </c>
      <c r="N7042" s="187">
        <v>5703.728515625</v>
      </c>
      <c r="O7042" t="s">
        <v>9047</v>
      </c>
    </row>
    <row r="7043" spans="1:15" hidden="1" x14ac:dyDescent="0.45">
      <c r="A7043" s="187">
        <v>2024</v>
      </c>
      <c r="B7043" t="s">
        <v>315</v>
      </c>
      <c r="C7043" t="s">
        <v>328</v>
      </c>
      <c r="D7043" t="s">
        <v>39</v>
      </c>
      <c r="E7043" t="s">
        <v>362</v>
      </c>
      <c r="F7043" t="s">
        <v>362</v>
      </c>
      <c r="G7043" t="s">
        <v>36</v>
      </c>
      <c r="H7043" t="s">
        <v>43</v>
      </c>
      <c r="I7043" s="187">
        <v>2068.488181559776</v>
      </c>
      <c r="J7043" s="187">
        <v>113.41580107769006</v>
      </c>
      <c r="K7043" s="187">
        <v>3399.4884610823347</v>
      </c>
      <c r="L7043" s="187">
        <v>2800.8302113757177</v>
      </c>
      <c r="M7043" s="187">
        <v>8382.22265625</v>
      </c>
      <c r="N7043" s="187">
        <v>4869.318359375</v>
      </c>
      <c r="O7043" t="s">
        <v>7026</v>
      </c>
    </row>
    <row r="7044" spans="1:15" hidden="1" x14ac:dyDescent="0.45">
      <c r="A7044" s="187">
        <v>2024</v>
      </c>
      <c r="B7044" t="s">
        <v>311</v>
      </c>
      <c r="C7044" t="s">
        <v>328</v>
      </c>
      <c r="D7044" t="s">
        <v>39</v>
      </c>
      <c r="E7044" t="s">
        <v>362</v>
      </c>
      <c r="F7044" t="s">
        <v>362</v>
      </c>
      <c r="G7044" t="s">
        <v>36</v>
      </c>
      <c r="H7044" t="s">
        <v>43</v>
      </c>
      <c r="I7044" s="187"/>
      <c r="J7044" s="187">
        <v>99.030417237026896</v>
      </c>
      <c r="K7044" s="187">
        <v>2979.1511432406273</v>
      </c>
      <c r="L7044" s="187">
        <v>5056.3765977493731</v>
      </c>
      <c r="M7044" s="187">
        <v>8134.55810546875</v>
      </c>
      <c r="N7044" s="187">
        <v>5056.37646484375</v>
      </c>
      <c r="O7044" t="s">
        <v>7031</v>
      </c>
    </row>
    <row r="7045" spans="1:15" hidden="1" x14ac:dyDescent="0.45">
      <c r="A7045" s="187">
        <v>2024</v>
      </c>
      <c r="B7045" t="s">
        <v>310</v>
      </c>
      <c r="C7045" t="s">
        <v>328</v>
      </c>
      <c r="D7045" t="s">
        <v>39</v>
      </c>
      <c r="E7045" t="s">
        <v>362</v>
      </c>
      <c r="F7045" t="s">
        <v>362</v>
      </c>
      <c r="G7045" t="s">
        <v>36</v>
      </c>
      <c r="H7045" t="s">
        <v>43</v>
      </c>
      <c r="I7045" s="187"/>
      <c r="J7045" s="187">
        <v>93.515512606344174</v>
      </c>
      <c r="K7045" s="187">
        <v>2222.7040491533512</v>
      </c>
      <c r="L7045" s="187">
        <v>5508.0636925136714</v>
      </c>
      <c r="M7045" s="187">
        <v>7824.283203125</v>
      </c>
      <c r="N7045" s="187">
        <v>5508.0634765625</v>
      </c>
      <c r="O7045" t="s">
        <v>7027</v>
      </c>
    </row>
    <row r="7046" spans="1:15" hidden="1" x14ac:dyDescent="0.45">
      <c r="A7046" s="187">
        <v>2024</v>
      </c>
      <c r="B7046" t="s">
        <v>314</v>
      </c>
      <c r="C7046" t="s">
        <v>328</v>
      </c>
      <c r="D7046" t="s">
        <v>39</v>
      </c>
      <c r="E7046" t="s">
        <v>362</v>
      </c>
      <c r="F7046" t="s">
        <v>362</v>
      </c>
      <c r="G7046" t="s">
        <v>36</v>
      </c>
      <c r="H7046" t="s">
        <v>43</v>
      </c>
      <c r="I7046" s="187">
        <v>2124.9367969511527</v>
      </c>
      <c r="J7046" s="187">
        <v>83.222067765710946</v>
      </c>
      <c r="K7046" s="187">
        <v>3052.6502518114221</v>
      </c>
      <c r="L7046" s="187">
        <v>2857.290993289409</v>
      </c>
      <c r="M7046" s="187">
        <v>8118.10009765625</v>
      </c>
      <c r="N7046" s="187">
        <v>4982.2275390625</v>
      </c>
      <c r="O7046" t="s">
        <v>7029</v>
      </c>
    </row>
    <row r="7047" spans="1:15" hidden="1" x14ac:dyDescent="0.45">
      <c r="A7047" s="187">
        <v>2024</v>
      </c>
      <c r="B7047" t="s">
        <v>313</v>
      </c>
      <c r="C7047" t="s">
        <v>328</v>
      </c>
      <c r="D7047" t="s">
        <v>39</v>
      </c>
      <c r="E7047" t="s">
        <v>362</v>
      </c>
      <c r="F7047" t="s">
        <v>362</v>
      </c>
      <c r="G7047" t="s">
        <v>36</v>
      </c>
      <c r="H7047" t="s">
        <v>43</v>
      </c>
      <c r="I7047" s="187">
        <v>2105.2772863070304</v>
      </c>
      <c r="J7047" s="187">
        <v>79.875018992678648</v>
      </c>
      <c r="K7047" s="187">
        <v>2856.7329487210177</v>
      </c>
      <c r="L7047" s="187">
        <v>2809.3185251424979</v>
      </c>
      <c r="M7047" s="187">
        <v>7851.20361328125</v>
      </c>
      <c r="N7047" s="187">
        <v>4914.595703125</v>
      </c>
      <c r="O7047" t="s">
        <v>7030</v>
      </c>
    </row>
    <row r="7048" spans="1:15" hidden="1" x14ac:dyDescent="0.45">
      <c r="A7048" s="187">
        <v>2024</v>
      </c>
      <c r="B7048" t="s">
        <v>316</v>
      </c>
      <c r="C7048" t="s">
        <v>328</v>
      </c>
      <c r="D7048" t="s">
        <v>39</v>
      </c>
      <c r="E7048" t="s">
        <v>362</v>
      </c>
      <c r="F7048" t="s">
        <v>362</v>
      </c>
      <c r="G7048" t="s">
        <v>36</v>
      </c>
      <c r="H7048" t="s">
        <v>43</v>
      </c>
      <c r="I7048" s="187">
        <v>1105.8978379992766</v>
      </c>
      <c r="J7048" s="187">
        <v>174.50638245107581</v>
      </c>
      <c r="K7048" s="187">
        <v>3345.3219190262735</v>
      </c>
      <c r="L7048" s="187">
        <v>2920.0734663480016</v>
      </c>
      <c r="M7048" s="187">
        <v>7545.79931640625</v>
      </c>
      <c r="N7048" s="187">
        <v>4025.97119140625</v>
      </c>
      <c r="O7048" t="s">
        <v>7025</v>
      </c>
    </row>
    <row r="7049" spans="1:15" hidden="1" x14ac:dyDescent="0.45">
      <c r="A7049" s="187">
        <v>2024</v>
      </c>
      <c r="B7049" t="s">
        <v>312</v>
      </c>
      <c r="C7049" t="s">
        <v>328</v>
      </c>
      <c r="D7049" t="s">
        <v>39</v>
      </c>
      <c r="E7049" t="s">
        <v>362</v>
      </c>
      <c r="F7049" t="s">
        <v>362</v>
      </c>
      <c r="G7049" t="s">
        <v>36</v>
      </c>
      <c r="H7049" t="s">
        <v>43</v>
      </c>
      <c r="I7049" s="187">
        <v>2147.0280761284494</v>
      </c>
      <c r="J7049" s="187">
        <v>98.57963563792741</v>
      </c>
      <c r="K7049" s="187">
        <v>2445.6066451967463</v>
      </c>
      <c r="L7049" s="187">
        <v>2866.9277564347831</v>
      </c>
      <c r="M7049" s="187">
        <v>7558.14208984375</v>
      </c>
      <c r="N7049" s="187">
        <v>5013.9560546875</v>
      </c>
      <c r="O7049" t="s">
        <v>7024</v>
      </c>
    </row>
    <row r="7050" spans="1:15" hidden="1" x14ac:dyDescent="0.45">
      <c r="A7050" s="187">
        <v>2024</v>
      </c>
      <c r="B7050" t="s">
        <v>312</v>
      </c>
      <c r="C7050" t="s">
        <v>328</v>
      </c>
      <c r="D7050" t="s">
        <v>39</v>
      </c>
      <c r="E7050" t="s">
        <v>362</v>
      </c>
      <c r="F7050" t="s">
        <v>362</v>
      </c>
      <c r="G7050" t="s">
        <v>37</v>
      </c>
      <c r="H7050" t="s">
        <v>43</v>
      </c>
      <c r="I7050" s="187">
        <v>2132.7558056924281</v>
      </c>
      <c r="J7050" s="187">
        <v>100</v>
      </c>
      <c r="K7050" s="187">
        <v>2463.0786826436629</v>
      </c>
      <c r="L7050" s="187">
        <v>2903</v>
      </c>
      <c r="M7050" s="187">
        <v>7598.83447265625</v>
      </c>
      <c r="N7050" s="187">
        <v>5035.755859375</v>
      </c>
      <c r="O7050" t="s">
        <v>7035</v>
      </c>
    </row>
    <row r="7051" spans="1:15" hidden="1" x14ac:dyDescent="0.45">
      <c r="A7051" s="187">
        <v>2024</v>
      </c>
      <c r="B7051" t="s">
        <v>317</v>
      </c>
      <c r="C7051" t="s">
        <v>328</v>
      </c>
      <c r="D7051" t="s">
        <v>39</v>
      </c>
      <c r="E7051" t="s">
        <v>362</v>
      </c>
      <c r="F7051" t="s">
        <v>362</v>
      </c>
      <c r="G7051" t="s">
        <v>37</v>
      </c>
      <c r="H7051" t="s">
        <v>43</v>
      </c>
      <c r="I7051" s="187">
        <v>1109.65545616896</v>
      </c>
      <c r="J7051" s="187">
        <v>116</v>
      </c>
      <c r="K7051" s="187">
        <v>3376.667620077591</v>
      </c>
      <c r="L7051" s="187">
        <v>3396</v>
      </c>
      <c r="M7051" s="187">
        <v>7998.3232421875</v>
      </c>
      <c r="N7051" s="187">
        <v>4505.6552734375</v>
      </c>
      <c r="O7051" t="s">
        <v>7032</v>
      </c>
    </row>
    <row r="7052" spans="1:15" hidden="1" x14ac:dyDescent="0.45">
      <c r="A7052" s="187">
        <v>2024</v>
      </c>
      <c r="B7052" t="s">
        <v>310</v>
      </c>
      <c r="C7052" t="s">
        <v>328</v>
      </c>
      <c r="D7052" t="s">
        <v>39</v>
      </c>
      <c r="E7052" t="s">
        <v>362</v>
      </c>
      <c r="F7052" t="s">
        <v>362</v>
      </c>
      <c r="G7052" t="s">
        <v>37</v>
      </c>
      <c r="H7052" t="s">
        <v>43</v>
      </c>
      <c r="I7052" s="187"/>
      <c r="J7052" s="187">
        <v>98</v>
      </c>
      <c r="K7052" s="187">
        <v>2327.146840982065</v>
      </c>
      <c r="L7052" s="187">
        <v>6094</v>
      </c>
      <c r="M7052" s="187">
        <v>8519.146484375</v>
      </c>
      <c r="N7052" s="187">
        <v>6094</v>
      </c>
      <c r="O7052" t="s">
        <v>7034</v>
      </c>
    </row>
    <row r="7053" spans="1:15" hidden="1" x14ac:dyDescent="0.45">
      <c r="A7053" s="187">
        <v>2024</v>
      </c>
      <c r="B7053" t="s">
        <v>316</v>
      </c>
      <c r="C7053" t="s">
        <v>328</v>
      </c>
      <c r="D7053" t="s">
        <v>39</v>
      </c>
      <c r="E7053" t="s">
        <v>362</v>
      </c>
      <c r="F7053" t="s">
        <v>362</v>
      </c>
      <c r="G7053" t="s">
        <v>37</v>
      </c>
      <c r="H7053" t="s">
        <v>43</v>
      </c>
      <c r="I7053" s="187">
        <v>1131.9595308379601</v>
      </c>
      <c r="J7053" s="187">
        <v>165</v>
      </c>
      <c r="K7053" s="187">
        <v>3362.6363239689899</v>
      </c>
      <c r="L7053" s="187">
        <v>3014</v>
      </c>
      <c r="M7053" s="187">
        <v>7673.595703125</v>
      </c>
      <c r="N7053" s="187">
        <v>4145.95947265625</v>
      </c>
      <c r="O7053" t="s">
        <v>7033</v>
      </c>
    </row>
    <row r="7054" spans="1:15" hidden="1" x14ac:dyDescent="0.45">
      <c r="A7054" s="187">
        <v>2024</v>
      </c>
      <c r="B7054" t="s">
        <v>315</v>
      </c>
      <c r="C7054" t="s">
        <v>328</v>
      </c>
      <c r="D7054" t="s">
        <v>39</v>
      </c>
      <c r="E7054" t="s">
        <v>362</v>
      </c>
      <c r="F7054" t="s">
        <v>362</v>
      </c>
      <c r="G7054" t="s">
        <v>37</v>
      </c>
      <c r="H7054" t="s">
        <v>43</v>
      </c>
      <c r="I7054" s="187">
        <v>2114.7293299674129</v>
      </c>
      <c r="J7054" s="187">
        <v>114</v>
      </c>
      <c r="K7054" s="187">
        <v>3466.1524885296449</v>
      </c>
      <c r="L7054" s="187">
        <v>2917</v>
      </c>
      <c r="M7054" s="187">
        <v>8611.8818359375</v>
      </c>
      <c r="N7054" s="187">
        <v>5031.7294921875</v>
      </c>
      <c r="O7054" t="s">
        <v>7038</v>
      </c>
    </row>
    <row r="7055" spans="1:15" hidden="1" x14ac:dyDescent="0.45">
      <c r="A7055" s="187">
        <v>2024</v>
      </c>
      <c r="B7055" t="s">
        <v>311</v>
      </c>
      <c r="C7055" t="s">
        <v>328</v>
      </c>
      <c r="D7055" t="s">
        <v>39</v>
      </c>
      <c r="E7055" t="s">
        <v>362</v>
      </c>
      <c r="F7055" t="s">
        <v>362</v>
      </c>
      <c r="G7055" t="s">
        <v>37</v>
      </c>
      <c r="H7055" t="s">
        <v>43</v>
      </c>
      <c r="I7055" s="187"/>
      <c r="J7055" s="187">
        <v>102</v>
      </c>
      <c r="K7055" s="187">
        <v>3033.6307225805672</v>
      </c>
      <c r="L7055" s="187">
        <v>5481</v>
      </c>
      <c r="M7055" s="187">
        <v>8616.630859375</v>
      </c>
      <c r="N7055" s="187">
        <v>5481</v>
      </c>
      <c r="O7055" t="s">
        <v>7037</v>
      </c>
    </row>
    <row r="7056" spans="1:15" hidden="1" x14ac:dyDescent="0.45">
      <c r="A7056" s="187">
        <v>2024</v>
      </c>
      <c r="B7056" t="s">
        <v>313</v>
      </c>
      <c r="C7056" t="s">
        <v>328</v>
      </c>
      <c r="D7056" t="s">
        <v>39</v>
      </c>
      <c r="E7056" t="s">
        <v>362</v>
      </c>
      <c r="F7056" t="s">
        <v>362</v>
      </c>
      <c r="G7056" t="s">
        <v>37</v>
      </c>
      <c r="H7056" t="s">
        <v>43</v>
      </c>
      <c r="I7056" s="187">
        <v>2114.9592346162181</v>
      </c>
      <c r="J7056" s="187">
        <v>80</v>
      </c>
      <c r="K7056" s="187">
        <v>2862.932188558696</v>
      </c>
      <c r="L7056" s="187">
        <v>2849</v>
      </c>
      <c r="M7056" s="187">
        <v>7906.8916015625</v>
      </c>
      <c r="N7056" s="187">
        <v>4963.958984375</v>
      </c>
      <c r="O7056" t="s">
        <v>7039</v>
      </c>
    </row>
    <row r="7057" spans="1:15" hidden="1" x14ac:dyDescent="0.45">
      <c r="A7057" s="187">
        <v>2024</v>
      </c>
      <c r="B7057" t="s">
        <v>314</v>
      </c>
      <c r="C7057" t="s">
        <v>328</v>
      </c>
      <c r="D7057" t="s">
        <v>39</v>
      </c>
      <c r="E7057" t="s">
        <v>362</v>
      </c>
      <c r="F7057" t="s">
        <v>362</v>
      </c>
      <c r="G7057" t="s">
        <v>37</v>
      </c>
      <c r="H7057" t="s">
        <v>43</v>
      </c>
      <c r="I7057" s="187">
        <v>2157.658335365752</v>
      </c>
      <c r="J7057" s="187">
        <v>84</v>
      </c>
      <c r="K7057" s="187">
        <v>3103.8517279428852</v>
      </c>
      <c r="L7057" s="187">
        <v>3094</v>
      </c>
      <c r="M7057" s="187">
        <v>8439.509765625</v>
      </c>
      <c r="N7057" s="187">
        <v>5251.658203125</v>
      </c>
      <c r="O7057" t="s">
        <v>7036</v>
      </c>
    </row>
    <row r="7058" spans="1:15" hidden="1" x14ac:dyDescent="0.45">
      <c r="A7058" s="187">
        <v>2024</v>
      </c>
      <c r="B7058" t="s">
        <v>8570</v>
      </c>
      <c r="C7058" t="s">
        <v>328</v>
      </c>
      <c r="D7058" t="s">
        <v>39</v>
      </c>
      <c r="E7058" t="s">
        <v>362</v>
      </c>
      <c r="F7058" t="s">
        <v>362</v>
      </c>
      <c r="G7058" t="s">
        <v>37</v>
      </c>
      <c r="H7058" t="s">
        <v>43</v>
      </c>
      <c r="I7058" s="187">
        <v>2265.7090207129968</v>
      </c>
      <c r="J7058" s="187">
        <v>168</v>
      </c>
      <c r="K7058" s="187">
        <v>3689.854507640096</v>
      </c>
      <c r="L7058" s="187">
        <v>3781</v>
      </c>
      <c r="M7058" s="187">
        <v>9904.5634765625</v>
      </c>
      <c r="N7058" s="187">
        <v>6046.708984375</v>
      </c>
      <c r="O7058" t="s">
        <v>9048</v>
      </c>
    </row>
    <row r="7059" spans="1:15" hidden="1" x14ac:dyDescent="0.45">
      <c r="A7059" s="187">
        <v>2024</v>
      </c>
      <c r="B7059" t="s">
        <v>312</v>
      </c>
      <c r="C7059" t="s">
        <v>328</v>
      </c>
      <c r="D7059" t="s">
        <v>39</v>
      </c>
      <c r="E7059" t="s">
        <v>363</v>
      </c>
      <c r="F7059" t="s">
        <v>363</v>
      </c>
      <c r="G7059" t="s">
        <v>36</v>
      </c>
      <c r="H7059" t="s">
        <v>43</v>
      </c>
      <c r="I7059" s="187">
        <v>2633.2512352831613</v>
      </c>
      <c r="J7059" s="187">
        <v>69.585625156184065</v>
      </c>
      <c r="K7059" s="187">
        <v>490.40759966242848</v>
      </c>
      <c r="L7059" s="187">
        <v>2269.6511405108699</v>
      </c>
      <c r="M7059" s="187">
        <v>5462.89599609375</v>
      </c>
      <c r="N7059" s="187">
        <v>4902.90234375</v>
      </c>
      <c r="O7059" t="s">
        <v>7041</v>
      </c>
    </row>
    <row r="7060" spans="1:15" hidden="1" x14ac:dyDescent="0.45">
      <c r="A7060" s="187">
        <v>2024</v>
      </c>
      <c r="B7060" t="s">
        <v>313</v>
      </c>
      <c r="C7060" t="s">
        <v>328</v>
      </c>
      <c r="D7060" t="s">
        <v>39</v>
      </c>
      <c r="E7060" t="s">
        <v>363</v>
      </c>
      <c r="F7060" t="s">
        <v>363</v>
      </c>
      <c r="G7060" t="s">
        <v>36</v>
      </c>
      <c r="H7060" t="s">
        <v>43</v>
      </c>
      <c r="I7060" s="187">
        <v>3333.0749996812901</v>
      </c>
      <c r="J7060" s="187">
        <v>57.053584994770468</v>
      </c>
      <c r="K7060" s="187">
        <v>440.12621492112487</v>
      </c>
      <c r="L7060" s="187">
        <v>2350.6077017845432</v>
      </c>
      <c r="M7060" s="187">
        <v>6180.8623046875</v>
      </c>
      <c r="N7060" s="187">
        <v>5683.6826171875</v>
      </c>
      <c r="O7060" t="s">
        <v>7043</v>
      </c>
    </row>
    <row r="7061" spans="1:15" hidden="1" x14ac:dyDescent="0.45">
      <c r="A7061" s="187">
        <v>2024</v>
      </c>
      <c r="B7061" t="s">
        <v>314</v>
      </c>
      <c r="C7061" t="s">
        <v>328</v>
      </c>
      <c r="D7061" t="s">
        <v>39</v>
      </c>
      <c r="E7061" t="s">
        <v>363</v>
      </c>
      <c r="F7061" t="s">
        <v>363</v>
      </c>
      <c r="G7061" t="s">
        <v>36</v>
      </c>
      <c r="H7061" t="s">
        <v>43</v>
      </c>
      <c r="I7061" s="187">
        <v>3364.390792875141</v>
      </c>
      <c r="J7061" s="187">
        <v>55.481378510473967</v>
      </c>
      <c r="K7061" s="187">
        <v>461.93610467738733</v>
      </c>
      <c r="L7061" s="187">
        <v>2335.7660352909538</v>
      </c>
      <c r="M7061" s="187">
        <v>6217.57421875</v>
      </c>
      <c r="N7061" s="187">
        <v>5700.15673828125</v>
      </c>
      <c r="O7061" t="s">
        <v>7040</v>
      </c>
    </row>
    <row r="7062" spans="1:15" hidden="1" x14ac:dyDescent="0.45">
      <c r="A7062" s="187">
        <v>2024</v>
      </c>
      <c r="B7062" t="s">
        <v>310</v>
      </c>
      <c r="C7062" t="s">
        <v>328</v>
      </c>
      <c r="D7062" t="s">
        <v>39</v>
      </c>
      <c r="E7062" t="s">
        <v>363</v>
      </c>
      <c r="F7062" t="s">
        <v>363</v>
      </c>
      <c r="G7062" t="s">
        <v>36</v>
      </c>
      <c r="H7062" t="s">
        <v>43</v>
      </c>
      <c r="I7062" s="187"/>
      <c r="J7062" s="187">
        <v>46.757756303172087</v>
      </c>
      <c r="K7062" s="187">
        <v>428.54193232611044</v>
      </c>
      <c r="L7062" s="187">
        <v>4450.1694561544027</v>
      </c>
      <c r="M7062" s="187">
        <v>4925.46923828125</v>
      </c>
      <c r="N7062" s="187">
        <v>4450.16943359375</v>
      </c>
      <c r="O7062" t="s">
        <v>7047</v>
      </c>
    </row>
    <row r="7063" spans="1:15" hidden="1" x14ac:dyDescent="0.45">
      <c r="A7063" s="187">
        <v>2024</v>
      </c>
      <c r="B7063" t="s">
        <v>8570</v>
      </c>
      <c r="C7063" t="s">
        <v>328</v>
      </c>
      <c r="D7063" t="s">
        <v>39</v>
      </c>
      <c r="E7063" t="s">
        <v>363</v>
      </c>
      <c r="F7063" t="s">
        <v>363</v>
      </c>
      <c r="G7063" t="s">
        <v>36</v>
      </c>
      <c r="H7063" t="s">
        <v>43</v>
      </c>
      <c r="I7063" s="187">
        <v>2177.728778078621</v>
      </c>
      <c r="J7063" s="187">
        <v>45</v>
      </c>
      <c r="K7063" s="187">
        <v>613.93935685169129</v>
      </c>
      <c r="L7063" s="187">
        <v>2286</v>
      </c>
      <c r="M7063" s="187">
        <v>5122.66796875</v>
      </c>
      <c r="N7063" s="187">
        <v>4463.728515625</v>
      </c>
      <c r="O7063" t="s">
        <v>9049</v>
      </c>
    </row>
    <row r="7064" spans="1:15" hidden="1" x14ac:dyDescent="0.45">
      <c r="A7064" s="187">
        <v>2024</v>
      </c>
      <c r="B7064" t="s">
        <v>311</v>
      </c>
      <c r="C7064" t="s">
        <v>328</v>
      </c>
      <c r="D7064" t="s">
        <v>39</v>
      </c>
      <c r="E7064" t="s">
        <v>363</v>
      </c>
      <c r="F7064" t="s">
        <v>363</v>
      </c>
      <c r="G7064" t="s">
        <v>36</v>
      </c>
      <c r="H7064" t="s">
        <v>43</v>
      </c>
      <c r="I7064" s="187"/>
      <c r="J7064" s="187">
        <v>69.90382393201898</v>
      </c>
      <c r="K7064" s="187">
        <v>451.31328247813508</v>
      </c>
      <c r="L7064" s="187">
        <v>4557.7293203676381</v>
      </c>
      <c r="M7064" s="187">
        <v>5078.9462890625</v>
      </c>
      <c r="N7064" s="187">
        <v>4557.7294921875</v>
      </c>
      <c r="O7064" t="s">
        <v>7042</v>
      </c>
    </row>
    <row r="7065" spans="1:15" hidden="1" x14ac:dyDescent="0.45">
      <c r="A7065" s="187">
        <v>2024</v>
      </c>
      <c r="B7065" t="s">
        <v>316</v>
      </c>
      <c r="C7065" t="s">
        <v>328</v>
      </c>
      <c r="D7065" t="s">
        <v>39</v>
      </c>
      <c r="E7065" t="s">
        <v>363</v>
      </c>
      <c r="F7065" t="s">
        <v>363</v>
      </c>
      <c r="G7065" t="s">
        <v>36</v>
      </c>
      <c r="H7065" t="s">
        <v>43</v>
      </c>
      <c r="I7065" s="187">
        <v>3267.7910343034573</v>
      </c>
      <c r="J7065" s="187">
        <v>47.592649759384308</v>
      </c>
      <c r="K7065" s="187">
        <v>662.00162402803323</v>
      </c>
      <c r="L7065" s="187">
        <v>2363.7682713827539</v>
      </c>
      <c r="M7065" s="187">
        <v>6341.1533203125</v>
      </c>
      <c r="N7065" s="187">
        <v>5631.55908203125</v>
      </c>
      <c r="O7065" t="s">
        <v>7046</v>
      </c>
    </row>
    <row r="7066" spans="1:15" hidden="1" x14ac:dyDescent="0.45">
      <c r="A7066" s="187">
        <v>2024</v>
      </c>
      <c r="B7066" t="s">
        <v>317</v>
      </c>
      <c r="C7066" t="s">
        <v>328</v>
      </c>
      <c r="D7066" t="s">
        <v>39</v>
      </c>
      <c r="E7066" t="s">
        <v>363</v>
      </c>
      <c r="F7066" t="s">
        <v>363</v>
      </c>
      <c r="G7066" t="s">
        <v>36</v>
      </c>
      <c r="H7066" t="s">
        <v>43</v>
      </c>
      <c r="I7066" s="187">
        <v>3229.6366342236429</v>
      </c>
      <c r="J7066" s="187">
        <v>47.036962758374742</v>
      </c>
      <c r="K7066" s="187">
        <v>631.27181282240235</v>
      </c>
      <c r="L7066" s="187">
        <v>2307.9469726775874</v>
      </c>
      <c r="M7066" s="187">
        <v>6215.89208984375</v>
      </c>
      <c r="N7066" s="187">
        <v>5537.58349609375</v>
      </c>
      <c r="O7066" t="s">
        <v>7045</v>
      </c>
    </row>
    <row r="7067" spans="1:15" hidden="1" x14ac:dyDescent="0.45">
      <c r="A7067" s="187">
        <v>2024</v>
      </c>
      <c r="B7067" t="s">
        <v>315</v>
      </c>
      <c r="C7067" t="s">
        <v>328</v>
      </c>
      <c r="D7067" t="s">
        <v>39</v>
      </c>
      <c r="E7067" t="s">
        <v>363</v>
      </c>
      <c r="F7067" t="s">
        <v>363</v>
      </c>
      <c r="G7067" t="s">
        <v>36</v>
      </c>
      <c r="H7067" t="s">
        <v>43</v>
      </c>
      <c r="I7067" s="187">
        <v>3275.0162749291076</v>
      </c>
      <c r="J7067" s="187">
        <v>37.80526702589669</v>
      </c>
      <c r="K7067" s="187">
        <v>642.07912506278763</v>
      </c>
      <c r="L7067" s="187">
        <v>2359.0486624159535</v>
      </c>
      <c r="M7067" s="187">
        <v>6313.94921875</v>
      </c>
      <c r="N7067" s="187">
        <v>5634.06494140625</v>
      </c>
      <c r="O7067" t="s">
        <v>7044</v>
      </c>
    </row>
    <row r="7068" spans="1:15" hidden="1" x14ac:dyDescent="0.45">
      <c r="A7068" s="187">
        <v>2024</v>
      </c>
      <c r="B7068" t="s">
        <v>312</v>
      </c>
      <c r="C7068" t="s">
        <v>328</v>
      </c>
      <c r="D7068" t="s">
        <v>39</v>
      </c>
      <c r="E7068" t="s">
        <v>363</v>
      </c>
      <c r="F7068" t="s">
        <v>363</v>
      </c>
      <c r="G7068" t="s">
        <v>37</v>
      </c>
      <c r="H7068" t="s">
        <v>43</v>
      </c>
      <c r="I7068" s="187">
        <v>2615.7468187486002</v>
      </c>
      <c r="J7068" s="187">
        <v>70</v>
      </c>
      <c r="K7068" s="187">
        <v>493.91119659711262</v>
      </c>
      <c r="L7068" s="187">
        <v>2299</v>
      </c>
      <c r="M7068" s="187">
        <v>5478.658203125</v>
      </c>
      <c r="N7068" s="187">
        <v>4914.7470703125</v>
      </c>
      <c r="O7068" t="s">
        <v>7050</v>
      </c>
    </row>
    <row r="7069" spans="1:15" hidden="1" x14ac:dyDescent="0.45">
      <c r="A7069" s="187">
        <v>2024</v>
      </c>
      <c r="B7069" t="s">
        <v>310</v>
      </c>
      <c r="C7069" t="s">
        <v>328</v>
      </c>
      <c r="D7069" t="s">
        <v>39</v>
      </c>
      <c r="E7069" t="s">
        <v>363</v>
      </c>
      <c r="F7069" t="s">
        <v>363</v>
      </c>
      <c r="G7069" t="s">
        <v>37</v>
      </c>
      <c r="H7069" t="s">
        <v>43</v>
      </c>
      <c r="I7069" s="187"/>
      <c r="J7069" s="187">
        <v>49</v>
      </c>
      <c r="K7069" s="187">
        <v>448.6787183480098</v>
      </c>
      <c r="L7069" s="187">
        <v>4923</v>
      </c>
      <c r="M7069" s="187">
        <v>5420.6787109375</v>
      </c>
      <c r="N7069" s="187">
        <v>4923</v>
      </c>
      <c r="O7069" t="s">
        <v>7054</v>
      </c>
    </row>
    <row r="7070" spans="1:15" hidden="1" x14ac:dyDescent="0.45">
      <c r="A7070" s="187">
        <v>2024</v>
      </c>
      <c r="B7070" t="s">
        <v>314</v>
      </c>
      <c r="C7070" t="s">
        <v>328</v>
      </c>
      <c r="D7070" t="s">
        <v>39</v>
      </c>
      <c r="E7070" t="s">
        <v>363</v>
      </c>
      <c r="F7070" t="s">
        <v>363</v>
      </c>
      <c r="G7070" t="s">
        <v>37</v>
      </c>
      <c r="H7070" t="s">
        <v>43</v>
      </c>
      <c r="I7070" s="187">
        <v>3416.198471451155</v>
      </c>
      <c r="J7070" s="187">
        <v>56</v>
      </c>
      <c r="K7070" s="187">
        <v>469.68406415091857</v>
      </c>
      <c r="L7070" s="187">
        <v>2529</v>
      </c>
      <c r="M7070" s="187">
        <v>6470.8828125</v>
      </c>
      <c r="N7070" s="187">
        <v>5945.1982421875</v>
      </c>
      <c r="O7070" t="s">
        <v>7048</v>
      </c>
    </row>
    <row r="7071" spans="1:15" hidden="1" x14ac:dyDescent="0.45">
      <c r="A7071" s="187">
        <v>2024</v>
      </c>
      <c r="B7071" t="s">
        <v>8570</v>
      </c>
      <c r="C7071" t="s">
        <v>328</v>
      </c>
      <c r="D7071" t="s">
        <v>39</v>
      </c>
      <c r="E7071" t="s">
        <v>363</v>
      </c>
      <c r="F7071" t="s">
        <v>363</v>
      </c>
      <c r="G7071" t="s">
        <v>37</v>
      </c>
      <c r="H7071" t="s">
        <v>43</v>
      </c>
      <c r="I7071" s="187">
        <v>2265.7090207129968</v>
      </c>
      <c r="J7071" s="187">
        <v>46</v>
      </c>
      <c r="K7071" s="187">
        <v>640.81400986580945</v>
      </c>
      <c r="L7071" s="187">
        <v>2451</v>
      </c>
      <c r="M7071" s="187">
        <v>5403.52294921875</v>
      </c>
      <c r="N7071" s="187">
        <v>4716.708984375</v>
      </c>
      <c r="O7071" t="s">
        <v>9050</v>
      </c>
    </row>
    <row r="7072" spans="1:15" hidden="1" x14ac:dyDescent="0.45">
      <c r="A7072" s="187">
        <v>2024</v>
      </c>
      <c r="B7072" t="s">
        <v>313</v>
      </c>
      <c r="C7072" t="s">
        <v>328</v>
      </c>
      <c r="D7072" t="s">
        <v>39</v>
      </c>
      <c r="E7072" t="s">
        <v>363</v>
      </c>
      <c r="F7072" t="s">
        <v>363</v>
      </c>
      <c r="G7072" t="s">
        <v>37</v>
      </c>
      <c r="H7072" t="s">
        <v>43</v>
      </c>
      <c r="I7072" s="187">
        <v>3348.4034602443971</v>
      </c>
      <c r="J7072" s="187">
        <v>57</v>
      </c>
      <c r="K7072" s="187">
        <v>441.08130873427518</v>
      </c>
      <c r="L7072" s="187">
        <v>2384</v>
      </c>
      <c r="M7072" s="187">
        <v>6230.48486328125</v>
      </c>
      <c r="N7072" s="187">
        <v>5732.4033203125</v>
      </c>
      <c r="O7072" t="s">
        <v>7049</v>
      </c>
    </row>
    <row r="7073" spans="1:15" hidden="1" x14ac:dyDescent="0.45">
      <c r="A7073" s="187">
        <v>2024</v>
      </c>
      <c r="B7073" t="s">
        <v>316</v>
      </c>
      <c r="C7073" t="s">
        <v>328</v>
      </c>
      <c r="D7073" t="s">
        <v>39</v>
      </c>
      <c r="E7073" t="s">
        <v>363</v>
      </c>
      <c r="F7073" t="s">
        <v>363</v>
      </c>
      <c r="G7073" t="s">
        <v>37</v>
      </c>
      <c r="H7073" t="s">
        <v>43</v>
      </c>
      <c r="I7073" s="187">
        <v>3344.8001062725998</v>
      </c>
      <c r="J7073" s="187">
        <v>45</v>
      </c>
      <c r="K7073" s="187">
        <v>665.42795024374584</v>
      </c>
      <c r="L7073" s="187">
        <v>2440</v>
      </c>
      <c r="M7073" s="187">
        <v>6495.22802734375</v>
      </c>
      <c r="N7073" s="187">
        <v>5784.7998046875</v>
      </c>
      <c r="O7073" t="s">
        <v>7051</v>
      </c>
    </row>
    <row r="7074" spans="1:15" hidden="1" x14ac:dyDescent="0.45">
      <c r="A7074" s="187">
        <v>2024</v>
      </c>
      <c r="B7074" t="s">
        <v>317</v>
      </c>
      <c r="C7074" t="s">
        <v>328</v>
      </c>
      <c r="D7074" t="s">
        <v>39</v>
      </c>
      <c r="E7074" t="s">
        <v>363</v>
      </c>
      <c r="F7074" t="s">
        <v>363</v>
      </c>
      <c r="G7074" t="s">
        <v>37</v>
      </c>
      <c r="H7074" t="s">
        <v>43</v>
      </c>
      <c r="I7074" s="187">
        <v>3279</v>
      </c>
      <c r="J7074" s="187">
        <v>45</v>
      </c>
      <c r="K7074" s="187">
        <v>636.99343283688847</v>
      </c>
      <c r="L7074" s="187">
        <v>2334</v>
      </c>
      <c r="M7074" s="187">
        <v>6294.9931640625</v>
      </c>
      <c r="N7074" s="187">
        <v>5613</v>
      </c>
      <c r="O7074" t="s">
        <v>7055</v>
      </c>
    </row>
    <row r="7075" spans="1:15" hidden="1" x14ac:dyDescent="0.45">
      <c r="A7075" s="187">
        <v>2024</v>
      </c>
      <c r="B7075" t="s">
        <v>311</v>
      </c>
      <c r="C7075" t="s">
        <v>328</v>
      </c>
      <c r="D7075" t="s">
        <v>39</v>
      </c>
      <c r="E7075" t="s">
        <v>363</v>
      </c>
      <c r="F7075" t="s">
        <v>363</v>
      </c>
      <c r="G7075" t="s">
        <v>37</v>
      </c>
      <c r="H7075" t="s">
        <v>43</v>
      </c>
      <c r="I7075" s="187"/>
      <c r="J7075" s="187">
        <v>72</v>
      </c>
      <c r="K7075" s="187">
        <v>459.5664245974001</v>
      </c>
      <c r="L7075" s="187">
        <v>4940</v>
      </c>
      <c r="M7075" s="187">
        <v>5471.56640625</v>
      </c>
      <c r="N7075" s="187">
        <v>4940</v>
      </c>
      <c r="O7075" t="s">
        <v>7053</v>
      </c>
    </row>
    <row r="7076" spans="1:15" hidden="1" x14ac:dyDescent="0.45">
      <c r="A7076" s="187">
        <v>2024</v>
      </c>
      <c r="B7076" t="s">
        <v>315</v>
      </c>
      <c r="C7076" t="s">
        <v>328</v>
      </c>
      <c r="D7076" t="s">
        <v>39</v>
      </c>
      <c r="E7076" t="s">
        <v>363</v>
      </c>
      <c r="F7076" t="s">
        <v>363</v>
      </c>
      <c r="G7076" t="s">
        <v>37</v>
      </c>
      <c r="H7076" t="s">
        <v>43</v>
      </c>
      <c r="I7076" s="187">
        <v>3348.22941434005</v>
      </c>
      <c r="J7076" s="187">
        <v>38</v>
      </c>
      <c r="K7076" s="187">
        <v>654.67030779705794</v>
      </c>
      <c r="L7076" s="187">
        <v>2457</v>
      </c>
      <c r="M7076" s="187">
        <v>6497.89990234375</v>
      </c>
      <c r="N7076" s="187">
        <v>5805.2294921875</v>
      </c>
      <c r="O7076" t="s">
        <v>7052</v>
      </c>
    </row>
    <row r="7077" spans="1:15" hidden="1" x14ac:dyDescent="0.45">
      <c r="A7077" s="187">
        <v>2024</v>
      </c>
      <c r="B7077" t="s">
        <v>8570</v>
      </c>
      <c r="C7077" t="s">
        <v>328</v>
      </c>
      <c r="D7077" t="s">
        <v>39</v>
      </c>
      <c r="E7077" t="s">
        <v>364</v>
      </c>
      <c r="F7077" t="s">
        <v>364</v>
      </c>
      <c r="G7077" t="s">
        <v>36</v>
      </c>
      <c r="H7077" t="s">
        <v>43</v>
      </c>
      <c r="I7077" s="187">
        <v>3007.33974115619</v>
      </c>
      <c r="J7077" s="187">
        <v>1023</v>
      </c>
      <c r="K7077" s="187">
        <v>4994.2721533804934</v>
      </c>
      <c r="L7077" s="187">
        <v>4015</v>
      </c>
      <c r="M7077" s="187">
        <v>13039.6123046875</v>
      </c>
      <c r="N7077" s="187">
        <v>7022.33984375</v>
      </c>
      <c r="O7077" t="s">
        <v>9051</v>
      </c>
    </row>
    <row r="7078" spans="1:15" hidden="1" x14ac:dyDescent="0.45">
      <c r="A7078" s="187">
        <v>2024</v>
      </c>
      <c r="B7078" t="s">
        <v>310</v>
      </c>
      <c r="C7078" t="s">
        <v>328</v>
      </c>
      <c r="D7078" t="s">
        <v>39</v>
      </c>
      <c r="E7078" t="s">
        <v>364</v>
      </c>
      <c r="F7078" t="s">
        <v>364</v>
      </c>
      <c r="G7078" t="s">
        <v>36</v>
      </c>
      <c r="H7078" t="s">
        <v>43</v>
      </c>
      <c r="I7078" s="187"/>
      <c r="J7078" s="187">
        <v>771.50297900233943</v>
      </c>
      <c r="K7078" s="187">
        <v>4175.9798574041288</v>
      </c>
      <c r="L7078" s="187">
        <v>4609.1458275851883</v>
      </c>
      <c r="M7078" s="187">
        <v>9556.62890625</v>
      </c>
      <c r="N7078" s="187">
        <v>4609.14599609375</v>
      </c>
      <c r="O7078" t="s">
        <v>7058</v>
      </c>
    </row>
    <row r="7079" spans="1:15" hidden="1" x14ac:dyDescent="0.45">
      <c r="A7079" s="187">
        <v>2024</v>
      </c>
      <c r="B7079" t="s">
        <v>311</v>
      </c>
      <c r="C7079" t="s">
        <v>328</v>
      </c>
      <c r="D7079" t="s">
        <v>39</v>
      </c>
      <c r="E7079" t="s">
        <v>364</v>
      </c>
      <c r="F7079" t="s">
        <v>364</v>
      </c>
      <c r="G7079" t="s">
        <v>36</v>
      </c>
      <c r="H7079" t="s">
        <v>43</v>
      </c>
      <c r="I7079" s="187"/>
      <c r="J7079" s="187">
        <v>792.24333789621517</v>
      </c>
      <c r="K7079" s="187">
        <v>4486.5502245326907</v>
      </c>
      <c r="L7079" s="187">
        <v>11628.501111091358</v>
      </c>
      <c r="M7079" s="187">
        <v>16907.294921875</v>
      </c>
      <c r="N7079" s="187">
        <v>11628.5009765625</v>
      </c>
      <c r="O7079" t="s">
        <v>7063</v>
      </c>
    </row>
    <row r="7080" spans="1:15" hidden="1" x14ac:dyDescent="0.45">
      <c r="A7080" s="187">
        <v>2024</v>
      </c>
      <c r="B7080" t="s">
        <v>317</v>
      </c>
      <c r="C7080" t="s">
        <v>328</v>
      </c>
      <c r="D7080" t="s">
        <v>39</v>
      </c>
      <c r="E7080" t="s">
        <v>364</v>
      </c>
      <c r="F7080" t="s">
        <v>364</v>
      </c>
      <c r="G7080" t="s">
        <v>36</v>
      </c>
      <c r="H7080" t="s">
        <v>43</v>
      </c>
      <c r="I7080" s="187">
        <v>3563.3112454066554</v>
      </c>
      <c r="J7080" s="187">
        <v>909.38127999524511</v>
      </c>
      <c r="K7080" s="187">
        <v>5167.6220978093561</v>
      </c>
      <c r="L7080" s="187">
        <v>3822.5371734972541</v>
      </c>
      <c r="M7080" s="187">
        <v>13462.8515625</v>
      </c>
      <c r="N7080" s="187">
        <v>7385.8486328125</v>
      </c>
      <c r="O7080" t="s">
        <v>7056</v>
      </c>
    </row>
    <row r="7081" spans="1:15" hidden="1" x14ac:dyDescent="0.45">
      <c r="A7081" s="187">
        <v>2024</v>
      </c>
      <c r="B7081" t="s">
        <v>315</v>
      </c>
      <c r="C7081" t="s">
        <v>328</v>
      </c>
      <c r="D7081" t="s">
        <v>39</v>
      </c>
      <c r="E7081" t="s">
        <v>364</v>
      </c>
      <c r="F7081" t="s">
        <v>364</v>
      </c>
      <c r="G7081" t="s">
        <v>36</v>
      </c>
      <c r="H7081" t="s">
        <v>43</v>
      </c>
      <c r="I7081" s="187">
        <v>1746.603336596427</v>
      </c>
      <c r="J7081" s="187">
        <v>739.90308322112094</v>
      </c>
      <c r="K7081" s="187">
        <v>5173.6193451286954</v>
      </c>
      <c r="L7081" s="187">
        <v>2544.8345460860742</v>
      </c>
      <c r="M7081" s="187">
        <v>10204.9609375</v>
      </c>
      <c r="N7081" s="187">
        <v>4291.43798828125</v>
      </c>
      <c r="O7081" t="s">
        <v>7060</v>
      </c>
    </row>
    <row r="7082" spans="1:15" hidden="1" x14ac:dyDescent="0.45">
      <c r="A7082" s="187">
        <v>2024</v>
      </c>
      <c r="B7082" t="s">
        <v>314</v>
      </c>
      <c r="C7082" t="s">
        <v>328</v>
      </c>
      <c r="D7082" t="s">
        <v>39</v>
      </c>
      <c r="E7082" t="s">
        <v>364</v>
      </c>
      <c r="F7082" t="s">
        <v>364</v>
      </c>
      <c r="G7082" t="s">
        <v>36</v>
      </c>
      <c r="H7082" t="s">
        <v>43</v>
      </c>
      <c r="I7082" s="187">
        <v>1794.267781028728</v>
      </c>
      <c r="J7082" s="187">
        <v>765.64302344454075</v>
      </c>
      <c r="K7082" s="187">
        <v>5167.2162941493798</v>
      </c>
      <c r="L7082" s="187">
        <v>2700.8335058898724</v>
      </c>
      <c r="M7082" s="187">
        <v>10427.9609375</v>
      </c>
      <c r="N7082" s="187">
        <v>4495.1015625</v>
      </c>
      <c r="O7082" t="s">
        <v>7057</v>
      </c>
    </row>
    <row r="7083" spans="1:15" hidden="1" x14ac:dyDescent="0.45">
      <c r="A7083" s="187">
        <v>2024</v>
      </c>
      <c r="B7083" t="s">
        <v>313</v>
      </c>
      <c r="C7083" t="s">
        <v>328</v>
      </c>
      <c r="D7083" t="s">
        <v>39</v>
      </c>
      <c r="E7083" t="s">
        <v>364</v>
      </c>
      <c r="F7083" t="s">
        <v>364</v>
      </c>
      <c r="G7083" t="s">
        <v>36</v>
      </c>
      <c r="H7083" t="s">
        <v>43</v>
      </c>
      <c r="I7083" s="187">
        <v>1777.2374297342985</v>
      </c>
      <c r="J7083" s="187">
        <v>775.92875592887833</v>
      </c>
      <c r="K7083" s="187">
        <v>5068.3194008825803</v>
      </c>
      <c r="L7083" s="187">
        <v>2959.939989528692</v>
      </c>
      <c r="M7083" s="187">
        <v>10581.42578125</v>
      </c>
      <c r="N7083" s="187">
        <v>4737.17724609375</v>
      </c>
      <c r="O7083" t="s">
        <v>7059</v>
      </c>
    </row>
    <row r="7084" spans="1:15" hidden="1" x14ac:dyDescent="0.45">
      <c r="A7084" s="187">
        <v>2024</v>
      </c>
      <c r="B7084" t="s">
        <v>316</v>
      </c>
      <c r="C7084" t="s">
        <v>328</v>
      </c>
      <c r="D7084" t="s">
        <v>39</v>
      </c>
      <c r="E7084" t="s">
        <v>364</v>
      </c>
      <c r="F7084" t="s">
        <v>364</v>
      </c>
      <c r="G7084" t="s">
        <v>36</v>
      </c>
      <c r="H7084" t="s">
        <v>43</v>
      </c>
      <c r="I7084" s="187">
        <v>3033.8246373856173</v>
      </c>
      <c r="J7084" s="187">
        <v>920.12456201476334</v>
      </c>
      <c r="K7084" s="187">
        <v>5124.6124545403845</v>
      </c>
      <c r="L7084" s="187">
        <v>3062.8514156261544</v>
      </c>
      <c r="M7084" s="187">
        <v>12141.4130859375</v>
      </c>
      <c r="N7084" s="187">
        <v>6096.67626953125</v>
      </c>
      <c r="O7084" t="s">
        <v>7061</v>
      </c>
    </row>
    <row r="7085" spans="1:15" hidden="1" x14ac:dyDescent="0.45">
      <c r="A7085" s="187">
        <v>2024</v>
      </c>
      <c r="B7085" t="s">
        <v>312</v>
      </c>
      <c r="C7085" t="s">
        <v>328</v>
      </c>
      <c r="D7085" t="s">
        <v>39</v>
      </c>
      <c r="E7085" t="s">
        <v>364</v>
      </c>
      <c r="F7085" t="s">
        <v>364</v>
      </c>
      <c r="G7085" t="s">
        <v>36</v>
      </c>
      <c r="H7085" t="s">
        <v>43</v>
      </c>
      <c r="I7085" s="187">
        <v>1433.4587681841222</v>
      </c>
      <c r="J7085" s="187">
        <v>788.63708510341928</v>
      </c>
      <c r="K7085" s="187">
        <v>4797.0135137762072</v>
      </c>
      <c r="L7085" s="187">
        <v>3503.6362266138672</v>
      </c>
      <c r="M7085" s="187">
        <v>10522.7451171875</v>
      </c>
      <c r="N7085" s="187">
        <v>4937.0947265625</v>
      </c>
      <c r="O7085" t="s">
        <v>7062</v>
      </c>
    </row>
    <row r="7086" spans="1:15" hidden="1" x14ac:dyDescent="0.45">
      <c r="A7086" s="187">
        <v>2024</v>
      </c>
      <c r="B7086" t="s">
        <v>317</v>
      </c>
      <c r="C7086" t="s">
        <v>328</v>
      </c>
      <c r="D7086" t="s">
        <v>39</v>
      </c>
      <c r="E7086" t="s">
        <v>364</v>
      </c>
      <c r="F7086" t="s">
        <v>364</v>
      </c>
      <c r="G7086" t="s">
        <v>37</v>
      </c>
      <c r="H7086" t="s">
        <v>43</v>
      </c>
      <c r="I7086" s="187">
        <v>3617.1852826118402</v>
      </c>
      <c r="J7086" s="187">
        <v>870</v>
      </c>
      <c r="K7086" s="187">
        <v>5214.4595605655868</v>
      </c>
      <c r="L7086" s="187">
        <v>3866</v>
      </c>
      <c r="M7086" s="187">
        <v>13567.6455078125</v>
      </c>
      <c r="N7086" s="187">
        <v>7483.185546875</v>
      </c>
      <c r="O7086" t="s">
        <v>7067</v>
      </c>
    </row>
    <row r="7087" spans="1:15" hidden="1" x14ac:dyDescent="0.45">
      <c r="A7087" s="187">
        <v>2024</v>
      </c>
      <c r="B7087" t="s">
        <v>8570</v>
      </c>
      <c r="C7087" t="s">
        <v>328</v>
      </c>
      <c r="D7087" t="s">
        <v>39</v>
      </c>
      <c r="E7087" t="s">
        <v>364</v>
      </c>
      <c r="F7087" t="s">
        <v>364</v>
      </c>
      <c r="G7087" t="s">
        <v>37</v>
      </c>
      <c r="H7087" t="s">
        <v>43</v>
      </c>
      <c r="I7087" s="187">
        <v>3128.836266698901</v>
      </c>
      <c r="J7087" s="187">
        <v>1043</v>
      </c>
      <c r="K7087" s="187">
        <v>5212.8920051333707</v>
      </c>
      <c r="L7087" s="187">
        <v>4305</v>
      </c>
      <c r="M7087" s="187">
        <v>13689.7275390625</v>
      </c>
      <c r="N7087" s="187">
        <v>7433.8359375</v>
      </c>
      <c r="O7087" t="s">
        <v>9052</v>
      </c>
    </row>
    <row r="7088" spans="1:15" hidden="1" x14ac:dyDescent="0.45">
      <c r="A7088" s="187">
        <v>2024</v>
      </c>
      <c r="B7088" t="s">
        <v>310</v>
      </c>
      <c r="C7088" t="s">
        <v>328</v>
      </c>
      <c r="D7088" t="s">
        <v>39</v>
      </c>
      <c r="E7088" t="s">
        <v>364</v>
      </c>
      <c r="F7088" t="s">
        <v>364</v>
      </c>
      <c r="G7088" t="s">
        <v>37</v>
      </c>
      <c r="H7088" t="s">
        <v>43</v>
      </c>
      <c r="I7088" s="187"/>
      <c r="J7088" s="187">
        <v>807</v>
      </c>
      <c r="K7088" s="187">
        <v>4372.2052591142192</v>
      </c>
      <c r="L7088" s="187">
        <v>5099</v>
      </c>
      <c r="M7088" s="187">
        <v>10278.205078125</v>
      </c>
      <c r="N7088" s="187">
        <v>5099</v>
      </c>
      <c r="O7088" t="s">
        <v>7069</v>
      </c>
    </row>
    <row r="7089" spans="1:15" hidden="1" x14ac:dyDescent="0.45">
      <c r="A7089" s="187">
        <v>2024</v>
      </c>
      <c r="B7089" t="s">
        <v>314</v>
      </c>
      <c r="C7089" t="s">
        <v>328</v>
      </c>
      <c r="D7089" t="s">
        <v>39</v>
      </c>
      <c r="E7089" t="s">
        <v>364</v>
      </c>
      <c r="F7089" t="s">
        <v>364</v>
      </c>
      <c r="G7089" t="s">
        <v>37</v>
      </c>
      <c r="H7089" t="s">
        <v>43</v>
      </c>
      <c r="I7089" s="187">
        <v>1821.89740380492</v>
      </c>
      <c r="J7089" s="187">
        <v>777</v>
      </c>
      <c r="K7089" s="187">
        <v>5253.8849525041969</v>
      </c>
      <c r="L7089" s="187">
        <v>2925</v>
      </c>
      <c r="M7089" s="187">
        <v>10777.7822265625</v>
      </c>
      <c r="N7089" s="187">
        <v>4746.8974609375</v>
      </c>
      <c r="O7089" t="s">
        <v>7070</v>
      </c>
    </row>
    <row r="7090" spans="1:15" hidden="1" x14ac:dyDescent="0.45">
      <c r="A7090" s="187">
        <v>2024</v>
      </c>
      <c r="B7090" t="s">
        <v>311</v>
      </c>
      <c r="C7090" t="s">
        <v>328</v>
      </c>
      <c r="D7090" t="s">
        <v>39</v>
      </c>
      <c r="E7090" t="s">
        <v>364</v>
      </c>
      <c r="F7090" t="s">
        <v>364</v>
      </c>
      <c r="G7090" t="s">
        <v>37</v>
      </c>
      <c r="H7090" t="s">
        <v>43</v>
      </c>
      <c r="I7090" s="187"/>
      <c r="J7090" s="187">
        <v>814</v>
      </c>
      <c r="K7090" s="187">
        <v>4568.5955311209864</v>
      </c>
      <c r="L7090" s="187">
        <v>12605</v>
      </c>
      <c r="M7090" s="187">
        <v>17987.595703125</v>
      </c>
      <c r="N7090" s="187">
        <v>12605</v>
      </c>
      <c r="O7090" t="s">
        <v>7064</v>
      </c>
    </row>
    <row r="7091" spans="1:15" hidden="1" x14ac:dyDescent="0.45">
      <c r="A7091" s="187">
        <v>2024</v>
      </c>
      <c r="B7091" t="s">
        <v>315</v>
      </c>
      <c r="C7091" t="s">
        <v>328</v>
      </c>
      <c r="D7091" t="s">
        <v>39</v>
      </c>
      <c r="E7091" t="s">
        <v>364</v>
      </c>
      <c r="F7091" t="s">
        <v>364</v>
      </c>
      <c r="G7091" t="s">
        <v>37</v>
      </c>
      <c r="H7091" t="s">
        <v>43</v>
      </c>
      <c r="I7091" s="187">
        <v>1785.648734494677</v>
      </c>
      <c r="J7091" s="187">
        <v>741</v>
      </c>
      <c r="K7091" s="187">
        <v>5275.0741098599137</v>
      </c>
      <c r="L7091" s="187">
        <v>2650</v>
      </c>
      <c r="M7091" s="187">
        <v>10451.72265625</v>
      </c>
      <c r="N7091" s="187">
        <v>4435.6484375</v>
      </c>
      <c r="O7091" t="s">
        <v>7071</v>
      </c>
    </row>
    <row r="7092" spans="1:15" hidden="1" x14ac:dyDescent="0.45">
      <c r="A7092" s="187">
        <v>2024</v>
      </c>
      <c r="B7092" t="s">
        <v>313</v>
      </c>
      <c r="C7092" t="s">
        <v>328</v>
      </c>
      <c r="D7092" t="s">
        <v>39</v>
      </c>
      <c r="E7092" t="s">
        <v>364</v>
      </c>
      <c r="F7092" t="s">
        <v>364</v>
      </c>
      <c r="G7092" t="s">
        <v>37</v>
      </c>
      <c r="H7092" t="s">
        <v>43</v>
      </c>
      <c r="I7092" s="187">
        <v>1785.4107573238559</v>
      </c>
      <c r="J7092" s="187">
        <v>781</v>
      </c>
      <c r="K7092" s="187">
        <v>5079.3178834513137</v>
      </c>
      <c r="L7092" s="187">
        <v>3002</v>
      </c>
      <c r="M7092" s="187">
        <v>10647.728515625</v>
      </c>
      <c r="N7092" s="187">
        <v>4787.41064453125</v>
      </c>
      <c r="O7092" t="s">
        <v>7068</v>
      </c>
    </row>
    <row r="7093" spans="1:15" hidden="1" x14ac:dyDescent="0.45">
      <c r="A7093" s="187">
        <v>2024</v>
      </c>
      <c r="B7093" t="s">
        <v>316</v>
      </c>
      <c r="C7093" t="s">
        <v>328</v>
      </c>
      <c r="D7093" t="s">
        <v>39</v>
      </c>
      <c r="E7093" t="s">
        <v>364</v>
      </c>
      <c r="F7093" t="s">
        <v>364</v>
      </c>
      <c r="G7093" t="s">
        <v>37</v>
      </c>
      <c r="H7093" t="s">
        <v>43</v>
      </c>
      <c r="I7093" s="187">
        <v>3105.32003516034</v>
      </c>
      <c r="J7093" s="187">
        <v>870</v>
      </c>
      <c r="K7093" s="187">
        <v>5151.1359453613304</v>
      </c>
      <c r="L7093" s="187">
        <v>3161</v>
      </c>
      <c r="M7093" s="187">
        <v>12287.4560546875</v>
      </c>
      <c r="N7093" s="187">
        <v>6266.3203125</v>
      </c>
      <c r="O7093" t="s">
        <v>7065</v>
      </c>
    </row>
    <row r="7094" spans="1:15" hidden="1" x14ac:dyDescent="0.45">
      <c r="A7094" s="187">
        <v>2024</v>
      </c>
      <c r="B7094" t="s">
        <v>312</v>
      </c>
      <c r="C7094" t="s">
        <v>328</v>
      </c>
      <c r="D7094" t="s">
        <v>39</v>
      </c>
      <c r="E7094" t="s">
        <v>364</v>
      </c>
      <c r="F7094" t="s">
        <v>364</v>
      </c>
      <c r="G7094" t="s">
        <v>37</v>
      </c>
      <c r="H7094" t="s">
        <v>43</v>
      </c>
      <c r="I7094" s="187">
        <v>1423.9299169194931</v>
      </c>
      <c r="J7094" s="187">
        <v>797</v>
      </c>
      <c r="K7094" s="187">
        <v>4831.2846014471024</v>
      </c>
      <c r="L7094" s="187">
        <v>3548</v>
      </c>
      <c r="M7094" s="187">
        <v>10600.21484375</v>
      </c>
      <c r="N7094" s="187">
        <v>4971.9296875</v>
      </c>
      <c r="O7094" t="s">
        <v>7066</v>
      </c>
    </row>
    <row r="7095" spans="1:15" hidden="1" x14ac:dyDescent="0.45">
      <c r="A7095" s="187">
        <v>2024</v>
      </c>
      <c r="B7095" t="s">
        <v>314</v>
      </c>
      <c r="C7095" t="s">
        <v>328</v>
      </c>
      <c r="D7095" t="s">
        <v>39</v>
      </c>
      <c r="E7095" t="s">
        <v>365</v>
      </c>
      <c r="F7095" t="s">
        <v>375</v>
      </c>
      <c r="G7095" t="s">
        <v>36</v>
      </c>
      <c r="H7095" t="s">
        <v>43</v>
      </c>
      <c r="I7095" s="187">
        <v>9242.0880322747525</v>
      </c>
      <c r="J7095" s="187">
        <v>1836.4336286966882</v>
      </c>
      <c r="K7095" s="187">
        <v>17241.214563407077</v>
      </c>
      <c r="L7095" s="187">
        <v>12960.450020046717</v>
      </c>
      <c r="M7095" s="187">
        <v>41280.1875</v>
      </c>
      <c r="N7095" s="187">
        <v>22202.537109375</v>
      </c>
      <c r="O7095" t="s">
        <v>7075</v>
      </c>
    </row>
    <row r="7096" spans="1:15" hidden="1" x14ac:dyDescent="0.45">
      <c r="A7096" s="187">
        <v>2024</v>
      </c>
      <c r="B7096" t="s">
        <v>317</v>
      </c>
      <c r="C7096" t="s">
        <v>328</v>
      </c>
      <c r="D7096" t="s">
        <v>39</v>
      </c>
      <c r="E7096" t="s">
        <v>365</v>
      </c>
      <c r="F7096" t="s">
        <v>375</v>
      </c>
      <c r="G7096" t="s">
        <v>36</v>
      </c>
      <c r="H7096" t="s">
        <v>43</v>
      </c>
      <c r="I7096" s="187">
        <v>10967.381920263177</v>
      </c>
      <c r="J7096" s="187">
        <v>2415.609354102312</v>
      </c>
      <c r="K7096" s="187">
        <v>19087.556434984141</v>
      </c>
      <c r="L7096" s="187">
        <v>14839.639117347695</v>
      </c>
      <c r="M7096" s="187">
        <v>47310.1875</v>
      </c>
      <c r="N7096" s="187">
        <v>25807.021484375</v>
      </c>
      <c r="O7096" t="s">
        <v>7077</v>
      </c>
    </row>
    <row r="7097" spans="1:15" hidden="1" x14ac:dyDescent="0.45">
      <c r="A7097" s="187">
        <v>2024</v>
      </c>
      <c r="B7097" t="s">
        <v>316</v>
      </c>
      <c r="C7097" t="s">
        <v>328</v>
      </c>
      <c r="D7097" t="s">
        <v>39</v>
      </c>
      <c r="E7097" t="s">
        <v>365</v>
      </c>
      <c r="F7097" t="s">
        <v>375</v>
      </c>
      <c r="G7097" t="s">
        <v>36</v>
      </c>
      <c r="H7097" t="s">
        <v>43</v>
      </c>
      <c r="I7097" s="187">
        <v>10525.365794758383</v>
      </c>
      <c r="J7097" s="187">
        <v>2495.9700762699326</v>
      </c>
      <c r="K7097" s="187">
        <v>17948.128207611655</v>
      </c>
      <c r="L7097" s="187">
        <v>13601.979301232035</v>
      </c>
      <c r="M7097" s="187">
        <v>44571.4453125</v>
      </c>
      <c r="N7097" s="187">
        <v>24127.345703125</v>
      </c>
      <c r="O7097" t="s">
        <v>7079</v>
      </c>
    </row>
    <row r="7098" spans="1:15" hidden="1" x14ac:dyDescent="0.45">
      <c r="A7098" s="187">
        <v>2024</v>
      </c>
      <c r="B7098" t="s">
        <v>310</v>
      </c>
      <c r="C7098" t="s">
        <v>328</v>
      </c>
      <c r="D7098" t="s">
        <v>39</v>
      </c>
      <c r="E7098" t="s">
        <v>365</v>
      </c>
      <c r="F7098" t="s">
        <v>375</v>
      </c>
      <c r="G7098" t="s">
        <v>36</v>
      </c>
      <c r="H7098" t="s">
        <v>43</v>
      </c>
      <c r="I7098" s="187"/>
      <c r="J7098" s="187">
        <v>1950.9000574788979</v>
      </c>
      <c r="K7098" s="187">
        <v>18059.281074904393</v>
      </c>
      <c r="L7098" s="187">
        <v>23989.066871342438</v>
      </c>
      <c r="M7098" s="187">
        <v>43999.25</v>
      </c>
      <c r="N7098" s="187">
        <v>23989.06640625</v>
      </c>
      <c r="O7098" t="s">
        <v>7074</v>
      </c>
    </row>
    <row r="7099" spans="1:15" hidden="1" x14ac:dyDescent="0.45">
      <c r="A7099" s="187">
        <v>2024</v>
      </c>
      <c r="B7099" t="s">
        <v>315</v>
      </c>
      <c r="C7099" t="s">
        <v>328</v>
      </c>
      <c r="D7099" t="s">
        <v>39</v>
      </c>
      <c r="E7099" t="s">
        <v>365</v>
      </c>
      <c r="F7099" t="s">
        <v>375</v>
      </c>
      <c r="G7099" t="s">
        <v>36</v>
      </c>
      <c r="H7099" t="s">
        <v>43</v>
      </c>
      <c r="I7099" s="187">
        <v>8996.5734016769584</v>
      </c>
      <c r="J7099" s="187">
        <v>1982.0761426434406</v>
      </c>
      <c r="K7099" s="187">
        <v>17723.732861641049</v>
      </c>
      <c r="L7099" s="187">
        <v>12895.916657776588</v>
      </c>
      <c r="M7099" s="187">
        <v>41598.30078125</v>
      </c>
      <c r="N7099" s="187">
        <v>21892.490234375</v>
      </c>
      <c r="O7099" t="s">
        <v>7076</v>
      </c>
    </row>
    <row r="7100" spans="1:15" hidden="1" x14ac:dyDescent="0.45">
      <c r="A7100" s="187">
        <v>2024</v>
      </c>
      <c r="B7100" t="s">
        <v>311</v>
      </c>
      <c r="C7100" t="s">
        <v>328</v>
      </c>
      <c r="D7100" t="s">
        <v>39</v>
      </c>
      <c r="E7100" t="s">
        <v>365</v>
      </c>
      <c r="F7100" t="s">
        <v>375</v>
      </c>
      <c r="G7100" t="s">
        <v>36</v>
      </c>
      <c r="H7100" t="s">
        <v>43</v>
      </c>
      <c r="I7100" s="187"/>
      <c r="J7100" s="187">
        <v>1852.4513341985032</v>
      </c>
      <c r="K7100" s="187">
        <v>18380.313366809085</v>
      </c>
      <c r="L7100" s="187">
        <v>21890.382464311744</v>
      </c>
      <c r="M7100" s="187">
        <v>42123.1484375</v>
      </c>
      <c r="N7100" s="187">
        <v>21890.3828125</v>
      </c>
      <c r="O7100" t="s">
        <v>7072</v>
      </c>
    </row>
    <row r="7101" spans="1:15" hidden="1" x14ac:dyDescent="0.45">
      <c r="A7101" s="187">
        <v>2024</v>
      </c>
      <c r="B7101" t="s">
        <v>313</v>
      </c>
      <c r="C7101" t="s">
        <v>328</v>
      </c>
      <c r="D7101" t="s">
        <v>39</v>
      </c>
      <c r="E7101" t="s">
        <v>365</v>
      </c>
      <c r="F7101" t="s">
        <v>375</v>
      </c>
      <c r="G7101" t="s">
        <v>36</v>
      </c>
      <c r="H7101" t="s">
        <v>43</v>
      </c>
      <c r="I7101" s="187">
        <v>9155.5941770167992</v>
      </c>
      <c r="J7101" s="187">
        <v>1825.714719832655</v>
      </c>
      <c r="K7101" s="187">
        <v>18861.325233803254</v>
      </c>
      <c r="L7101" s="187">
        <v>13442.965696467818</v>
      </c>
      <c r="M7101" s="187">
        <v>43285.6015625</v>
      </c>
      <c r="N7101" s="187">
        <v>22598.55859375</v>
      </c>
      <c r="O7101" t="s">
        <v>7073</v>
      </c>
    </row>
    <row r="7102" spans="1:15" hidden="1" x14ac:dyDescent="0.45">
      <c r="A7102" s="187">
        <v>2024</v>
      </c>
      <c r="B7102" t="s">
        <v>312</v>
      </c>
      <c r="C7102" t="s">
        <v>328</v>
      </c>
      <c r="D7102" t="s">
        <v>39</v>
      </c>
      <c r="E7102" t="s">
        <v>365</v>
      </c>
      <c r="F7102" t="s">
        <v>375</v>
      </c>
      <c r="G7102" t="s">
        <v>36</v>
      </c>
      <c r="H7102" t="s">
        <v>43</v>
      </c>
      <c r="I7102" s="187">
        <v>8115.3612864993192</v>
      </c>
      <c r="J7102" s="187">
        <v>1844.0190666388776</v>
      </c>
      <c r="K7102" s="187">
        <v>19033.452235848839</v>
      </c>
      <c r="L7102" s="187">
        <v>13668.936301513089</v>
      </c>
      <c r="M7102" s="187">
        <v>42661.76953125</v>
      </c>
      <c r="N7102" s="187">
        <v>21784.296875</v>
      </c>
      <c r="O7102" t="s">
        <v>7078</v>
      </c>
    </row>
    <row r="7103" spans="1:15" hidden="1" x14ac:dyDescent="0.45">
      <c r="A7103" s="187">
        <v>2024</v>
      </c>
      <c r="B7103" t="s">
        <v>8570</v>
      </c>
      <c r="C7103" t="s">
        <v>328</v>
      </c>
      <c r="D7103" t="s">
        <v>39</v>
      </c>
      <c r="E7103" t="s">
        <v>365</v>
      </c>
      <c r="F7103" t="s">
        <v>375</v>
      </c>
      <c r="G7103" t="s">
        <v>36</v>
      </c>
      <c r="H7103" t="s">
        <v>43</v>
      </c>
      <c r="I7103" s="187">
        <v>10541.69743846962</v>
      </c>
      <c r="J7103" s="187">
        <v>2764</v>
      </c>
      <c r="K7103" s="187">
        <v>18358.278516386279</v>
      </c>
      <c r="L7103" s="187">
        <v>15227</v>
      </c>
      <c r="M7103" s="187">
        <v>46890.9765625</v>
      </c>
      <c r="N7103" s="187">
        <v>25768.697265625</v>
      </c>
      <c r="O7103" t="s">
        <v>9053</v>
      </c>
    </row>
    <row r="7104" spans="1:15" hidden="1" x14ac:dyDescent="0.45">
      <c r="A7104" s="187">
        <v>2024</v>
      </c>
      <c r="B7104" t="s">
        <v>315</v>
      </c>
      <c r="C7104" t="s">
        <v>328</v>
      </c>
      <c r="D7104" t="s">
        <v>39</v>
      </c>
      <c r="E7104" t="s">
        <v>365</v>
      </c>
      <c r="F7104" t="s">
        <v>375</v>
      </c>
      <c r="G7104" t="s">
        <v>37</v>
      </c>
      <c r="H7104" t="s">
        <v>43</v>
      </c>
      <c r="I7104" s="187">
        <v>9197.692213732942</v>
      </c>
      <c r="J7104" s="187">
        <v>1987</v>
      </c>
      <c r="K7104" s="187">
        <v>18071.295569231788</v>
      </c>
      <c r="L7104" s="187">
        <v>13430</v>
      </c>
      <c r="M7104" s="187">
        <v>42685.98828125</v>
      </c>
      <c r="N7104" s="187">
        <v>22627.69140625</v>
      </c>
      <c r="O7104" t="s">
        <v>7087</v>
      </c>
    </row>
    <row r="7105" spans="1:15" hidden="1" x14ac:dyDescent="0.45">
      <c r="A7105" s="187">
        <v>2024</v>
      </c>
      <c r="B7105" t="s">
        <v>317</v>
      </c>
      <c r="C7105" t="s">
        <v>328</v>
      </c>
      <c r="D7105" t="s">
        <v>39</v>
      </c>
      <c r="E7105" t="s">
        <v>365</v>
      </c>
      <c r="F7105" t="s">
        <v>375</v>
      </c>
      <c r="G7105" t="s">
        <v>37</v>
      </c>
      <c r="H7105" t="s">
        <v>43</v>
      </c>
      <c r="I7105" s="187">
        <v>11133.8407387808</v>
      </c>
      <c r="J7105" s="187">
        <v>2311</v>
      </c>
      <c r="K7105" s="187">
        <v>19260.5591617141</v>
      </c>
      <c r="L7105" s="187">
        <v>15009</v>
      </c>
      <c r="M7105" s="187">
        <v>47714.3984375</v>
      </c>
      <c r="N7105" s="187">
        <v>26142.83984375</v>
      </c>
      <c r="O7105" t="s">
        <v>7085</v>
      </c>
    </row>
    <row r="7106" spans="1:15" hidden="1" x14ac:dyDescent="0.45">
      <c r="A7106" s="187">
        <v>2024</v>
      </c>
      <c r="B7106" t="s">
        <v>310</v>
      </c>
      <c r="C7106" t="s">
        <v>328</v>
      </c>
      <c r="D7106" t="s">
        <v>39</v>
      </c>
      <c r="E7106" t="s">
        <v>365</v>
      </c>
      <c r="F7106" t="s">
        <v>375</v>
      </c>
      <c r="G7106" t="s">
        <v>37</v>
      </c>
      <c r="H7106" t="s">
        <v>43</v>
      </c>
      <c r="I7106" s="187"/>
      <c r="J7106" s="187">
        <v>2041</v>
      </c>
      <c r="K7106" s="187">
        <v>18907.869862332442</v>
      </c>
      <c r="L7106" s="187">
        <v>26540</v>
      </c>
      <c r="M7106" s="187">
        <v>47488.8671875</v>
      </c>
      <c r="N7106" s="187">
        <v>26540</v>
      </c>
      <c r="O7106" t="s">
        <v>7081</v>
      </c>
    </row>
    <row r="7107" spans="1:15" hidden="1" x14ac:dyDescent="0.45">
      <c r="A7107" s="187">
        <v>2024</v>
      </c>
      <c r="B7107" t="s">
        <v>311</v>
      </c>
      <c r="C7107" t="s">
        <v>328</v>
      </c>
      <c r="D7107" t="s">
        <v>39</v>
      </c>
      <c r="E7107" t="s">
        <v>365</v>
      </c>
      <c r="F7107" t="s">
        <v>375</v>
      </c>
      <c r="G7107" t="s">
        <v>37</v>
      </c>
      <c r="H7107" t="s">
        <v>43</v>
      </c>
      <c r="I7107" s="187"/>
      <c r="J7107" s="187">
        <v>1903</v>
      </c>
      <c r="K7107" s="187">
        <v>18716.43318490962</v>
      </c>
      <c r="L7107" s="187">
        <v>23729</v>
      </c>
      <c r="M7107" s="187">
        <v>44348.43359375</v>
      </c>
      <c r="N7107" s="187">
        <v>23729</v>
      </c>
      <c r="O7107" t="s">
        <v>7084</v>
      </c>
    </row>
    <row r="7108" spans="1:15" hidden="1" x14ac:dyDescent="0.45">
      <c r="A7108" s="187">
        <v>2024</v>
      </c>
      <c r="B7108" t="s">
        <v>8570</v>
      </c>
      <c r="C7108" t="s">
        <v>328</v>
      </c>
      <c r="D7108" t="s">
        <v>39</v>
      </c>
      <c r="E7108" t="s">
        <v>365</v>
      </c>
      <c r="F7108" t="s">
        <v>375</v>
      </c>
      <c r="G7108" t="s">
        <v>37</v>
      </c>
      <c r="H7108" t="s">
        <v>43</v>
      </c>
      <c r="I7108" s="187">
        <v>10967.582014983789</v>
      </c>
      <c r="J7108" s="187">
        <v>2824</v>
      </c>
      <c r="K7108" s="187">
        <v>19161.89594139461</v>
      </c>
      <c r="L7108" s="187">
        <v>16328</v>
      </c>
      <c r="M7108" s="187">
        <v>49281.4765625</v>
      </c>
      <c r="N7108" s="187">
        <v>27295.58203125</v>
      </c>
      <c r="O7108" t="s">
        <v>9054</v>
      </c>
    </row>
    <row r="7109" spans="1:15" hidden="1" x14ac:dyDescent="0.45">
      <c r="A7109" s="187">
        <v>2024</v>
      </c>
      <c r="B7109" t="s">
        <v>312</v>
      </c>
      <c r="C7109" t="s">
        <v>328</v>
      </c>
      <c r="D7109" t="s">
        <v>39</v>
      </c>
      <c r="E7109" t="s">
        <v>365</v>
      </c>
      <c r="F7109" t="s">
        <v>375</v>
      </c>
      <c r="G7109" t="s">
        <v>37</v>
      </c>
      <c r="H7109" t="s">
        <v>43</v>
      </c>
      <c r="I7109" s="187">
        <v>8061.4147954148611</v>
      </c>
      <c r="J7109" s="187">
        <v>1863</v>
      </c>
      <c r="K7109" s="187">
        <v>19169.432071715732</v>
      </c>
      <c r="L7109" s="187">
        <v>13843</v>
      </c>
      <c r="M7109" s="187">
        <v>42936.84765625</v>
      </c>
      <c r="N7109" s="187">
        <v>21904.4140625</v>
      </c>
      <c r="O7109" t="s">
        <v>7086</v>
      </c>
    </row>
    <row r="7110" spans="1:15" hidden="1" x14ac:dyDescent="0.45">
      <c r="A7110" s="187">
        <v>2024</v>
      </c>
      <c r="B7110" t="s">
        <v>314</v>
      </c>
      <c r="C7110" t="s">
        <v>328</v>
      </c>
      <c r="D7110" t="s">
        <v>39</v>
      </c>
      <c r="E7110" t="s">
        <v>365</v>
      </c>
      <c r="F7110" t="s">
        <v>375</v>
      </c>
      <c r="G7110" t="s">
        <v>37</v>
      </c>
      <c r="H7110" t="s">
        <v>43</v>
      </c>
      <c r="I7110" s="187">
        <v>9384.4053656717224</v>
      </c>
      <c r="J7110" s="187">
        <v>1863</v>
      </c>
      <c r="K7110" s="187">
        <v>17530.397916600548</v>
      </c>
      <c r="L7110" s="187">
        <v>14035</v>
      </c>
      <c r="M7110" s="187">
        <v>42812.8046875</v>
      </c>
      <c r="N7110" s="187">
        <v>23419.40625</v>
      </c>
      <c r="O7110" t="s">
        <v>7080</v>
      </c>
    </row>
    <row r="7111" spans="1:15" hidden="1" x14ac:dyDescent="0.45">
      <c r="A7111" s="187">
        <v>2024</v>
      </c>
      <c r="B7111" t="s">
        <v>316</v>
      </c>
      <c r="C7111" t="s">
        <v>328</v>
      </c>
      <c r="D7111" t="s">
        <v>39</v>
      </c>
      <c r="E7111" t="s">
        <v>365</v>
      </c>
      <c r="F7111" t="s">
        <v>375</v>
      </c>
      <c r="G7111" t="s">
        <v>37</v>
      </c>
      <c r="H7111" t="s">
        <v>43</v>
      </c>
      <c r="I7111" s="187">
        <v>10773.40755859256</v>
      </c>
      <c r="J7111" s="187">
        <v>2360</v>
      </c>
      <c r="K7111" s="187">
        <v>18041.02245434557</v>
      </c>
      <c r="L7111" s="187">
        <v>14039</v>
      </c>
      <c r="M7111" s="187">
        <v>45213.4296875</v>
      </c>
      <c r="N7111" s="187">
        <v>24812.40625</v>
      </c>
      <c r="O7111" t="s">
        <v>7082</v>
      </c>
    </row>
    <row r="7112" spans="1:15" hidden="1" x14ac:dyDescent="0.45">
      <c r="A7112" s="187">
        <v>2024</v>
      </c>
      <c r="B7112" t="s">
        <v>313</v>
      </c>
      <c r="C7112" t="s">
        <v>328</v>
      </c>
      <c r="D7112" t="s">
        <v>39</v>
      </c>
      <c r="E7112" t="s">
        <v>365</v>
      </c>
      <c r="F7112" t="s">
        <v>375</v>
      </c>
      <c r="G7112" t="s">
        <v>37</v>
      </c>
      <c r="H7112" t="s">
        <v>43</v>
      </c>
      <c r="I7112" s="187">
        <v>9197.6997894880533</v>
      </c>
      <c r="J7112" s="187">
        <v>1837</v>
      </c>
      <c r="K7112" s="187">
        <v>18902.255163509559</v>
      </c>
      <c r="L7112" s="187">
        <v>13634</v>
      </c>
      <c r="M7112" s="187">
        <v>43570.953125</v>
      </c>
      <c r="N7112" s="187">
        <v>22831.69921875</v>
      </c>
      <c r="O7112" t="s">
        <v>7083</v>
      </c>
    </row>
    <row r="7113" spans="1:15" hidden="1" x14ac:dyDescent="0.45">
      <c r="A7113" s="187">
        <v>2025</v>
      </c>
      <c r="B7113" t="s">
        <v>311</v>
      </c>
      <c r="C7113" t="s">
        <v>322</v>
      </c>
      <c r="D7113" t="s">
        <v>35</v>
      </c>
      <c r="E7113" t="s">
        <v>348</v>
      </c>
      <c r="F7113" t="s">
        <v>382</v>
      </c>
      <c r="G7113" t="s">
        <v>36</v>
      </c>
      <c r="H7113" t="s">
        <v>43</v>
      </c>
      <c r="I7113" s="187"/>
      <c r="J7113" s="187">
        <v>1192.4000046824287</v>
      </c>
      <c r="K7113" s="187">
        <v>16085.005900522816</v>
      </c>
      <c r="L7113" s="187">
        <v>34829.557783830816</v>
      </c>
      <c r="M7113" s="187">
        <v>52106.96484375</v>
      </c>
      <c r="N7113" s="187">
        <v>34829.55859375</v>
      </c>
      <c r="O7113" t="s">
        <v>7089</v>
      </c>
    </row>
    <row r="7114" spans="1:15" hidden="1" x14ac:dyDescent="0.45">
      <c r="A7114" s="187">
        <v>2025</v>
      </c>
      <c r="B7114" t="s">
        <v>8570</v>
      </c>
      <c r="C7114" t="s">
        <v>322</v>
      </c>
      <c r="D7114" t="s">
        <v>35</v>
      </c>
      <c r="E7114" t="s">
        <v>348</v>
      </c>
      <c r="F7114" t="s">
        <v>382</v>
      </c>
      <c r="G7114" t="s">
        <v>36</v>
      </c>
      <c r="H7114" t="s">
        <v>43</v>
      </c>
      <c r="I7114" s="187">
        <v>14173.71032206716</v>
      </c>
      <c r="J7114" s="187">
        <v>1000</v>
      </c>
      <c r="K7114" s="187">
        <v>18156.83566065089</v>
      </c>
      <c r="L7114" s="187">
        <v>21524</v>
      </c>
      <c r="M7114" s="187">
        <v>54854.546875</v>
      </c>
      <c r="N7114" s="187">
        <v>35697.7109375</v>
      </c>
      <c r="O7114" t="s">
        <v>9055</v>
      </c>
    </row>
    <row r="7115" spans="1:15" hidden="1" x14ac:dyDescent="0.45">
      <c r="A7115" s="187">
        <v>2025</v>
      </c>
      <c r="B7115" t="s">
        <v>313</v>
      </c>
      <c r="C7115" t="s">
        <v>322</v>
      </c>
      <c r="D7115" t="s">
        <v>35</v>
      </c>
      <c r="E7115" t="s">
        <v>348</v>
      </c>
      <c r="F7115" t="s">
        <v>382</v>
      </c>
      <c r="G7115" t="s">
        <v>36</v>
      </c>
      <c r="H7115" t="s">
        <v>43</v>
      </c>
      <c r="I7115" s="187">
        <v>14165.681535029324</v>
      </c>
      <c r="J7115" s="187">
        <v>922.37674338968839</v>
      </c>
      <c r="K7115" s="187">
        <v>17547.864481877779</v>
      </c>
      <c r="L7115" s="187">
        <v>30770.248581105097</v>
      </c>
      <c r="M7115" s="187">
        <v>63406.171875</v>
      </c>
      <c r="N7115" s="187">
        <v>44935.9296875</v>
      </c>
      <c r="O7115" t="s">
        <v>7088</v>
      </c>
    </row>
    <row r="7116" spans="1:15" hidden="1" x14ac:dyDescent="0.45">
      <c r="A7116" s="187">
        <v>2025</v>
      </c>
      <c r="B7116" t="s">
        <v>316</v>
      </c>
      <c r="C7116" t="s">
        <v>322</v>
      </c>
      <c r="D7116" t="s">
        <v>35</v>
      </c>
      <c r="E7116" t="s">
        <v>348</v>
      </c>
      <c r="F7116" t="s">
        <v>382</v>
      </c>
      <c r="G7116" t="s">
        <v>36</v>
      </c>
      <c r="H7116" t="s">
        <v>43</v>
      </c>
      <c r="I7116" s="187">
        <v>20518.839349556994</v>
      </c>
      <c r="J7116" s="187">
        <v>990.2070009335024</v>
      </c>
      <c r="K7116" s="187">
        <v>19789.913542280832</v>
      </c>
      <c r="L7116" s="187">
        <v>34134.054459320621</v>
      </c>
      <c r="M7116" s="187">
        <v>75433.015625</v>
      </c>
      <c r="N7116" s="187">
        <v>54652.89453125</v>
      </c>
      <c r="O7116" t="s">
        <v>7092</v>
      </c>
    </row>
    <row r="7117" spans="1:15" hidden="1" x14ac:dyDescent="0.45">
      <c r="A7117" s="187">
        <v>2025</v>
      </c>
      <c r="B7117" t="s">
        <v>317</v>
      </c>
      <c r="C7117" t="s">
        <v>322</v>
      </c>
      <c r="D7117" t="s">
        <v>35</v>
      </c>
      <c r="E7117" t="s">
        <v>348</v>
      </c>
      <c r="F7117" t="s">
        <v>382</v>
      </c>
      <c r="G7117" t="s">
        <v>36</v>
      </c>
      <c r="H7117" t="s">
        <v>43</v>
      </c>
      <c r="I7117" s="187">
        <v>17531.788621771815</v>
      </c>
      <c r="J7117" s="187">
        <v>1080.5090956866493</v>
      </c>
      <c r="K7117" s="187">
        <v>20388.079961696501</v>
      </c>
      <c r="L7117" s="187">
        <v>30783.704136112639</v>
      </c>
      <c r="M7117" s="187">
        <v>69784.0859375</v>
      </c>
      <c r="N7117" s="187">
        <v>48315.4921875</v>
      </c>
      <c r="O7117" t="s">
        <v>7093</v>
      </c>
    </row>
    <row r="7118" spans="1:15" hidden="1" x14ac:dyDescent="0.45">
      <c r="A7118" s="187">
        <v>2025</v>
      </c>
      <c r="B7118" t="s">
        <v>315</v>
      </c>
      <c r="C7118" t="s">
        <v>322</v>
      </c>
      <c r="D7118" t="s">
        <v>35</v>
      </c>
      <c r="E7118" t="s">
        <v>348</v>
      </c>
      <c r="F7118" t="s">
        <v>382</v>
      </c>
      <c r="G7118" t="s">
        <v>36</v>
      </c>
      <c r="H7118" t="s">
        <v>43</v>
      </c>
      <c r="I7118" s="187">
        <v>20497.158999854746</v>
      </c>
      <c r="J7118" s="187">
        <v>962.87782075725158</v>
      </c>
      <c r="K7118" s="187">
        <v>19342.040463832993</v>
      </c>
      <c r="L7118" s="187">
        <v>29982.882540944629</v>
      </c>
      <c r="M7118" s="187">
        <v>70784.953125</v>
      </c>
      <c r="N7118" s="187">
        <v>50480.0390625</v>
      </c>
      <c r="O7118" t="s">
        <v>7090</v>
      </c>
    </row>
    <row r="7119" spans="1:15" hidden="1" x14ac:dyDescent="0.45">
      <c r="A7119" s="187">
        <v>2025</v>
      </c>
      <c r="B7119" t="s">
        <v>314</v>
      </c>
      <c r="C7119" t="s">
        <v>322</v>
      </c>
      <c r="D7119" t="s">
        <v>35</v>
      </c>
      <c r="E7119" t="s">
        <v>348</v>
      </c>
      <c r="F7119" t="s">
        <v>382</v>
      </c>
      <c r="G7119" t="s">
        <v>36</v>
      </c>
      <c r="H7119" t="s">
        <v>43</v>
      </c>
      <c r="I7119" s="187">
        <v>20960.114273362105</v>
      </c>
      <c r="J7119" s="187">
        <v>908.56011565714186</v>
      </c>
      <c r="K7119" s="187">
        <v>18048.902607329215</v>
      </c>
      <c r="L7119" s="187">
        <v>25006.369952471181</v>
      </c>
      <c r="M7119" s="187">
        <v>64923.94921875</v>
      </c>
      <c r="N7119" s="187">
        <v>45966.484375</v>
      </c>
      <c r="O7119" t="s">
        <v>7091</v>
      </c>
    </row>
    <row r="7120" spans="1:15" hidden="1" x14ac:dyDescent="0.45">
      <c r="A7120" s="187">
        <v>2025</v>
      </c>
      <c r="B7120" t="s">
        <v>312</v>
      </c>
      <c r="C7120" t="s">
        <v>322</v>
      </c>
      <c r="D7120" t="s">
        <v>35</v>
      </c>
      <c r="E7120" t="s">
        <v>348</v>
      </c>
      <c r="F7120" t="s">
        <v>382</v>
      </c>
      <c r="G7120" t="s">
        <v>36</v>
      </c>
      <c r="H7120" t="s">
        <v>43</v>
      </c>
      <c r="I7120" s="187">
        <v>14301.610859459573</v>
      </c>
      <c r="J7120" s="187">
        <v>1180.92839533544</v>
      </c>
      <c r="K7120" s="187">
        <v>16061.318447914418</v>
      </c>
      <c r="L7120" s="187">
        <v>25698.485771582316</v>
      </c>
      <c r="M7120" s="187">
        <v>57242.34375</v>
      </c>
      <c r="N7120" s="187">
        <v>40000.09765625</v>
      </c>
      <c r="O7120" t="s">
        <v>7094</v>
      </c>
    </row>
    <row r="7121" spans="1:15" hidden="1" x14ac:dyDescent="0.45">
      <c r="A7121" s="187">
        <v>2025</v>
      </c>
      <c r="B7121" t="s">
        <v>312</v>
      </c>
      <c r="C7121" t="s">
        <v>322</v>
      </c>
      <c r="D7121" t="s">
        <v>35</v>
      </c>
      <c r="E7121" t="s">
        <v>348</v>
      </c>
      <c r="F7121" t="s">
        <v>382</v>
      </c>
      <c r="G7121" t="s">
        <v>37</v>
      </c>
      <c r="H7121" t="s">
        <v>43</v>
      </c>
      <c r="I7121" s="187">
        <v>13590.537306846551</v>
      </c>
      <c r="J7121" s="187">
        <v>1142</v>
      </c>
      <c r="K7121" s="187">
        <v>15474.66063750102</v>
      </c>
      <c r="L7121" s="187">
        <v>24945</v>
      </c>
      <c r="M7121" s="187">
        <v>55152.1953125</v>
      </c>
      <c r="N7121" s="187">
        <v>38535.5390625</v>
      </c>
      <c r="O7121" t="s">
        <v>7097</v>
      </c>
    </row>
    <row r="7122" spans="1:15" hidden="1" x14ac:dyDescent="0.45">
      <c r="A7122" s="187">
        <v>2025</v>
      </c>
      <c r="B7122" t="s">
        <v>316</v>
      </c>
      <c r="C7122" t="s">
        <v>322</v>
      </c>
      <c r="D7122" t="s">
        <v>35</v>
      </c>
      <c r="E7122" t="s">
        <v>348</v>
      </c>
      <c r="F7122" t="s">
        <v>382</v>
      </c>
      <c r="G7122" t="s">
        <v>37</v>
      </c>
      <c r="H7122" t="s">
        <v>43</v>
      </c>
      <c r="I7122" s="187">
        <v>20570</v>
      </c>
      <c r="J7122" s="187">
        <v>899</v>
      </c>
      <c r="K7122" s="187">
        <v>19482.609379118479</v>
      </c>
      <c r="L7122" s="187">
        <v>35035</v>
      </c>
      <c r="M7122" s="187">
        <v>75986.609375</v>
      </c>
      <c r="N7122" s="187">
        <v>55605</v>
      </c>
      <c r="O7122" t="s">
        <v>7099</v>
      </c>
    </row>
    <row r="7123" spans="1:15" hidden="1" x14ac:dyDescent="0.45">
      <c r="A7123" s="187">
        <v>2025</v>
      </c>
      <c r="B7123" t="s">
        <v>313</v>
      </c>
      <c r="C7123" t="s">
        <v>322</v>
      </c>
      <c r="D7123" t="s">
        <v>35</v>
      </c>
      <c r="E7123" t="s">
        <v>348</v>
      </c>
      <c r="F7123" t="s">
        <v>382</v>
      </c>
      <c r="G7123" t="s">
        <v>37</v>
      </c>
      <c r="H7123" t="s">
        <v>43</v>
      </c>
      <c r="I7123" s="187">
        <v>13826.92658986758</v>
      </c>
      <c r="J7123" s="187">
        <v>903</v>
      </c>
      <c r="K7123" s="187">
        <v>17086.817329179081</v>
      </c>
      <c r="L7123" s="187">
        <v>30381.724034904899</v>
      </c>
      <c r="M7123" s="187">
        <v>62198.46875</v>
      </c>
      <c r="N7123" s="187">
        <v>44208.65234375</v>
      </c>
      <c r="O7123" t="s">
        <v>7095</v>
      </c>
    </row>
    <row r="7124" spans="1:15" hidden="1" x14ac:dyDescent="0.45">
      <c r="A7124" s="187">
        <v>2025</v>
      </c>
      <c r="B7124" t="s">
        <v>317</v>
      </c>
      <c r="C7124" t="s">
        <v>322</v>
      </c>
      <c r="D7124" t="s">
        <v>35</v>
      </c>
      <c r="E7124" t="s">
        <v>348</v>
      </c>
      <c r="F7124" t="s">
        <v>382</v>
      </c>
      <c r="G7124" t="s">
        <v>37</v>
      </c>
      <c r="H7124" t="s">
        <v>43</v>
      </c>
      <c r="I7124" s="187">
        <v>17563.659141589109</v>
      </c>
      <c r="J7124" s="187">
        <v>1000</v>
      </c>
      <c r="K7124" s="187">
        <v>20299.876095644009</v>
      </c>
      <c r="L7124" s="187">
        <v>30512</v>
      </c>
      <c r="M7124" s="187">
        <v>69375.53125</v>
      </c>
      <c r="N7124" s="187">
        <v>48075.65625</v>
      </c>
      <c r="O7124" t="s">
        <v>7100</v>
      </c>
    </row>
    <row r="7125" spans="1:15" hidden="1" x14ac:dyDescent="0.45">
      <c r="A7125" s="187">
        <v>2025</v>
      </c>
      <c r="B7125" t="s">
        <v>314</v>
      </c>
      <c r="C7125" t="s">
        <v>322</v>
      </c>
      <c r="D7125" t="s">
        <v>35</v>
      </c>
      <c r="E7125" t="s">
        <v>348</v>
      </c>
      <c r="F7125" t="s">
        <v>382</v>
      </c>
      <c r="G7125" t="s">
        <v>37</v>
      </c>
      <c r="H7125" t="s">
        <v>43</v>
      </c>
      <c r="I7125" s="187">
        <v>20679.910246320949</v>
      </c>
      <c r="J7125" s="187">
        <v>895</v>
      </c>
      <c r="K7125" s="187">
        <v>17831.71294357867</v>
      </c>
      <c r="L7125" s="187">
        <v>26547.158274746122</v>
      </c>
      <c r="M7125" s="187">
        <v>65953.78125</v>
      </c>
      <c r="N7125" s="187">
        <v>47227.0703125</v>
      </c>
      <c r="O7125" t="s">
        <v>7098</v>
      </c>
    </row>
    <row r="7126" spans="1:15" hidden="1" x14ac:dyDescent="0.45">
      <c r="A7126" s="187">
        <v>2025</v>
      </c>
      <c r="B7126" t="s">
        <v>315</v>
      </c>
      <c r="C7126" t="s">
        <v>322</v>
      </c>
      <c r="D7126" t="s">
        <v>35</v>
      </c>
      <c r="E7126" t="s">
        <v>348</v>
      </c>
      <c r="F7126" t="s">
        <v>382</v>
      </c>
      <c r="G7126" t="s">
        <v>37</v>
      </c>
      <c r="H7126" t="s">
        <v>43</v>
      </c>
      <c r="I7126" s="187">
        <v>20381.098822832231</v>
      </c>
      <c r="J7126" s="187">
        <v>938</v>
      </c>
      <c r="K7126" s="187">
        <v>19180.881444314011</v>
      </c>
      <c r="L7126" s="187">
        <v>29807.291669649861</v>
      </c>
      <c r="M7126" s="187">
        <v>70307.2734375</v>
      </c>
      <c r="N7126" s="187">
        <v>50188.390625</v>
      </c>
      <c r="O7126" t="s">
        <v>7101</v>
      </c>
    </row>
    <row r="7127" spans="1:15" hidden="1" x14ac:dyDescent="0.45">
      <c r="A7127" s="187">
        <v>2025</v>
      </c>
      <c r="B7127" t="s">
        <v>8570</v>
      </c>
      <c r="C7127" t="s">
        <v>322</v>
      </c>
      <c r="D7127" t="s">
        <v>35</v>
      </c>
      <c r="E7127" t="s">
        <v>348</v>
      </c>
      <c r="F7127" t="s">
        <v>382</v>
      </c>
      <c r="G7127" t="s">
        <v>37</v>
      </c>
      <c r="H7127" t="s">
        <v>43</v>
      </c>
      <c r="I7127" s="187">
        <v>15041.25478346025</v>
      </c>
      <c r="J7127" s="187">
        <v>1000</v>
      </c>
      <c r="K7127" s="187">
        <v>19353.115716505599</v>
      </c>
      <c r="L7127" s="187">
        <v>24654</v>
      </c>
      <c r="M7127" s="187">
        <v>60048.37109375</v>
      </c>
      <c r="N7127" s="187">
        <v>39695.25390625</v>
      </c>
      <c r="O7127" t="s">
        <v>9056</v>
      </c>
    </row>
    <row r="7128" spans="1:15" hidden="1" x14ac:dyDescent="0.45">
      <c r="A7128" s="187">
        <v>2025</v>
      </c>
      <c r="B7128" t="s">
        <v>311</v>
      </c>
      <c r="C7128" t="s">
        <v>322</v>
      </c>
      <c r="D7128" t="s">
        <v>35</v>
      </c>
      <c r="E7128" t="s">
        <v>348</v>
      </c>
      <c r="F7128" t="s">
        <v>382</v>
      </c>
      <c r="G7128" t="s">
        <v>37</v>
      </c>
      <c r="H7128" t="s">
        <v>43</v>
      </c>
      <c r="I7128" s="187"/>
      <c r="J7128" s="187">
        <v>1141</v>
      </c>
      <c r="K7128" s="187">
        <v>15262.683486832169</v>
      </c>
      <c r="L7128" s="187">
        <v>35355</v>
      </c>
      <c r="M7128" s="187">
        <v>51758.68359375</v>
      </c>
      <c r="N7128" s="187">
        <v>35355</v>
      </c>
      <c r="O7128" t="s">
        <v>7096</v>
      </c>
    </row>
    <row r="7129" spans="1:15" hidden="1" x14ac:dyDescent="0.45">
      <c r="A7129" s="187">
        <v>2025</v>
      </c>
      <c r="B7129" t="s">
        <v>312</v>
      </c>
      <c r="C7129" t="s">
        <v>322</v>
      </c>
      <c r="D7129" t="s">
        <v>35</v>
      </c>
      <c r="E7129" t="s">
        <v>19</v>
      </c>
      <c r="F7129" t="s">
        <v>19</v>
      </c>
      <c r="G7129" t="s">
        <v>36</v>
      </c>
      <c r="H7129" t="s">
        <v>43</v>
      </c>
      <c r="I7129" s="187">
        <v>945.97929050430525</v>
      </c>
      <c r="J7129" s="187">
        <v>0</v>
      </c>
      <c r="K7129" s="187">
        <v>139.39211578606972</v>
      </c>
      <c r="L7129" s="187">
        <v>2119.4882404240252</v>
      </c>
      <c r="M7129" s="187">
        <v>3204.859619140625</v>
      </c>
      <c r="N7129" s="187">
        <v>3065.467529296875</v>
      </c>
      <c r="O7129" t="s">
        <v>7107</v>
      </c>
    </row>
    <row r="7130" spans="1:15" hidden="1" x14ac:dyDescent="0.45">
      <c r="A7130" s="187">
        <v>2025</v>
      </c>
      <c r="B7130" t="s">
        <v>317</v>
      </c>
      <c r="C7130" t="s">
        <v>322</v>
      </c>
      <c r="D7130" t="s">
        <v>35</v>
      </c>
      <c r="E7130" t="s">
        <v>19</v>
      </c>
      <c r="F7130" t="s">
        <v>19</v>
      </c>
      <c r="G7130" t="s">
        <v>36</v>
      </c>
      <c r="H7130" t="s">
        <v>43</v>
      </c>
      <c r="I7130" s="187">
        <v>918.43273133365187</v>
      </c>
      <c r="J7130" s="187">
        <v>0</v>
      </c>
      <c r="K7130" s="187">
        <v>130.85225773127951</v>
      </c>
      <c r="L7130" s="187">
        <v>6202.1222092413673</v>
      </c>
      <c r="M7130" s="187">
        <v>7251.4072265625</v>
      </c>
      <c r="N7130" s="187">
        <v>7120.55517578125</v>
      </c>
      <c r="O7130" t="s">
        <v>7108</v>
      </c>
    </row>
    <row r="7131" spans="1:15" hidden="1" x14ac:dyDescent="0.45">
      <c r="A7131" s="187">
        <v>2025</v>
      </c>
      <c r="B7131" t="s">
        <v>315</v>
      </c>
      <c r="C7131" t="s">
        <v>322</v>
      </c>
      <c r="D7131" t="s">
        <v>35</v>
      </c>
      <c r="E7131" t="s">
        <v>19</v>
      </c>
      <c r="F7131" t="s">
        <v>19</v>
      </c>
      <c r="G7131" t="s">
        <v>36</v>
      </c>
      <c r="H7131" t="s">
        <v>43</v>
      </c>
      <c r="I7131" s="187">
        <v>866.59003868152638</v>
      </c>
      <c r="J7131" s="187">
        <v>0</v>
      </c>
      <c r="K7131" s="187">
        <v>128.82647527426553</v>
      </c>
      <c r="L7131" s="187">
        <v>3427.8450418958155</v>
      </c>
      <c r="M7131" s="187">
        <v>4423.26171875</v>
      </c>
      <c r="N7131" s="187">
        <v>4294.43505859375</v>
      </c>
      <c r="O7131" t="s">
        <v>7102</v>
      </c>
    </row>
    <row r="7132" spans="1:15" hidden="1" x14ac:dyDescent="0.45">
      <c r="A7132" s="187">
        <v>2025</v>
      </c>
      <c r="B7132" t="s">
        <v>313</v>
      </c>
      <c r="C7132" t="s">
        <v>322</v>
      </c>
      <c r="D7132" t="s">
        <v>35</v>
      </c>
      <c r="E7132" t="s">
        <v>19</v>
      </c>
      <c r="F7132" t="s">
        <v>19</v>
      </c>
      <c r="G7132" t="s">
        <v>36</v>
      </c>
      <c r="H7132" t="s">
        <v>43</v>
      </c>
      <c r="I7132" s="187">
        <v>916.38728401702804</v>
      </c>
      <c r="J7132" s="187">
        <v>11.978918745320629</v>
      </c>
      <c r="K7132" s="187">
        <v>131.5877829827663</v>
      </c>
      <c r="L7132" s="187">
        <v>2908.4814713638484</v>
      </c>
      <c r="M7132" s="187">
        <v>3968.435546875</v>
      </c>
      <c r="N7132" s="187">
        <v>3824.86865234375</v>
      </c>
      <c r="O7132" t="s">
        <v>7106</v>
      </c>
    </row>
    <row r="7133" spans="1:15" hidden="1" x14ac:dyDescent="0.45">
      <c r="A7133" s="187">
        <v>2025</v>
      </c>
      <c r="B7133" t="s">
        <v>311</v>
      </c>
      <c r="C7133" t="s">
        <v>322</v>
      </c>
      <c r="D7133" t="s">
        <v>35</v>
      </c>
      <c r="E7133" t="s">
        <v>19</v>
      </c>
      <c r="F7133" t="s">
        <v>19</v>
      </c>
      <c r="G7133" t="s">
        <v>36</v>
      </c>
      <c r="H7133" t="s">
        <v>43</v>
      </c>
      <c r="I7133" s="187"/>
      <c r="J7133" s="187">
        <v>0</v>
      </c>
      <c r="K7133" s="187">
        <v>143.93856925028712</v>
      </c>
      <c r="L7133" s="187">
        <v>5028.4847256286803</v>
      </c>
      <c r="M7133" s="187">
        <v>5172.42333984375</v>
      </c>
      <c r="N7133" s="187">
        <v>5028.48486328125</v>
      </c>
      <c r="O7133" t="s">
        <v>7104</v>
      </c>
    </row>
    <row r="7134" spans="1:15" hidden="1" x14ac:dyDescent="0.45">
      <c r="A7134" s="187">
        <v>2025</v>
      </c>
      <c r="B7134" t="s">
        <v>8570</v>
      </c>
      <c r="C7134" t="s">
        <v>322</v>
      </c>
      <c r="D7134" t="s">
        <v>35</v>
      </c>
      <c r="E7134" t="s">
        <v>19</v>
      </c>
      <c r="F7134" t="s">
        <v>19</v>
      </c>
      <c r="G7134" t="s">
        <v>36</v>
      </c>
      <c r="H7134" t="s">
        <v>43</v>
      </c>
      <c r="I7134" s="187">
        <v>685.20587520000015</v>
      </c>
      <c r="J7134" s="187">
        <v>0</v>
      </c>
      <c r="K7134" s="187">
        <v>127.718757570604</v>
      </c>
      <c r="L7134" s="187">
        <v>2791</v>
      </c>
      <c r="M7134" s="187">
        <v>3603.924560546875</v>
      </c>
      <c r="N7134" s="187">
        <v>3476.205810546875</v>
      </c>
      <c r="O7134" t="s">
        <v>9057</v>
      </c>
    </row>
    <row r="7135" spans="1:15" hidden="1" x14ac:dyDescent="0.45">
      <c r="A7135" s="187">
        <v>2025</v>
      </c>
      <c r="B7135" t="s">
        <v>314</v>
      </c>
      <c r="C7135" t="s">
        <v>322</v>
      </c>
      <c r="D7135" t="s">
        <v>35</v>
      </c>
      <c r="E7135" t="s">
        <v>19</v>
      </c>
      <c r="F7135" t="s">
        <v>19</v>
      </c>
      <c r="G7135" t="s">
        <v>36</v>
      </c>
      <c r="H7135" t="s">
        <v>43</v>
      </c>
      <c r="I7135" s="187">
        <v>891.08780574065827</v>
      </c>
      <c r="J7135" s="187">
        <v>0</v>
      </c>
      <c r="K7135" s="187">
        <v>129.37708936609556</v>
      </c>
      <c r="L7135" s="187">
        <v>3312.7499601652707</v>
      </c>
      <c r="M7135" s="187">
        <v>4333.21484375</v>
      </c>
      <c r="N7135" s="187">
        <v>4203.837890625</v>
      </c>
      <c r="O7135" t="s">
        <v>7105</v>
      </c>
    </row>
    <row r="7136" spans="1:15" hidden="1" x14ac:dyDescent="0.45">
      <c r="A7136" s="187">
        <v>2025</v>
      </c>
      <c r="B7136" t="s">
        <v>316</v>
      </c>
      <c r="C7136" t="s">
        <v>322</v>
      </c>
      <c r="D7136" t="s">
        <v>35</v>
      </c>
      <c r="E7136" t="s">
        <v>19</v>
      </c>
      <c r="F7136" t="s">
        <v>19</v>
      </c>
      <c r="G7136" t="s">
        <v>36</v>
      </c>
      <c r="H7136" t="s">
        <v>43</v>
      </c>
      <c r="I7136" s="187">
        <v>859.54869150609932</v>
      </c>
      <c r="J7136" s="187">
        <v>0</v>
      </c>
      <c r="K7136" s="187">
        <v>128.6025825339118</v>
      </c>
      <c r="L7136" s="187">
        <v>6389.5337179257485</v>
      </c>
      <c r="M7136" s="187">
        <v>7377.68505859375</v>
      </c>
      <c r="N7136" s="187">
        <v>7249.08251953125</v>
      </c>
      <c r="O7136" t="s">
        <v>7103</v>
      </c>
    </row>
    <row r="7137" spans="1:15" hidden="1" x14ac:dyDescent="0.45">
      <c r="A7137" s="187">
        <v>2025</v>
      </c>
      <c r="B7137" t="s">
        <v>315</v>
      </c>
      <c r="C7137" t="s">
        <v>322</v>
      </c>
      <c r="D7137" t="s">
        <v>35</v>
      </c>
      <c r="E7137" t="s">
        <v>19</v>
      </c>
      <c r="F7137" t="s">
        <v>19</v>
      </c>
      <c r="G7137" t="s">
        <v>37</v>
      </c>
      <c r="H7137" t="s">
        <v>43</v>
      </c>
      <c r="I7137" s="187">
        <v>861.6831833804556</v>
      </c>
      <c r="J7137" s="187">
        <v>0</v>
      </c>
      <c r="K7137" s="187">
        <v>127.753085500208</v>
      </c>
      <c r="L7137" s="187">
        <v>3408</v>
      </c>
      <c r="M7137" s="187">
        <v>4397.4365234375</v>
      </c>
      <c r="N7137" s="187">
        <v>4269.68310546875</v>
      </c>
      <c r="O7137" t="s">
        <v>7110</v>
      </c>
    </row>
    <row r="7138" spans="1:15" hidden="1" x14ac:dyDescent="0.45">
      <c r="A7138" s="187">
        <v>2025</v>
      </c>
      <c r="B7138" t="s">
        <v>316</v>
      </c>
      <c r="C7138" t="s">
        <v>322</v>
      </c>
      <c r="D7138" t="s">
        <v>35</v>
      </c>
      <c r="E7138" t="s">
        <v>19</v>
      </c>
      <c r="F7138" t="s">
        <v>19</v>
      </c>
      <c r="G7138" t="s">
        <v>37</v>
      </c>
      <c r="H7138" t="s">
        <v>43</v>
      </c>
      <c r="I7138" s="187">
        <v>862</v>
      </c>
      <c r="J7138" s="187">
        <v>0</v>
      </c>
      <c r="K7138" s="187">
        <v>126.6056001356984</v>
      </c>
      <c r="L7138" s="187">
        <v>6558</v>
      </c>
      <c r="M7138" s="187">
        <v>7546.60546875</v>
      </c>
      <c r="N7138" s="187">
        <v>7420</v>
      </c>
      <c r="O7138" t="s">
        <v>7115</v>
      </c>
    </row>
    <row r="7139" spans="1:15" hidden="1" x14ac:dyDescent="0.45">
      <c r="A7139" s="187">
        <v>2025</v>
      </c>
      <c r="B7139" t="s">
        <v>8570</v>
      </c>
      <c r="C7139" t="s">
        <v>322</v>
      </c>
      <c r="D7139" t="s">
        <v>35</v>
      </c>
      <c r="E7139" t="s">
        <v>19</v>
      </c>
      <c r="F7139" t="s">
        <v>19</v>
      </c>
      <c r="G7139" t="s">
        <v>37</v>
      </c>
      <c r="H7139" t="s">
        <v>43</v>
      </c>
      <c r="I7139" s="187">
        <v>727.14595640924165</v>
      </c>
      <c r="J7139" s="187">
        <v>0</v>
      </c>
      <c r="K7139" s="187">
        <v>136.13362706085189</v>
      </c>
      <c r="L7139" s="187">
        <v>3197</v>
      </c>
      <c r="M7139" s="187">
        <v>4060.279541015625</v>
      </c>
      <c r="N7139" s="187">
        <v>3924.14599609375</v>
      </c>
      <c r="O7139" t="s">
        <v>9058</v>
      </c>
    </row>
    <row r="7140" spans="1:15" hidden="1" x14ac:dyDescent="0.45">
      <c r="A7140" s="187">
        <v>2025</v>
      </c>
      <c r="B7140" t="s">
        <v>312</v>
      </c>
      <c r="C7140" t="s">
        <v>322</v>
      </c>
      <c r="D7140" t="s">
        <v>35</v>
      </c>
      <c r="E7140" t="s">
        <v>19</v>
      </c>
      <c r="F7140" t="s">
        <v>19</v>
      </c>
      <c r="G7140" t="s">
        <v>37</v>
      </c>
      <c r="H7140" t="s">
        <v>43</v>
      </c>
      <c r="I7140" s="187">
        <v>898.94536814357207</v>
      </c>
      <c r="J7140" s="187">
        <v>0</v>
      </c>
      <c r="K7140" s="187">
        <v>134.30066120211771</v>
      </c>
      <c r="L7140" s="187">
        <v>2057</v>
      </c>
      <c r="M7140" s="187">
        <v>3090.24609375</v>
      </c>
      <c r="N7140" s="187">
        <v>2955.9453125</v>
      </c>
      <c r="O7140" t="s">
        <v>7111</v>
      </c>
    </row>
    <row r="7141" spans="1:15" hidden="1" x14ac:dyDescent="0.45">
      <c r="A7141" s="187">
        <v>2025</v>
      </c>
      <c r="B7141" t="s">
        <v>317</v>
      </c>
      <c r="C7141" t="s">
        <v>322</v>
      </c>
      <c r="D7141" t="s">
        <v>35</v>
      </c>
      <c r="E7141" t="s">
        <v>19</v>
      </c>
      <c r="F7141" t="s">
        <v>19</v>
      </c>
      <c r="G7141" t="s">
        <v>37</v>
      </c>
      <c r="H7141" t="s">
        <v>43</v>
      </c>
      <c r="I7141" s="187">
        <v>920.06733599999995</v>
      </c>
      <c r="J7141" s="187">
        <v>0</v>
      </c>
      <c r="K7141" s="187">
        <v>130.28615856768579</v>
      </c>
      <c r="L7141" s="187">
        <v>6148</v>
      </c>
      <c r="M7141" s="187">
        <v>7198.353515625</v>
      </c>
      <c r="N7141" s="187">
        <v>7068.0673828125</v>
      </c>
      <c r="O7141" t="s">
        <v>7109</v>
      </c>
    </row>
    <row r="7142" spans="1:15" hidden="1" x14ac:dyDescent="0.45">
      <c r="A7142" s="187">
        <v>2025</v>
      </c>
      <c r="B7142" t="s">
        <v>311</v>
      </c>
      <c r="C7142" t="s">
        <v>322</v>
      </c>
      <c r="D7142" t="s">
        <v>35</v>
      </c>
      <c r="E7142" t="s">
        <v>19</v>
      </c>
      <c r="F7142" t="s">
        <v>19</v>
      </c>
      <c r="G7142" t="s">
        <v>37</v>
      </c>
      <c r="H7142" t="s">
        <v>43</v>
      </c>
      <c r="I7142" s="187"/>
      <c r="J7142" s="187">
        <v>0</v>
      </c>
      <c r="K7142" s="187">
        <v>136.57992030597879</v>
      </c>
      <c r="L7142" s="187">
        <v>5105</v>
      </c>
      <c r="M7142" s="187">
        <v>5241.580078125</v>
      </c>
      <c r="N7142" s="187">
        <v>5105</v>
      </c>
      <c r="O7142" t="s">
        <v>7112</v>
      </c>
    </row>
    <row r="7143" spans="1:15" hidden="1" x14ac:dyDescent="0.45">
      <c r="A7143" s="187">
        <v>2025</v>
      </c>
      <c r="B7143" t="s">
        <v>313</v>
      </c>
      <c r="C7143" t="s">
        <v>322</v>
      </c>
      <c r="D7143" t="s">
        <v>35</v>
      </c>
      <c r="E7143" t="s">
        <v>19</v>
      </c>
      <c r="F7143" t="s">
        <v>19</v>
      </c>
      <c r="G7143" t="s">
        <v>37</v>
      </c>
      <c r="H7143" t="s">
        <v>43</v>
      </c>
      <c r="I7143" s="187">
        <v>894.47300312793232</v>
      </c>
      <c r="J7143" s="187">
        <v>12</v>
      </c>
      <c r="K7143" s="187">
        <v>128.13048635634249</v>
      </c>
      <c r="L7143" s="187">
        <v>2872</v>
      </c>
      <c r="M7143" s="187">
        <v>3906.603515625</v>
      </c>
      <c r="N7143" s="187">
        <v>3766.47314453125</v>
      </c>
      <c r="O7143" t="s">
        <v>7114</v>
      </c>
    </row>
    <row r="7144" spans="1:15" hidden="1" x14ac:dyDescent="0.45">
      <c r="A7144" s="187">
        <v>2025</v>
      </c>
      <c r="B7144" t="s">
        <v>314</v>
      </c>
      <c r="C7144" t="s">
        <v>322</v>
      </c>
      <c r="D7144" t="s">
        <v>35</v>
      </c>
      <c r="E7144" t="s">
        <v>19</v>
      </c>
      <c r="F7144" t="s">
        <v>19</v>
      </c>
      <c r="G7144" t="s">
        <v>37</v>
      </c>
      <c r="H7144" t="s">
        <v>43</v>
      </c>
      <c r="I7144" s="187">
        <v>879.17535200307907</v>
      </c>
      <c r="J7144" s="187">
        <v>0</v>
      </c>
      <c r="K7144" s="187">
        <v>127.8202431052578</v>
      </c>
      <c r="L7144" s="187">
        <v>3517</v>
      </c>
      <c r="M7144" s="187">
        <v>4523.99560546875</v>
      </c>
      <c r="N7144" s="187">
        <v>4396.17529296875</v>
      </c>
      <c r="O7144" t="s">
        <v>7113</v>
      </c>
    </row>
    <row r="7145" spans="1:15" hidden="1" x14ac:dyDescent="0.45">
      <c r="A7145" s="187">
        <v>2025</v>
      </c>
      <c r="B7145" t="s">
        <v>315</v>
      </c>
      <c r="C7145" t="s">
        <v>322</v>
      </c>
      <c r="D7145" t="s">
        <v>35</v>
      </c>
      <c r="E7145" t="s">
        <v>349</v>
      </c>
      <c r="F7145" t="s">
        <v>349</v>
      </c>
      <c r="G7145" t="s">
        <v>36</v>
      </c>
      <c r="H7145" t="s">
        <v>43</v>
      </c>
      <c r="I7145" s="187">
        <v>4701.1093601677576</v>
      </c>
      <c r="J7145" s="187">
        <v>464.44694883585072</v>
      </c>
      <c r="K7145" s="187">
        <v>4995.9488093503596</v>
      </c>
      <c r="L7145" s="187">
        <v>2545.395839107699</v>
      </c>
      <c r="M7145" s="187">
        <v>12706.900390625</v>
      </c>
      <c r="N7145" s="187">
        <v>7246.50537109375</v>
      </c>
      <c r="O7145" t="s">
        <v>7122</v>
      </c>
    </row>
    <row r="7146" spans="1:15" hidden="1" x14ac:dyDescent="0.45">
      <c r="A7146" s="187">
        <v>2025</v>
      </c>
      <c r="B7146" t="s">
        <v>312</v>
      </c>
      <c r="C7146" t="s">
        <v>322</v>
      </c>
      <c r="D7146" t="s">
        <v>35</v>
      </c>
      <c r="E7146" t="s">
        <v>349</v>
      </c>
      <c r="F7146" t="s">
        <v>349</v>
      </c>
      <c r="G7146" t="s">
        <v>36</v>
      </c>
      <c r="H7146" t="s">
        <v>43</v>
      </c>
      <c r="I7146" s="187">
        <v>4513.4959612296916</v>
      </c>
      <c r="J7146" s="187">
        <v>741.94454157200414</v>
      </c>
      <c r="K7146" s="187">
        <v>4105.731410426054</v>
      </c>
      <c r="L7146" s="187">
        <v>2087.3373102892383</v>
      </c>
      <c r="M7146" s="187">
        <v>11448.5087890625</v>
      </c>
      <c r="N7146" s="187">
        <v>6600.83349609375</v>
      </c>
      <c r="O7146" t="s">
        <v>7118</v>
      </c>
    </row>
    <row r="7147" spans="1:15" hidden="1" x14ac:dyDescent="0.45">
      <c r="A7147" s="187">
        <v>2025</v>
      </c>
      <c r="B7147" t="s">
        <v>8570</v>
      </c>
      <c r="C7147" t="s">
        <v>322</v>
      </c>
      <c r="D7147" t="s">
        <v>35</v>
      </c>
      <c r="E7147" t="s">
        <v>349</v>
      </c>
      <c r="F7147" t="s">
        <v>349</v>
      </c>
      <c r="G7147" t="s">
        <v>36</v>
      </c>
      <c r="H7147" t="s">
        <v>43</v>
      </c>
      <c r="I7147" s="187">
        <v>3745.7921177600001</v>
      </c>
      <c r="J7147" s="187">
        <v>495</v>
      </c>
      <c r="K7147" s="187">
        <v>4565.0450293516387</v>
      </c>
      <c r="L7147" s="187">
        <v>3113</v>
      </c>
      <c r="M7147" s="187">
        <v>11918.8369140625</v>
      </c>
      <c r="N7147" s="187">
        <v>6858.7919921875</v>
      </c>
      <c r="O7147" t="s">
        <v>9059</v>
      </c>
    </row>
    <row r="7148" spans="1:15" hidden="1" x14ac:dyDescent="0.45">
      <c r="A7148" s="187">
        <v>2025</v>
      </c>
      <c r="B7148" t="s">
        <v>314</v>
      </c>
      <c r="C7148" t="s">
        <v>322</v>
      </c>
      <c r="D7148" t="s">
        <v>35</v>
      </c>
      <c r="E7148" t="s">
        <v>349</v>
      </c>
      <c r="F7148" t="s">
        <v>349</v>
      </c>
      <c r="G7148" t="s">
        <v>36</v>
      </c>
      <c r="H7148" t="s">
        <v>43</v>
      </c>
      <c r="I7148" s="187">
        <v>4717.5236774505438</v>
      </c>
      <c r="J7148" s="187">
        <v>524.16929749450492</v>
      </c>
      <c r="K7148" s="187">
        <v>5123.782813094942</v>
      </c>
      <c r="L7148" s="187">
        <v>2010.480461056701</v>
      </c>
      <c r="M7148" s="187">
        <v>12375.9560546875</v>
      </c>
      <c r="N7148" s="187">
        <v>6728.00390625</v>
      </c>
      <c r="O7148" t="s">
        <v>7116</v>
      </c>
    </row>
    <row r="7149" spans="1:15" hidden="1" x14ac:dyDescent="0.45">
      <c r="A7149" s="187">
        <v>2025</v>
      </c>
      <c r="B7149" t="s">
        <v>313</v>
      </c>
      <c r="C7149" t="s">
        <v>322</v>
      </c>
      <c r="D7149" t="s">
        <v>35</v>
      </c>
      <c r="E7149" t="s">
        <v>349</v>
      </c>
      <c r="F7149" t="s">
        <v>349</v>
      </c>
      <c r="G7149" t="s">
        <v>36</v>
      </c>
      <c r="H7149" t="s">
        <v>43</v>
      </c>
      <c r="I7149" s="187">
        <v>4312.4107483154257</v>
      </c>
      <c r="J7149" s="187">
        <v>539.05134353942822</v>
      </c>
      <c r="K7149" s="187">
        <v>4590.1933665605193</v>
      </c>
      <c r="L7149" s="187">
        <v>2031.6246192063784</v>
      </c>
      <c r="M7149" s="187">
        <v>11473.2802734375</v>
      </c>
      <c r="N7149" s="187">
        <v>6344.03515625</v>
      </c>
      <c r="O7149" t="s">
        <v>7117</v>
      </c>
    </row>
    <row r="7150" spans="1:15" hidden="1" x14ac:dyDescent="0.45">
      <c r="A7150" s="187">
        <v>2025</v>
      </c>
      <c r="B7150" t="s">
        <v>316</v>
      </c>
      <c r="C7150" t="s">
        <v>322</v>
      </c>
      <c r="D7150" t="s">
        <v>35</v>
      </c>
      <c r="E7150" t="s">
        <v>349</v>
      </c>
      <c r="F7150" t="s">
        <v>349</v>
      </c>
      <c r="G7150" t="s">
        <v>36</v>
      </c>
      <c r="H7150" t="s">
        <v>43</v>
      </c>
      <c r="I7150" s="187">
        <v>4662.4684178448588</v>
      </c>
      <c r="J7150" s="187">
        <v>545.21965012467604</v>
      </c>
      <c r="K7150" s="187">
        <v>5024.3779279508499</v>
      </c>
      <c r="L7150" s="187">
        <v>2719.4895275915655</v>
      </c>
      <c r="M7150" s="187">
        <v>12951.5546875</v>
      </c>
      <c r="N7150" s="187">
        <v>7381.9580078125</v>
      </c>
      <c r="O7150" t="s">
        <v>7120</v>
      </c>
    </row>
    <row r="7151" spans="1:15" hidden="1" x14ac:dyDescent="0.45">
      <c r="A7151" s="187">
        <v>2025</v>
      </c>
      <c r="B7151" t="s">
        <v>311</v>
      </c>
      <c r="C7151" t="s">
        <v>322</v>
      </c>
      <c r="D7151" t="s">
        <v>35</v>
      </c>
      <c r="E7151" t="s">
        <v>349</v>
      </c>
      <c r="F7151" t="s">
        <v>349</v>
      </c>
      <c r="G7151" t="s">
        <v>36</v>
      </c>
      <c r="H7151" t="s">
        <v>43</v>
      </c>
      <c r="I7151" s="187"/>
      <c r="J7151" s="187">
        <v>803.43529727265252</v>
      </c>
      <c r="K7151" s="187">
        <v>4174.2185082583255</v>
      </c>
      <c r="L7151" s="187">
        <v>4072.0141336374277</v>
      </c>
      <c r="M7151" s="187">
        <v>9049.66796875</v>
      </c>
      <c r="N7151" s="187">
        <v>4072.01416015625</v>
      </c>
      <c r="O7151" t="s">
        <v>7121</v>
      </c>
    </row>
    <row r="7152" spans="1:15" hidden="1" x14ac:dyDescent="0.45">
      <c r="A7152" s="187">
        <v>2025</v>
      </c>
      <c r="B7152" t="s">
        <v>317</v>
      </c>
      <c r="C7152" t="s">
        <v>322</v>
      </c>
      <c r="D7152" t="s">
        <v>35</v>
      </c>
      <c r="E7152" t="s">
        <v>349</v>
      </c>
      <c r="F7152" t="s">
        <v>349</v>
      </c>
      <c r="G7152" t="s">
        <v>36</v>
      </c>
      <c r="H7152" t="s">
        <v>43</v>
      </c>
      <c r="I7152" s="187">
        <v>5316.1047507783151</v>
      </c>
      <c r="J7152" s="187">
        <v>534.8520023648914</v>
      </c>
      <c r="K7152" s="187">
        <v>6320.4573053066379</v>
      </c>
      <c r="L7152" s="187">
        <v>3138.8789229697163</v>
      </c>
      <c r="M7152" s="187">
        <v>15310.29296875</v>
      </c>
      <c r="N7152" s="187">
        <v>8454.984375</v>
      </c>
      <c r="O7152" t="s">
        <v>7119</v>
      </c>
    </row>
    <row r="7153" spans="1:15" hidden="1" x14ac:dyDescent="0.45">
      <c r="A7153" s="187">
        <v>2025</v>
      </c>
      <c r="B7153" t="s">
        <v>8570</v>
      </c>
      <c r="C7153" t="s">
        <v>322</v>
      </c>
      <c r="D7153" t="s">
        <v>35</v>
      </c>
      <c r="E7153" t="s">
        <v>349</v>
      </c>
      <c r="F7153" t="s">
        <v>349</v>
      </c>
      <c r="G7153" t="s">
        <v>37</v>
      </c>
      <c r="H7153" t="s">
        <v>43</v>
      </c>
      <c r="I7153" s="187">
        <v>3975.0645617038549</v>
      </c>
      <c r="J7153" s="187">
        <v>495</v>
      </c>
      <c r="K7153" s="187">
        <v>4865.8172798009382</v>
      </c>
      <c r="L7153" s="187">
        <v>3566</v>
      </c>
      <c r="M7153" s="187">
        <v>12901.8818359375</v>
      </c>
      <c r="N7153" s="187">
        <v>7541.064453125</v>
      </c>
      <c r="O7153" t="s">
        <v>9060</v>
      </c>
    </row>
    <row r="7154" spans="1:15" hidden="1" x14ac:dyDescent="0.45">
      <c r="A7154" s="187">
        <v>2025</v>
      </c>
      <c r="B7154" t="s">
        <v>312</v>
      </c>
      <c r="C7154" t="s">
        <v>322</v>
      </c>
      <c r="D7154" t="s">
        <v>35</v>
      </c>
      <c r="E7154" t="s">
        <v>349</v>
      </c>
      <c r="F7154" t="s">
        <v>349</v>
      </c>
      <c r="G7154" t="s">
        <v>37</v>
      </c>
      <c r="H7154" t="s">
        <v>43</v>
      </c>
      <c r="I7154" s="187">
        <v>4289.0857434301151</v>
      </c>
      <c r="J7154" s="187">
        <v>717</v>
      </c>
      <c r="K7154" s="187">
        <v>3955.764929953285</v>
      </c>
      <c r="L7154" s="187">
        <v>2026</v>
      </c>
      <c r="M7154" s="187">
        <v>10987.8505859375</v>
      </c>
      <c r="N7154" s="187">
        <v>6315.0859375</v>
      </c>
      <c r="O7154" t="s">
        <v>7126</v>
      </c>
    </row>
    <row r="7155" spans="1:15" hidden="1" x14ac:dyDescent="0.45">
      <c r="A7155" s="187">
        <v>2025</v>
      </c>
      <c r="B7155" t="s">
        <v>317</v>
      </c>
      <c r="C7155" t="s">
        <v>322</v>
      </c>
      <c r="D7155" t="s">
        <v>35</v>
      </c>
      <c r="E7155" t="s">
        <v>349</v>
      </c>
      <c r="F7155" t="s">
        <v>349</v>
      </c>
      <c r="G7155" t="s">
        <v>37</v>
      </c>
      <c r="H7155" t="s">
        <v>43</v>
      </c>
      <c r="I7155" s="187">
        <v>5326.0176014107192</v>
      </c>
      <c r="J7155" s="187">
        <v>495</v>
      </c>
      <c r="K7155" s="187">
        <v>6293.1134470033994</v>
      </c>
      <c r="L7155" s="187">
        <v>3111</v>
      </c>
      <c r="M7155" s="187">
        <v>15225.130859375</v>
      </c>
      <c r="N7155" s="187">
        <v>8437.017578125</v>
      </c>
      <c r="O7155" t="s">
        <v>7124</v>
      </c>
    </row>
    <row r="7156" spans="1:15" hidden="1" x14ac:dyDescent="0.45">
      <c r="A7156" s="187">
        <v>2025</v>
      </c>
      <c r="B7156" t="s">
        <v>315</v>
      </c>
      <c r="C7156" t="s">
        <v>322</v>
      </c>
      <c r="D7156" t="s">
        <v>35</v>
      </c>
      <c r="E7156" t="s">
        <v>349</v>
      </c>
      <c r="F7156" t="s">
        <v>349</v>
      </c>
      <c r="G7156" t="s">
        <v>37</v>
      </c>
      <c r="H7156" t="s">
        <v>43</v>
      </c>
      <c r="I7156" s="187">
        <v>4674.4904719331907</v>
      </c>
      <c r="J7156" s="187">
        <v>453</v>
      </c>
      <c r="K7156" s="187">
        <v>4954.3222698346644</v>
      </c>
      <c r="L7156" s="187">
        <v>2530</v>
      </c>
      <c r="M7156" s="187">
        <v>12611.8125</v>
      </c>
      <c r="N7156" s="187">
        <v>7204.490234375</v>
      </c>
      <c r="O7156" t="s">
        <v>7123</v>
      </c>
    </row>
    <row r="7157" spans="1:15" hidden="1" x14ac:dyDescent="0.45">
      <c r="A7157" s="187">
        <v>2025</v>
      </c>
      <c r="B7157" t="s">
        <v>314</v>
      </c>
      <c r="C7157" t="s">
        <v>322</v>
      </c>
      <c r="D7157" t="s">
        <v>35</v>
      </c>
      <c r="E7157" t="s">
        <v>349</v>
      </c>
      <c r="F7157" t="s">
        <v>349</v>
      </c>
      <c r="G7157" t="s">
        <v>37</v>
      </c>
      <c r="H7157" t="s">
        <v>43</v>
      </c>
      <c r="I7157" s="187">
        <v>4654.4577458986541</v>
      </c>
      <c r="J7157" s="187">
        <v>517</v>
      </c>
      <c r="K7157" s="187">
        <v>5062.1262852429363</v>
      </c>
      <c r="L7157" s="187">
        <v>2134</v>
      </c>
      <c r="M7157" s="187">
        <v>12367.583984375</v>
      </c>
      <c r="N7157" s="187">
        <v>6788.45751953125</v>
      </c>
      <c r="O7157" t="s">
        <v>7128</v>
      </c>
    </row>
    <row r="7158" spans="1:15" hidden="1" x14ac:dyDescent="0.45">
      <c r="A7158" s="187">
        <v>2025</v>
      </c>
      <c r="B7158" t="s">
        <v>313</v>
      </c>
      <c r="C7158" t="s">
        <v>322</v>
      </c>
      <c r="D7158" t="s">
        <v>35</v>
      </c>
      <c r="E7158" t="s">
        <v>349</v>
      </c>
      <c r="F7158" t="s">
        <v>349</v>
      </c>
      <c r="G7158" t="s">
        <v>37</v>
      </c>
      <c r="H7158" t="s">
        <v>43</v>
      </c>
      <c r="I7158" s="187">
        <v>4209.2847206020342</v>
      </c>
      <c r="J7158" s="187">
        <v>527</v>
      </c>
      <c r="K7158" s="187">
        <v>4469.5920487092944</v>
      </c>
      <c r="L7158" s="187">
        <v>2006</v>
      </c>
      <c r="M7158" s="187">
        <v>11211.876953125</v>
      </c>
      <c r="N7158" s="187">
        <v>6215.28466796875</v>
      </c>
      <c r="O7158" t="s">
        <v>7125</v>
      </c>
    </row>
    <row r="7159" spans="1:15" hidden="1" x14ac:dyDescent="0.45">
      <c r="A7159" s="187">
        <v>2025</v>
      </c>
      <c r="B7159" t="s">
        <v>316</v>
      </c>
      <c r="C7159" t="s">
        <v>322</v>
      </c>
      <c r="D7159" t="s">
        <v>35</v>
      </c>
      <c r="E7159" t="s">
        <v>349</v>
      </c>
      <c r="F7159" t="s">
        <v>349</v>
      </c>
      <c r="G7159" t="s">
        <v>37</v>
      </c>
      <c r="H7159" t="s">
        <v>43</v>
      </c>
      <c r="I7159" s="187">
        <v>4674</v>
      </c>
      <c r="J7159" s="187">
        <v>495</v>
      </c>
      <c r="K7159" s="187">
        <v>4946.3577662527414</v>
      </c>
      <c r="L7159" s="187">
        <v>2791</v>
      </c>
      <c r="M7159" s="187">
        <v>12906.357421875</v>
      </c>
      <c r="N7159" s="187">
        <v>7465</v>
      </c>
      <c r="O7159" t="s">
        <v>7127</v>
      </c>
    </row>
    <row r="7160" spans="1:15" hidden="1" x14ac:dyDescent="0.45">
      <c r="A7160" s="187">
        <v>2025</v>
      </c>
      <c r="B7160" t="s">
        <v>311</v>
      </c>
      <c r="C7160" t="s">
        <v>322</v>
      </c>
      <c r="D7160" t="s">
        <v>35</v>
      </c>
      <c r="E7160" t="s">
        <v>349</v>
      </c>
      <c r="F7160" t="s">
        <v>349</v>
      </c>
      <c r="G7160" t="s">
        <v>37</v>
      </c>
      <c r="H7160" t="s">
        <v>43</v>
      </c>
      <c r="I7160" s="187"/>
      <c r="J7160" s="187">
        <v>769</v>
      </c>
      <c r="K7160" s="187">
        <v>3960.817688873386</v>
      </c>
      <c r="L7160" s="187">
        <v>4134</v>
      </c>
      <c r="M7160" s="187">
        <v>8863.818359375</v>
      </c>
      <c r="N7160" s="187">
        <v>4134</v>
      </c>
      <c r="O7160" t="s">
        <v>7129</v>
      </c>
    </row>
    <row r="7161" spans="1:15" hidden="1" x14ac:dyDescent="0.45">
      <c r="A7161" s="187">
        <v>2025</v>
      </c>
      <c r="B7161" t="s">
        <v>316</v>
      </c>
      <c r="C7161" t="s">
        <v>322</v>
      </c>
      <c r="D7161" t="s">
        <v>35</v>
      </c>
      <c r="E7161" t="s">
        <v>46</v>
      </c>
      <c r="F7161" t="s">
        <v>46</v>
      </c>
      <c r="G7161" t="s">
        <v>37</v>
      </c>
      <c r="H7161" t="s">
        <v>43</v>
      </c>
      <c r="I7161" s="187">
        <v>18380</v>
      </c>
      <c r="J7161" s="187">
        <v>899</v>
      </c>
      <c r="K7161" s="187">
        <v>18518.355380323341</v>
      </c>
      <c r="L7161" s="187">
        <v>26798</v>
      </c>
      <c r="M7161" s="187">
        <v>64595.35546875</v>
      </c>
      <c r="N7161" s="187">
        <v>45178</v>
      </c>
      <c r="O7161" t="s">
        <v>7136</v>
      </c>
    </row>
    <row r="7162" spans="1:15" hidden="1" x14ac:dyDescent="0.45">
      <c r="A7162" s="187">
        <v>2025</v>
      </c>
      <c r="B7162" t="s">
        <v>311</v>
      </c>
      <c r="C7162" t="s">
        <v>322</v>
      </c>
      <c r="D7162" t="s">
        <v>35</v>
      </c>
      <c r="E7162" t="s">
        <v>46</v>
      </c>
      <c r="F7162" t="s">
        <v>46</v>
      </c>
      <c r="G7162" t="s">
        <v>37</v>
      </c>
      <c r="H7162" t="s">
        <v>43</v>
      </c>
      <c r="I7162" s="187"/>
      <c r="J7162" s="187">
        <v>1141</v>
      </c>
      <c r="K7162" s="187">
        <v>14536.046078267869</v>
      </c>
      <c r="L7162" s="187">
        <v>27606</v>
      </c>
      <c r="M7162" s="187">
        <v>43283.046875</v>
      </c>
      <c r="N7162" s="187">
        <v>27606</v>
      </c>
      <c r="O7162" t="s">
        <v>7133</v>
      </c>
    </row>
    <row r="7163" spans="1:15" hidden="1" x14ac:dyDescent="0.45">
      <c r="A7163" s="187">
        <v>2025</v>
      </c>
      <c r="B7163" t="s">
        <v>317</v>
      </c>
      <c r="C7163" t="s">
        <v>322</v>
      </c>
      <c r="D7163" t="s">
        <v>35</v>
      </c>
      <c r="E7163" t="s">
        <v>46</v>
      </c>
      <c r="F7163" t="s">
        <v>46</v>
      </c>
      <c r="G7163" t="s">
        <v>37</v>
      </c>
      <c r="H7163" t="s">
        <v>43</v>
      </c>
      <c r="I7163" s="187">
        <v>15446.43431300974</v>
      </c>
      <c r="J7163" s="187">
        <v>1000</v>
      </c>
      <c r="K7163" s="187">
        <v>19296.296487082778</v>
      </c>
      <c r="L7163" s="187">
        <v>7529</v>
      </c>
      <c r="M7163" s="187">
        <v>43271.73046875</v>
      </c>
      <c r="N7163" s="187">
        <v>22975.43359375</v>
      </c>
      <c r="O7163" t="s">
        <v>7130</v>
      </c>
    </row>
    <row r="7164" spans="1:15" hidden="1" x14ac:dyDescent="0.45">
      <c r="A7164" s="187">
        <v>2025</v>
      </c>
      <c r="B7164" t="s">
        <v>313</v>
      </c>
      <c r="C7164" t="s">
        <v>322</v>
      </c>
      <c r="D7164" t="s">
        <v>35</v>
      </c>
      <c r="E7164" t="s">
        <v>46</v>
      </c>
      <c r="F7164" t="s">
        <v>46</v>
      </c>
      <c r="G7164" t="s">
        <v>37</v>
      </c>
      <c r="H7164" t="s">
        <v>43</v>
      </c>
      <c r="I7164" s="187">
        <v>12584.715386088241</v>
      </c>
      <c r="J7164" s="187">
        <v>903</v>
      </c>
      <c r="K7164" s="187">
        <v>16870.906282555072</v>
      </c>
      <c r="L7164" s="187"/>
      <c r="M7164" s="187">
        <v>30358.623046875</v>
      </c>
      <c r="N7164" s="187">
        <v>12584.7158203125</v>
      </c>
      <c r="O7164" t="s">
        <v>7132</v>
      </c>
    </row>
    <row r="7165" spans="1:15" hidden="1" x14ac:dyDescent="0.45">
      <c r="A7165" s="187">
        <v>2025</v>
      </c>
      <c r="B7165" t="s">
        <v>312</v>
      </c>
      <c r="C7165" t="s">
        <v>322</v>
      </c>
      <c r="D7165" t="s">
        <v>35</v>
      </c>
      <c r="E7165" t="s">
        <v>46</v>
      </c>
      <c r="F7165" t="s">
        <v>46</v>
      </c>
      <c r="G7165" t="s">
        <v>37</v>
      </c>
      <c r="H7165" t="s">
        <v>43</v>
      </c>
      <c r="I7165" s="187">
        <v>11918.066488249209</v>
      </c>
      <c r="J7165" s="187">
        <v>1142</v>
      </c>
      <c r="K7165" s="187">
        <v>14701.50008782262</v>
      </c>
      <c r="L7165" s="187">
        <v>20903</v>
      </c>
      <c r="M7165" s="187">
        <v>48664.56640625</v>
      </c>
      <c r="N7165" s="187">
        <v>32821.06640625</v>
      </c>
      <c r="O7165" t="s">
        <v>7135</v>
      </c>
    </row>
    <row r="7166" spans="1:15" hidden="1" x14ac:dyDescent="0.45">
      <c r="A7166" s="187">
        <v>2025</v>
      </c>
      <c r="B7166" t="s">
        <v>314</v>
      </c>
      <c r="C7166" t="s">
        <v>322</v>
      </c>
      <c r="D7166" t="s">
        <v>35</v>
      </c>
      <c r="E7166" t="s">
        <v>46</v>
      </c>
      <c r="F7166" t="s">
        <v>46</v>
      </c>
      <c r="G7166" t="s">
        <v>37</v>
      </c>
      <c r="H7166" t="s">
        <v>43</v>
      </c>
      <c r="I7166" s="187">
        <v>18404.847600006269</v>
      </c>
      <c r="J7166" s="187">
        <v>895</v>
      </c>
      <c r="K7166" s="187">
        <v>17562.44779119677</v>
      </c>
      <c r="L7166" s="187">
        <v>19198</v>
      </c>
      <c r="M7166" s="187">
        <v>56060.296875</v>
      </c>
      <c r="N7166" s="187">
        <v>37602.84765625</v>
      </c>
      <c r="O7166" t="s">
        <v>7134</v>
      </c>
    </row>
    <row r="7167" spans="1:15" hidden="1" x14ac:dyDescent="0.45">
      <c r="A7167" s="187">
        <v>2025</v>
      </c>
      <c r="B7167" t="s">
        <v>8570</v>
      </c>
      <c r="C7167" t="s">
        <v>322</v>
      </c>
      <c r="D7167" t="s">
        <v>35</v>
      </c>
      <c r="E7167" t="s">
        <v>46</v>
      </c>
      <c r="F7167" t="s">
        <v>46</v>
      </c>
      <c r="G7167" t="s">
        <v>37</v>
      </c>
      <c r="H7167" t="s">
        <v>43</v>
      </c>
      <c r="I7167" s="187"/>
      <c r="J7167" s="187">
        <v>1000</v>
      </c>
      <c r="K7167" s="187">
        <v>18856.73333048639</v>
      </c>
      <c r="L7167" s="187">
        <v>5401</v>
      </c>
      <c r="M7167" s="187">
        <v>25257.732421875</v>
      </c>
      <c r="N7167" s="187">
        <v>5401</v>
      </c>
      <c r="O7167" t="s">
        <v>9061</v>
      </c>
    </row>
    <row r="7168" spans="1:15" hidden="1" x14ac:dyDescent="0.45">
      <c r="A7168" s="187">
        <v>2025</v>
      </c>
      <c r="B7168" t="s">
        <v>315</v>
      </c>
      <c r="C7168" t="s">
        <v>322</v>
      </c>
      <c r="D7168" t="s">
        <v>35</v>
      </c>
      <c r="E7168" t="s">
        <v>46</v>
      </c>
      <c r="F7168" t="s">
        <v>46</v>
      </c>
      <c r="G7168" t="s">
        <v>37</v>
      </c>
      <c r="H7168" t="s">
        <v>43</v>
      </c>
      <c r="I7168" s="187">
        <v>18263.939395507041</v>
      </c>
      <c r="J7168" s="187">
        <v>938</v>
      </c>
      <c r="K7168" s="187">
        <v>18295.909710437649</v>
      </c>
      <c r="L7168" s="187">
        <v>22955</v>
      </c>
      <c r="M7168" s="187">
        <v>60452.84765625</v>
      </c>
      <c r="N7168" s="187">
        <v>41218.9375</v>
      </c>
      <c r="O7168" t="s">
        <v>7131</v>
      </c>
    </row>
    <row r="7169" spans="1:15" hidden="1" x14ac:dyDescent="0.45">
      <c r="A7169" s="187">
        <v>2025</v>
      </c>
      <c r="B7169" t="s">
        <v>316</v>
      </c>
      <c r="C7169" t="s">
        <v>322</v>
      </c>
      <c r="D7169" t="s">
        <v>35</v>
      </c>
      <c r="E7169" t="s">
        <v>350</v>
      </c>
      <c r="F7169" t="s">
        <v>350</v>
      </c>
      <c r="G7169" t="s">
        <v>37</v>
      </c>
      <c r="H7169" t="s">
        <v>43</v>
      </c>
      <c r="I7169" s="187">
        <v>18661</v>
      </c>
      <c r="J7169" s="187">
        <v>899</v>
      </c>
      <c r="K7169" s="187">
        <v>18552.942727036629</v>
      </c>
      <c r="L7169" s="187">
        <v>27421</v>
      </c>
      <c r="M7169" s="187">
        <v>65533.94140625</v>
      </c>
      <c r="N7169" s="187">
        <v>46082</v>
      </c>
      <c r="O7169" t="s">
        <v>7137</v>
      </c>
    </row>
    <row r="7170" spans="1:15" hidden="1" x14ac:dyDescent="0.45">
      <c r="A7170" s="187">
        <v>2025</v>
      </c>
      <c r="B7170" t="s">
        <v>312</v>
      </c>
      <c r="C7170" t="s">
        <v>322</v>
      </c>
      <c r="D7170" t="s">
        <v>35</v>
      </c>
      <c r="E7170" t="s">
        <v>350</v>
      </c>
      <c r="F7170" t="s">
        <v>350</v>
      </c>
      <c r="G7170" t="s">
        <v>37</v>
      </c>
      <c r="H7170" t="s">
        <v>43</v>
      </c>
      <c r="I7170" s="187">
        <v>13089.440874641599</v>
      </c>
      <c r="J7170" s="187">
        <v>1142</v>
      </c>
      <c r="K7170" s="187">
        <v>14707.86043295498</v>
      </c>
      <c r="L7170" s="187">
        <v>20902</v>
      </c>
      <c r="M7170" s="187">
        <v>49841.30078125</v>
      </c>
      <c r="N7170" s="187">
        <v>33991.44140625</v>
      </c>
      <c r="O7170" t="s">
        <v>7139</v>
      </c>
    </row>
    <row r="7171" spans="1:15" hidden="1" x14ac:dyDescent="0.45">
      <c r="A7171" s="187">
        <v>2025</v>
      </c>
      <c r="B7171" t="s">
        <v>314</v>
      </c>
      <c r="C7171" t="s">
        <v>322</v>
      </c>
      <c r="D7171" t="s">
        <v>35</v>
      </c>
      <c r="E7171" t="s">
        <v>350</v>
      </c>
      <c r="F7171" t="s">
        <v>350</v>
      </c>
      <c r="G7171" t="s">
        <v>37</v>
      </c>
      <c r="H7171" t="s">
        <v>43</v>
      </c>
      <c r="I7171" s="187">
        <v>19007.193795424311</v>
      </c>
      <c r="J7171" s="187">
        <v>895</v>
      </c>
      <c r="K7171" s="187">
        <v>17542.27959115764</v>
      </c>
      <c r="L7171" s="187">
        <v>18224.158274746122</v>
      </c>
      <c r="M7171" s="187">
        <v>55668.6328125</v>
      </c>
      <c r="N7171" s="187">
        <v>37231.3515625</v>
      </c>
      <c r="O7171" t="s">
        <v>7143</v>
      </c>
    </row>
    <row r="7172" spans="1:15" hidden="1" x14ac:dyDescent="0.45">
      <c r="A7172" s="187">
        <v>2025</v>
      </c>
      <c r="B7172" t="s">
        <v>317</v>
      </c>
      <c r="C7172" t="s">
        <v>322</v>
      </c>
      <c r="D7172" t="s">
        <v>35</v>
      </c>
      <c r="E7172" t="s">
        <v>350</v>
      </c>
      <c r="F7172" t="s">
        <v>350</v>
      </c>
      <c r="G7172" t="s">
        <v>37</v>
      </c>
      <c r="H7172" t="s">
        <v>43</v>
      </c>
      <c r="I7172" s="187">
        <v>15509.29638496521</v>
      </c>
      <c r="J7172" s="187">
        <v>1000</v>
      </c>
      <c r="K7172" s="187">
        <v>19399.497136470869</v>
      </c>
      <c r="L7172" s="187">
        <v>7468</v>
      </c>
      <c r="M7172" s="187">
        <v>43376.79296875</v>
      </c>
      <c r="N7172" s="187">
        <v>22977.296875</v>
      </c>
      <c r="O7172" t="s">
        <v>7140</v>
      </c>
    </row>
    <row r="7173" spans="1:15" hidden="1" x14ac:dyDescent="0.45">
      <c r="A7173" s="187">
        <v>2025</v>
      </c>
      <c r="B7173" t="s">
        <v>311</v>
      </c>
      <c r="C7173" t="s">
        <v>322</v>
      </c>
      <c r="D7173" t="s">
        <v>35</v>
      </c>
      <c r="E7173" t="s">
        <v>350</v>
      </c>
      <c r="F7173" t="s">
        <v>350</v>
      </c>
      <c r="G7173" t="s">
        <v>37</v>
      </c>
      <c r="H7173" t="s">
        <v>43</v>
      </c>
      <c r="I7173" s="187"/>
      <c r="J7173" s="187">
        <v>1141</v>
      </c>
      <c r="K7173" s="187">
        <v>14576.384326150621</v>
      </c>
      <c r="L7173" s="187">
        <v>26779</v>
      </c>
      <c r="M7173" s="187">
        <v>42496.3828125</v>
      </c>
      <c r="N7173" s="187">
        <v>26779</v>
      </c>
      <c r="O7173" t="s">
        <v>7141</v>
      </c>
    </row>
    <row r="7174" spans="1:15" hidden="1" x14ac:dyDescent="0.45">
      <c r="A7174" s="187">
        <v>2025</v>
      </c>
      <c r="B7174" t="s">
        <v>315</v>
      </c>
      <c r="C7174" t="s">
        <v>322</v>
      </c>
      <c r="D7174" t="s">
        <v>35</v>
      </c>
      <c r="E7174" t="s">
        <v>350</v>
      </c>
      <c r="F7174" t="s">
        <v>350</v>
      </c>
      <c r="G7174" t="s">
        <v>37</v>
      </c>
      <c r="H7174" t="s">
        <v>43</v>
      </c>
      <c r="I7174" s="187">
        <v>18485.801014302109</v>
      </c>
      <c r="J7174" s="187">
        <v>938</v>
      </c>
      <c r="K7174" s="187">
        <v>18355.62282793297</v>
      </c>
      <c r="L7174" s="187">
        <v>22357.291669649861</v>
      </c>
      <c r="M7174" s="187">
        <v>60136.71484375</v>
      </c>
      <c r="N7174" s="187">
        <v>40843.09375</v>
      </c>
      <c r="O7174" t="s">
        <v>7138</v>
      </c>
    </row>
    <row r="7175" spans="1:15" hidden="1" x14ac:dyDescent="0.45">
      <c r="A7175" s="187">
        <v>2025</v>
      </c>
      <c r="B7175" t="s">
        <v>8570</v>
      </c>
      <c r="C7175" t="s">
        <v>322</v>
      </c>
      <c r="D7175" t="s">
        <v>35</v>
      </c>
      <c r="E7175" t="s">
        <v>350</v>
      </c>
      <c r="F7175" t="s">
        <v>350</v>
      </c>
      <c r="G7175" t="s">
        <v>37</v>
      </c>
      <c r="H7175" t="s">
        <v>43</v>
      </c>
      <c r="I7175" s="187">
        <v>13422.368652202371</v>
      </c>
      <c r="J7175" s="187">
        <v>1000</v>
      </c>
      <c r="K7175" s="187">
        <v>18805.157591060521</v>
      </c>
      <c r="L7175" s="187">
        <v>5427</v>
      </c>
      <c r="M7175" s="187">
        <v>38654.52734375</v>
      </c>
      <c r="N7175" s="187">
        <v>18849.3671875</v>
      </c>
      <c r="O7175" t="s">
        <v>9062</v>
      </c>
    </row>
    <row r="7176" spans="1:15" hidden="1" x14ac:dyDescent="0.45">
      <c r="A7176" s="187">
        <v>2025</v>
      </c>
      <c r="B7176" t="s">
        <v>313</v>
      </c>
      <c r="C7176" t="s">
        <v>322</v>
      </c>
      <c r="D7176" t="s">
        <v>35</v>
      </c>
      <c r="E7176" t="s">
        <v>350</v>
      </c>
      <c r="F7176" t="s">
        <v>350</v>
      </c>
      <c r="G7176" t="s">
        <v>37</v>
      </c>
      <c r="H7176" t="s">
        <v>43</v>
      </c>
      <c r="I7176" s="187">
        <v>12662.25474317949</v>
      </c>
      <c r="J7176" s="187">
        <v>903</v>
      </c>
      <c r="K7176" s="187">
        <v>16956.62000533802</v>
      </c>
      <c r="L7176" s="187">
        <v>25610.724034904899</v>
      </c>
      <c r="M7176" s="187">
        <v>56132.59765625</v>
      </c>
      <c r="N7176" s="187">
        <v>38272.98046875</v>
      </c>
      <c r="O7176" t="s">
        <v>7142</v>
      </c>
    </row>
    <row r="7177" spans="1:15" hidden="1" x14ac:dyDescent="0.45">
      <c r="A7177" s="187">
        <v>2025</v>
      </c>
      <c r="B7177" t="s">
        <v>311</v>
      </c>
      <c r="C7177" t="s">
        <v>322</v>
      </c>
      <c r="D7177" t="s">
        <v>35</v>
      </c>
      <c r="E7177" t="s">
        <v>16</v>
      </c>
      <c r="F7177" t="s">
        <v>16</v>
      </c>
      <c r="G7177" t="s">
        <v>36</v>
      </c>
      <c r="H7177" t="s">
        <v>43</v>
      </c>
      <c r="I7177" s="187"/>
      <c r="J7177" s="187">
        <v>127.5294122655004</v>
      </c>
      <c r="K7177" s="187">
        <v>5282.416002944361</v>
      </c>
      <c r="L7177" s="187">
        <v>21389.233025169728</v>
      </c>
      <c r="M7177" s="187">
        <v>26799.177734375</v>
      </c>
      <c r="N7177" s="187">
        <v>21389.232421875</v>
      </c>
      <c r="O7177" t="s">
        <v>7144</v>
      </c>
    </row>
    <row r="7178" spans="1:15" hidden="1" x14ac:dyDescent="0.45">
      <c r="A7178" s="187">
        <v>2025</v>
      </c>
      <c r="B7178" t="s">
        <v>315</v>
      </c>
      <c r="C7178" t="s">
        <v>322</v>
      </c>
      <c r="D7178" t="s">
        <v>35</v>
      </c>
      <c r="E7178" t="s">
        <v>16</v>
      </c>
      <c r="F7178" t="s">
        <v>16</v>
      </c>
      <c r="G7178" t="s">
        <v>36</v>
      </c>
      <c r="H7178" t="s">
        <v>43</v>
      </c>
      <c r="I7178" s="187">
        <v>12007.07443912258</v>
      </c>
      <c r="J7178" s="187">
        <v>249.2154359607004</v>
      </c>
      <c r="K7178" s="187">
        <v>7744.9623226683016</v>
      </c>
      <c r="L7178" s="187">
        <v>17254.770547969947</v>
      </c>
      <c r="M7178" s="187">
        <v>37256.0234375</v>
      </c>
      <c r="N7178" s="187">
        <v>29261.845703125</v>
      </c>
      <c r="O7178" t="s">
        <v>7149</v>
      </c>
    </row>
    <row r="7179" spans="1:15" hidden="1" x14ac:dyDescent="0.45">
      <c r="A7179" s="187">
        <v>2025</v>
      </c>
      <c r="B7179" t="s">
        <v>316</v>
      </c>
      <c r="C7179" t="s">
        <v>322</v>
      </c>
      <c r="D7179" t="s">
        <v>35</v>
      </c>
      <c r="E7179" t="s">
        <v>16</v>
      </c>
      <c r="F7179" t="s">
        <v>16</v>
      </c>
      <c r="G7179" t="s">
        <v>36</v>
      </c>
      <c r="H7179" t="s">
        <v>43</v>
      </c>
      <c r="I7179" s="187">
        <v>11909.512759535673</v>
      </c>
      <c r="J7179" s="187">
        <v>131.07300679764938</v>
      </c>
      <c r="K7179" s="187">
        <v>7903.7915755628655</v>
      </c>
      <c r="L7179" s="187">
        <v>17812.711478416688</v>
      </c>
      <c r="M7179" s="187">
        <v>37757.08984375</v>
      </c>
      <c r="N7179" s="187">
        <v>29722.224609375</v>
      </c>
      <c r="O7179" t="s">
        <v>7150</v>
      </c>
    </row>
    <row r="7180" spans="1:15" hidden="1" x14ac:dyDescent="0.45">
      <c r="A7180" s="187">
        <v>2025</v>
      </c>
      <c r="B7180" t="s">
        <v>314</v>
      </c>
      <c r="C7180" t="s">
        <v>322</v>
      </c>
      <c r="D7180" t="s">
        <v>35</v>
      </c>
      <c r="E7180" t="s">
        <v>16</v>
      </c>
      <c r="F7180" t="s">
        <v>16</v>
      </c>
      <c r="G7180" t="s">
        <v>36</v>
      </c>
      <c r="H7180" t="s">
        <v>43</v>
      </c>
      <c r="I7180" s="187">
        <v>12346.50427277127</v>
      </c>
      <c r="J7180" s="187">
        <v>139.77847933186797</v>
      </c>
      <c r="K7180" s="187">
        <v>7052.4026378558228</v>
      </c>
      <c r="L7180" s="187">
        <v>16859.614248745474</v>
      </c>
      <c r="M7180" s="187">
        <v>36398.30078125</v>
      </c>
      <c r="N7180" s="187">
        <v>29206.1171875</v>
      </c>
      <c r="O7180" t="s">
        <v>7146</v>
      </c>
    </row>
    <row r="7181" spans="1:15" hidden="1" x14ac:dyDescent="0.45">
      <c r="A7181" s="187">
        <v>2025</v>
      </c>
      <c r="B7181" t="s">
        <v>317</v>
      </c>
      <c r="C7181" t="s">
        <v>322</v>
      </c>
      <c r="D7181" t="s">
        <v>35</v>
      </c>
      <c r="E7181" t="s">
        <v>16</v>
      </c>
      <c r="F7181" t="s">
        <v>16</v>
      </c>
      <c r="G7181" t="s">
        <v>36</v>
      </c>
      <c r="H7181" t="s">
        <v>43</v>
      </c>
      <c r="I7181" s="187">
        <v>6017.3551538789497</v>
      </c>
      <c r="J7181" s="187">
        <v>237.71200105106286</v>
      </c>
      <c r="K7181" s="187">
        <v>7931.3528411623547</v>
      </c>
      <c r="L7181" s="187">
        <v>14896.978902231835</v>
      </c>
      <c r="M7181" s="187">
        <v>29083.3984375</v>
      </c>
      <c r="N7181" s="187">
        <v>20914.333984375</v>
      </c>
      <c r="O7181" t="s">
        <v>7147</v>
      </c>
    </row>
    <row r="7182" spans="1:15" hidden="1" x14ac:dyDescent="0.45">
      <c r="A7182" s="187">
        <v>2025</v>
      </c>
      <c r="B7182" t="s">
        <v>312</v>
      </c>
      <c r="C7182" t="s">
        <v>322</v>
      </c>
      <c r="D7182" t="s">
        <v>35</v>
      </c>
      <c r="E7182" t="s">
        <v>16</v>
      </c>
      <c r="F7182" t="s">
        <v>16</v>
      </c>
      <c r="G7182" t="s">
        <v>36</v>
      </c>
      <c r="H7182" t="s">
        <v>43</v>
      </c>
      <c r="I7182" s="187">
        <v>6346.3973976764973</v>
      </c>
      <c r="J7182" s="187">
        <v>129.84029477510072</v>
      </c>
      <c r="K7182" s="187">
        <v>4958.6430847262927</v>
      </c>
      <c r="L7182" s="187">
        <v>18239.469980311769</v>
      </c>
      <c r="M7182" s="187">
        <v>29674.3515625</v>
      </c>
      <c r="N7182" s="187">
        <v>24585.8671875</v>
      </c>
      <c r="O7182" t="s">
        <v>7145</v>
      </c>
    </row>
    <row r="7183" spans="1:15" hidden="1" x14ac:dyDescent="0.45">
      <c r="A7183" s="187">
        <v>2025</v>
      </c>
      <c r="B7183" t="s">
        <v>313</v>
      </c>
      <c r="C7183" t="s">
        <v>322</v>
      </c>
      <c r="D7183" t="s">
        <v>35</v>
      </c>
      <c r="E7183" t="s">
        <v>16</v>
      </c>
      <c r="F7183" t="s">
        <v>16</v>
      </c>
      <c r="G7183" t="s">
        <v>36</v>
      </c>
      <c r="H7183" t="s">
        <v>43</v>
      </c>
      <c r="I7183" s="187">
        <v>6147.8701837638491</v>
      </c>
      <c r="J7183" s="187">
        <v>125.77864682586659</v>
      </c>
      <c r="K7183" s="187">
        <v>5812.2560240561961</v>
      </c>
      <c r="L7183" s="187">
        <v>21193.103044221254</v>
      </c>
      <c r="M7183" s="187">
        <v>33279.0078125</v>
      </c>
      <c r="N7183" s="187">
        <v>27340.97265625</v>
      </c>
      <c r="O7183" t="s">
        <v>7148</v>
      </c>
    </row>
    <row r="7184" spans="1:15" hidden="1" x14ac:dyDescent="0.45">
      <c r="A7184" s="187">
        <v>2025</v>
      </c>
      <c r="B7184" t="s">
        <v>8570</v>
      </c>
      <c r="C7184" t="s">
        <v>322</v>
      </c>
      <c r="D7184" t="s">
        <v>35</v>
      </c>
      <c r="E7184" t="s">
        <v>16</v>
      </c>
      <c r="F7184" t="s">
        <v>16</v>
      </c>
      <c r="G7184" t="s">
        <v>36</v>
      </c>
      <c r="H7184" t="s">
        <v>43</v>
      </c>
      <c r="I7184" s="187">
        <v>5471.5379840000014</v>
      </c>
      <c r="J7184" s="187">
        <v>220</v>
      </c>
      <c r="K7184" s="187">
        <v>8166.9192994659879</v>
      </c>
      <c r="L7184" s="187">
        <v>12546</v>
      </c>
      <c r="M7184" s="187">
        <v>26404.45703125</v>
      </c>
      <c r="N7184" s="187">
        <v>18017.5390625</v>
      </c>
      <c r="O7184" t="s">
        <v>9063</v>
      </c>
    </row>
    <row r="7185" spans="1:15" hidden="1" x14ac:dyDescent="0.45">
      <c r="A7185" s="187">
        <v>2025</v>
      </c>
      <c r="B7185" t="s">
        <v>312</v>
      </c>
      <c r="C7185" t="s">
        <v>322</v>
      </c>
      <c r="D7185" t="s">
        <v>35</v>
      </c>
      <c r="E7185" t="s">
        <v>16</v>
      </c>
      <c r="F7185" t="s">
        <v>16</v>
      </c>
      <c r="G7185" t="s">
        <v>37</v>
      </c>
      <c r="H7185" t="s">
        <v>43</v>
      </c>
      <c r="I7185" s="187">
        <v>6030.8556458971898</v>
      </c>
      <c r="J7185" s="187">
        <v>125</v>
      </c>
      <c r="K7185" s="187">
        <v>4777.5230413039026</v>
      </c>
      <c r="L7185" s="187">
        <v>17705</v>
      </c>
      <c r="M7185" s="187">
        <v>28638.37890625</v>
      </c>
      <c r="N7185" s="187">
        <v>23735.85546875</v>
      </c>
      <c r="O7185" t="s">
        <v>7156</v>
      </c>
    </row>
    <row r="7186" spans="1:15" hidden="1" x14ac:dyDescent="0.45">
      <c r="A7186" s="187">
        <v>2025</v>
      </c>
      <c r="B7186" t="s">
        <v>8570</v>
      </c>
      <c r="C7186" t="s">
        <v>322</v>
      </c>
      <c r="D7186" t="s">
        <v>35</v>
      </c>
      <c r="E7186" t="s">
        <v>16</v>
      </c>
      <c r="F7186" t="s">
        <v>16</v>
      </c>
      <c r="G7186" t="s">
        <v>37</v>
      </c>
      <c r="H7186" t="s">
        <v>43</v>
      </c>
      <c r="I7186" s="187">
        <v>5806.4398809246732</v>
      </c>
      <c r="J7186" s="187">
        <v>220</v>
      </c>
      <c r="K7186" s="187">
        <v>8705.004396358685</v>
      </c>
      <c r="L7186" s="187">
        <v>14370</v>
      </c>
      <c r="M7186" s="187">
        <v>29101.4453125</v>
      </c>
      <c r="N7186" s="187">
        <v>20176.439453125</v>
      </c>
      <c r="O7186" t="s">
        <v>9064</v>
      </c>
    </row>
    <row r="7187" spans="1:15" hidden="1" x14ac:dyDescent="0.45">
      <c r="A7187" s="187">
        <v>2025</v>
      </c>
      <c r="B7187" t="s">
        <v>313</v>
      </c>
      <c r="C7187" t="s">
        <v>322</v>
      </c>
      <c r="D7187" t="s">
        <v>35</v>
      </c>
      <c r="E7187" t="s">
        <v>16</v>
      </c>
      <c r="F7187" t="s">
        <v>16</v>
      </c>
      <c r="G7187" t="s">
        <v>37</v>
      </c>
      <c r="H7187" t="s">
        <v>43</v>
      </c>
      <c r="I7187" s="187">
        <v>6000.8513889524265</v>
      </c>
      <c r="J7187" s="187">
        <v>123</v>
      </c>
      <c r="K7187" s="187">
        <v>5659.5466107019729</v>
      </c>
      <c r="L7187" s="187">
        <v>20925</v>
      </c>
      <c r="M7187" s="187">
        <v>32708.3984375</v>
      </c>
      <c r="N7187" s="187">
        <v>26925.8515625</v>
      </c>
      <c r="O7187" t="s">
        <v>7151</v>
      </c>
    </row>
    <row r="7188" spans="1:15" hidden="1" x14ac:dyDescent="0.45">
      <c r="A7188" s="187">
        <v>2025</v>
      </c>
      <c r="B7188" t="s">
        <v>314</v>
      </c>
      <c r="C7188" t="s">
        <v>322</v>
      </c>
      <c r="D7188" t="s">
        <v>35</v>
      </c>
      <c r="E7188" t="s">
        <v>16</v>
      </c>
      <c r="F7188" t="s">
        <v>16</v>
      </c>
      <c r="G7188" t="s">
        <v>37</v>
      </c>
      <c r="H7188" t="s">
        <v>43</v>
      </c>
      <c r="I7188" s="187">
        <v>12181.45077296721</v>
      </c>
      <c r="J7188" s="187">
        <v>138</v>
      </c>
      <c r="K7188" s="187">
        <v>6967.5382562990544</v>
      </c>
      <c r="L7188" s="187">
        <v>17899</v>
      </c>
      <c r="M7188" s="187">
        <v>37185.9921875</v>
      </c>
      <c r="N7188" s="187">
        <v>30080.451171875</v>
      </c>
      <c r="O7188" t="s">
        <v>7155</v>
      </c>
    </row>
    <row r="7189" spans="1:15" hidden="1" x14ac:dyDescent="0.45">
      <c r="A7189" s="187">
        <v>2025</v>
      </c>
      <c r="B7189" t="s">
        <v>311</v>
      </c>
      <c r="C7189" t="s">
        <v>322</v>
      </c>
      <c r="D7189" t="s">
        <v>35</v>
      </c>
      <c r="E7189" t="s">
        <v>16</v>
      </c>
      <c r="F7189" t="s">
        <v>16</v>
      </c>
      <c r="G7189" t="s">
        <v>37</v>
      </c>
      <c r="H7189" t="s">
        <v>43</v>
      </c>
      <c r="I7189" s="187"/>
      <c r="J7189" s="187">
        <v>122</v>
      </c>
      <c r="K7189" s="187">
        <v>5012.3602066006288</v>
      </c>
      <c r="L7189" s="187">
        <v>21711</v>
      </c>
      <c r="M7189" s="187">
        <v>26845.359375</v>
      </c>
      <c r="N7189" s="187">
        <v>21711</v>
      </c>
      <c r="O7189" t="s">
        <v>7152</v>
      </c>
    </row>
    <row r="7190" spans="1:15" hidden="1" x14ac:dyDescent="0.45">
      <c r="A7190" s="187">
        <v>2025</v>
      </c>
      <c r="B7190" t="s">
        <v>315</v>
      </c>
      <c r="C7190" t="s">
        <v>322</v>
      </c>
      <c r="D7190" t="s">
        <v>35</v>
      </c>
      <c r="E7190" t="s">
        <v>16</v>
      </c>
      <c r="F7190" t="s">
        <v>16</v>
      </c>
      <c r="G7190" t="s">
        <v>37</v>
      </c>
      <c r="H7190" t="s">
        <v>43</v>
      </c>
      <c r="I7190" s="187">
        <v>11939.08730076175</v>
      </c>
      <c r="J7190" s="187">
        <v>243</v>
      </c>
      <c r="K7190" s="187">
        <v>7680.4308407666604</v>
      </c>
      <c r="L7190" s="187">
        <v>17154</v>
      </c>
      <c r="M7190" s="187">
        <v>37016.515625</v>
      </c>
      <c r="N7190" s="187">
        <v>29093.0859375</v>
      </c>
      <c r="O7190" t="s">
        <v>7157</v>
      </c>
    </row>
    <row r="7191" spans="1:15" hidden="1" x14ac:dyDescent="0.45">
      <c r="A7191" s="187">
        <v>2025</v>
      </c>
      <c r="B7191" t="s">
        <v>316</v>
      </c>
      <c r="C7191" t="s">
        <v>322</v>
      </c>
      <c r="D7191" t="s">
        <v>35</v>
      </c>
      <c r="E7191" t="s">
        <v>16</v>
      </c>
      <c r="F7191" t="s">
        <v>16</v>
      </c>
      <c r="G7191" t="s">
        <v>37</v>
      </c>
      <c r="H7191" t="s">
        <v>43</v>
      </c>
      <c r="I7191" s="187">
        <v>11939</v>
      </c>
      <c r="J7191" s="187">
        <v>119</v>
      </c>
      <c r="K7191" s="187">
        <v>7781.0589496345747</v>
      </c>
      <c r="L7191" s="187">
        <v>18283</v>
      </c>
      <c r="M7191" s="187">
        <v>38122.05859375</v>
      </c>
      <c r="N7191" s="187">
        <v>30222</v>
      </c>
      <c r="O7191" t="s">
        <v>7154</v>
      </c>
    </row>
    <row r="7192" spans="1:15" hidden="1" x14ac:dyDescent="0.45">
      <c r="A7192" s="187">
        <v>2025</v>
      </c>
      <c r="B7192" t="s">
        <v>317</v>
      </c>
      <c r="C7192" t="s">
        <v>322</v>
      </c>
      <c r="D7192" t="s">
        <v>35</v>
      </c>
      <c r="E7192" t="s">
        <v>16</v>
      </c>
      <c r="F7192" t="s">
        <v>16</v>
      </c>
      <c r="G7192" t="s">
        <v>37</v>
      </c>
      <c r="H7192" t="s">
        <v>43</v>
      </c>
      <c r="I7192" s="187">
        <v>6028.0646990400001</v>
      </c>
      <c r="J7192" s="187">
        <v>220</v>
      </c>
      <c r="K7192" s="187">
        <v>7897.0398511735348</v>
      </c>
      <c r="L7192" s="187">
        <v>14766</v>
      </c>
      <c r="M7192" s="187">
        <v>28911.10546875</v>
      </c>
      <c r="N7192" s="187">
        <v>20794.064453125</v>
      </c>
      <c r="O7192" t="s">
        <v>7153</v>
      </c>
    </row>
    <row r="7193" spans="1:15" hidden="1" x14ac:dyDescent="0.45">
      <c r="A7193" s="187">
        <v>2025</v>
      </c>
      <c r="B7193" t="s">
        <v>314</v>
      </c>
      <c r="C7193" t="s">
        <v>322</v>
      </c>
      <c r="D7193" t="s">
        <v>35</v>
      </c>
      <c r="E7193" t="s">
        <v>351</v>
      </c>
      <c r="F7193" t="s">
        <v>351</v>
      </c>
      <c r="G7193" t="s">
        <v>37</v>
      </c>
      <c r="H7193" t="s">
        <v>43</v>
      </c>
      <c r="I7193" s="187">
        <v>79.703579103362017</v>
      </c>
      <c r="J7193" s="187">
        <v>0</v>
      </c>
      <c r="K7193" s="187">
        <v>68.848471812498858</v>
      </c>
      <c r="L7193" s="187">
        <v>381</v>
      </c>
      <c r="M7193" s="187">
        <v>529.55206298828125</v>
      </c>
      <c r="N7193" s="187">
        <v>460.70358276367188</v>
      </c>
      <c r="O7193" t="s">
        <v>7163</v>
      </c>
    </row>
    <row r="7194" spans="1:15" hidden="1" x14ac:dyDescent="0.45">
      <c r="A7194" s="187">
        <v>2025</v>
      </c>
      <c r="B7194" t="s">
        <v>317</v>
      </c>
      <c r="C7194" t="s">
        <v>322</v>
      </c>
      <c r="D7194" t="s">
        <v>35</v>
      </c>
      <c r="E7194" t="s">
        <v>351</v>
      </c>
      <c r="F7194" t="s">
        <v>351</v>
      </c>
      <c r="G7194" t="s">
        <v>37</v>
      </c>
      <c r="H7194" t="s">
        <v>43</v>
      </c>
      <c r="I7194" s="187">
        <v>65.482885112052983</v>
      </c>
      <c r="J7194" s="187"/>
      <c r="K7194" s="187">
        <v>57.6</v>
      </c>
      <c r="L7194" s="187">
        <v>254</v>
      </c>
      <c r="M7194" s="187">
        <v>377.0828857421875</v>
      </c>
      <c r="N7194" s="187">
        <v>319.48287963867188</v>
      </c>
      <c r="O7194" t="s">
        <v>7158</v>
      </c>
    </row>
    <row r="7195" spans="1:15" hidden="1" x14ac:dyDescent="0.45">
      <c r="A7195" s="187">
        <v>2025</v>
      </c>
      <c r="B7195" t="s">
        <v>315</v>
      </c>
      <c r="C7195" t="s">
        <v>322</v>
      </c>
      <c r="D7195" t="s">
        <v>35</v>
      </c>
      <c r="E7195" t="s">
        <v>351</v>
      </c>
      <c r="F7195" t="s">
        <v>351</v>
      </c>
      <c r="G7195" t="s">
        <v>37</v>
      </c>
      <c r="H7195" t="s">
        <v>43</v>
      </c>
      <c r="I7195" s="187">
        <v>78.598753652971794</v>
      </c>
      <c r="J7195" s="187">
        <v>0</v>
      </c>
      <c r="K7195" s="187">
        <v>72.434588772087707</v>
      </c>
      <c r="L7195" s="187">
        <v>149</v>
      </c>
      <c r="M7195" s="187">
        <v>300.0333251953125</v>
      </c>
      <c r="N7195" s="187">
        <v>227.5987548828125</v>
      </c>
      <c r="O7195" t="s">
        <v>7159</v>
      </c>
    </row>
    <row r="7196" spans="1:15" hidden="1" x14ac:dyDescent="0.45">
      <c r="A7196" s="187">
        <v>2025</v>
      </c>
      <c r="B7196" t="s">
        <v>312</v>
      </c>
      <c r="C7196" t="s">
        <v>322</v>
      </c>
      <c r="D7196" t="s">
        <v>35</v>
      </c>
      <c r="E7196" t="s">
        <v>351</v>
      </c>
      <c r="F7196" t="s">
        <v>351</v>
      </c>
      <c r="G7196" t="s">
        <v>37</v>
      </c>
      <c r="H7196" t="s">
        <v>43</v>
      </c>
      <c r="I7196" s="187">
        <v>716.35720650418432</v>
      </c>
      <c r="J7196" s="187">
        <v>0</v>
      </c>
      <c r="K7196" s="187">
        <v>57.584038710480193</v>
      </c>
      <c r="L7196" s="187">
        <v>105</v>
      </c>
      <c r="M7196" s="187">
        <v>878.94122314453125</v>
      </c>
      <c r="N7196" s="187">
        <v>821.357177734375</v>
      </c>
      <c r="O7196" t="s">
        <v>7160</v>
      </c>
    </row>
    <row r="7197" spans="1:15" hidden="1" x14ac:dyDescent="0.45">
      <c r="A7197" s="187">
        <v>2025</v>
      </c>
      <c r="B7197" t="s">
        <v>311</v>
      </c>
      <c r="C7197" t="s">
        <v>322</v>
      </c>
      <c r="D7197" t="s">
        <v>35</v>
      </c>
      <c r="E7197" t="s">
        <v>351</v>
      </c>
      <c r="F7197" t="s">
        <v>351</v>
      </c>
      <c r="G7197" t="s">
        <v>37</v>
      </c>
      <c r="H7197" t="s">
        <v>43</v>
      </c>
      <c r="I7197" s="187"/>
      <c r="J7197" s="187">
        <v>0</v>
      </c>
      <c r="K7197" s="187">
        <v>62.09426075738584</v>
      </c>
      <c r="L7197" s="187">
        <v>171</v>
      </c>
      <c r="M7197" s="187">
        <v>233.09426879882813</v>
      </c>
      <c r="N7197" s="187">
        <v>171</v>
      </c>
      <c r="O7197" t="s">
        <v>7162</v>
      </c>
    </row>
    <row r="7198" spans="1:15" hidden="1" x14ac:dyDescent="0.45">
      <c r="A7198" s="187">
        <v>2025</v>
      </c>
      <c r="B7198" t="s">
        <v>8570</v>
      </c>
      <c r="C7198" t="s">
        <v>322</v>
      </c>
      <c r="D7198" t="s">
        <v>35</v>
      </c>
      <c r="E7198" t="s">
        <v>351</v>
      </c>
      <c r="F7198" t="s">
        <v>351</v>
      </c>
      <c r="G7198" t="s">
        <v>37</v>
      </c>
      <c r="H7198" t="s">
        <v>43</v>
      </c>
      <c r="I7198" s="187">
        <v>56.451483662890112</v>
      </c>
      <c r="J7198" s="187"/>
      <c r="K7198" s="187">
        <v>85.904961199113004</v>
      </c>
      <c r="L7198" s="187">
        <v>191</v>
      </c>
      <c r="M7198" s="187">
        <v>333.3564453125</v>
      </c>
      <c r="N7198" s="187">
        <v>247.45147705078125</v>
      </c>
      <c r="O7198" t="s">
        <v>9065</v>
      </c>
    </row>
    <row r="7199" spans="1:15" hidden="1" x14ac:dyDescent="0.45">
      <c r="A7199" s="187">
        <v>2025</v>
      </c>
      <c r="B7199" t="s">
        <v>316</v>
      </c>
      <c r="C7199" t="s">
        <v>322</v>
      </c>
      <c r="D7199" t="s">
        <v>35</v>
      </c>
      <c r="E7199" t="s">
        <v>351</v>
      </c>
      <c r="F7199" t="s">
        <v>351</v>
      </c>
      <c r="G7199" t="s">
        <v>37</v>
      </c>
      <c r="H7199" t="s">
        <v>43</v>
      </c>
      <c r="I7199" s="187">
        <v>79</v>
      </c>
      <c r="J7199" s="187"/>
      <c r="K7199" s="187">
        <v>40.961242095047893</v>
      </c>
      <c r="L7199" s="187">
        <v>308</v>
      </c>
      <c r="M7199" s="187">
        <v>427.96124267578125</v>
      </c>
      <c r="N7199" s="187">
        <v>387</v>
      </c>
      <c r="O7199" t="s">
        <v>7164</v>
      </c>
    </row>
    <row r="7200" spans="1:15" hidden="1" x14ac:dyDescent="0.45">
      <c r="A7200" s="187">
        <v>2025</v>
      </c>
      <c r="B7200" t="s">
        <v>313</v>
      </c>
      <c r="C7200" t="s">
        <v>322</v>
      </c>
      <c r="D7200" t="s">
        <v>35</v>
      </c>
      <c r="E7200" t="s">
        <v>351</v>
      </c>
      <c r="F7200" t="s">
        <v>351</v>
      </c>
      <c r="G7200" t="s">
        <v>37</v>
      </c>
      <c r="H7200" t="s">
        <v>43</v>
      </c>
      <c r="I7200" s="187">
        <v>46.073371822839455</v>
      </c>
      <c r="J7200" s="187">
        <v>0</v>
      </c>
      <c r="K7200" s="187">
        <v>210.16485368962719</v>
      </c>
      <c r="L7200" s="187">
        <v>461</v>
      </c>
      <c r="M7200" s="187">
        <v>717.23822021484375</v>
      </c>
      <c r="N7200" s="187">
        <v>507.0733642578125</v>
      </c>
      <c r="O7200" t="s">
        <v>7161</v>
      </c>
    </row>
    <row r="7201" spans="1:15" hidden="1" x14ac:dyDescent="0.45">
      <c r="A7201" s="187">
        <v>2025</v>
      </c>
      <c r="B7201" t="s">
        <v>311</v>
      </c>
      <c r="C7201" t="s">
        <v>322</v>
      </c>
      <c r="D7201" t="s">
        <v>35</v>
      </c>
      <c r="E7201" t="s">
        <v>352</v>
      </c>
      <c r="F7201" t="s">
        <v>361</v>
      </c>
      <c r="G7201" t="s">
        <v>36</v>
      </c>
      <c r="H7201" t="s">
        <v>43</v>
      </c>
      <c r="I7201" s="187"/>
      <c r="J7201" s="187">
        <v>0</v>
      </c>
      <c r="K7201" s="187">
        <v>0</v>
      </c>
      <c r="L7201" s="187"/>
      <c r="M7201" s="187">
        <v>0</v>
      </c>
      <c r="N7201" s="187">
        <v>0</v>
      </c>
      <c r="O7201" t="s">
        <v>7170</v>
      </c>
    </row>
    <row r="7202" spans="1:15" hidden="1" x14ac:dyDescent="0.45">
      <c r="A7202" s="187">
        <v>2025</v>
      </c>
      <c r="B7202" t="s">
        <v>8570</v>
      </c>
      <c r="C7202" t="s">
        <v>322</v>
      </c>
      <c r="D7202" t="s">
        <v>35</v>
      </c>
      <c r="E7202" t="s">
        <v>352</v>
      </c>
      <c r="F7202" t="s">
        <v>361</v>
      </c>
      <c r="G7202" t="s">
        <v>36</v>
      </c>
      <c r="H7202" t="s">
        <v>43</v>
      </c>
      <c r="I7202" s="187">
        <v>0</v>
      </c>
      <c r="J7202" s="187"/>
      <c r="K7202" s="187">
        <v>0</v>
      </c>
      <c r="L7202" s="187"/>
      <c r="M7202" s="187">
        <v>0</v>
      </c>
      <c r="N7202" s="187">
        <v>0</v>
      </c>
      <c r="O7202" t="s">
        <v>9066</v>
      </c>
    </row>
    <row r="7203" spans="1:15" hidden="1" x14ac:dyDescent="0.45">
      <c r="A7203" s="187">
        <v>2025</v>
      </c>
      <c r="B7203" t="s">
        <v>315</v>
      </c>
      <c r="C7203" t="s">
        <v>322</v>
      </c>
      <c r="D7203" t="s">
        <v>35</v>
      </c>
      <c r="E7203" t="s">
        <v>352</v>
      </c>
      <c r="F7203" t="s">
        <v>361</v>
      </c>
      <c r="G7203" t="s">
        <v>36</v>
      </c>
      <c r="H7203" t="s">
        <v>43</v>
      </c>
      <c r="I7203" s="187">
        <v>0</v>
      </c>
      <c r="J7203" s="187">
        <v>0</v>
      </c>
      <c r="K7203" s="187">
        <v>0</v>
      </c>
      <c r="L7203" s="187"/>
      <c r="M7203" s="187">
        <v>0</v>
      </c>
      <c r="N7203" s="187">
        <v>0</v>
      </c>
      <c r="O7203" t="s">
        <v>7166</v>
      </c>
    </row>
    <row r="7204" spans="1:15" hidden="1" x14ac:dyDescent="0.45">
      <c r="A7204" s="187">
        <v>2025</v>
      </c>
      <c r="B7204" t="s">
        <v>314</v>
      </c>
      <c r="C7204" t="s">
        <v>322</v>
      </c>
      <c r="D7204" t="s">
        <v>35</v>
      </c>
      <c r="E7204" t="s">
        <v>352</v>
      </c>
      <c r="F7204" t="s">
        <v>361</v>
      </c>
      <c r="G7204" t="s">
        <v>36</v>
      </c>
      <c r="H7204" t="s">
        <v>43</v>
      </c>
      <c r="I7204" s="187">
        <v>0</v>
      </c>
      <c r="J7204" s="187">
        <v>0</v>
      </c>
      <c r="K7204" s="187">
        <v>0</v>
      </c>
      <c r="L7204" s="187"/>
      <c r="M7204" s="187">
        <v>0</v>
      </c>
      <c r="N7204" s="187">
        <v>0</v>
      </c>
      <c r="O7204" t="s">
        <v>7171</v>
      </c>
    </row>
    <row r="7205" spans="1:15" hidden="1" x14ac:dyDescent="0.45">
      <c r="A7205" s="187">
        <v>2025</v>
      </c>
      <c r="B7205" t="s">
        <v>312</v>
      </c>
      <c r="C7205" t="s">
        <v>322</v>
      </c>
      <c r="D7205" t="s">
        <v>35</v>
      </c>
      <c r="E7205" t="s">
        <v>352</v>
      </c>
      <c r="F7205" t="s">
        <v>361</v>
      </c>
      <c r="G7205" t="s">
        <v>36</v>
      </c>
      <c r="H7205" t="s">
        <v>43</v>
      </c>
      <c r="I7205" s="187"/>
      <c r="J7205" s="187">
        <v>0</v>
      </c>
      <c r="K7205" s="187">
        <v>0</v>
      </c>
      <c r="L7205" s="187"/>
      <c r="M7205" s="187">
        <v>0</v>
      </c>
      <c r="N7205" s="187">
        <v>0</v>
      </c>
      <c r="O7205" t="s">
        <v>7165</v>
      </c>
    </row>
    <row r="7206" spans="1:15" hidden="1" x14ac:dyDescent="0.45">
      <c r="A7206" s="187">
        <v>2025</v>
      </c>
      <c r="B7206" t="s">
        <v>316</v>
      </c>
      <c r="C7206" t="s">
        <v>322</v>
      </c>
      <c r="D7206" t="s">
        <v>35</v>
      </c>
      <c r="E7206" t="s">
        <v>352</v>
      </c>
      <c r="F7206" t="s">
        <v>361</v>
      </c>
      <c r="G7206" t="s">
        <v>36</v>
      </c>
      <c r="H7206" t="s">
        <v>43</v>
      </c>
      <c r="I7206" s="187">
        <v>0</v>
      </c>
      <c r="J7206" s="187"/>
      <c r="K7206" s="187">
        <v>0</v>
      </c>
      <c r="L7206" s="187"/>
      <c r="M7206" s="187">
        <v>0</v>
      </c>
      <c r="N7206" s="187">
        <v>0</v>
      </c>
      <c r="O7206" t="s">
        <v>7169</v>
      </c>
    </row>
    <row r="7207" spans="1:15" hidden="1" x14ac:dyDescent="0.45">
      <c r="A7207" s="187">
        <v>2025</v>
      </c>
      <c r="B7207" t="s">
        <v>313</v>
      </c>
      <c r="C7207" t="s">
        <v>322</v>
      </c>
      <c r="D7207" t="s">
        <v>35</v>
      </c>
      <c r="E7207" t="s">
        <v>352</v>
      </c>
      <c r="F7207" t="s">
        <v>361</v>
      </c>
      <c r="G7207" t="s">
        <v>36</v>
      </c>
      <c r="H7207" t="s">
        <v>43</v>
      </c>
      <c r="I7207" s="187"/>
      <c r="J7207" s="187">
        <v>0</v>
      </c>
      <c r="K7207" s="187">
        <v>0</v>
      </c>
      <c r="L7207" s="187"/>
      <c r="M7207" s="187">
        <v>0</v>
      </c>
      <c r="N7207" s="187">
        <v>0</v>
      </c>
      <c r="O7207" t="s">
        <v>7167</v>
      </c>
    </row>
    <row r="7208" spans="1:15" hidden="1" x14ac:dyDescent="0.45">
      <c r="A7208" s="187">
        <v>2025</v>
      </c>
      <c r="B7208" t="s">
        <v>317</v>
      </c>
      <c r="C7208" t="s">
        <v>322</v>
      </c>
      <c r="D7208" t="s">
        <v>35</v>
      </c>
      <c r="E7208" t="s">
        <v>352</v>
      </c>
      <c r="F7208" t="s">
        <v>361</v>
      </c>
      <c r="G7208" t="s">
        <v>36</v>
      </c>
      <c r="H7208" t="s">
        <v>43</v>
      </c>
      <c r="I7208" s="187">
        <v>0</v>
      </c>
      <c r="J7208" s="187"/>
      <c r="K7208" s="187">
        <v>0</v>
      </c>
      <c r="L7208" s="187"/>
      <c r="M7208" s="187">
        <v>0</v>
      </c>
      <c r="N7208" s="187">
        <v>0</v>
      </c>
      <c r="O7208" t="s">
        <v>7168</v>
      </c>
    </row>
    <row r="7209" spans="1:15" hidden="1" x14ac:dyDescent="0.45">
      <c r="A7209" s="187">
        <v>2025</v>
      </c>
      <c r="B7209" t="s">
        <v>8570</v>
      </c>
      <c r="C7209" t="s">
        <v>322</v>
      </c>
      <c r="D7209" t="s">
        <v>35</v>
      </c>
      <c r="E7209" t="s">
        <v>353</v>
      </c>
      <c r="F7209" t="s">
        <v>383</v>
      </c>
      <c r="G7209" t="s">
        <v>36</v>
      </c>
      <c r="H7209" t="s">
        <v>43</v>
      </c>
      <c r="I7209" s="187">
        <v>13665.081586067159</v>
      </c>
      <c r="J7209" s="187">
        <v>945</v>
      </c>
      <c r="K7209" s="187">
        <v>15835.30321476451</v>
      </c>
      <c r="L7209" s="187">
        <v>20480</v>
      </c>
      <c r="M7209" s="187">
        <v>50925.3828125</v>
      </c>
      <c r="N7209" s="187">
        <v>34145.08203125</v>
      </c>
      <c r="O7209" t="s">
        <v>9067</v>
      </c>
    </row>
    <row r="7210" spans="1:15" hidden="1" x14ac:dyDescent="0.45">
      <c r="A7210" s="187">
        <v>2025</v>
      </c>
      <c r="B7210" t="s">
        <v>311</v>
      </c>
      <c r="C7210" t="s">
        <v>322</v>
      </c>
      <c r="D7210" t="s">
        <v>35</v>
      </c>
      <c r="E7210" t="s">
        <v>353</v>
      </c>
      <c r="F7210" t="s">
        <v>383</v>
      </c>
      <c r="G7210" t="s">
        <v>36</v>
      </c>
      <c r="H7210" t="s">
        <v>43</v>
      </c>
      <c r="I7210" s="187"/>
      <c r="J7210" s="187">
        <v>1103.1294160965783</v>
      </c>
      <c r="K7210" s="187">
        <v>14771.140692460867</v>
      </c>
      <c r="L7210" s="187">
        <v>32521.275421825256</v>
      </c>
      <c r="M7210" s="187">
        <v>48395.546875</v>
      </c>
      <c r="N7210" s="187">
        <v>32521.275390625</v>
      </c>
      <c r="O7210" t="s">
        <v>7172</v>
      </c>
    </row>
    <row r="7211" spans="1:15" hidden="1" x14ac:dyDescent="0.45">
      <c r="A7211" s="187">
        <v>2025</v>
      </c>
      <c r="B7211" t="s">
        <v>312</v>
      </c>
      <c r="C7211" t="s">
        <v>322</v>
      </c>
      <c r="D7211" t="s">
        <v>35</v>
      </c>
      <c r="E7211" t="s">
        <v>353</v>
      </c>
      <c r="F7211" t="s">
        <v>383</v>
      </c>
      <c r="G7211" t="s">
        <v>36</v>
      </c>
      <c r="H7211" t="s">
        <v>43</v>
      </c>
      <c r="I7211" s="187">
        <v>13994.609047047908</v>
      </c>
      <c r="J7211" s="187">
        <v>1057.270971740106</v>
      </c>
      <c r="K7211" s="187">
        <v>14772.420477124009</v>
      </c>
      <c r="L7211" s="187">
        <v>23797.871170922033</v>
      </c>
      <c r="M7211" s="187">
        <v>53622.171875</v>
      </c>
      <c r="N7211" s="187">
        <v>37792.48046875</v>
      </c>
      <c r="O7211" t="s">
        <v>7177</v>
      </c>
    </row>
    <row r="7212" spans="1:15" hidden="1" x14ac:dyDescent="0.45">
      <c r="A7212" s="187">
        <v>2025</v>
      </c>
      <c r="B7212" t="s">
        <v>316</v>
      </c>
      <c r="C7212" t="s">
        <v>322</v>
      </c>
      <c r="D7212" t="s">
        <v>35</v>
      </c>
      <c r="E7212" t="s">
        <v>353</v>
      </c>
      <c r="F7212" t="s">
        <v>383</v>
      </c>
      <c r="G7212" t="s">
        <v>36</v>
      </c>
      <c r="H7212" t="s">
        <v>43</v>
      </c>
      <c r="I7212" s="187">
        <v>20173.096937219801</v>
      </c>
      <c r="J7212" s="187">
        <v>929.62703980853848</v>
      </c>
      <c r="K7212" s="187">
        <v>18249.905493941435</v>
      </c>
      <c r="L7212" s="187">
        <v>31889.291536181048</v>
      </c>
      <c r="M7212" s="187">
        <v>71241.921875</v>
      </c>
      <c r="N7212" s="187">
        <v>52062.390625</v>
      </c>
      <c r="O7212" t="s">
        <v>7174</v>
      </c>
    </row>
    <row r="7213" spans="1:15" hidden="1" x14ac:dyDescent="0.45">
      <c r="A7213" s="187">
        <v>2025</v>
      </c>
      <c r="B7213" t="s">
        <v>314</v>
      </c>
      <c r="C7213" t="s">
        <v>322</v>
      </c>
      <c r="D7213" t="s">
        <v>35</v>
      </c>
      <c r="E7213" t="s">
        <v>353</v>
      </c>
      <c r="F7213" t="s">
        <v>383</v>
      </c>
      <c r="G7213" t="s">
        <v>36</v>
      </c>
      <c r="H7213" t="s">
        <v>43</v>
      </c>
      <c r="I7213" s="187">
        <v>20797.278169043788</v>
      </c>
      <c r="J7213" s="187">
        <v>850.31908260219677</v>
      </c>
      <c r="K7213" s="187">
        <v>17333.567451490348</v>
      </c>
      <c r="L7213" s="187">
        <v>23137.997612068546</v>
      </c>
      <c r="M7213" s="187">
        <v>62119.16015625</v>
      </c>
      <c r="N7213" s="187">
        <v>43935.2734375</v>
      </c>
      <c r="O7213" t="s">
        <v>7175</v>
      </c>
    </row>
    <row r="7214" spans="1:15" hidden="1" x14ac:dyDescent="0.45">
      <c r="A7214" s="187">
        <v>2025</v>
      </c>
      <c r="B7214" t="s">
        <v>315</v>
      </c>
      <c r="C7214" t="s">
        <v>322</v>
      </c>
      <c r="D7214" t="s">
        <v>35</v>
      </c>
      <c r="E7214" t="s">
        <v>353</v>
      </c>
      <c r="F7214" t="s">
        <v>383</v>
      </c>
      <c r="G7214" t="s">
        <v>36</v>
      </c>
      <c r="H7214" t="s">
        <v>43</v>
      </c>
      <c r="I7214" s="187">
        <v>20338.799582263269</v>
      </c>
      <c r="J7214" s="187">
        <v>894.90997458615141</v>
      </c>
      <c r="K7214" s="187">
        <v>17739.525884154627</v>
      </c>
      <c r="L7214" s="187">
        <v>27686.702137797631</v>
      </c>
      <c r="M7214" s="187">
        <v>66659.9375</v>
      </c>
      <c r="N7214" s="187">
        <v>48025.5</v>
      </c>
      <c r="O7214" t="s">
        <v>7176</v>
      </c>
    </row>
    <row r="7215" spans="1:15" hidden="1" x14ac:dyDescent="0.45">
      <c r="A7215" s="187">
        <v>2025</v>
      </c>
      <c r="B7215" t="s">
        <v>317</v>
      </c>
      <c r="C7215" t="s">
        <v>322</v>
      </c>
      <c r="D7215" t="s">
        <v>35</v>
      </c>
      <c r="E7215" t="s">
        <v>353</v>
      </c>
      <c r="F7215" t="s">
        <v>383</v>
      </c>
      <c r="G7215" t="s">
        <v>36</v>
      </c>
      <c r="H7215" t="s">
        <v>43</v>
      </c>
      <c r="I7215" s="187">
        <v>16928.577995366486</v>
      </c>
      <c r="J7215" s="187">
        <v>1021.0810954238837</v>
      </c>
      <c r="K7215" s="187">
        <v>18233.077114954132</v>
      </c>
      <c r="L7215" s="187">
        <v>28421.711252941623</v>
      </c>
      <c r="M7215" s="187">
        <v>64604.44921875</v>
      </c>
      <c r="N7215" s="187">
        <v>45350.2890625</v>
      </c>
      <c r="O7215" t="s">
        <v>7173</v>
      </c>
    </row>
    <row r="7216" spans="1:15" hidden="1" x14ac:dyDescent="0.45">
      <c r="A7216" s="187">
        <v>2025</v>
      </c>
      <c r="B7216" t="s">
        <v>313</v>
      </c>
      <c r="C7216" t="s">
        <v>322</v>
      </c>
      <c r="D7216" t="s">
        <v>35</v>
      </c>
      <c r="E7216" t="s">
        <v>353</v>
      </c>
      <c r="F7216" t="s">
        <v>383</v>
      </c>
      <c r="G7216" t="s">
        <v>36</v>
      </c>
      <c r="H7216" t="s">
        <v>43</v>
      </c>
      <c r="I7216" s="187">
        <v>13868.283315122997</v>
      </c>
      <c r="J7216" s="187">
        <v>862.48214966308524</v>
      </c>
      <c r="K7216" s="187">
        <v>16829.290661562722</v>
      </c>
      <c r="L7216" s="187">
        <v>28739.82185377325</v>
      </c>
      <c r="M7216" s="187">
        <v>60299.87890625</v>
      </c>
      <c r="N7216" s="187">
        <v>42608.10546875</v>
      </c>
      <c r="O7216" t="s">
        <v>7178</v>
      </c>
    </row>
    <row r="7217" spans="1:15" hidden="1" x14ac:dyDescent="0.45">
      <c r="A7217" s="187">
        <v>2025</v>
      </c>
      <c r="B7217" t="s">
        <v>8570</v>
      </c>
      <c r="C7217" t="s">
        <v>322</v>
      </c>
      <c r="D7217" t="s">
        <v>35</v>
      </c>
      <c r="E7217" t="s">
        <v>353</v>
      </c>
      <c r="F7217" t="s">
        <v>383</v>
      </c>
      <c r="G7217" t="s">
        <v>37</v>
      </c>
      <c r="H7217" t="s">
        <v>43</v>
      </c>
      <c r="I7217" s="187">
        <v>14501.49389978716</v>
      </c>
      <c r="J7217" s="187">
        <v>945</v>
      </c>
      <c r="K7217" s="187">
        <v>16878.626939684749</v>
      </c>
      <c r="L7217" s="187">
        <v>23458</v>
      </c>
      <c r="M7217" s="187">
        <v>55783.12109375</v>
      </c>
      <c r="N7217" s="187">
        <v>37959.4921875</v>
      </c>
      <c r="O7217" t="s">
        <v>9068</v>
      </c>
    </row>
    <row r="7218" spans="1:15" hidden="1" x14ac:dyDescent="0.45">
      <c r="A7218" s="187">
        <v>2025</v>
      </c>
      <c r="B7218" t="s">
        <v>314</v>
      </c>
      <c r="C7218" t="s">
        <v>322</v>
      </c>
      <c r="D7218" t="s">
        <v>35</v>
      </c>
      <c r="E7218" t="s">
        <v>353</v>
      </c>
      <c r="F7218" t="s">
        <v>383</v>
      </c>
      <c r="G7218" t="s">
        <v>37</v>
      </c>
      <c r="H7218" t="s">
        <v>43</v>
      </c>
      <c r="I7218" s="187">
        <v>20519.25100666962</v>
      </c>
      <c r="J7218" s="187">
        <v>838</v>
      </c>
      <c r="K7218" s="187">
        <v>17124.985701769019</v>
      </c>
      <c r="L7218" s="187">
        <v>24563.595133371178</v>
      </c>
      <c r="M7218" s="187">
        <v>63045.83203125</v>
      </c>
      <c r="N7218" s="187">
        <v>45082.84765625</v>
      </c>
      <c r="O7218" t="s">
        <v>7179</v>
      </c>
    </row>
    <row r="7219" spans="1:15" hidden="1" x14ac:dyDescent="0.45">
      <c r="A7219" s="187">
        <v>2025</v>
      </c>
      <c r="B7219" t="s">
        <v>315</v>
      </c>
      <c r="C7219" t="s">
        <v>322</v>
      </c>
      <c r="D7219" t="s">
        <v>35</v>
      </c>
      <c r="E7219" t="s">
        <v>353</v>
      </c>
      <c r="F7219" t="s">
        <v>383</v>
      </c>
      <c r="G7219" t="s">
        <v>37</v>
      </c>
      <c r="H7219" t="s">
        <v>43</v>
      </c>
      <c r="I7219" s="187">
        <v>20223.63607692286</v>
      </c>
      <c r="J7219" s="187">
        <v>872</v>
      </c>
      <c r="K7219" s="187">
        <v>17591.7191104294</v>
      </c>
      <c r="L7219" s="187">
        <v>27524.56044580173</v>
      </c>
      <c r="M7219" s="187">
        <v>66211.9140625</v>
      </c>
      <c r="N7219" s="187">
        <v>47748.1953125</v>
      </c>
      <c r="O7219" t="s">
        <v>7185</v>
      </c>
    </row>
    <row r="7220" spans="1:15" hidden="1" x14ac:dyDescent="0.45">
      <c r="A7220" s="187">
        <v>2025</v>
      </c>
      <c r="B7220" t="s">
        <v>313</v>
      </c>
      <c r="C7220" t="s">
        <v>322</v>
      </c>
      <c r="D7220" t="s">
        <v>35</v>
      </c>
      <c r="E7220" t="s">
        <v>353</v>
      </c>
      <c r="F7220" t="s">
        <v>383</v>
      </c>
      <c r="G7220" t="s">
        <v>37</v>
      </c>
      <c r="H7220" t="s">
        <v>43</v>
      </c>
      <c r="I7220" s="187">
        <v>13536.64028458579</v>
      </c>
      <c r="J7220" s="187">
        <v>844</v>
      </c>
      <c r="K7220" s="187">
        <v>16387.123094707771</v>
      </c>
      <c r="L7220" s="187">
        <v>28377</v>
      </c>
      <c r="M7220" s="187">
        <v>59144.765625</v>
      </c>
      <c r="N7220" s="187">
        <v>41913.640625</v>
      </c>
      <c r="O7220" t="s">
        <v>7182</v>
      </c>
    </row>
    <row r="7221" spans="1:15" hidden="1" x14ac:dyDescent="0.45">
      <c r="A7221" s="187">
        <v>2025</v>
      </c>
      <c r="B7221" t="s">
        <v>317</v>
      </c>
      <c r="C7221" t="s">
        <v>322</v>
      </c>
      <c r="D7221" t="s">
        <v>35</v>
      </c>
      <c r="E7221" t="s">
        <v>353</v>
      </c>
      <c r="F7221" t="s">
        <v>383</v>
      </c>
      <c r="G7221" t="s">
        <v>37</v>
      </c>
      <c r="H7221" t="s">
        <v>43</v>
      </c>
      <c r="I7221" s="187">
        <v>16959.158448868271</v>
      </c>
      <c r="J7221" s="187">
        <v>945</v>
      </c>
      <c r="K7221" s="187">
        <v>18154.196323109409</v>
      </c>
      <c r="L7221" s="187">
        <v>28171</v>
      </c>
      <c r="M7221" s="187">
        <v>64229.35546875</v>
      </c>
      <c r="N7221" s="187">
        <v>45130.15625</v>
      </c>
      <c r="O7221" t="s">
        <v>7180</v>
      </c>
    </row>
    <row r="7222" spans="1:15" hidden="1" x14ac:dyDescent="0.45">
      <c r="A7222" s="187">
        <v>2025</v>
      </c>
      <c r="B7222" t="s">
        <v>311</v>
      </c>
      <c r="C7222" t="s">
        <v>322</v>
      </c>
      <c r="D7222" t="s">
        <v>35</v>
      </c>
      <c r="E7222" t="s">
        <v>353</v>
      </c>
      <c r="F7222" t="s">
        <v>383</v>
      </c>
      <c r="G7222" t="s">
        <v>37</v>
      </c>
      <c r="H7222" t="s">
        <v>43</v>
      </c>
      <c r="I7222" s="187"/>
      <c r="J7222" s="187">
        <v>1056</v>
      </c>
      <c r="K7222" s="187">
        <v>14015.98771693141</v>
      </c>
      <c r="L7222" s="187">
        <v>33012</v>
      </c>
      <c r="M7222" s="187">
        <v>48083.98828125</v>
      </c>
      <c r="N7222" s="187">
        <v>33012</v>
      </c>
      <c r="O7222" t="s">
        <v>7184</v>
      </c>
    </row>
    <row r="7223" spans="1:15" hidden="1" x14ac:dyDescent="0.45">
      <c r="A7223" s="187">
        <v>2025</v>
      </c>
      <c r="B7223" t="s">
        <v>316</v>
      </c>
      <c r="C7223" t="s">
        <v>322</v>
      </c>
      <c r="D7223" t="s">
        <v>35</v>
      </c>
      <c r="E7223" t="s">
        <v>353</v>
      </c>
      <c r="F7223" t="s">
        <v>383</v>
      </c>
      <c r="G7223" t="s">
        <v>37</v>
      </c>
      <c r="H7223" t="s">
        <v>43</v>
      </c>
      <c r="I7223" s="187">
        <v>20223</v>
      </c>
      <c r="J7223" s="187">
        <v>844</v>
      </c>
      <c r="K7223" s="187">
        <v>17966.515072673261</v>
      </c>
      <c r="L7223" s="187">
        <v>32731</v>
      </c>
      <c r="M7223" s="187">
        <v>71764.515625</v>
      </c>
      <c r="N7223" s="187">
        <v>52954</v>
      </c>
      <c r="O7223" t="s">
        <v>7183</v>
      </c>
    </row>
    <row r="7224" spans="1:15" hidden="1" x14ac:dyDescent="0.45">
      <c r="A7224" s="187">
        <v>2025</v>
      </c>
      <c r="B7224" t="s">
        <v>312</v>
      </c>
      <c r="C7224" t="s">
        <v>322</v>
      </c>
      <c r="D7224" t="s">
        <v>35</v>
      </c>
      <c r="E7224" t="s">
        <v>353</v>
      </c>
      <c r="F7224" t="s">
        <v>383</v>
      </c>
      <c r="G7224" t="s">
        <v>37</v>
      </c>
      <c r="H7224" t="s">
        <v>43</v>
      </c>
      <c r="I7224" s="187">
        <v>13298.79957003836</v>
      </c>
      <c r="J7224" s="187">
        <v>1022</v>
      </c>
      <c r="K7224" s="187">
        <v>14232.841121934711</v>
      </c>
      <c r="L7224" s="187">
        <v>23100</v>
      </c>
      <c r="M7224" s="187">
        <v>51653.640625</v>
      </c>
      <c r="N7224" s="187">
        <v>36398.80078125</v>
      </c>
      <c r="O7224" t="s">
        <v>7181</v>
      </c>
    </row>
    <row r="7225" spans="1:15" hidden="1" x14ac:dyDescent="0.45">
      <c r="A7225" s="187">
        <v>2025</v>
      </c>
      <c r="B7225" t="s">
        <v>313</v>
      </c>
      <c r="C7225" t="s">
        <v>322</v>
      </c>
      <c r="D7225" t="s">
        <v>35</v>
      </c>
      <c r="E7225" t="s">
        <v>38</v>
      </c>
      <c r="F7225" t="s">
        <v>38</v>
      </c>
      <c r="G7225" t="s">
        <v>36</v>
      </c>
      <c r="H7225" t="s">
        <v>43</v>
      </c>
      <c r="I7225" s="187">
        <v>297.39821990632618</v>
      </c>
      <c r="J7225" s="187">
        <v>59.894593726603141</v>
      </c>
      <c r="K7225" s="187">
        <v>718.57382031506143</v>
      </c>
      <c r="L7225" s="187">
        <v>2030.4267273318465</v>
      </c>
      <c r="M7225" s="187">
        <v>3106.293212890625</v>
      </c>
      <c r="N7225" s="187">
        <v>2327.824951171875</v>
      </c>
      <c r="O7225" t="s">
        <v>7188</v>
      </c>
    </row>
    <row r="7226" spans="1:15" hidden="1" x14ac:dyDescent="0.45">
      <c r="A7226" s="187">
        <v>2025</v>
      </c>
      <c r="B7226" t="s">
        <v>311</v>
      </c>
      <c r="C7226" t="s">
        <v>322</v>
      </c>
      <c r="D7226" t="s">
        <v>35</v>
      </c>
      <c r="E7226" t="s">
        <v>38</v>
      </c>
      <c r="F7226" t="s">
        <v>38</v>
      </c>
      <c r="G7226" t="s">
        <v>36</v>
      </c>
      <c r="H7226" t="s">
        <v>43</v>
      </c>
      <c r="I7226" s="187"/>
      <c r="J7226" s="187">
        <v>89.270588585850277</v>
      </c>
      <c r="K7226" s="187">
        <v>1313.8652080619563</v>
      </c>
      <c r="L7226" s="187">
        <v>2308.2823620055574</v>
      </c>
      <c r="M7226" s="187">
        <v>3711.418212890625</v>
      </c>
      <c r="N7226" s="187">
        <v>2308.282470703125</v>
      </c>
      <c r="O7226" t="s">
        <v>7191</v>
      </c>
    </row>
    <row r="7227" spans="1:15" hidden="1" x14ac:dyDescent="0.45">
      <c r="A7227" s="187">
        <v>2025</v>
      </c>
      <c r="B7227" t="s">
        <v>312</v>
      </c>
      <c r="C7227" t="s">
        <v>322</v>
      </c>
      <c r="D7227" t="s">
        <v>35</v>
      </c>
      <c r="E7227" t="s">
        <v>38</v>
      </c>
      <c r="F7227" t="s">
        <v>38</v>
      </c>
      <c r="G7227" t="s">
        <v>36</v>
      </c>
      <c r="H7227" t="s">
        <v>43</v>
      </c>
      <c r="I7227" s="187">
        <v>307.00181241166388</v>
      </c>
      <c r="J7227" s="187">
        <v>123.65742359533402</v>
      </c>
      <c r="K7227" s="187">
        <v>1288.8979707904164</v>
      </c>
      <c r="L7227" s="187">
        <v>1900.6146006602839</v>
      </c>
      <c r="M7227" s="187">
        <v>3620.171630859375</v>
      </c>
      <c r="N7227" s="187">
        <v>2207.616455078125</v>
      </c>
      <c r="O7227" t="s">
        <v>7192</v>
      </c>
    </row>
    <row r="7228" spans="1:15" hidden="1" x14ac:dyDescent="0.45">
      <c r="A7228" s="187">
        <v>2025</v>
      </c>
      <c r="B7228" t="s">
        <v>317</v>
      </c>
      <c r="C7228" t="s">
        <v>322</v>
      </c>
      <c r="D7228" t="s">
        <v>35</v>
      </c>
      <c r="E7228" t="s">
        <v>38</v>
      </c>
      <c r="F7228" t="s">
        <v>38</v>
      </c>
      <c r="G7228" t="s">
        <v>36</v>
      </c>
      <c r="H7228" t="s">
        <v>43</v>
      </c>
      <c r="I7228" s="187">
        <v>603.21062640532648</v>
      </c>
      <c r="J7228" s="187">
        <v>59.428000262765714</v>
      </c>
      <c r="K7228" s="187">
        <v>2155.0028467423754</v>
      </c>
      <c r="L7228" s="187">
        <v>2361.9928831710154</v>
      </c>
      <c r="M7228" s="187">
        <v>5179.63427734375</v>
      </c>
      <c r="N7228" s="187">
        <v>2965.20361328125</v>
      </c>
      <c r="O7228" t="s">
        <v>7190</v>
      </c>
    </row>
    <row r="7229" spans="1:15" hidden="1" x14ac:dyDescent="0.45">
      <c r="A7229" s="187">
        <v>2025</v>
      </c>
      <c r="B7229" t="s">
        <v>8570</v>
      </c>
      <c r="C7229" t="s">
        <v>322</v>
      </c>
      <c r="D7229" t="s">
        <v>35</v>
      </c>
      <c r="E7229" t="s">
        <v>38</v>
      </c>
      <c r="F7229" t="s">
        <v>38</v>
      </c>
      <c r="G7229" t="s">
        <v>36</v>
      </c>
      <c r="H7229" t="s">
        <v>43</v>
      </c>
      <c r="I7229" s="187">
        <v>508.62873600000012</v>
      </c>
      <c r="J7229" s="187">
        <v>55</v>
      </c>
      <c r="K7229" s="187">
        <v>2321.5324458863738</v>
      </c>
      <c r="L7229" s="187">
        <v>1044</v>
      </c>
      <c r="M7229" s="187">
        <v>3929.1611328125</v>
      </c>
      <c r="N7229" s="187">
        <v>1552.628662109375</v>
      </c>
      <c r="O7229" t="s">
        <v>9069</v>
      </c>
    </row>
    <row r="7230" spans="1:15" hidden="1" x14ac:dyDescent="0.45">
      <c r="A7230" s="187">
        <v>2025</v>
      </c>
      <c r="B7230" t="s">
        <v>316</v>
      </c>
      <c r="C7230" t="s">
        <v>322</v>
      </c>
      <c r="D7230" t="s">
        <v>35</v>
      </c>
      <c r="E7230" t="s">
        <v>38</v>
      </c>
      <c r="F7230" t="s">
        <v>38</v>
      </c>
      <c r="G7230" t="s">
        <v>36</v>
      </c>
      <c r="H7230" t="s">
        <v>43</v>
      </c>
      <c r="I7230" s="187">
        <v>345.74241233719141</v>
      </c>
      <c r="J7230" s="187">
        <v>60.579961124964001</v>
      </c>
      <c r="K7230" s="187">
        <v>1540.0080483393942</v>
      </c>
      <c r="L7230" s="187">
        <v>2244.7629231395749</v>
      </c>
      <c r="M7230" s="187">
        <v>4191.09326171875</v>
      </c>
      <c r="N7230" s="187">
        <v>2590.50537109375</v>
      </c>
      <c r="O7230" t="s">
        <v>7189</v>
      </c>
    </row>
    <row r="7231" spans="1:15" hidden="1" x14ac:dyDescent="0.45">
      <c r="A7231" s="187">
        <v>2025</v>
      </c>
      <c r="B7231" t="s">
        <v>315</v>
      </c>
      <c r="C7231" t="s">
        <v>322</v>
      </c>
      <c r="D7231" t="s">
        <v>35</v>
      </c>
      <c r="E7231" t="s">
        <v>38</v>
      </c>
      <c r="F7231" t="s">
        <v>38</v>
      </c>
      <c r="G7231" t="s">
        <v>36</v>
      </c>
      <c r="H7231" t="s">
        <v>43</v>
      </c>
      <c r="I7231" s="187">
        <v>158.3594175914823</v>
      </c>
      <c r="J7231" s="187">
        <v>67.967846171100106</v>
      </c>
      <c r="K7231" s="187">
        <v>1602.5145796783634</v>
      </c>
      <c r="L7231" s="187">
        <v>2296.1804031469987</v>
      </c>
      <c r="M7231" s="187">
        <v>4125.02197265625</v>
      </c>
      <c r="N7231" s="187">
        <v>2454.539794921875</v>
      </c>
      <c r="O7231" t="s">
        <v>7187</v>
      </c>
    </row>
    <row r="7232" spans="1:15" hidden="1" x14ac:dyDescent="0.45">
      <c r="A7232" s="187">
        <v>2025</v>
      </c>
      <c r="B7232" t="s">
        <v>314</v>
      </c>
      <c r="C7232" t="s">
        <v>322</v>
      </c>
      <c r="D7232" t="s">
        <v>35</v>
      </c>
      <c r="E7232" t="s">
        <v>38</v>
      </c>
      <c r="F7232" t="s">
        <v>38</v>
      </c>
      <c r="G7232" t="s">
        <v>36</v>
      </c>
      <c r="H7232" t="s">
        <v>43</v>
      </c>
      <c r="I7232" s="187">
        <v>162.83610431832068</v>
      </c>
      <c r="J7232" s="187">
        <v>58.241033054944985</v>
      </c>
      <c r="K7232" s="187">
        <v>715.33515583886049</v>
      </c>
      <c r="L7232" s="187">
        <v>1868.3723404026352</v>
      </c>
      <c r="M7232" s="187">
        <v>2804.78466796875</v>
      </c>
      <c r="N7232" s="187">
        <v>2031.20849609375</v>
      </c>
      <c r="O7232" t="s">
        <v>7186</v>
      </c>
    </row>
    <row r="7233" spans="1:15" hidden="1" x14ac:dyDescent="0.45">
      <c r="A7233" s="187">
        <v>2025</v>
      </c>
      <c r="B7233" t="s">
        <v>8570</v>
      </c>
      <c r="C7233" t="s">
        <v>322</v>
      </c>
      <c r="D7233" t="s">
        <v>35</v>
      </c>
      <c r="E7233" t="s">
        <v>38</v>
      </c>
      <c r="F7233" t="s">
        <v>38</v>
      </c>
      <c r="G7233" t="s">
        <v>37</v>
      </c>
      <c r="H7233" t="s">
        <v>43</v>
      </c>
      <c r="I7233" s="187">
        <v>539.76088367308807</v>
      </c>
      <c r="J7233" s="187">
        <v>55</v>
      </c>
      <c r="K7233" s="187">
        <v>2474.488776820855</v>
      </c>
      <c r="L7233" s="187">
        <v>1196</v>
      </c>
      <c r="M7233" s="187">
        <v>4265.25</v>
      </c>
      <c r="N7233" s="187">
        <v>1735.7608642578125</v>
      </c>
      <c r="O7233" t="s">
        <v>9070</v>
      </c>
    </row>
    <row r="7234" spans="1:15" hidden="1" x14ac:dyDescent="0.45">
      <c r="A7234" s="187">
        <v>2025</v>
      </c>
      <c r="B7234" t="s">
        <v>314</v>
      </c>
      <c r="C7234" t="s">
        <v>322</v>
      </c>
      <c r="D7234" t="s">
        <v>35</v>
      </c>
      <c r="E7234" t="s">
        <v>38</v>
      </c>
      <c r="F7234" t="s">
        <v>38</v>
      </c>
      <c r="G7234" t="s">
        <v>37</v>
      </c>
      <c r="H7234" t="s">
        <v>43</v>
      </c>
      <c r="I7234" s="187">
        <v>160.65923965133391</v>
      </c>
      <c r="J7234" s="187">
        <v>57</v>
      </c>
      <c r="K7234" s="187">
        <v>706.72724180964428</v>
      </c>
      <c r="L7234" s="187">
        <v>1983.563141374942</v>
      </c>
      <c r="M7234" s="187">
        <v>2907.94970703125</v>
      </c>
      <c r="N7234" s="187">
        <v>2144.222412109375</v>
      </c>
      <c r="O7234" t="s">
        <v>7193</v>
      </c>
    </row>
    <row r="7235" spans="1:15" hidden="1" x14ac:dyDescent="0.45">
      <c r="A7235" s="187">
        <v>2025</v>
      </c>
      <c r="B7235" t="s">
        <v>311</v>
      </c>
      <c r="C7235" t="s">
        <v>322</v>
      </c>
      <c r="D7235" t="s">
        <v>35</v>
      </c>
      <c r="E7235" t="s">
        <v>38</v>
      </c>
      <c r="F7235" t="s">
        <v>38</v>
      </c>
      <c r="G7235" t="s">
        <v>37</v>
      </c>
      <c r="H7235" t="s">
        <v>43</v>
      </c>
      <c r="I7235" s="187"/>
      <c r="J7235" s="187">
        <v>85</v>
      </c>
      <c r="K7235" s="187">
        <v>1246.695769900758</v>
      </c>
      <c r="L7235" s="187">
        <v>2343</v>
      </c>
      <c r="M7235" s="187">
        <v>3674.69580078125</v>
      </c>
      <c r="N7235" s="187">
        <v>2343</v>
      </c>
      <c r="O7235" t="s">
        <v>7198</v>
      </c>
    </row>
    <row r="7236" spans="1:15" hidden="1" x14ac:dyDescent="0.45">
      <c r="A7236" s="187">
        <v>2025</v>
      </c>
      <c r="B7236" t="s">
        <v>316</v>
      </c>
      <c r="C7236" t="s">
        <v>322</v>
      </c>
      <c r="D7236" t="s">
        <v>35</v>
      </c>
      <c r="E7236" t="s">
        <v>38</v>
      </c>
      <c r="F7236" t="s">
        <v>38</v>
      </c>
      <c r="G7236" t="s">
        <v>37</v>
      </c>
      <c r="H7236" t="s">
        <v>43</v>
      </c>
      <c r="I7236" s="187">
        <v>347</v>
      </c>
      <c r="J7236" s="187">
        <v>55</v>
      </c>
      <c r="K7236" s="187">
        <v>1516.0943064452149</v>
      </c>
      <c r="L7236" s="187">
        <v>2304</v>
      </c>
      <c r="M7236" s="187">
        <v>4222.09423828125</v>
      </c>
      <c r="N7236" s="187">
        <v>2651</v>
      </c>
      <c r="O7236" t="s">
        <v>7197</v>
      </c>
    </row>
    <row r="7237" spans="1:15" hidden="1" x14ac:dyDescent="0.45">
      <c r="A7237" s="187">
        <v>2025</v>
      </c>
      <c r="B7237" t="s">
        <v>317</v>
      </c>
      <c r="C7237" t="s">
        <v>322</v>
      </c>
      <c r="D7237" t="s">
        <v>35</v>
      </c>
      <c r="E7237" t="s">
        <v>38</v>
      </c>
      <c r="F7237" t="s">
        <v>38</v>
      </c>
      <c r="G7237" t="s">
        <v>37</v>
      </c>
      <c r="H7237" t="s">
        <v>43</v>
      </c>
      <c r="I7237" s="187">
        <v>604.50069272083192</v>
      </c>
      <c r="J7237" s="187">
        <v>55</v>
      </c>
      <c r="K7237" s="187">
        <v>2145.6797725346069</v>
      </c>
      <c r="L7237" s="187">
        <v>2341</v>
      </c>
      <c r="M7237" s="187">
        <v>5146.1806640625</v>
      </c>
      <c r="N7237" s="187">
        <v>2945.500732421875</v>
      </c>
      <c r="O7237" t="s">
        <v>7196</v>
      </c>
    </row>
    <row r="7238" spans="1:15" hidden="1" x14ac:dyDescent="0.45">
      <c r="A7238" s="187">
        <v>2025</v>
      </c>
      <c r="B7238" t="s">
        <v>315</v>
      </c>
      <c r="C7238" t="s">
        <v>322</v>
      </c>
      <c r="D7238" t="s">
        <v>35</v>
      </c>
      <c r="E7238" t="s">
        <v>38</v>
      </c>
      <c r="F7238" t="s">
        <v>38</v>
      </c>
      <c r="G7238" t="s">
        <v>37</v>
      </c>
      <c r="H7238" t="s">
        <v>43</v>
      </c>
      <c r="I7238" s="187">
        <v>157.46274590937361</v>
      </c>
      <c r="J7238" s="187">
        <v>66</v>
      </c>
      <c r="K7238" s="187">
        <v>1589.1623338846091</v>
      </c>
      <c r="L7238" s="187">
        <v>2282.7312238481281</v>
      </c>
      <c r="M7238" s="187">
        <v>4095.3564453125</v>
      </c>
      <c r="N7238" s="187">
        <v>2440.194091796875</v>
      </c>
      <c r="O7238" t="s">
        <v>7199</v>
      </c>
    </row>
    <row r="7239" spans="1:15" hidden="1" x14ac:dyDescent="0.45">
      <c r="A7239" s="187">
        <v>2025</v>
      </c>
      <c r="B7239" t="s">
        <v>313</v>
      </c>
      <c r="C7239" t="s">
        <v>322</v>
      </c>
      <c r="D7239" t="s">
        <v>35</v>
      </c>
      <c r="E7239" t="s">
        <v>38</v>
      </c>
      <c r="F7239" t="s">
        <v>38</v>
      </c>
      <c r="G7239" t="s">
        <v>37</v>
      </c>
      <c r="H7239" t="s">
        <v>43</v>
      </c>
      <c r="I7239" s="187">
        <v>290.28630528178502</v>
      </c>
      <c r="J7239" s="187">
        <v>59</v>
      </c>
      <c r="K7239" s="187">
        <v>699.69423447131248</v>
      </c>
      <c r="L7239" s="187">
        <v>2004.7240349049</v>
      </c>
      <c r="M7239" s="187">
        <v>3053.70458984375</v>
      </c>
      <c r="N7239" s="187">
        <v>2295.01025390625</v>
      </c>
      <c r="O7239" t="s">
        <v>7194</v>
      </c>
    </row>
    <row r="7240" spans="1:15" hidden="1" x14ac:dyDescent="0.45">
      <c r="A7240" s="187">
        <v>2025</v>
      </c>
      <c r="B7240" t="s">
        <v>312</v>
      </c>
      <c r="C7240" t="s">
        <v>322</v>
      </c>
      <c r="D7240" t="s">
        <v>35</v>
      </c>
      <c r="E7240" t="s">
        <v>38</v>
      </c>
      <c r="F7240" t="s">
        <v>38</v>
      </c>
      <c r="G7240" t="s">
        <v>37</v>
      </c>
      <c r="H7240" t="s">
        <v>43</v>
      </c>
      <c r="I7240" s="187">
        <v>291.73773680819392</v>
      </c>
      <c r="J7240" s="187">
        <v>120</v>
      </c>
      <c r="K7240" s="187">
        <v>1241.819515566315</v>
      </c>
      <c r="L7240" s="187">
        <v>1845</v>
      </c>
      <c r="M7240" s="187">
        <v>3498.55712890625</v>
      </c>
      <c r="N7240" s="187">
        <v>2136.73779296875</v>
      </c>
      <c r="O7240" t="s">
        <v>7195</v>
      </c>
    </row>
    <row r="7241" spans="1:15" hidden="1" x14ac:dyDescent="0.45">
      <c r="A7241" s="187">
        <v>2025</v>
      </c>
      <c r="B7241" t="s">
        <v>314</v>
      </c>
      <c r="C7241" t="s">
        <v>322</v>
      </c>
      <c r="D7241" t="s">
        <v>35</v>
      </c>
      <c r="E7241" t="s">
        <v>354</v>
      </c>
      <c r="F7241" t="s">
        <v>384</v>
      </c>
      <c r="G7241" t="s">
        <v>36</v>
      </c>
      <c r="H7241" t="s">
        <v>43</v>
      </c>
      <c r="I7241" s="187">
        <v>0</v>
      </c>
      <c r="J7241" s="187">
        <v>0</v>
      </c>
      <c r="K7241" s="187">
        <v>0</v>
      </c>
      <c r="L7241" s="187">
        <v>0</v>
      </c>
      <c r="M7241" s="187">
        <v>0</v>
      </c>
      <c r="N7241" s="187">
        <v>0</v>
      </c>
      <c r="O7241" t="s">
        <v>7204</v>
      </c>
    </row>
    <row r="7242" spans="1:15" hidden="1" x14ac:dyDescent="0.45">
      <c r="A7242" s="187">
        <v>2025</v>
      </c>
      <c r="B7242" t="s">
        <v>315</v>
      </c>
      <c r="C7242" t="s">
        <v>322</v>
      </c>
      <c r="D7242" t="s">
        <v>35</v>
      </c>
      <c r="E7242" t="s">
        <v>354</v>
      </c>
      <c r="F7242" t="s">
        <v>384</v>
      </c>
      <c r="G7242" t="s">
        <v>36</v>
      </c>
      <c r="H7242" t="s">
        <v>43</v>
      </c>
      <c r="I7242" s="187">
        <v>0</v>
      </c>
      <c r="J7242" s="187">
        <v>0</v>
      </c>
      <c r="K7242" s="187">
        <v>0</v>
      </c>
      <c r="L7242" s="187">
        <v>0</v>
      </c>
      <c r="M7242" s="187">
        <v>0</v>
      </c>
      <c r="N7242" s="187">
        <v>0</v>
      </c>
      <c r="O7242" t="s">
        <v>7200</v>
      </c>
    </row>
    <row r="7243" spans="1:15" hidden="1" x14ac:dyDescent="0.45">
      <c r="A7243" s="187">
        <v>2025</v>
      </c>
      <c r="B7243" t="s">
        <v>311</v>
      </c>
      <c r="C7243" t="s">
        <v>322</v>
      </c>
      <c r="D7243" t="s">
        <v>35</v>
      </c>
      <c r="E7243" t="s">
        <v>354</v>
      </c>
      <c r="F7243" t="s">
        <v>384</v>
      </c>
      <c r="G7243" t="s">
        <v>36</v>
      </c>
      <c r="H7243" t="s">
        <v>43</v>
      </c>
      <c r="I7243" s="187"/>
      <c r="J7243" s="187">
        <v>0</v>
      </c>
      <c r="K7243" s="187">
        <v>0</v>
      </c>
      <c r="L7243" s="187">
        <v>0</v>
      </c>
      <c r="M7243" s="187">
        <v>0</v>
      </c>
      <c r="N7243" s="187">
        <v>0</v>
      </c>
      <c r="O7243" t="s">
        <v>7206</v>
      </c>
    </row>
    <row r="7244" spans="1:15" hidden="1" x14ac:dyDescent="0.45">
      <c r="A7244" s="187">
        <v>2025</v>
      </c>
      <c r="B7244" t="s">
        <v>313</v>
      </c>
      <c r="C7244" t="s">
        <v>322</v>
      </c>
      <c r="D7244" t="s">
        <v>35</v>
      </c>
      <c r="E7244" t="s">
        <v>354</v>
      </c>
      <c r="F7244" t="s">
        <v>384</v>
      </c>
      <c r="G7244" t="s">
        <v>36</v>
      </c>
      <c r="H7244" t="s">
        <v>43</v>
      </c>
      <c r="I7244" s="187"/>
      <c r="J7244" s="187">
        <v>0</v>
      </c>
      <c r="K7244" s="187">
        <v>0</v>
      </c>
      <c r="L7244" s="187">
        <v>0</v>
      </c>
      <c r="M7244" s="187">
        <v>0</v>
      </c>
      <c r="N7244" s="187">
        <v>0</v>
      </c>
      <c r="O7244" t="s">
        <v>7203</v>
      </c>
    </row>
    <row r="7245" spans="1:15" hidden="1" x14ac:dyDescent="0.45">
      <c r="A7245" s="187">
        <v>2025</v>
      </c>
      <c r="B7245" t="s">
        <v>316</v>
      </c>
      <c r="C7245" t="s">
        <v>322</v>
      </c>
      <c r="D7245" t="s">
        <v>35</v>
      </c>
      <c r="E7245" t="s">
        <v>354</v>
      </c>
      <c r="F7245" t="s">
        <v>384</v>
      </c>
      <c r="G7245" t="s">
        <v>36</v>
      </c>
      <c r="H7245" t="s">
        <v>43</v>
      </c>
      <c r="I7245" s="187">
        <v>0</v>
      </c>
      <c r="J7245" s="187">
        <v>44.058153545428361</v>
      </c>
      <c r="K7245" s="187">
        <v>0</v>
      </c>
      <c r="L7245" s="187">
        <v>0</v>
      </c>
      <c r="M7245" s="187">
        <v>44.058155059814453</v>
      </c>
      <c r="N7245" s="187">
        <v>0</v>
      </c>
      <c r="O7245" t="s">
        <v>7205</v>
      </c>
    </row>
    <row r="7246" spans="1:15" hidden="1" x14ac:dyDescent="0.45">
      <c r="A7246" s="187">
        <v>2025</v>
      </c>
      <c r="B7246" t="s">
        <v>312</v>
      </c>
      <c r="C7246" t="s">
        <v>322</v>
      </c>
      <c r="D7246" t="s">
        <v>35</v>
      </c>
      <c r="E7246" t="s">
        <v>354</v>
      </c>
      <c r="F7246" t="s">
        <v>384</v>
      </c>
      <c r="G7246" t="s">
        <v>36</v>
      </c>
      <c r="H7246" t="s">
        <v>43</v>
      </c>
      <c r="I7246" s="187"/>
      <c r="J7246" s="187">
        <v>0</v>
      </c>
      <c r="K7246" s="187">
        <v>0</v>
      </c>
      <c r="L7246" s="187">
        <v>0</v>
      </c>
      <c r="M7246" s="187">
        <v>0</v>
      </c>
      <c r="N7246" s="187">
        <v>0</v>
      </c>
      <c r="O7246" t="s">
        <v>7201</v>
      </c>
    </row>
    <row r="7247" spans="1:15" hidden="1" x14ac:dyDescent="0.45">
      <c r="A7247" s="187">
        <v>2025</v>
      </c>
      <c r="B7247" t="s">
        <v>317</v>
      </c>
      <c r="C7247" t="s">
        <v>322</v>
      </c>
      <c r="D7247" t="s">
        <v>35</v>
      </c>
      <c r="E7247" t="s">
        <v>354</v>
      </c>
      <c r="F7247" t="s">
        <v>384</v>
      </c>
      <c r="G7247" t="s">
        <v>36</v>
      </c>
      <c r="H7247" t="s">
        <v>43</v>
      </c>
      <c r="I7247" s="187">
        <v>0</v>
      </c>
      <c r="J7247" s="187">
        <v>43.220363827465974</v>
      </c>
      <c r="K7247" s="187">
        <v>0</v>
      </c>
      <c r="L7247" s="187">
        <v>0</v>
      </c>
      <c r="M7247" s="187">
        <v>43.220363616943359</v>
      </c>
      <c r="N7247" s="187">
        <v>0</v>
      </c>
      <c r="O7247" t="s">
        <v>7202</v>
      </c>
    </row>
    <row r="7248" spans="1:15" hidden="1" x14ac:dyDescent="0.45">
      <c r="A7248" s="187">
        <v>2025</v>
      </c>
      <c r="B7248" t="s">
        <v>8570</v>
      </c>
      <c r="C7248" t="s">
        <v>322</v>
      </c>
      <c r="D7248" t="s">
        <v>35</v>
      </c>
      <c r="E7248" t="s">
        <v>354</v>
      </c>
      <c r="F7248" t="s">
        <v>384</v>
      </c>
      <c r="G7248" t="s">
        <v>36</v>
      </c>
      <c r="H7248" t="s">
        <v>43</v>
      </c>
      <c r="I7248" s="187">
        <v>0</v>
      </c>
      <c r="J7248" s="187">
        <v>40</v>
      </c>
      <c r="K7248" s="187">
        <v>0</v>
      </c>
      <c r="L7248" s="187">
        <v>0</v>
      </c>
      <c r="M7248" s="187">
        <v>40</v>
      </c>
      <c r="N7248" s="187">
        <v>0</v>
      </c>
      <c r="O7248" t="s">
        <v>9071</v>
      </c>
    </row>
    <row r="7249" spans="1:15" hidden="1" x14ac:dyDescent="0.45">
      <c r="A7249" s="187">
        <v>2025</v>
      </c>
      <c r="B7249" t="s">
        <v>317</v>
      </c>
      <c r="C7249" t="s">
        <v>322</v>
      </c>
      <c r="D7249" t="s">
        <v>35</v>
      </c>
      <c r="E7249" t="s">
        <v>354</v>
      </c>
      <c r="F7249" t="s">
        <v>384</v>
      </c>
      <c r="G7249" t="s">
        <v>37</v>
      </c>
      <c r="H7249" t="s">
        <v>43</v>
      </c>
      <c r="I7249" s="187">
        <v>0</v>
      </c>
      <c r="J7249" s="187">
        <v>40</v>
      </c>
      <c r="K7249" s="187">
        <v>0</v>
      </c>
      <c r="L7249" s="187">
        <v>0</v>
      </c>
      <c r="M7249" s="187">
        <v>40</v>
      </c>
      <c r="N7249" s="187">
        <v>0</v>
      </c>
      <c r="O7249" t="s">
        <v>7211</v>
      </c>
    </row>
    <row r="7250" spans="1:15" hidden="1" x14ac:dyDescent="0.45">
      <c r="A7250" s="187">
        <v>2025</v>
      </c>
      <c r="B7250" t="s">
        <v>311</v>
      </c>
      <c r="C7250" t="s">
        <v>322</v>
      </c>
      <c r="D7250" t="s">
        <v>35</v>
      </c>
      <c r="E7250" t="s">
        <v>354</v>
      </c>
      <c r="F7250" t="s">
        <v>384</v>
      </c>
      <c r="G7250" t="s">
        <v>37</v>
      </c>
      <c r="H7250" t="s">
        <v>43</v>
      </c>
      <c r="I7250" s="187"/>
      <c r="J7250" s="187">
        <v>0</v>
      </c>
      <c r="K7250" s="187">
        <v>0</v>
      </c>
      <c r="L7250" s="187">
        <v>0</v>
      </c>
      <c r="M7250" s="187">
        <v>0</v>
      </c>
      <c r="N7250" s="187">
        <v>0</v>
      </c>
      <c r="O7250" t="s">
        <v>7208</v>
      </c>
    </row>
    <row r="7251" spans="1:15" hidden="1" x14ac:dyDescent="0.45">
      <c r="A7251" s="187">
        <v>2025</v>
      </c>
      <c r="B7251" t="s">
        <v>312</v>
      </c>
      <c r="C7251" t="s">
        <v>322</v>
      </c>
      <c r="D7251" t="s">
        <v>35</v>
      </c>
      <c r="E7251" t="s">
        <v>354</v>
      </c>
      <c r="F7251" t="s">
        <v>384</v>
      </c>
      <c r="G7251" t="s">
        <v>37</v>
      </c>
      <c r="H7251" t="s">
        <v>43</v>
      </c>
      <c r="I7251" s="187"/>
      <c r="J7251" s="187">
        <v>0</v>
      </c>
      <c r="K7251" s="187">
        <v>0</v>
      </c>
      <c r="L7251" s="187">
        <v>0</v>
      </c>
      <c r="M7251" s="187">
        <v>0</v>
      </c>
      <c r="N7251" s="187">
        <v>0</v>
      </c>
      <c r="O7251" t="s">
        <v>7209</v>
      </c>
    </row>
    <row r="7252" spans="1:15" hidden="1" x14ac:dyDescent="0.45">
      <c r="A7252" s="187">
        <v>2025</v>
      </c>
      <c r="B7252" t="s">
        <v>313</v>
      </c>
      <c r="C7252" t="s">
        <v>322</v>
      </c>
      <c r="D7252" t="s">
        <v>35</v>
      </c>
      <c r="E7252" t="s">
        <v>354</v>
      </c>
      <c r="F7252" t="s">
        <v>384</v>
      </c>
      <c r="G7252" t="s">
        <v>37</v>
      </c>
      <c r="H7252" t="s">
        <v>43</v>
      </c>
      <c r="I7252" s="187"/>
      <c r="J7252" s="187">
        <v>0</v>
      </c>
      <c r="K7252" s="187">
        <v>0</v>
      </c>
      <c r="L7252" s="187">
        <v>0</v>
      </c>
      <c r="M7252" s="187">
        <v>0</v>
      </c>
      <c r="N7252" s="187">
        <v>0</v>
      </c>
      <c r="O7252" t="s">
        <v>7212</v>
      </c>
    </row>
    <row r="7253" spans="1:15" hidden="1" x14ac:dyDescent="0.45">
      <c r="A7253" s="187">
        <v>2025</v>
      </c>
      <c r="B7253" t="s">
        <v>314</v>
      </c>
      <c r="C7253" t="s">
        <v>322</v>
      </c>
      <c r="D7253" t="s">
        <v>35</v>
      </c>
      <c r="E7253" t="s">
        <v>354</v>
      </c>
      <c r="F7253" t="s">
        <v>384</v>
      </c>
      <c r="G7253" t="s">
        <v>37</v>
      </c>
      <c r="H7253" t="s">
        <v>43</v>
      </c>
      <c r="I7253" s="187">
        <v>0</v>
      </c>
      <c r="J7253" s="187">
        <v>0</v>
      </c>
      <c r="K7253" s="187">
        <v>0</v>
      </c>
      <c r="L7253" s="187">
        <v>0</v>
      </c>
      <c r="M7253" s="187">
        <v>0</v>
      </c>
      <c r="N7253" s="187">
        <v>0</v>
      </c>
      <c r="O7253" t="s">
        <v>7210</v>
      </c>
    </row>
    <row r="7254" spans="1:15" hidden="1" x14ac:dyDescent="0.45">
      <c r="A7254" s="187">
        <v>2025</v>
      </c>
      <c r="B7254" t="s">
        <v>316</v>
      </c>
      <c r="C7254" t="s">
        <v>322</v>
      </c>
      <c r="D7254" t="s">
        <v>35</v>
      </c>
      <c r="E7254" t="s">
        <v>354</v>
      </c>
      <c r="F7254" t="s">
        <v>384</v>
      </c>
      <c r="G7254" t="s">
        <v>37</v>
      </c>
      <c r="H7254" t="s">
        <v>43</v>
      </c>
      <c r="I7254" s="187">
        <v>0</v>
      </c>
      <c r="J7254" s="187">
        <v>40</v>
      </c>
      <c r="K7254" s="187">
        <v>0</v>
      </c>
      <c r="L7254" s="187">
        <v>0</v>
      </c>
      <c r="M7254" s="187">
        <v>40</v>
      </c>
      <c r="N7254" s="187">
        <v>0</v>
      </c>
      <c r="O7254" t="s">
        <v>7213</v>
      </c>
    </row>
    <row r="7255" spans="1:15" hidden="1" x14ac:dyDescent="0.45">
      <c r="A7255" s="187">
        <v>2025</v>
      </c>
      <c r="B7255" t="s">
        <v>315</v>
      </c>
      <c r="C7255" t="s">
        <v>322</v>
      </c>
      <c r="D7255" t="s">
        <v>35</v>
      </c>
      <c r="E7255" t="s">
        <v>354</v>
      </c>
      <c r="F7255" t="s">
        <v>384</v>
      </c>
      <c r="G7255" t="s">
        <v>37</v>
      </c>
      <c r="H7255" t="s">
        <v>43</v>
      </c>
      <c r="I7255" s="187">
        <v>0</v>
      </c>
      <c r="J7255" s="187">
        <v>0</v>
      </c>
      <c r="K7255" s="187">
        <v>0</v>
      </c>
      <c r="L7255" s="187">
        <v>0</v>
      </c>
      <c r="M7255" s="187">
        <v>0</v>
      </c>
      <c r="N7255" s="187">
        <v>0</v>
      </c>
      <c r="O7255" t="s">
        <v>7207</v>
      </c>
    </row>
    <row r="7256" spans="1:15" hidden="1" x14ac:dyDescent="0.45">
      <c r="A7256" s="187">
        <v>2025</v>
      </c>
      <c r="B7256" t="s">
        <v>8570</v>
      </c>
      <c r="C7256" t="s">
        <v>322</v>
      </c>
      <c r="D7256" t="s">
        <v>35</v>
      </c>
      <c r="E7256" t="s">
        <v>354</v>
      </c>
      <c r="F7256" t="s">
        <v>384</v>
      </c>
      <c r="G7256" t="s">
        <v>37</v>
      </c>
      <c r="H7256" t="s">
        <v>43</v>
      </c>
      <c r="I7256" s="187">
        <v>0</v>
      </c>
      <c r="J7256" s="187">
        <v>40</v>
      </c>
      <c r="K7256" s="187">
        <v>0</v>
      </c>
      <c r="L7256" s="187">
        <v>0</v>
      </c>
      <c r="M7256" s="187">
        <v>40</v>
      </c>
      <c r="N7256" s="187">
        <v>0</v>
      </c>
      <c r="O7256" t="s">
        <v>9072</v>
      </c>
    </row>
    <row r="7257" spans="1:15" hidden="1" x14ac:dyDescent="0.45">
      <c r="A7257" s="187">
        <v>2025</v>
      </c>
      <c r="B7257" t="s">
        <v>315</v>
      </c>
      <c r="C7257" t="s">
        <v>322</v>
      </c>
      <c r="D7257" t="s">
        <v>35</v>
      </c>
      <c r="E7257" t="s">
        <v>354</v>
      </c>
      <c r="F7257" t="s">
        <v>385</v>
      </c>
      <c r="G7257" t="s">
        <v>36</v>
      </c>
      <c r="H7257" t="s">
        <v>43</v>
      </c>
      <c r="I7257" s="187">
        <v>0</v>
      </c>
      <c r="J7257" s="187">
        <v>45.311897447400071</v>
      </c>
      <c r="K7257" s="187">
        <v>1060.923914023364</v>
      </c>
      <c r="L7257" s="187">
        <v>58.905466681620091</v>
      </c>
      <c r="M7257" s="187">
        <v>1165.141357421875</v>
      </c>
      <c r="N7257" s="187">
        <v>58.905467987060547</v>
      </c>
      <c r="O7257" t="s">
        <v>7215</v>
      </c>
    </row>
    <row r="7258" spans="1:15" hidden="1" x14ac:dyDescent="0.45">
      <c r="A7258" s="187">
        <v>2025</v>
      </c>
      <c r="B7258" t="s">
        <v>8570</v>
      </c>
      <c r="C7258" t="s">
        <v>322</v>
      </c>
      <c r="D7258" t="s">
        <v>35</v>
      </c>
      <c r="E7258" t="s">
        <v>354</v>
      </c>
      <c r="F7258" t="s">
        <v>385</v>
      </c>
      <c r="G7258" t="s">
        <v>36</v>
      </c>
      <c r="H7258" t="s">
        <v>43</v>
      </c>
      <c r="I7258" s="187">
        <v>68.520587520000007</v>
      </c>
      <c r="J7258" s="187">
        <v>20</v>
      </c>
      <c r="K7258" s="187">
        <v>1749.602448050199</v>
      </c>
      <c r="L7258" s="187">
        <v>517</v>
      </c>
      <c r="M7258" s="187">
        <v>2355.123046875</v>
      </c>
      <c r="N7258" s="187">
        <v>585.52056884765625</v>
      </c>
      <c r="O7258" t="s">
        <v>9073</v>
      </c>
    </row>
    <row r="7259" spans="1:15" hidden="1" x14ac:dyDescent="0.45">
      <c r="A7259" s="187">
        <v>2025</v>
      </c>
      <c r="B7259" t="s">
        <v>314</v>
      </c>
      <c r="C7259" t="s">
        <v>322</v>
      </c>
      <c r="D7259" t="s">
        <v>35</v>
      </c>
      <c r="E7259" t="s">
        <v>354</v>
      </c>
      <c r="F7259" t="s">
        <v>385</v>
      </c>
      <c r="G7259" t="s">
        <v>36</v>
      </c>
      <c r="H7259" t="s">
        <v>43</v>
      </c>
      <c r="I7259" s="187">
        <v>0</v>
      </c>
      <c r="J7259" s="187">
        <v>46.592826443955992</v>
      </c>
      <c r="K7259" s="187">
        <v>1345.5217294073941</v>
      </c>
      <c r="L7259" s="187">
        <v>0</v>
      </c>
      <c r="M7259" s="187">
        <v>1392.114501953125</v>
      </c>
      <c r="N7259" s="187">
        <v>0</v>
      </c>
      <c r="O7259" t="s">
        <v>7217</v>
      </c>
    </row>
    <row r="7260" spans="1:15" hidden="1" x14ac:dyDescent="0.45">
      <c r="A7260" s="187">
        <v>2025</v>
      </c>
      <c r="B7260" t="s">
        <v>313</v>
      </c>
      <c r="C7260" t="s">
        <v>322</v>
      </c>
      <c r="D7260" t="s">
        <v>35</v>
      </c>
      <c r="E7260" t="s">
        <v>354</v>
      </c>
      <c r="F7260" t="s">
        <v>385</v>
      </c>
      <c r="G7260" t="s">
        <v>36</v>
      </c>
      <c r="H7260" t="s">
        <v>43</v>
      </c>
      <c r="I7260" s="187"/>
      <c r="J7260" s="187">
        <v>47.915674981282514</v>
      </c>
      <c r="K7260" s="187">
        <v>4084.8342809366695</v>
      </c>
      <c r="L7260" s="187">
        <v>0</v>
      </c>
      <c r="M7260" s="187">
        <v>4132.75</v>
      </c>
      <c r="N7260" s="187">
        <v>0</v>
      </c>
      <c r="O7260" t="s">
        <v>7220</v>
      </c>
    </row>
    <row r="7261" spans="1:15" hidden="1" x14ac:dyDescent="0.45">
      <c r="A7261" s="187">
        <v>2025</v>
      </c>
      <c r="B7261" t="s">
        <v>311</v>
      </c>
      <c r="C7261" t="s">
        <v>322</v>
      </c>
      <c r="D7261" t="s">
        <v>35</v>
      </c>
      <c r="E7261" t="s">
        <v>354</v>
      </c>
      <c r="F7261" t="s">
        <v>385</v>
      </c>
      <c r="G7261" t="s">
        <v>36</v>
      </c>
      <c r="H7261" t="s">
        <v>43</v>
      </c>
      <c r="I7261" s="187"/>
      <c r="J7261" s="187">
        <v>51.011764906200156</v>
      </c>
      <c r="K7261" s="187">
        <v>2317.3582718981911</v>
      </c>
      <c r="L7261" s="187">
        <v>0</v>
      </c>
      <c r="M7261" s="187">
        <v>2368.3701171875</v>
      </c>
      <c r="N7261" s="187">
        <v>0</v>
      </c>
      <c r="O7261" t="s">
        <v>7216</v>
      </c>
    </row>
    <row r="7262" spans="1:15" hidden="1" x14ac:dyDescent="0.45">
      <c r="A7262" s="187">
        <v>2025</v>
      </c>
      <c r="B7262" t="s">
        <v>317</v>
      </c>
      <c r="C7262" t="s">
        <v>322</v>
      </c>
      <c r="D7262" t="s">
        <v>35</v>
      </c>
      <c r="E7262" t="s">
        <v>354</v>
      </c>
      <c r="F7262" t="s">
        <v>385</v>
      </c>
      <c r="G7262" t="s">
        <v>36</v>
      </c>
      <c r="H7262" t="s">
        <v>43</v>
      </c>
      <c r="I7262" s="187">
        <v>54.025454784332467</v>
      </c>
      <c r="J7262" s="187">
        <v>21.610181913732987</v>
      </c>
      <c r="K7262" s="187">
        <v>1316.9603550257486</v>
      </c>
      <c r="L7262" s="187">
        <v>840.63607644421313</v>
      </c>
      <c r="M7262" s="187">
        <v>2233.23193359375</v>
      </c>
      <c r="N7262" s="187">
        <v>894.66156005859375</v>
      </c>
      <c r="O7262" t="s">
        <v>7219</v>
      </c>
    </row>
    <row r="7263" spans="1:15" hidden="1" x14ac:dyDescent="0.45">
      <c r="A7263" s="187">
        <v>2025</v>
      </c>
      <c r="B7263" t="s">
        <v>312</v>
      </c>
      <c r="C7263" t="s">
        <v>322</v>
      </c>
      <c r="D7263" t="s">
        <v>35</v>
      </c>
      <c r="E7263" t="s">
        <v>354</v>
      </c>
      <c r="F7263" t="s">
        <v>385</v>
      </c>
      <c r="G7263" t="s">
        <v>36</v>
      </c>
      <c r="H7263" t="s">
        <v>43</v>
      </c>
      <c r="I7263" s="187"/>
      <c r="J7263" s="187">
        <v>43.280098258366905</v>
      </c>
      <c r="K7263" s="187">
        <v>3522.8189262297624</v>
      </c>
      <c r="L7263" s="187">
        <v>0</v>
      </c>
      <c r="M7263" s="187">
        <v>3566.09912109375</v>
      </c>
      <c r="N7263" s="187">
        <v>0</v>
      </c>
      <c r="O7263" t="s">
        <v>7218</v>
      </c>
    </row>
    <row r="7264" spans="1:15" hidden="1" x14ac:dyDescent="0.45">
      <c r="A7264" s="187">
        <v>2025</v>
      </c>
      <c r="B7264" t="s">
        <v>316</v>
      </c>
      <c r="C7264" t="s">
        <v>322</v>
      </c>
      <c r="D7264" t="s">
        <v>35</v>
      </c>
      <c r="E7264" t="s">
        <v>354</v>
      </c>
      <c r="F7264" t="s">
        <v>385</v>
      </c>
      <c r="G7264" t="s">
        <v>36</v>
      </c>
      <c r="H7264" t="s">
        <v>43</v>
      </c>
      <c r="I7264" s="187">
        <v>0</v>
      </c>
      <c r="J7264" s="187">
        <v>22.029076772714181</v>
      </c>
      <c r="K7264" s="187">
        <v>1022.4678466090974</v>
      </c>
      <c r="L7264" s="187">
        <v>58.377053447692582</v>
      </c>
      <c r="M7264" s="187">
        <v>1102.8740234375</v>
      </c>
      <c r="N7264" s="187">
        <v>58.377052307128906</v>
      </c>
      <c r="O7264" t="s">
        <v>7214</v>
      </c>
    </row>
    <row r="7265" spans="1:15" hidden="1" x14ac:dyDescent="0.45">
      <c r="A7265" s="187">
        <v>2025</v>
      </c>
      <c r="B7265" t="s">
        <v>312</v>
      </c>
      <c r="C7265" t="s">
        <v>322</v>
      </c>
      <c r="D7265" t="s">
        <v>35</v>
      </c>
      <c r="E7265" t="s">
        <v>354</v>
      </c>
      <c r="F7265" t="s">
        <v>385</v>
      </c>
      <c r="G7265" t="s">
        <v>37</v>
      </c>
      <c r="H7265" t="s">
        <v>43</v>
      </c>
      <c r="I7265" s="187"/>
      <c r="J7265" s="187">
        <v>42</v>
      </c>
      <c r="K7265" s="187">
        <v>3394.1439831080652</v>
      </c>
      <c r="L7265" s="187">
        <v>0</v>
      </c>
      <c r="M7265" s="187">
        <v>3436.14404296875</v>
      </c>
      <c r="N7265" s="187">
        <v>0</v>
      </c>
      <c r="O7265" t="s">
        <v>7221</v>
      </c>
    </row>
    <row r="7266" spans="1:15" hidden="1" x14ac:dyDescent="0.45">
      <c r="A7266" s="187">
        <v>2025</v>
      </c>
      <c r="B7266" t="s">
        <v>315</v>
      </c>
      <c r="C7266" t="s">
        <v>322</v>
      </c>
      <c r="D7266" t="s">
        <v>35</v>
      </c>
      <c r="E7266" t="s">
        <v>354</v>
      </c>
      <c r="F7266" t="s">
        <v>385</v>
      </c>
      <c r="G7266" t="s">
        <v>37</v>
      </c>
      <c r="H7266" t="s">
        <v>43</v>
      </c>
      <c r="I7266" s="187">
        <v>0</v>
      </c>
      <c r="J7266" s="187">
        <v>44</v>
      </c>
      <c r="K7266" s="187">
        <v>1052.0842335311249</v>
      </c>
      <c r="L7266" s="187">
        <v>58.560445801728001</v>
      </c>
      <c r="M7266" s="187">
        <v>1154.6446533203125</v>
      </c>
      <c r="N7266" s="187">
        <v>58.560447692871094</v>
      </c>
      <c r="O7266" t="s">
        <v>7223</v>
      </c>
    </row>
    <row r="7267" spans="1:15" hidden="1" x14ac:dyDescent="0.45">
      <c r="A7267" s="187">
        <v>2025</v>
      </c>
      <c r="B7267" t="s">
        <v>317</v>
      </c>
      <c r="C7267" t="s">
        <v>322</v>
      </c>
      <c r="D7267" t="s">
        <v>35</v>
      </c>
      <c r="E7267" t="s">
        <v>354</v>
      </c>
      <c r="F7267" t="s">
        <v>385</v>
      </c>
      <c r="G7267" t="s">
        <v>37</v>
      </c>
      <c r="H7267" t="s">
        <v>43</v>
      </c>
      <c r="I7267" s="187">
        <v>54.121608000000002</v>
      </c>
      <c r="J7267" s="187">
        <v>20</v>
      </c>
      <c r="K7267" s="187">
        <v>1311.2628594808341</v>
      </c>
      <c r="L7267" s="187">
        <v>833</v>
      </c>
      <c r="M7267" s="187">
        <v>2218.384521484375</v>
      </c>
      <c r="N7267" s="187">
        <v>887.12158203125</v>
      </c>
      <c r="O7267" t="s">
        <v>7227</v>
      </c>
    </row>
    <row r="7268" spans="1:15" hidden="1" x14ac:dyDescent="0.45">
      <c r="A7268" s="187">
        <v>2025</v>
      </c>
      <c r="B7268" t="s">
        <v>311</v>
      </c>
      <c r="C7268" t="s">
        <v>322</v>
      </c>
      <c r="D7268" t="s">
        <v>35</v>
      </c>
      <c r="E7268" t="s">
        <v>354</v>
      </c>
      <c r="F7268" t="s">
        <v>385</v>
      </c>
      <c r="G7268" t="s">
        <v>37</v>
      </c>
      <c r="H7268" t="s">
        <v>43</v>
      </c>
      <c r="I7268" s="187"/>
      <c r="J7268" s="187">
        <v>49</v>
      </c>
      <c r="K7268" s="187">
        <v>2198.8867177490338</v>
      </c>
      <c r="L7268" s="187">
        <v>0</v>
      </c>
      <c r="M7268" s="187">
        <v>2247.88671875</v>
      </c>
      <c r="N7268" s="187">
        <v>0</v>
      </c>
      <c r="O7268" t="s">
        <v>7222</v>
      </c>
    </row>
    <row r="7269" spans="1:15" hidden="1" x14ac:dyDescent="0.45">
      <c r="A7269" s="187">
        <v>2025</v>
      </c>
      <c r="B7269" t="s">
        <v>316</v>
      </c>
      <c r="C7269" t="s">
        <v>322</v>
      </c>
      <c r="D7269" t="s">
        <v>35</v>
      </c>
      <c r="E7269" t="s">
        <v>354</v>
      </c>
      <c r="F7269" t="s">
        <v>385</v>
      </c>
      <c r="G7269" t="s">
        <v>37</v>
      </c>
      <c r="H7269" t="s">
        <v>43</v>
      </c>
      <c r="I7269" s="187">
        <v>0</v>
      </c>
      <c r="J7269" s="187">
        <v>20</v>
      </c>
      <c r="K7269" s="187">
        <v>1006.59063596382</v>
      </c>
      <c r="L7269" s="187">
        <v>60</v>
      </c>
      <c r="M7269" s="187">
        <v>1086.590576171875</v>
      </c>
      <c r="N7269" s="187">
        <v>60</v>
      </c>
      <c r="O7269" t="s">
        <v>7226</v>
      </c>
    </row>
    <row r="7270" spans="1:15" hidden="1" x14ac:dyDescent="0.45">
      <c r="A7270" s="187">
        <v>2025</v>
      </c>
      <c r="B7270" t="s">
        <v>314</v>
      </c>
      <c r="C7270" t="s">
        <v>322</v>
      </c>
      <c r="D7270" t="s">
        <v>35</v>
      </c>
      <c r="E7270" t="s">
        <v>354</v>
      </c>
      <c r="F7270" t="s">
        <v>385</v>
      </c>
      <c r="G7270" t="s">
        <v>37</v>
      </c>
      <c r="H7270" t="s">
        <v>43</v>
      </c>
      <c r="I7270" s="187">
        <v>0</v>
      </c>
      <c r="J7270" s="187">
        <v>46</v>
      </c>
      <c r="K7270" s="187">
        <v>1329.330528294681</v>
      </c>
      <c r="L7270" s="187">
        <v>0</v>
      </c>
      <c r="M7270" s="187">
        <v>1375.33056640625</v>
      </c>
      <c r="N7270" s="187">
        <v>0</v>
      </c>
      <c r="O7270" t="s">
        <v>7225</v>
      </c>
    </row>
    <row r="7271" spans="1:15" hidden="1" x14ac:dyDescent="0.45">
      <c r="A7271" s="187">
        <v>2025</v>
      </c>
      <c r="B7271" t="s">
        <v>313</v>
      </c>
      <c r="C7271" t="s">
        <v>322</v>
      </c>
      <c r="D7271" t="s">
        <v>35</v>
      </c>
      <c r="E7271" t="s">
        <v>354</v>
      </c>
      <c r="F7271" t="s">
        <v>385</v>
      </c>
      <c r="G7271" t="s">
        <v>37</v>
      </c>
      <c r="H7271" t="s">
        <v>43</v>
      </c>
      <c r="I7271" s="187"/>
      <c r="J7271" s="187">
        <v>47</v>
      </c>
      <c r="K7271" s="187">
        <v>3977.5106110726342</v>
      </c>
      <c r="L7271" s="187">
        <v>0</v>
      </c>
      <c r="M7271" s="187">
        <v>4024.510498046875</v>
      </c>
      <c r="N7271" s="187">
        <v>0</v>
      </c>
      <c r="O7271" t="s">
        <v>7224</v>
      </c>
    </row>
    <row r="7272" spans="1:15" hidden="1" x14ac:dyDescent="0.45">
      <c r="A7272" s="187">
        <v>2025</v>
      </c>
      <c r="B7272" t="s">
        <v>8570</v>
      </c>
      <c r="C7272" t="s">
        <v>322</v>
      </c>
      <c r="D7272" t="s">
        <v>35</v>
      </c>
      <c r="E7272" t="s">
        <v>354</v>
      </c>
      <c r="F7272" t="s">
        <v>385</v>
      </c>
      <c r="G7272" t="s">
        <v>37</v>
      </c>
      <c r="H7272" t="s">
        <v>43</v>
      </c>
      <c r="I7272" s="187">
        <v>72.714595640924159</v>
      </c>
      <c r="J7272" s="187">
        <v>20</v>
      </c>
      <c r="K7272" s="187">
        <v>1864.8766375287639</v>
      </c>
      <c r="L7272" s="187">
        <v>592</v>
      </c>
      <c r="M7272" s="187">
        <v>2549.59130859375</v>
      </c>
      <c r="N7272" s="187">
        <v>664.714599609375</v>
      </c>
      <c r="O7272" t="s">
        <v>9074</v>
      </c>
    </row>
    <row r="7273" spans="1:15" hidden="1" x14ac:dyDescent="0.45">
      <c r="A7273" s="187">
        <v>2025</v>
      </c>
      <c r="B7273" t="s">
        <v>313</v>
      </c>
      <c r="C7273" t="s">
        <v>322</v>
      </c>
      <c r="D7273" t="s">
        <v>35</v>
      </c>
      <c r="E7273" t="s">
        <v>354</v>
      </c>
      <c r="F7273" t="s">
        <v>386</v>
      </c>
      <c r="G7273" t="s">
        <v>36</v>
      </c>
      <c r="H7273" t="s">
        <v>43</v>
      </c>
      <c r="I7273" s="187"/>
      <c r="J7273" s="187">
        <v>59.894593726603141</v>
      </c>
      <c r="K7273" s="187">
        <v>778.08382428841685</v>
      </c>
      <c r="L7273" s="187">
        <v>0</v>
      </c>
      <c r="M7273" s="187">
        <v>837.9783935546875</v>
      </c>
      <c r="N7273" s="187">
        <v>0</v>
      </c>
      <c r="O7273" t="s">
        <v>7234</v>
      </c>
    </row>
    <row r="7274" spans="1:15" hidden="1" x14ac:dyDescent="0.45">
      <c r="A7274" s="187">
        <v>2025</v>
      </c>
      <c r="B7274" t="s">
        <v>312</v>
      </c>
      <c r="C7274" t="s">
        <v>322</v>
      </c>
      <c r="D7274" t="s">
        <v>35</v>
      </c>
      <c r="E7274" t="s">
        <v>354</v>
      </c>
      <c r="F7274" t="s">
        <v>386</v>
      </c>
      <c r="G7274" t="s">
        <v>36</v>
      </c>
      <c r="H7274" t="s">
        <v>43</v>
      </c>
      <c r="I7274" s="187"/>
      <c r="J7274" s="187">
        <v>61.828711797667012</v>
      </c>
      <c r="K7274" s="187">
        <v>696.96057893034879</v>
      </c>
      <c r="L7274" s="187">
        <v>0</v>
      </c>
      <c r="M7274" s="187">
        <v>758.789306640625</v>
      </c>
      <c r="N7274" s="187">
        <v>0</v>
      </c>
      <c r="O7274" t="s">
        <v>7232</v>
      </c>
    </row>
    <row r="7275" spans="1:15" hidden="1" x14ac:dyDescent="0.45">
      <c r="A7275" s="187">
        <v>2025</v>
      </c>
      <c r="B7275" t="s">
        <v>8570</v>
      </c>
      <c r="C7275" t="s">
        <v>322</v>
      </c>
      <c r="D7275" t="s">
        <v>35</v>
      </c>
      <c r="E7275" t="s">
        <v>354</v>
      </c>
      <c r="F7275" t="s">
        <v>386</v>
      </c>
      <c r="G7275" t="s">
        <v>36</v>
      </c>
      <c r="H7275" t="s">
        <v>43</v>
      </c>
      <c r="I7275" s="187">
        <v>68.520587520000007</v>
      </c>
      <c r="J7275" s="187">
        <v>20</v>
      </c>
      <c r="K7275" s="187">
        <v>0</v>
      </c>
      <c r="L7275" s="187">
        <v>0</v>
      </c>
      <c r="M7275" s="187">
        <v>88.520584106445313</v>
      </c>
      <c r="N7275" s="187">
        <v>68.520584106445313</v>
      </c>
      <c r="O7275" t="s">
        <v>9075</v>
      </c>
    </row>
    <row r="7276" spans="1:15" hidden="1" x14ac:dyDescent="0.45">
      <c r="A7276" s="187">
        <v>2025</v>
      </c>
      <c r="B7276" t="s">
        <v>314</v>
      </c>
      <c r="C7276" t="s">
        <v>322</v>
      </c>
      <c r="D7276" t="s">
        <v>35</v>
      </c>
      <c r="E7276" t="s">
        <v>354</v>
      </c>
      <c r="F7276" t="s">
        <v>386</v>
      </c>
      <c r="G7276" t="s">
        <v>36</v>
      </c>
      <c r="H7276" t="s">
        <v>43</v>
      </c>
      <c r="I7276" s="187">
        <v>0</v>
      </c>
      <c r="J7276" s="187">
        <v>58.241033054944985</v>
      </c>
      <c r="K7276" s="187">
        <v>2328.7876085897215</v>
      </c>
      <c r="L7276" s="187">
        <v>57.076212393846085</v>
      </c>
      <c r="M7276" s="187">
        <v>2444.104736328125</v>
      </c>
      <c r="N7276" s="187">
        <v>57.076213836669922</v>
      </c>
      <c r="O7276" t="s">
        <v>7231</v>
      </c>
    </row>
    <row r="7277" spans="1:15" hidden="1" x14ac:dyDescent="0.45">
      <c r="A7277" s="187">
        <v>2025</v>
      </c>
      <c r="B7277" t="s">
        <v>311</v>
      </c>
      <c r="C7277" t="s">
        <v>322</v>
      </c>
      <c r="D7277" t="s">
        <v>35</v>
      </c>
      <c r="E7277" t="s">
        <v>354</v>
      </c>
      <c r="F7277" t="s">
        <v>386</v>
      </c>
      <c r="G7277" t="s">
        <v>36</v>
      </c>
      <c r="H7277" t="s">
        <v>43</v>
      </c>
      <c r="I7277" s="187"/>
      <c r="J7277" s="187">
        <v>63.764706132750199</v>
      </c>
      <c r="K7277" s="187">
        <v>1079.5392693771532</v>
      </c>
      <c r="L7277" s="187">
        <v>98.197647444435304</v>
      </c>
      <c r="M7277" s="187">
        <v>1241.5015869140625</v>
      </c>
      <c r="N7277" s="187">
        <v>98.197647094726563</v>
      </c>
      <c r="O7277" t="s">
        <v>7229</v>
      </c>
    </row>
    <row r="7278" spans="1:15" hidden="1" x14ac:dyDescent="0.45">
      <c r="A7278" s="187">
        <v>2025</v>
      </c>
      <c r="B7278" t="s">
        <v>317</v>
      </c>
      <c r="C7278" t="s">
        <v>322</v>
      </c>
      <c r="D7278" t="s">
        <v>35</v>
      </c>
      <c r="E7278" t="s">
        <v>354</v>
      </c>
      <c r="F7278" t="s">
        <v>386</v>
      </c>
      <c r="G7278" t="s">
        <v>36</v>
      </c>
      <c r="H7278" t="s">
        <v>43</v>
      </c>
      <c r="I7278" s="187">
        <v>54.025454784332467</v>
      </c>
      <c r="J7278" s="187">
        <v>21.610181913732987</v>
      </c>
      <c r="K7278" s="187">
        <v>943.28328814359486</v>
      </c>
      <c r="L7278" s="187">
        <v>688.28429395239561</v>
      </c>
      <c r="M7278" s="187">
        <v>1707.2032470703125</v>
      </c>
      <c r="N7278" s="187">
        <v>742.30975341796875</v>
      </c>
      <c r="O7278" t="s">
        <v>7233</v>
      </c>
    </row>
    <row r="7279" spans="1:15" hidden="1" x14ac:dyDescent="0.45">
      <c r="A7279" s="187">
        <v>2025</v>
      </c>
      <c r="B7279" t="s">
        <v>316</v>
      </c>
      <c r="C7279" t="s">
        <v>322</v>
      </c>
      <c r="D7279" t="s">
        <v>35</v>
      </c>
      <c r="E7279" t="s">
        <v>354</v>
      </c>
      <c r="F7279" t="s">
        <v>386</v>
      </c>
      <c r="G7279" t="s">
        <v>36</v>
      </c>
      <c r="H7279" t="s">
        <v>43</v>
      </c>
      <c r="I7279" s="187">
        <v>0</v>
      </c>
      <c r="J7279" s="187">
        <v>22.029076772714181</v>
      </c>
      <c r="K7279" s="187">
        <v>2027.2371529626676</v>
      </c>
      <c r="L7279" s="187">
        <v>684.00283379277528</v>
      </c>
      <c r="M7279" s="187">
        <v>2733.26904296875</v>
      </c>
      <c r="N7279" s="187">
        <v>684.0028076171875</v>
      </c>
      <c r="O7279" t="s">
        <v>7230</v>
      </c>
    </row>
    <row r="7280" spans="1:15" hidden="1" x14ac:dyDescent="0.45">
      <c r="A7280" s="187">
        <v>2025</v>
      </c>
      <c r="B7280" t="s">
        <v>315</v>
      </c>
      <c r="C7280" t="s">
        <v>322</v>
      </c>
      <c r="D7280" t="s">
        <v>35</v>
      </c>
      <c r="E7280" t="s">
        <v>354</v>
      </c>
      <c r="F7280" t="s">
        <v>386</v>
      </c>
      <c r="G7280" t="s">
        <v>36</v>
      </c>
      <c r="H7280" t="s">
        <v>43</v>
      </c>
      <c r="I7280" s="187">
        <v>0</v>
      </c>
      <c r="J7280" s="187">
        <v>56.639871809250089</v>
      </c>
      <c r="K7280" s="187">
        <v>2302.484367957511</v>
      </c>
      <c r="L7280" s="187">
        <v>0</v>
      </c>
      <c r="M7280" s="187">
        <v>2359.124267578125</v>
      </c>
      <c r="N7280" s="187">
        <v>0</v>
      </c>
      <c r="O7280" t="s">
        <v>7228</v>
      </c>
    </row>
    <row r="7281" spans="1:15" hidden="1" x14ac:dyDescent="0.45">
      <c r="A7281" s="187">
        <v>2025</v>
      </c>
      <c r="B7281" t="s">
        <v>312</v>
      </c>
      <c r="C7281" t="s">
        <v>322</v>
      </c>
      <c r="D7281" t="s">
        <v>35</v>
      </c>
      <c r="E7281" t="s">
        <v>354</v>
      </c>
      <c r="F7281" t="s">
        <v>386</v>
      </c>
      <c r="G7281" t="s">
        <v>37</v>
      </c>
      <c r="H7281" t="s">
        <v>43</v>
      </c>
      <c r="I7281" s="187"/>
      <c r="J7281" s="187">
        <v>60</v>
      </c>
      <c r="K7281" s="187">
        <v>671.50330601058852</v>
      </c>
      <c r="L7281" s="187">
        <v>0</v>
      </c>
      <c r="M7281" s="187">
        <v>731.5032958984375</v>
      </c>
      <c r="N7281" s="187">
        <v>0</v>
      </c>
      <c r="O7281" t="s">
        <v>7240</v>
      </c>
    </row>
    <row r="7282" spans="1:15" hidden="1" x14ac:dyDescent="0.45">
      <c r="A7282" s="187">
        <v>2025</v>
      </c>
      <c r="B7282" t="s">
        <v>8570</v>
      </c>
      <c r="C7282" t="s">
        <v>322</v>
      </c>
      <c r="D7282" t="s">
        <v>35</v>
      </c>
      <c r="E7282" t="s">
        <v>354</v>
      </c>
      <c r="F7282" t="s">
        <v>386</v>
      </c>
      <c r="G7282" t="s">
        <v>37</v>
      </c>
      <c r="H7282" t="s">
        <v>43</v>
      </c>
      <c r="I7282" s="187">
        <v>72.714595640924159</v>
      </c>
      <c r="J7282" s="187">
        <v>20</v>
      </c>
      <c r="K7282" s="187">
        <v>0</v>
      </c>
      <c r="L7282" s="187">
        <v>0</v>
      </c>
      <c r="M7282" s="187">
        <v>92.714591979980469</v>
      </c>
      <c r="N7282" s="187">
        <v>72.714591979980469</v>
      </c>
      <c r="O7282" t="s">
        <v>9076</v>
      </c>
    </row>
    <row r="7283" spans="1:15" hidden="1" x14ac:dyDescent="0.45">
      <c r="A7283" s="187">
        <v>2025</v>
      </c>
      <c r="B7283" t="s">
        <v>314</v>
      </c>
      <c r="C7283" t="s">
        <v>322</v>
      </c>
      <c r="D7283" t="s">
        <v>35</v>
      </c>
      <c r="E7283" t="s">
        <v>354</v>
      </c>
      <c r="F7283" t="s">
        <v>386</v>
      </c>
      <c r="G7283" t="s">
        <v>37</v>
      </c>
      <c r="H7283" t="s">
        <v>43</v>
      </c>
      <c r="I7283" s="187">
        <v>0</v>
      </c>
      <c r="J7283" s="187">
        <v>57</v>
      </c>
      <c r="K7283" s="187">
        <v>2300.764375894641</v>
      </c>
      <c r="L7283" s="187">
        <v>60.595133371179656</v>
      </c>
      <c r="M7283" s="187">
        <v>2418.359619140625</v>
      </c>
      <c r="N7283" s="187">
        <v>60.595134735107422</v>
      </c>
      <c r="O7283" t="s">
        <v>7239</v>
      </c>
    </row>
    <row r="7284" spans="1:15" hidden="1" x14ac:dyDescent="0.45">
      <c r="A7284" s="187">
        <v>2025</v>
      </c>
      <c r="B7284" t="s">
        <v>316</v>
      </c>
      <c r="C7284" t="s">
        <v>322</v>
      </c>
      <c r="D7284" t="s">
        <v>35</v>
      </c>
      <c r="E7284" t="s">
        <v>354</v>
      </c>
      <c r="F7284" t="s">
        <v>386</v>
      </c>
      <c r="G7284" t="s">
        <v>37</v>
      </c>
      <c r="H7284" t="s">
        <v>43</v>
      </c>
      <c r="I7284" s="187">
        <v>0</v>
      </c>
      <c r="J7284" s="187">
        <v>20</v>
      </c>
      <c r="K7284" s="187">
        <v>1995.757560316049</v>
      </c>
      <c r="L7284" s="187">
        <v>702</v>
      </c>
      <c r="M7284" s="187">
        <v>2717.757568359375</v>
      </c>
      <c r="N7284" s="187">
        <v>702</v>
      </c>
      <c r="O7284" t="s">
        <v>7235</v>
      </c>
    </row>
    <row r="7285" spans="1:15" hidden="1" x14ac:dyDescent="0.45">
      <c r="A7285" s="187">
        <v>2025</v>
      </c>
      <c r="B7285" t="s">
        <v>315</v>
      </c>
      <c r="C7285" t="s">
        <v>322</v>
      </c>
      <c r="D7285" t="s">
        <v>35</v>
      </c>
      <c r="E7285" t="s">
        <v>354</v>
      </c>
      <c r="F7285" t="s">
        <v>386</v>
      </c>
      <c r="G7285" t="s">
        <v>37</v>
      </c>
      <c r="H7285" t="s">
        <v>43</v>
      </c>
      <c r="I7285" s="187">
        <v>0</v>
      </c>
      <c r="J7285" s="187">
        <v>55</v>
      </c>
      <c r="K7285" s="187">
        <v>2283.2999326911458</v>
      </c>
      <c r="L7285" s="187">
        <v>0</v>
      </c>
      <c r="M7285" s="187">
        <v>2338.300048828125</v>
      </c>
      <c r="N7285" s="187">
        <v>0</v>
      </c>
      <c r="O7285" t="s">
        <v>7241</v>
      </c>
    </row>
    <row r="7286" spans="1:15" hidden="1" x14ac:dyDescent="0.45">
      <c r="A7286" s="187">
        <v>2025</v>
      </c>
      <c r="B7286" t="s">
        <v>317</v>
      </c>
      <c r="C7286" t="s">
        <v>322</v>
      </c>
      <c r="D7286" t="s">
        <v>35</v>
      </c>
      <c r="E7286" t="s">
        <v>354</v>
      </c>
      <c r="F7286" t="s">
        <v>386</v>
      </c>
      <c r="G7286" t="s">
        <v>37</v>
      </c>
      <c r="H7286" t="s">
        <v>43</v>
      </c>
      <c r="I7286" s="187">
        <v>54.121608000000002</v>
      </c>
      <c r="J7286" s="187">
        <v>20</v>
      </c>
      <c r="K7286" s="187">
        <v>939.20241182011148</v>
      </c>
      <c r="L7286" s="187">
        <v>682</v>
      </c>
      <c r="M7286" s="187">
        <v>1695.323974609375</v>
      </c>
      <c r="N7286" s="187">
        <v>736.12158203125</v>
      </c>
      <c r="O7286" t="s">
        <v>7236</v>
      </c>
    </row>
    <row r="7287" spans="1:15" hidden="1" x14ac:dyDescent="0.45">
      <c r="A7287" s="187">
        <v>2025</v>
      </c>
      <c r="B7287" t="s">
        <v>313</v>
      </c>
      <c r="C7287" t="s">
        <v>322</v>
      </c>
      <c r="D7287" t="s">
        <v>35</v>
      </c>
      <c r="E7287" t="s">
        <v>354</v>
      </c>
      <c r="F7287" t="s">
        <v>386</v>
      </c>
      <c r="G7287" t="s">
        <v>37</v>
      </c>
      <c r="H7287" t="s">
        <v>43</v>
      </c>
      <c r="I7287" s="187"/>
      <c r="J7287" s="187">
        <v>59</v>
      </c>
      <c r="K7287" s="187">
        <v>757.64069104450766</v>
      </c>
      <c r="L7287" s="187">
        <v>0</v>
      </c>
      <c r="M7287" s="187">
        <v>816.64068603515625</v>
      </c>
      <c r="N7287" s="187">
        <v>0</v>
      </c>
      <c r="O7287" t="s">
        <v>7238</v>
      </c>
    </row>
    <row r="7288" spans="1:15" hidden="1" x14ac:dyDescent="0.45">
      <c r="A7288" s="187">
        <v>2025</v>
      </c>
      <c r="B7288" t="s">
        <v>311</v>
      </c>
      <c r="C7288" t="s">
        <v>322</v>
      </c>
      <c r="D7288" t="s">
        <v>35</v>
      </c>
      <c r="E7288" t="s">
        <v>354</v>
      </c>
      <c r="F7288" t="s">
        <v>386</v>
      </c>
      <c r="G7288" t="s">
        <v>37</v>
      </c>
      <c r="H7288" t="s">
        <v>43</v>
      </c>
      <c r="I7288" s="187"/>
      <c r="J7288" s="187">
        <v>61</v>
      </c>
      <c r="K7288" s="187">
        <v>1024.349402294841</v>
      </c>
      <c r="L7288" s="187">
        <v>100</v>
      </c>
      <c r="M7288" s="187">
        <v>1185.349365234375</v>
      </c>
      <c r="N7288" s="187">
        <v>100</v>
      </c>
      <c r="O7288" t="s">
        <v>7237</v>
      </c>
    </row>
    <row r="7289" spans="1:15" hidden="1" x14ac:dyDescent="0.45">
      <c r="A7289" s="187">
        <v>2025</v>
      </c>
      <c r="B7289" t="s">
        <v>312</v>
      </c>
      <c r="C7289" t="s">
        <v>322</v>
      </c>
      <c r="D7289" t="s">
        <v>35</v>
      </c>
      <c r="E7289" t="s">
        <v>354</v>
      </c>
      <c r="F7289" t="s">
        <v>387</v>
      </c>
      <c r="G7289" t="s">
        <v>36</v>
      </c>
      <c r="H7289" t="s">
        <v>43</v>
      </c>
      <c r="I7289" s="187">
        <v>0</v>
      </c>
      <c r="J7289" s="187">
        <v>105.10881005603392</v>
      </c>
      <c r="K7289" s="187">
        <v>4219.7795051601106</v>
      </c>
      <c r="L7289" s="187">
        <v>0</v>
      </c>
      <c r="M7289" s="187">
        <v>4324.88818359375</v>
      </c>
      <c r="N7289" s="187">
        <v>0</v>
      </c>
      <c r="O7289" t="s">
        <v>7245</v>
      </c>
    </row>
    <row r="7290" spans="1:15" hidden="1" x14ac:dyDescent="0.45">
      <c r="A7290" s="187">
        <v>2025</v>
      </c>
      <c r="B7290" t="s">
        <v>313</v>
      </c>
      <c r="C7290" t="s">
        <v>322</v>
      </c>
      <c r="D7290" t="s">
        <v>35</v>
      </c>
      <c r="E7290" t="s">
        <v>354</v>
      </c>
      <c r="F7290" t="s">
        <v>387</v>
      </c>
      <c r="G7290" t="s">
        <v>36</v>
      </c>
      <c r="H7290" t="s">
        <v>43</v>
      </c>
      <c r="I7290" s="187">
        <v>0</v>
      </c>
      <c r="J7290" s="187">
        <v>107.81026870788565</v>
      </c>
      <c r="K7290" s="187">
        <v>4862.918105225086</v>
      </c>
      <c r="L7290" s="187">
        <v>0</v>
      </c>
      <c r="M7290" s="187">
        <v>4970.728515625</v>
      </c>
      <c r="N7290" s="187">
        <v>0</v>
      </c>
      <c r="O7290" t="s">
        <v>7248</v>
      </c>
    </row>
    <row r="7291" spans="1:15" hidden="1" x14ac:dyDescent="0.45">
      <c r="A7291" s="187">
        <v>2025</v>
      </c>
      <c r="B7291" t="s">
        <v>8570</v>
      </c>
      <c r="C7291" t="s">
        <v>322</v>
      </c>
      <c r="D7291" t="s">
        <v>35</v>
      </c>
      <c r="E7291" t="s">
        <v>354</v>
      </c>
      <c r="F7291" t="s">
        <v>387</v>
      </c>
      <c r="G7291" t="s">
        <v>36</v>
      </c>
      <c r="H7291" t="s">
        <v>43</v>
      </c>
      <c r="I7291" s="187">
        <v>137.04117504000001</v>
      </c>
      <c r="J7291" s="187">
        <v>80</v>
      </c>
      <c r="K7291" s="187">
        <v>1749.602448050199</v>
      </c>
      <c r="L7291" s="187">
        <v>517</v>
      </c>
      <c r="M7291" s="187">
        <v>2483.6435546875</v>
      </c>
      <c r="N7291" s="187">
        <v>654.0411376953125</v>
      </c>
      <c r="O7291" t="s">
        <v>9077</v>
      </c>
    </row>
    <row r="7292" spans="1:15" hidden="1" x14ac:dyDescent="0.45">
      <c r="A7292" s="187">
        <v>2025</v>
      </c>
      <c r="B7292" t="s">
        <v>314</v>
      </c>
      <c r="C7292" t="s">
        <v>322</v>
      </c>
      <c r="D7292" t="s">
        <v>35</v>
      </c>
      <c r="E7292" t="s">
        <v>354</v>
      </c>
      <c r="F7292" t="s">
        <v>387</v>
      </c>
      <c r="G7292" t="s">
        <v>36</v>
      </c>
      <c r="H7292" t="s">
        <v>43</v>
      </c>
      <c r="I7292" s="187">
        <v>0</v>
      </c>
      <c r="J7292" s="187">
        <v>104.83385949890098</v>
      </c>
      <c r="K7292" s="187">
        <v>3674.3093379971151</v>
      </c>
      <c r="L7292" s="187">
        <v>57.076212393846085</v>
      </c>
      <c r="M7292" s="187">
        <v>3836.219482421875</v>
      </c>
      <c r="N7292" s="187">
        <v>57.076213836669922</v>
      </c>
      <c r="O7292" t="s">
        <v>7247</v>
      </c>
    </row>
    <row r="7293" spans="1:15" hidden="1" x14ac:dyDescent="0.45">
      <c r="A7293" s="187">
        <v>2025</v>
      </c>
      <c r="B7293" t="s">
        <v>315</v>
      </c>
      <c r="C7293" t="s">
        <v>322</v>
      </c>
      <c r="D7293" t="s">
        <v>35</v>
      </c>
      <c r="E7293" t="s">
        <v>354</v>
      </c>
      <c r="F7293" t="s">
        <v>387</v>
      </c>
      <c r="G7293" t="s">
        <v>36</v>
      </c>
      <c r="H7293" t="s">
        <v>43</v>
      </c>
      <c r="I7293" s="187">
        <v>0</v>
      </c>
      <c r="J7293" s="187">
        <v>101.95176925665017</v>
      </c>
      <c r="K7293" s="187">
        <v>3363.4082819808741</v>
      </c>
      <c r="L7293" s="187">
        <v>58.905466681620091</v>
      </c>
      <c r="M7293" s="187">
        <v>3524.265625</v>
      </c>
      <c r="N7293" s="187">
        <v>58.905467987060547</v>
      </c>
      <c r="O7293" t="s">
        <v>7243</v>
      </c>
    </row>
    <row r="7294" spans="1:15" hidden="1" x14ac:dyDescent="0.45">
      <c r="A7294" s="187">
        <v>2025</v>
      </c>
      <c r="B7294" t="s">
        <v>317</v>
      </c>
      <c r="C7294" t="s">
        <v>322</v>
      </c>
      <c r="D7294" t="s">
        <v>35</v>
      </c>
      <c r="E7294" t="s">
        <v>354</v>
      </c>
      <c r="F7294" t="s">
        <v>387</v>
      </c>
      <c r="G7294" t="s">
        <v>36</v>
      </c>
      <c r="H7294" t="s">
        <v>43</v>
      </c>
      <c r="I7294" s="187">
        <v>108.05090956866493</v>
      </c>
      <c r="J7294" s="187">
        <v>86.440727654931948</v>
      </c>
      <c r="K7294" s="187">
        <v>2260.2436431693441</v>
      </c>
      <c r="L7294" s="187">
        <v>1528.9203703966089</v>
      </c>
      <c r="M7294" s="187">
        <v>3983.65576171875</v>
      </c>
      <c r="N7294" s="187">
        <v>1636.9713134765625</v>
      </c>
      <c r="O7294" t="s">
        <v>7246</v>
      </c>
    </row>
    <row r="7295" spans="1:15" hidden="1" x14ac:dyDescent="0.45">
      <c r="A7295" s="187">
        <v>2025</v>
      </c>
      <c r="B7295" t="s">
        <v>311</v>
      </c>
      <c r="C7295" t="s">
        <v>322</v>
      </c>
      <c r="D7295" t="s">
        <v>35</v>
      </c>
      <c r="E7295" t="s">
        <v>354</v>
      </c>
      <c r="F7295" t="s">
        <v>387</v>
      </c>
      <c r="G7295" t="s">
        <v>36</v>
      </c>
      <c r="H7295" t="s">
        <v>43</v>
      </c>
      <c r="I7295" s="187"/>
      <c r="J7295" s="187">
        <v>114.77647103895036</v>
      </c>
      <c r="K7295" s="187">
        <v>3396.8975412753443</v>
      </c>
      <c r="L7295" s="187">
        <v>98.197647444435304</v>
      </c>
      <c r="M7295" s="187">
        <v>3609.871826171875</v>
      </c>
      <c r="N7295" s="187">
        <v>98.197647094726563</v>
      </c>
      <c r="O7295" t="s">
        <v>7244</v>
      </c>
    </row>
    <row r="7296" spans="1:15" hidden="1" x14ac:dyDescent="0.45">
      <c r="A7296" s="187">
        <v>2025</v>
      </c>
      <c r="B7296" t="s">
        <v>316</v>
      </c>
      <c r="C7296" t="s">
        <v>322</v>
      </c>
      <c r="D7296" t="s">
        <v>35</v>
      </c>
      <c r="E7296" t="s">
        <v>354</v>
      </c>
      <c r="F7296" t="s">
        <v>387</v>
      </c>
      <c r="G7296" t="s">
        <v>36</v>
      </c>
      <c r="H7296" t="s">
        <v>43</v>
      </c>
      <c r="I7296" s="187">
        <v>0</v>
      </c>
      <c r="J7296" s="187">
        <v>88.116307090856722</v>
      </c>
      <c r="K7296" s="187">
        <v>3049.7049995717653</v>
      </c>
      <c r="L7296" s="187">
        <v>742.37988724046795</v>
      </c>
      <c r="M7296" s="187">
        <v>3880.201171875</v>
      </c>
      <c r="N7296" s="187">
        <v>742.3798828125</v>
      </c>
      <c r="O7296" t="s">
        <v>7242</v>
      </c>
    </row>
    <row r="7297" spans="1:15" hidden="1" x14ac:dyDescent="0.45">
      <c r="A7297" s="187">
        <v>2025</v>
      </c>
      <c r="B7297" t="s">
        <v>317</v>
      </c>
      <c r="C7297" t="s">
        <v>322</v>
      </c>
      <c r="D7297" t="s">
        <v>35</v>
      </c>
      <c r="E7297" t="s">
        <v>354</v>
      </c>
      <c r="F7297" t="s">
        <v>387</v>
      </c>
      <c r="G7297" t="s">
        <v>37</v>
      </c>
      <c r="H7297" t="s">
        <v>43</v>
      </c>
      <c r="I7297" s="187">
        <v>108.243216</v>
      </c>
      <c r="J7297" s="187">
        <v>80</v>
      </c>
      <c r="K7297" s="187">
        <v>2250.465271300945</v>
      </c>
      <c r="L7297" s="187">
        <v>1515</v>
      </c>
      <c r="M7297" s="187">
        <v>3953.70849609375</v>
      </c>
      <c r="N7297" s="187">
        <v>1623.2431640625</v>
      </c>
      <c r="O7297" t="s">
        <v>7250</v>
      </c>
    </row>
    <row r="7298" spans="1:15" hidden="1" x14ac:dyDescent="0.45">
      <c r="A7298" s="187">
        <v>2025</v>
      </c>
      <c r="B7298" t="s">
        <v>315</v>
      </c>
      <c r="C7298" t="s">
        <v>322</v>
      </c>
      <c r="D7298" t="s">
        <v>35</v>
      </c>
      <c r="E7298" t="s">
        <v>354</v>
      </c>
      <c r="F7298" t="s">
        <v>387</v>
      </c>
      <c r="G7298" t="s">
        <v>37</v>
      </c>
      <c r="H7298" t="s">
        <v>43</v>
      </c>
      <c r="I7298" s="187">
        <v>0</v>
      </c>
      <c r="J7298" s="187">
        <v>99</v>
      </c>
      <c r="K7298" s="187">
        <v>3335.3841662222708</v>
      </c>
      <c r="L7298" s="187">
        <v>58.560445801728001</v>
      </c>
      <c r="M7298" s="187">
        <v>3492.94482421875</v>
      </c>
      <c r="N7298" s="187">
        <v>58.560447692871094</v>
      </c>
      <c r="O7298" t="s">
        <v>7252</v>
      </c>
    </row>
    <row r="7299" spans="1:15" hidden="1" x14ac:dyDescent="0.45">
      <c r="A7299" s="187">
        <v>2025</v>
      </c>
      <c r="B7299" t="s">
        <v>314</v>
      </c>
      <c r="C7299" t="s">
        <v>322</v>
      </c>
      <c r="D7299" t="s">
        <v>35</v>
      </c>
      <c r="E7299" t="s">
        <v>354</v>
      </c>
      <c r="F7299" t="s">
        <v>387</v>
      </c>
      <c r="G7299" t="s">
        <v>37</v>
      </c>
      <c r="H7299" t="s">
        <v>43</v>
      </c>
      <c r="I7299" s="187">
        <v>0</v>
      </c>
      <c r="J7299" s="187">
        <v>103</v>
      </c>
      <c r="K7299" s="187">
        <v>3630.0949041893218</v>
      </c>
      <c r="L7299" s="187">
        <v>60.595133371179656</v>
      </c>
      <c r="M7299" s="187">
        <v>3793.690185546875</v>
      </c>
      <c r="N7299" s="187">
        <v>60.595134735107422</v>
      </c>
      <c r="O7299" t="s">
        <v>7254</v>
      </c>
    </row>
    <row r="7300" spans="1:15" hidden="1" x14ac:dyDescent="0.45">
      <c r="A7300" s="187">
        <v>2025</v>
      </c>
      <c r="B7300" t="s">
        <v>312</v>
      </c>
      <c r="C7300" t="s">
        <v>322</v>
      </c>
      <c r="D7300" t="s">
        <v>35</v>
      </c>
      <c r="E7300" t="s">
        <v>354</v>
      </c>
      <c r="F7300" t="s">
        <v>387</v>
      </c>
      <c r="G7300" t="s">
        <v>37</v>
      </c>
      <c r="H7300" t="s">
        <v>43</v>
      </c>
      <c r="I7300" s="187">
        <v>0</v>
      </c>
      <c r="J7300" s="187">
        <v>102</v>
      </c>
      <c r="K7300" s="187">
        <v>4065.647289118654</v>
      </c>
      <c r="L7300" s="187">
        <v>0</v>
      </c>
      <c r="M7300" s="187">
        <v>4167.6474609375</v>
      </c>
      <c r="N7300" s="187">
        <v>0</v>
      </c>
      <c r="O7300" t="s">
        <v>7251</v>
      </c>
    </row>
    <row r="7301" spans="1:15" hidden="1" x14ac:dyDescent="0.45">
      <c r="A7301" s="187">
        <v>2025</v>
      </c>
      <c r="B7301" t="s">
        <v>311</v>
      </c>
      <c r="C7301" t="s">
        <v>322</v>
      </c>
      <c r="D7301" t="s">
        <v>35</v>
      </c>
      <c r="E7301" t="s">
        <v>354</v>
      </c>
      <c r="F7301" t="s">
        <v>387</v>
      </c>
      <c r="G7301" t="s">
        <v>37</v>
      </c>
      <c r="H7301" t="s">
        <v>43</v>
      </c>
      <c r="I7301" s="187"/>
      <c r="J7301" s="187">
        <v>110</v>
      </c>
      <c r="K7301" s="187">
        <v>3223.236120043875</v>
      </c>
      <c r="L7301" s="187">
        <v>100</v>
      </c>
      <c r="M7301" s="187">
        <v>3433.236083984375</v>
      </c>
      <c r="N7301" s="187">
        <v>100</v>
      </c>
      <c r="O7301" t="s">
        <v>7255</v>
      </c>
    </row>
    <row r="7302" spans="1:15" hidden="1" x14ac:dyDescent="0.45">
      <c r="A7302" s="187">
        <v>2025</v>
      </c>
      <c r="B7302" t="s">
        <v>313</v>
      </c>
      <c r="C7302" t="s">
        <v>322</v>
      </c>
      <c r="D7302" t="s">
        <v>35</v>
      </c>
      <c r="E7302" t="s">
        <v>354</v>
      </c>
      <c r="F7302" t="s">
        <v>387</v>
      </c>
      <c r="G7302" t="s">
        <v>37</v>
      </c>
      <c r="H7302" t="s">
        <v>43</v>
      </c>
      <c r="I7302" s="187">
        <v>0</v>
      </c>
      <c r="J7302" s="187">
        <v>106</v>
      </c>
      <c r="K7302" s="187">
        <v>4735.1513021171413</v>
      </c>
      <c r="L7302" s="187">
        <v>0</v>
      </c>
      <c r="M7302" s="187">
        <v>4841.1513671875</v>
      </c>
      <c r="N7302" s="187">
        <v>0</v>
      </c>
      <c r="O7302" t="s">
        <v>7249</v>
      </c>
    </row>
    <row r="7303" spans="1:15" hidden="1" x14ac:dyDescent="0.45">
      <c r="A7303" s="187">
        <v>2025</v>
      </c>
      <c r="B7303" t="s">
        <v>8570</v>
      </c>
      <c r="C7303" t="s">
        <v>322</v>
      </c>
      <c r="D7303" t="s">
        <v>35</v>
      </c>
      <c r="E7303" t="s">
        <v>354</v>
      </c>
      <c r="F7303" t="s">
        <v>387</v>
      </c>
      <c r="G7303" t="s">
        <v>37</v>
      </c>
      <c r="H7303" t="s">
        <v>43</v>
      </c>
      <c r="I7303" s="187">
        <v>145.42919128184829</v>
      </c>
      <c r="J7303" s="187">
        <v>80</v>
      </c>
      <c r="K7303" s="187">
        <v>1864.8766375287639</v>
      </c>
      <c r="L7303" s="187">
        <v>592</v>
      </c>
      <c r="M7303" s="187">
        <v>2682.305908203125</v>
      </c>
      <c r="N7303" s="187">
        <v>737.42919921875</v>
      </c>
      <c r="O7303" t="s">
        <v>9078</v>
      </c>
    </row>
    <row r="7304" spans="1:15" hidden="1" x14ac:dyDescent="0.45">
      <c r="A7304" s="187">
        <v>2025</v>
      </c>
      <c r="B7304" t="s">
        <v>316</v>
      </c>
      <c r="C7304" t="s">
        <v>322</v>
      </c>
      <c r="D7304" t="s">
        <v>35</v>
      </c>
      <c r="E7304" t="s">
        <v>354</v>
      </c>
      <c r="F7304" t="s">
        <v>387</v>
      </c>
      <c r="G7304" t="s">
        <v>37</v>
      </c>
      <c r="H7304" t="s">
        <v>43</v>
      </c>
      <c r="I7304" s="187">
        <v>0</v>
      </c>
      <c r="J7304" s="187">
        <v>80</v>
      </c>
      <c r="K7304" s="187">
        <v>3002.3481962798692</v>
      </c>
      <c r="L7304" s="187">
        <v>762</v>
      </c>
      <c r="M7304" s="187">
        <v>3844.34814453125</v>
      </c>
      <c r="N7304" s="187">
        <v>762</v>
      </c>
      <c r="O7304" t="s">
        <v>7253</v>
      </c>
    </row>
    <row r="7305" spans="1:15" hidden="1" x14ac:dyDescent="0.45">
      <c r="A7305" s="187">
        <v>2025</v>
      </c>
      <c r="B7305" t="s">
        <v>316</v>
      </c>
      <c r="C7305" t="s">
        <v>322</v>
      </c>
      <c r="D7305" t="s">
        <v>35</v>
      </c>
      <c r="E7305" t="s">
        <v>17</v>
      </c>
      <c r="F7305" t="s">
        <v>17</v>
      </c>
      <c r="G7305" t="s">
        <v>36</v>
      </c>
      <c r="H7305" t="s">
        <v>43</v>
      </c>
      <c r="I7305" s="187">
        <v>2741.5670683331796</v>
      </c>
      <c r="J7305" s="187">
        <v>165.21807579535636</v>
      </c>
      <c r="K7305" s="187">
        <v>2143.4284083220437</v>
      </c>
      <c r="L7305" s="187">
        <v>4225.1769250065799</v>
      </c>
      <c r="M7305" s="187">
        <v>9275.390625</v>
      </c>
      <c r="N7305" s="187">
        <v>6966.744140625</v>
      </c>
      <c r="O7305" t="s">
        <v>7257</v>
      </c>
    </row>
    <row r="7306" spans="1:15" hidden="1" x14ac:dyDescent="0.45">
      <c r="A7306" s="187">
        <v>2025</v>
      </c>
      <c r="B7306" t="s">
        <v>312</v>
      </c>
      <c r="C7306" t="s">
        <v>322</v>
      </c>
      <c r="D7306" t="s">
        <v>35</v>
      </c>
      <c r="E7306" t="s">
        <v>17</v>
      </c>
      <c r="F7306" t="s">
        <v>17</v>
      </c>
      <c r="G7306" t="s">
        <v>36</v>
      </c>
      <c r="H7306" t="s">
        <v>43</v>
      </c>
      <c r="I7306" s="187">
        <v>2188.7363976374122</v>
      </c>
      <c r="J7306" s="187">
        <v>80.377325336967118</v>
      </c>
      <c r="K7306" s="187">
        <v>1348.8743610254826</v>
      </c>
      <c r="L7306" s="187">
        <v>1351.5756398970009</v>
      </c>
      <c r="M7306" s="187">
        <v>4969.5634765625</v>
      </c>
      <c r="N7306" s="187">
        <v>3540.31201171875</v>
      </c>
      <c r="O7306" t="s">
        <v>7260</v>
      </c>
    </row>
    <row r="7307" spans="1:15" hidden="1" x14ac:dyDescent="0.45">
      <c r="A7307" s="187">
        <v>2025</v>
      </c>
      <c r="B7307" t="s">
        <v>314</v>
      </c>
      <c r="C7307" t="s">
        <v>322</v>
      </c>
      <c r="D7307" t="s">
        <v>35</v>
      </c>
      <c r="E7307" t="s">
        <v>17</v>
      </c>
      <c r="F7307" t="s">
        <v>17</v>
      </c>
      <c r="G7307" t="s">
        <v>36</v>
      </c>
      <c r="H7307" t="s">
        <v>43</v>
      </c>
      <c r="I7307" s="187">
        <v>2842.1624130813152</v>
      </c>
      <c r="J7307" s="187">
        <v>81.537446276922978</v>
      </c>
      <c r="K7307" s="187">
        <v>1353.6955731763762</v>
      </c>
      <c r="L7307" s="187">
        <v>898.07672970725173</v>
      </c>
      <c r="M7307" s="187">
        <v>5175.47216796875</v>
      </c>
      <c r="N7307" s="187">
        <v>3740.239013671875</v>
      </c>
      <c r="O7307" t="s">
        <v>7256</v>
      </c>
    </row>
    <row r="7308" spans="1:15" hidden="1" x14ac:dyDescent="0.45">
      <c r="A7308" s="187">
        <v>2025</v>
      </c>
      <c r="B7308" t="s">
        <v>8570</v>
      </c>
      <c r="C7308" t="s">
        <v>322</v>
      </c>
      <c r="D7308" t="s">
        <v>35</v>
      </c>
      <c r="E7308" t="s">
        <v>17</v>
      </c>
      <c r="F7308" t="s">
        <v>17</v>
      </c>
      <c r="G7308" t="s">
        <v>36</v>
      </c>
      <c r="H7308" t="s">
        <v>43</v>
      </c>
      <c r="I7308" s="187">
        <v>3625.504434067157</v>
      </c>
      <c r="J7308" s="187">
        <v>150</v>
      </c>
      <c r="K7308" s="187">
        <v>1226.017680326082</v>
      </c>
      <c r="L7308" s="187">
        <v>1513</v>
      </c>
      <c r="M7308" s="187">
        <v>6514.52197265625</v>
      </c>
      <c r="N7308" s="187">
        <v>5138.50439453125</v>
      </c>
      <c r="O7308" t="s">
        <v>9079</v>
      </c>
    </row>
    <row r="7309" spans="1:15" hidden="1" x14ac:dyDescent="0.45">
      <c r="A7309" s="187">
        <v>2025</v>
      </c>
      <c r="B7309" t="s">
        <v>311</v>
      </c>
      <c r="C7309" t="s">
        <v>322</v>
      </c>
      <c r="D7309" t="s">
        <v>35</v>
      </c>
      <c r="E7309" t="s">
        <v>17</v>
      </c>
      <c r="F7309" t="s">
        <v>17</v>
      </c>
      <c r="G7309" t="s">
        <v>36</v>
      </c>
      <c r="H7309" t="s">
        <v>43</v>
      </c>
      <c r="I7309" s="187"/>
      <c r="J7309" s="187">
        <v>57.388235519475181</v>
      </c>
      <c r="K7309" s="187">
        <v>1773.6700707325458</v>
      </c>
      <c r="L7309" s="187">
        <v>1933.3458899449861</v>
      </c>
      <c r="M7309" s="187">
        <v>3764.404296875</v>
      </c>
      <c r="N7309" s="187">
        <v>1933.345947265625</v>
      </c>
      <c r="O7309" t="s">
        <v>7261</v>
      </c>
    </row>
    <row r="7310" spans="1:15" hidden="1" x14ac:dyDescent="0.45">
      <c r="A7310" s="187">
        <v>2025</v>
      </c>
      <c r="B7310" t="s">
        <v>313</v>
      </c>
      <c r="C7310" t="s">
        <v>322</v>
      </c>
      <c r="D7310" t="s">
        <v>35</v>
      </c>
      <c r="E7310" t="s">
        <v>17</v>
      </c>
      <c r="F7310" t="s">
        <v>17</v>
      </c>
      <c r="G7310" t="s">
        <v>36</v>
      </c>
      <c r="H7310" t="s">
        <v>43</v>
      </c>
      <c r="I7310" s="187">
        <v>2491.6150990266906</v>
      </c>
      <c r="J7310" s="187">
        <v>77.862971844584081</v>
      </c>
      <c r="K7310" s="187">
        <v>1432.3353827381525</v>
      </c>
      <c r="L7310" s="187">
        <v>2606.6127189817685</v>
      </c>
      <c r="M7310" s="187">
        <v>6608.42626953125</v>
      </c>
      <c r="N7310" s="187">
        <v>5098.2275390625</v>
      </c>
      <c r="O7310" t="s">
        <v>7259</v>
      </c>
    </row>
    <row r="7311" spans="1:15" hidden="1" x14ac:dyDescent="0.45">
      <c r="A7311" s="187">
        <v>2025</v>
      </c>
      <c r="B7311" t="s">
        <v>317</v>
      </c>
      <c r="C7311" t="s">
        <v>322</v>
      </c>
      <c r="D7311" t="s">
        <v>35</v>
      </c>
      <c r="E7311" t="s">
        <v>17</v>
      </c>
      <c r="F7311" t="s">
        <v>17</v>
      </c>
      <c r="G7311" t="s">
        <v>36</v>
      </c>
      <c r="H7311" t="s">
        <v>43</v>
      </c>
      <c r="I7311" s="187">
        <v>4568.6344498069084</v>
      </c>
      <c r="J7311" s="187">
        <v>162.07636435299739</v>
      </c>
      <c r="K7311" s="187">
        <v>1590.1710675845143</v>
      </c>
      <c r="L7311" s="187">
        <v>2654.8108481020972</v>
      </c>
      <c r="M7311" s="187">
        <v>8975.6923828125</v>
      </c>
      <c r="N7311" s="187">
        <v>7223.4453125</v>
      </c>
      <c r="O7311" t="s">
        <v>7262</v>
      </c>
    </row>
    <row r="7312" spans="1:15" hidden="1" x14ac:dyDescent="0.45">
      <c r="A7312" s="187">
        <v>2025</v>
      </c>
      <c r="B7312" t="s">
        <v>315</v>
      </c>
      <c r="C7312" t="s">
        <v>322</v>
      </c>
      <c r="D7312" t="s">
        <v>35</v>
      </c>
      <c r="E7312" t="s">
        <v>17</v>
      </c>
      <c r="F7312" t="s">
        <v>17</v>
      </c>
      <c r="G7312" t="s">
        <v>36</v>
      </c>
      <c r="H7312" t="s">
        <v>43</v>
      </c>
      <c r="I7312" s="187">
        <v>2764.0257442914044</v>
      </c>
      <c r="J7312" s="187">
        <v>79.295820532950131</v>
      </c>
      <c r="K7312" s="187">
        <v>1506.3799948808278</v>
      </c>
      <c r="L7312" s="187">
        <v>4399.7852421425468</v>
      </c>
      <c r="M7312" s="187">
        <v>8749.4873046875</v>
      </c>
      <c r="N7312" s="187">
        <v>7163.81103515625</v>
      </c>
      <c r="O7312" t="s">
        <v>7258</v>
      </c>
    </row>
    <row r="7313" spans="1:15" hidden="1" x14ac:dyDescent="0.45">
      <c r="A7313" s="187">
        <v>2025</v>
      </c>
      <c r="B7313" t="s">
        <v>314</v>
      </c>
      <c r="C7313" t="s">
        <v>322</v>
      </c>
      <c r="D7313" t="s">
        <v>35</v>
      </c>
      <c r="E7313" t="s">
        <v>17</v>
      </c>
      <c r="F7313" t="s">
        <v>17</v>
      </c>
      <c r="G7313" t="s">
        <v>37</v>
      </c>
      <c r="H7313" t="s">
        <v>43</v>
      </c>
      <c r="I7313" s="187">
        <v>2804.1671358006711</v>
      </c>
      <c r="J7313" s="187">
        <v>80</v>
      </c>
      <c r="K7313" s="187">
        <v>1337.4060129324539</v>
      </c>
      <c r="L7313" s="187">
        <v>953</v>
      </c>
      <c r="M7313" s="187">
        <v>5174.5732421875</v>
      </c>
      <c r="N7313" s="187">
        <v>3757.167236328125</v>
      </c>
      <c r="O7313" t="s">
        <v>7266</v>
      </c>
    </row>
    <row r="7314" spans="1:15" hidden="1" x14ac:dyDescent="0.45">
      <c r="A7314" s="187">
        <v>2025</v>
      </c>
      <c r="B7314" t="s">
        <v>8570</v>
      </c>
      <c r="C7314" t="s">
        <v>322</v>
      </c>
      <c r="D7314" t="s">
        <v>35</v>
      </c>
      <c r="E7314" t="s">
        <v>17</v>
      </c>
      <c r="F7314" t="s">
        <v>17</v>
      </c>
      <c r="G7314" t="s">
        <v>37</v>
      </c>
      <c r="H7314" t="s">
        <v>43</v>
      </c>
      <c r="I7314" s="187">
        <v>3847.4143094675392</v>
      </c>
      <c r="J7314" s="187">
        <v>150</v>
      </c>
      <c r="K7314" s="187">
        <v>1306.794998935507</v>
      </c>
      <c r="L7314" s="187">
        <v>1733</v>
      </c>
      <c r="M7314" s="187">
        <v>7037.20947265625</v>
      </c>
      <c r="N7314" s="187">
        <v>5580.4140625</v>
      </c>
      <c r="O7314" t="s">
        <v>9080</v>
      </c>
    </row>
    <row r="7315" spans="1:15" hidden="1" x14ac:dyDescent="0.45">
      <c r="A7315" s="187">
        <v>2025</v>
      </c>
      <c r="B7315" t="s">
        <v>315</v>
      </c>
      <c r="C7315" t="s">
        <v>322</v>
      </c>
      <c r="D7315" t="s">
        <v>35</v>
      </c>
      <c r="E7315" t="s">
        <v>17</v>
      </c>
      <c r="F7315" t="s">
        <v>17</v>
      </c>
      <c r="G7315" t="s">
        <v>37</v>
      </c>
      <c r="H7315" t="s">
        <v>43</v>
      </c>
      <c r="I7315" s="187">
        <v>2748.375120847466</v>
      </c>
      <c r="J7315" s="187">
        <v>77</v>
      </c>
      <c r="K7315" s="187">
        <v>1493.8287481056</v>
      </c>
      <c r="L7315" s="187">
        <v>4374</v>
      </c>
      <c r="M7315" s="187">
        <v>8693.203125</v>
      </c>
      <c r="N7315" s="187">
        <v>7122.375</v>
      </c>
      <c r="O7315" t="s">
        <v>7269</v>
      </c>
    </row>
    <row r="7316" spans="1:15" hidden="1" x14ac:dyDescent="0.45">
      <c r="A7316" s="187">
        <v>2025</v>
      </c>
      <c r="B7316" t="s">
        <v>317</v>
      </c>
      <c r="C7316" t="s">
        <v>322</v>
      </c>
      <c r="D7316" t="s">
        <v>35</v>
      </c>
      <c r="E7316" t="s">
        <v>17</v>
      </c>
      <c r="F7316" t="s">
        <v>17</v>
      </c>
      <c r="G7316" t="s">
        <v>37</v>
      </c>
      <c r="H7316" t="s">
        <v>43</v>
      </c>
      <c r="I7316" s="187">
        <v>4576.7655964175574</v>
      </c>
      <c r="J7316" s="187">
        <v>150</v>
      </c>
      <c r="K7316" s="187">
        <v>1583.291595063841</v>
      </c>
      <c r="L7316" s="187">
        <v>2631</v>
      </c>
      <c r="M7316" s="187">
        <v>8941.056640625</v>
      </c>
      <c r="N7316" s="187">
        <v>7207.765625</v>
      </c>
      <c r="O7316" t="s">
        <v>7267</v>
      </c>
    </row>
    <row r="7317" spans="1:15" hidden="1" x14ac:dyDescent="0.45">
      <c r="A7317" s="187">
        <v>2025</v>
      </c>
      <c r="B7317" t="s">
        <v>312</v>
      </c>
      <c r="C7317" t="s">
        <v>322</v>
      </c>
      <c r="D7317" t="s">
        <v>35</v>
      </c>
      <c r="E7317" t="s">
        <v>17</v>
      </c>
      <c r="F7317" t="s">
        <v>17</v>
      </c>
      <c r="G7317" t="s">
        <v>37</v>
      </c>
      <c r="H7317" t="s">
        <v>43</v>
      </c>
      <c r="I7317" s="187">
        <v>2079.9128125674802</v>
      </c>
      <c r="J7317" s="187">
        <v>78</v>
      </c>
      <c r="K7317" s="187">
        <v>1299.605200356749</v>
      </c>
      <c r="L7317" s="187">
        <v>1312</v>
      </c>
      <c r="M7317" s="187">
        <v>4769.51806640625</v>
      </c>
      <c r="N7317" s="187">
        <v>3391.912841796875</v>
      </c>
      <c r="O7317" t="s">
        <v>7263</v>
      </c>
    </row>
    <row r="7318" spans="1:15" hidden="1" x14ac:dyDescent="0.45">
      <c r="A7318" s="187">
        <v>2025</v>
      </c>
      <c r="B7318" t="s">
        <v>313</v>
      </c>
      <c r="C7318" t="s">
        <v>322</v>
      </c>
      <c r="D7318" t="s">
        <v>35</v>
      </c>
      <c r="E7318" t="s">
        <v>17</v>
      </c>
      <c r="F7318" t="s">
        <v>17</v>
      </c>
      <c r="G7318" t="s">
        <v>37</v>
      </c>
      <c r="H7318" t="s">
        <v>43</v>
      </c>
      <c r="I7318" s="187">
        <v>2432.0311719033971</v>
      </c>
      <c r="J7318" s="187">
        <v>76</v>
      </c>
      <c r="K7318" s="187">
        <v>1394.7026468230199</v>
      </c>
      <c r="L7318" s="187">
        <v>2574</v>
      </c>
      <c r="M7318" s="187">
        <v>6476.73388671875</v>
      </c>
      <c r="N7318" s="187">
        <v>5006.03125</v>
      </c>
      <c r="O7318" t="s">
        <v>7265</v>
      </c>
    </row>
    <row r="7319" spans="1:15" hidden="1" x14ac:dyDescent="0.45">
      <c r="A7319" s="187">
        <v>2025</v>
      </c>
      <c r="B7319" t="s">
        <v>311</v>
      </c>
      <c r="C7319" t="s">
        <v>322</v>
      </c>
      <c r="D7319" t="s">
        <v>35</v>
      </c>
      <c r="E7319" t="s">
        <v>17</v>
      </c>
      <c r="F7319" t="s">
        <v>17</v>
      </c>
      <c r="G7319" t="s">
        <v>37</v>
      </c>
      <c r="H7319" t="s">
        <v>43</v>
      </c>
      <c r="I7319" s="187"/>
      <c r="J7319" s="187">
        <v>55</v>
      </c>
      <c r="K7319" s="187">
        <v>1682.993781107544</v>
      </c>
      <c r="L7319" s="187">
        <v>1962</v>
      </c>
      <c r="M7319" s="187">
        <v>3699.99365234375</v>
      </c>
      <c r="N7319" s="187">
        <v>1962</v>
      </c>
      <c r="O7319" t="s">
        <v>7264</v>
      </c>
    </row>
    <row r="7320" spans="1:15" hidden="1" x14ac:dyDescent="0.45">
      <c r="A7320" s="187">
        <v>2025</v>
      </c>
      <c r="B7320" t="s">
        <v>316</v>
      </c>
      <c r="C7320" t="s">
        <v>322</v>
      </c>
      <c r="D7320" t="s">
        <v>35</v>
      </c>
      <c r="E7320" t="s">
        <v>17</v>
      </c>
      <c r="F7320" t="s">
        <v>17</v>
      </c>
      <c r="G7320" t="s">
        <v>37</v>
      </c>
      <c r="H7320" t="s">
        <v>43</v>
      </c>
      <c r="I7320" s="187">
        <v>2748</v>
      </c>
      <c r="J7320" s="187">
        <v>150</v>
      </c>
      <c r="K7320" s="187">
        <v>2110.144560370381</v>
      </c>
      <c r="L7320" s="187">
        <v>4337</v>
      </c>
      <c r="M7320" s="187">
        <v>9345.14453125</v>
      </c>
      <c r="N7320" s="187">
        <v>7085</v>
      </c>
      <c r="O7320" t="s">
        <v>7268</v>
      </c>
    </row>
    <row r="7321" spans="1:15" hidden="1" x14ac:dyDescent="0.45">
      <c r="A7321" s="187">
        <v>2025</v>
      </c>
      <c r="B7321" t="s">
        <v>313</v>
      </c>
      <c r="C7321" t="s">
        <v>322</v>
      </c>
      <c r="D7321" t="s">
        <v>35</v>
      </c>
      <c r="E7321" t="s">
        <v>45</v>
      </c>
      <c r="F7321" t="s">
        <v>45</v>
      </c>
      <c r="G7321" t="s">
        <v>37</v>
      </c>
      <c r="H7321" t="s">
        <v>43</v>
      </c>
      <c r="I7321" s="187">
        <v>1210.7452185109291</v>
      </c>
      <c r="J7321" s="187">
        <v>0</v>
      </c>
      <c r="K7321" s="187">
        <v>340.36217753069741</v>
      </c>
      <c r="L7321" s="187">
        <v>5232</v>
      </c>
      <c r="M7321" s="187">
        <v>6783.107421875</v>
      </c>
      <c r="N7321" s="187">
        <v>6442.7451171875</v>
      </c>
      <c r="O7321" t="s">
        <v>7270</v>
      </c>
    </row>
    <row r="7322" spans="1:15" hidden="1" x14ac:dyDescent="0.45">
      <c r="A7322" s="187">
        <v>2025</v>
      </c>
      <c r="B7322" t="s">
        <v>316</v>
      </c>
      <c r="C7322" t="s">
        <v>322</v>
      </c>
      <c r="D7322" t="s">
        <v>35</v>
      </c>
      <c r="E7322" t="s">
        <v>45</v>
      </c>
      <c r="F7322" t="s">
        <v>45</v>
      </c>
      <c r="G7322" t="s">
        <v>37</v>
      </c>
      <c r="H7322" t="s">
        <v>43</v>
      </c>
      <c r="I7322" s="187">
        <v>1988</v>
      </c>
      <c r="J7322" s="187"/>
      <c r="K7322" s="187">
        <v>970.62789417689794</v>
      </c>
      <c r="L7322" s="187">
        <v>7922</v>
      </c>
      <c r="M7322" s="187">
        <v>10880.6279296875</v>
      </c>
      <c r="N7322" s="187">
        <v>9910</v>
      </c>
      <c r="O7322" t="s">
        <v>7275</v>
      </c>
    </row>
    <row r="7323" spans="1:15" hidden="1" x14ac:dyDescent="0.45">
      <c r="A7323" s="187">
        <v>2025</v>
      </c>
      <c r="B7323" t="s">
        <v>312</v>
      </c>
      <c r="C7323" t="s">
        <v>322</v>
      </c>
      <c r="D7323" t="s">
        <v>35</v>
      </c>
      <c r="E7323" t="s">
        <v>45</v>
      </c>
      <c r="F7323" t="s">
        <v>45</v>
      </c>
      <c r="G7323" t="s">
        <v>37</v>
      </c>
      <c r="H7323" t="s">
        <v>43</v>
      </c>
      <c r="I7323" s="187">
        <v>1217.4536387091341</v>
      </c>
      <c r="J7323" s="187">
        <v>0</v>
      </c>
      <c r="K7323" s="187">
        <v>824.38424325652159</v>
      </c>
      <c r="L7323" s="187">
        <v>4148</v>
      </c>
      <c r="M7323" s="187">
        <v>6189.837890625</v>
      </c>
      <c r="N7323" s="187">
        <v>5365.45361328125</v>
      </c>
      <c r="O7323" t="s">
        <v>7276</v>
      </c>
    </row>
    <row r="7324" spans="1:15" hidden="1" x14ac:dyDescent="0.45">
      <c r="A7324" s="187">
        <v>2025</v>
      </c>
      <c r="B7324" t="s">
        <v>317</v>
      </c>
      <c r="C7324" t="s">
        <v>322</v>
      </c>
      <c r="D7324" t="s">
        <v>35</v>
      </c>
      <c r="E7324" t="s">
        <v>45</v>
      </c>
      <c r="F7324" t="s">
        <v>45</v>
      </c>
      <c r="G7324" t="s">
        <v>37</v>
      </c>
      <c r="H7324" t="s">
        <v>43</v>
      </c>
      <c r="I7324" s="187">
        <v>2119.845641735953</v>
      </c>
      <c r="J7324" s="187"/>
      <c r="K7324" s="187">
        <v>957.97895917314077</v>
      </c>
      <c r="L7324" s="187">
        <v>23298</v>
      </c>
      <c r="M7324" s="187">
        <v>26375.82421875</v>
      </c>
      <c r="N7324" s="187">
        <v>25417.845703125</v>
      </c>
      <c r="O7324" t="s">
        <v>7271</v>
      </c>
    </row>
    <row r="7325" spans="1:15" hidden="1" x14ac:dyDescent="0.45">
      <c r="A7325" s="187">
        <v>2025</v>
      </c>
      <c r="B7325" t="s">
        <v>8570</v>
      </c>
      <c r="C7325" t="s">
        <v>322</v>
      </c>
      <c r="D7325" t="s">
        <v>35</v>
      </c>
      <c r="E7325" t="s">
        <v>45</v>
      </c>
      <c r="F7325" t="s">
        <v>45</v>
      </c>
      <c r="G7325" t="s">
        <v>37</v>
      </c>
      <c r="H7325" t="s">
        <v>43</v>
      </c>
      <c r="I7325" s="187">
        <v>1675.3376149207611</v>
      </c>
      <c r="J7325" s="187"/>
      <c r="K7325" s="187">
        <v>633.86308664419653</v>
      </c>
      <c r="L7325" s="187">
        <v>19418</v>
      </c>
      <c r="M7325" s="187">
        <v>21727.201171875</v>
      </c>
      <c r="N7325" s="187">
        <v>21093.337890625</v>
      </c>
      <c r="O7325" t="s">
        <v>9081</v>
      </c>
    </row>
    <row r="7326" spans="1:15" hidden="1" x14ac:dyDescent="0.45">
      <c r="A7326" s="187">
        <v>2025</v>
      </c>
      <c r="B7326" t="s">
        <v>315</v>
      </c>
      <c r="C7326" t="s">
        <v>322</v>
      </c>
      <c r="D7326" t="s">
        <v>35</v>
      </c>
      <c r="E7326" t="s">
        <v>45</v>
      </c>
      <c r="F7326" t="s">
        <v>45</v>
      </c>
      <c r="G7326" t="s">
        <v>37</v>
      </c>
      <c r="H7326" t="s">
        <v>43</v>
      </c>
      <c r="I7326" s="187">
        <v>1973.896562183103</v>
      </c>
      <c r="J7326" s="187">
        <v>0</v>
      </c>
      <c r="K7326" s="187">
        <v>897.69320515313677</v>
      </c>
      <c r="L7326" s="187">
        <v>7599</v>
      </c>
      <c r="M7326" s="187">
        <v>10470.58984375</v>
      </c>
      <c r="N7326" s="187">
        <v>9572.896484375</v>
      </c>
      <c r="O7326" t="s">
        <v>7273</v>
      </c>
    </row>
    <row r="7327" spans="1:15" hidden="1" x14ac:dyDescent="0.45">
      <c r="A7327" s="187">
        <v>2025</v>
      </c>
      <c r="B7327" t="s">
        <v>311</v>
      </c>
      <c r="C7327" t="s">
        <v>322</v>
      </c>
      <c r="D7327" t="s">
        <v>35</v>
      </c>
      <c r="E7327" t="s">
        <v>45</v>
      </c>
      <c r="F7327" t="s">
        <v>45</v>
      </c>
      <c r="G7327" t="s">
        <v>37</v>
      </c>
      <c r="H7327" t="s">
        <v>43</v>
      </c>
      <c r="I7327" s="187"/>
      <c r="J7327" s="187">
        <v>0</v>
      </c>
      <c r="K7327" s="187">
        <v>748.39342143893464</v>
      </c>
      <c r="L7327" s="187">
        <v>8747</v>
      </c>
      <c r="M7327" s="187">
        <v>9495.3935546875</v>
      </c>
      <c r="N7327" s="187">
        <v>8747</v>
      </c>
      <c r="O7327" t="s">
        <v>7272</v>
      </c>
    </row>
    <row r="7328" spans="1:15" hidden="1" x14ac:dyDescent="0.45">
      <c r="A7328" s="187">
        <v>2025</v>
      </c>
      <c r="B7328" t="s">
        <v>314</v>
      </c>
      <c r="C7328" t="s">
        <v>322</v>
      </c>
      <c r="D7328" t="s">
        <v>35</v>
      </c>
      <c r="E7328" t="s">
        <v>45</v>
      </c>
      <c r="F7328" t="s">
        <v>45</v>
      </c>
      <c r="G7328" t="s">
        <v>37</v>
      </c>
      <c r="H7328" t="s">
        <v>43</v>
      </c>
      <c r="I7328" s="187">
        <v>1752.42003</v>
      </c>
      <c r="J7328" s="187">
        <v>0</v>
      </c>
      <c r="K7328" s="187">
        <v>358.28182423352217</v>
      </c>
      <c r="L7328" s="187">
        <v>8704</v>
      </c>
      <c r="M7328" s="187">
        <v>10814.7021484375</v>
      </c>
      <c r="N7328" s="187">
        <v>10456.419921875</v>
      </c>
      <c r="O7328" t="s">
        <v>7274</v>
      </c>
    </row>
    <row r="7329" spans="1:15" hidden="1" x14ac:dyDescent="0.45">
      <c r="A7329" s="187">
        <v>2025</v>
      </c>
      <c r="B7329" t="s">
        <v>313</v>
      </c>
      <c r="C7329" t="s">
        <v>322</v>
      </c>
      <c r="D7329" t="s">
        <v>35</v>
      </c>
      <c r="E7329" t="s">
        <v>355</v>
      </c>
      <c r="F7329" t="s">
        <v>355</v>
      </c>
      <c r="G7329" t="s">
        <v>37</v>
      </c>
      <c r="H7329" t="s">
        <v>43</v>
      </c>
      <c r="I7329" s="187"/>
      <c r="J7329" s="187"/>
      <c r="K7329" s="187"/>
      <c r="L7329" s="187">
        <v>25609</v>
      </c>
      <c r="M7329" s="187">
        <v>25609</v>
      </c>
      <c r="N7329" s="187">
        <v>25609</v>
      </c>
      <c r="O7329" t="s">
        <v>7277</v>
      </c>
    </row>
    <row r="7330" spans="1:15" hidden="1" x14ac:dyDescent="0.45">
      <c r="A7330" s="187">
        <v>2025</v>
      </c>
      <c r="B7330" t="s">
        <v>8570</v>
      </c>
      <c r="C7330" t="s">
        <v>322</v>
      </c>
      <c r="D7330" t="s">
        <v>35</v>
      </c>
      <c r="E7330" t="s">
        <v>355</v>
      </c>
      <c r="F7330" t="s">
        <v>355</v>
      </c>
      <c r="G7330" t="s">
        <v>37</v>
      </c>
      <c r="H7330" t="s">
        <v>43</v>
      </c>
      <c r="I7330" s="187">
        <v>12973.41870784142</v>
      </c>
      <c r="J7330" s="187"/>
      <c r="K7330" s="187"/>
      <c r="L7330" s="187"/>
      <c r="M7330" s="187">
        <v>12973.4189453125</v>
      </c>
      <c r="N7330" s="187">
        <v>12973.4189453125</v>
      </c>
      <c r="O7330" t="s">
        <v>9082</v>
      </c>
    </row>
    <row r="7331" spans="1:15" hidden="1" x14ac:dyDescent="0.45">
      <c r="A7331" s="187">
        <v>2025</v>
      </c>
      <c r="B7331" t="s">
        <v>317</v>
      </c>
      <c r="C7331" t="s">
        <v>322</v>
      </c>
      <c r="D7331" t="s">
        <v>35</v>
      </c>
      <c r="E7331" t="s">
        <v>356</v>
      </c>
      <c r="F7331" t="s">
        <v>356</v>
      </c>
      <c r="G7331" t="s">
        <v>37</v>
      </c>
      <c r="H7331" t="s">
        <v>43</v>
      </c>
      <c r="I7331" s="187"/>
      <c r="J7331" s="187"/>
      <c r="K7331" s="187">
        <v>0</v>
      </c>
      <c r="L7331" s="187">
        <v>0</v>
      </c>
      <c r="M7331" s="187">
        <v>0</v>
      </c>
      <c r="N7331" s="187">
        <v>0</v>
      </c>
      <c r="O7331" t="s">
        <v>7279</v>
      </c>
    </row>
    <row r="7332" spans="1:15" hidden="1" x14ac:dyDescent="0.45">
      <c r="A7332" s="187">
        <v>2025</v>
      </c>
      <c r="B7332" t="s">
        <v>311</v>
      </c>
      <c r="C7332" t="s">
        <v>322</v>
      </c>
      <c r="D7332" t="s">
        <v>35</v>
      </c>
      <c r="E7332" t="s">
        <v>356</v>
      </c>
      <c r="F7332" t="s">
        <v>356</v>
      </c>
      <c r="G7332" t="s">
        <v>37</v>
      </c>
      <c r="H7332" t="s">
        <v>43</v>
      </c>
      <c r="I7332" s="187"/>
      <c r="J7332" s="187">
        <v>0</v>
      </c>
      <c r="K7332" s="187">
        <v>0</v>
      </c>
      <c r="L7332" s="187">
        <v>0</v>
      </c>
      <c r="M7332" s="187">
        <v>0</v>
      </c>
      <c r="N7332" s="187">
        <v>0</v>
      </c>
      <c r="O7332" t="s">
        <v>7282</v>
      </c>
    </row>
    <row r="7333" spans="1:15" hidden="1" x14ac:dyDescent="0.45">
      <c r="A7333" s="187">
        <v>2025</v>
      </c>
      <c r="B7333" t="s">
        <v>8570</v>
      </c>
      <c r="C7333" t="s">
        <v>322</v>
      </c>
      <c r="D7333" t="s">
        <v>35</v>
      </c>
      <c r="E7333" t="s">
        <v>356</v>
      </c>
      <c r="F7333" t="s">
        <v>356</v>
      </c>
      <c r="G7333" t="s">
        <v>37</v>
      </c>
      <c r="H7333" t="s">
        <v>43</v>
      </c>
      <c r="I7333" s="187">
        <v>0</v>
      </c>
      <c r="J7333" s="187"/>
      <c r="K7333" s="187">
        <v>0</v>
      </c>
      <c r="L7333" s="187">
        <v>0</v>
      </c>
      <c r="M7333" s="187">
        <v>0</v>
      </c>
      <c r="N7333" s="187">
        <v>0</v>
      </c>
      <c r="O7333" t="s">
        <v>9083</v>
      </c>
    </row>
    <row r="7334" spans="1:15" hidden="1" x14ac:dyDescent="0.45">
      <c r="A7334" s="187">
        <v>2025</v>
      </c>
      <c r="B7334" t="s">
        <v>316</v>
      </c>
      <c r="C7334" t="s">
        <v>322</v>
      </c>
      <c r="D7334" t="s">
        <v>35</v>
      </c>
      <c r="E7334" t="s">
        <v>356</v>
      </c>
      <c r="F7334" t="s">
        <v>356</v>
      </c>
      <c r="G7334" t="s">
        <v>37</v>
      </c>
      <c r="H7334" t="s">
        <v>43</v>
      </c>
      <c r="I7334" s="187"/>
      <c r="J7334" s="187"/>
      <c r="K7334" s="187">
        <v>0</v>
      </c>
      <c r="L7334" s="187">
        <v>0</v>
      </c>
      <c r="M7334" s="187">
        <v>0</v>
      </c>
      <c r="N7334" s="187">
        <v>0</v>
      </c>
      <c r="O7334" t="s">
        <v>7280</v>
      </c>
    </row>
    <row r="7335" spans="1:15" hidden="1" x14ac:dyDescent="0.45">
      <c r="A7335" s="187">
        <v>2025</v>
      </c>
      <c r="B7335" t="s">
        <v>313</v>
      </c>
      <c r="C7335" t="s">
        <v>322</v>
      </c>
      <c r="D7335" t="s">
        <v>35</v>
      </c>
      <c r="E7335" t="s">
        <v>356</v>
      </c>
      <c r="F7335" t="s">
        <v>356</v>
      </c>
      <c r="G7335" t="s">
        <v>37</v>
      </c>
      <c r="H7335" t="s">
        <v>43</v>
      </c>
      <c r="I7335" s="187"/>
      <c r="J7335" s="187">
        <v>0</v>
      </c>
      <c r="K7335" s="187">
        <v>0</v>
      </c>
      <c r="L7335" s="187">
        <v>0</v>
      </c>
      <c r="M7335" s="187">
        <v>0</v>
      </c>
      <c r="N7335" s="187">
        <v>0</v>
      </c>
      <c r="O7335" t="s">
        <v>7278</v>
      </c>
    </row>
    <row r="7336" spans="1:15" hidden="1" x14ac:dyDescent="0.45">
      <c r="A7336" s="187">
        <v>2025</v>
      </c>
      <c r="B7336" t="s">
        <v>312</v>
      </c>
      <c r="C7336" t="s">
        <v>322</v>
      </c>
      <c r="D7336" t="s">
        <v>35</v>
      </c>
      <c r="E7336" t="s">
        <v>356</v>
      </c>
      <c r="F7336" t="s">
        <v>356</v>
      </c>
      <c r="G7336" t="s">
        <v>37</v>
      </c>
      <c r="H7336" t="s">
        <v>43</v>
      </c>
      <c r="I7336" s="187">
        <v>0</v>
      </c>
      <c r="J7336" s="187">
        <v>0</v>
      </c>
      <c r="K7336" s="187">
        <v>0</v>
      </c>
      <c r="L7336" s="187">
        <v>0</v>
      </c>
      <c r="M7336" s="187">
        <v>0</v>
      </c>
      <c r="N7336" s="187">
        <v>0</v>
      </c>
      <c r="O7336" t="s">
        <v>7281</v>
      </c>
    </row>
    <row r="7337" spans="1:15" hidden="1" x14ac:dyDescent="0.45">
      <c r="A7337" s="187">
        <v>2025</v>
      </c>
      <c r="B7337" t="s">
        <v>315</v>
      </c>
      <c r="C7337" t="s">
        <v>322</v>
      </c>
      <c r="D7337" t="s">
        <v>35</v>
      </c>
      <c r="E7337" t="s">
        <v>356</v>
      </c>
      <c r="F7337" t="s">
        <v>356</v>
      </c>
      <c r="G7337" t="s">
        <v>37</v>
      </c>
      <c r="H7337" t="s">
        <v>43</v>
      </c>
      <c r="I7337" s="187"/>
      <c r="J7337" s="187">
        <v>0</v>
      </c>
      <c r="K7337" s="187">
        <v>0</v>
      </c>
      <c r="L7337" s="187">
        <v>0</v>
      </c>
      <c r="M7337" s="187">
        <v>0</v>
      </c>
      <c r="N7337" s="187">
        <v>0</v>
      </c>
      <c r="O7337" t="s">
        <v>7283</v>
      </c>
    </row>
    <row r="7338" spans="1:15" hidden="1" x14ac:dyDescent="0.45">
      <c r="A7338" s="187">
        <v>2025</v>
      </c>
      <c r="B7338" t="s">
        <v>314</v>
      </c>
      <c r="C7338" t="s">
        <v>322</v>
      </c>
      <c r="D7338" t="s">
        <v>35</v>
      </c>
      <c r="E7338" t="s">
        <v>356</v>
      </c>
      <c r="F7338" t="s">
        <v>356</v>
      </c>
      <c r="G7338" t="s">
        <v>37</v>
      </c>
      <c r="H7338" t="s">
        <v>43</v>
      </c>
      <c r="I7338" s="187"/>
      <c r="J7338" s="187">
        <v>0</v>
      </c>
      <c r="K7338" s="187">
        <v>0</v>
      </c>
      <c r="L7338" s="187">
        <v>0</v>
      </c>
      <c r="M7338" s="187">
        <v>0</v>
      </c>
      <c r="N7338" s="187">
        <v>0</v>
      </c>
      <c r="O7338" t="s">
        <v>7284</v>
      </c>
    </row>
    <row r="7339" spans="1:15" hidden="1" x14ac:dyDescent="0.45">
      <c r="A7339" s="187">
        <v>2025</v>
      </c>
      <c r="B7339" t="s">
        <v>317</v>
      </c>
      <c r="C7339" t="s">
        <v>323</v>
      </c>
      <c r="D7339" t="s">
        <v>35</v>
      </c>
      <c r="E7339" t="s">
        <v>349</v>
      </c>
      <c r="F7339" t="s">
        <v>388</v>
      </c>
      <c r="G7339" t="s">
        <v>36</v>
      </c>
      <c r="H7339" t="s">
        <v>43</v>
      </c>
      <c r="I7339" s="187">
        <v>5316.1047507783151</v>
      </c>
      <c r="J7339" s="187">
        <v>534.8520023648914</v>
      </c>
      <c r="K7339" s="187">
        <v>6320.4573053066379</v>
      </c>
      <c r="L7339" s="187">
        <v>3138.8789229697163</v>
      </c>
      <c r="M7339" s="187">
        <v>15310.29296875</v>
      </c>
      <c r="N7339" s="187">
        <v>8454.984375</v>
      </c>
      <c r="O7339" t="s">
        <v>7286</v>
      </c>
    </row>
    <row r="7340" spans="1:15" hidden="1" x14ac:dyDescent="0.45">
      <c r="A7340" s="187">
        <v>2025</v>
      </c>
      <c r="B7340" t="s">
        <v>8570</v>
      </c>
      <c r="C7340" t="s">
        <v>323</v>
      </c>
      <c r="D7340" t="s">
        <v>35</v>
      </c>
      <c r="E7340" t="s">
        <v>349</v>
      </c>
      <c r="F7340" t="s">
        <v>388</v>
      </c>
      <c r="G7340" t="s">
        <v>36</v>
      </c>
      <c r="H7340" t="s">
        <v>43</v>
      </c>
      <c r="I7340" s="187">
        <v>3745.7921177600001</v>
      </c>
      <c r="J7340" s="187">
        <v>495</v>
      </c>
      <c r="K7340" s="187">
        <v>4565.0450293516387</v>
      </c>
      <c r="L7340" s="187">
        <v>3113</v>
      </c>
      <c r="M7340" s="187">
        <v>11918.8369140625</v>
      </c>
      <c r="N7340" s="187">
        <v>6858.7919921875</v>
      </c>
      <c r="O7340" t="s">
        <v>9084</v>
      </c>
    </row>
    <row r="7341" spans="1:15" hidden="1" x14ac:dyDescent="0.45">
      <c r="A7341" s="187">
        <v>2025</v>
      </c>
      <c r="B7341" t="s">
        <v>316</v>
      </c>
      <c r="C7341" t="s">
        <v>323</v>
      </c>
      <c r="D7341" t="s">
        <v>35</v>
      </c>
      <c r="E7341" t="s">
        <v>349</v>
      </c>
      <c r="F7341" t="s">
        <v>388</v>
      </c>
      <c r="G7341" t="s">
        <v>36</v>
      </c>
      <c r="H7341" t="s">
        <v>43</v>
      </c>
      <c r="I7341" s="187">
        <v>4662.4684178448588</v>
      </c>
      <c r="J7341" s="187">
        <v>545.21965012467604</v>
      </c>
      <c r="K7341" s="187">
        <v>5024.3779279508499</v>
      </c>
      <c r="L7341" s="187">
        <v>2719.4895275915655</v>
      </c>
      <c r="M7341" s="187">
        <v>12951.5546875</v>
      </c>
      <c r="N7341" s="187">
        <v>7381.9580078125</v>
      </c>
      <c r="O7341" t="s">
        <v>7285</v>
      </c>
    </row>
    <row r="7342" spans="1:15" hidden="1" x14ac:dyDescent="0.45">
      <c r="A7342" s="187">
        <v>2025</v>
      </c>
      <c r="B7342" t="s">
        <v>8570</v>
      </c>
      <c r="C7342" t="s">
        <v>323</v>
      </c>
      <c r="D7342" t="s">
        <v>35</v>
      </c>
      <c r="E7342" t="s">
        <v>349</v>
      </c>
      <c r="F7342" t="s">
        <v>389</v>
      </c>
      <c r="G7342" t="s">
        <v>36</v>
      </c>
      <c r="H7342" t="s">
        <v>43</v>
      </c>
      <c r="I7342" s="187">
        <v>0</v>
      </c>
      <c r="J7342" s="187"/>
      <c r="K7342" s="187">
        <v>0</v>
      </c>
      <c r="L7342" s="187">
        <v>0</v>
      </c>
      <c r="M7342" s="187">
        <v>0</v>
      </c>
      <c r="N7342" s="187">
        <v>0</v>
      </c>
      <c r="O7342" t="s">
        <v>9085</v>
      </c>
    </row>
    <row r="7343" spans="1:15" hidden="1" x14ac:dyDescent="0.45">
      <c r="A7343" s="187">
        <v>2025</v>
      </c>
      <c r="B7343" t="s">
        <v>317</v>
      </c>
      <c r="C7343" t="s">
        <v>323</v>
      </c>
      <c r="D7343" t="s">
        <v>35</v>
      </c>
      <c r="E7343" t="s">
        <v>349</v>
      </c>
      <c r="F7343" t="s">
        <v>389</v>
      </c>
      <c r="G7343" t="s">
        <v>36</v>
      </c>
      <c r="H7343" t="s">
        <v>43</v>
      </c>
      <c r="I7343" s="187">
        <v>0</v>
      </c>
      <c r="J7343" s="187"/>
      <c r="K7343" s="187">
        <v>0</v>
      </c>
      <c r="L7343" s="187">
        <v>0</v>
      </c>
      <c r="M7343" s="187">
        <v>0</v>
      </c>
      <c r="N7343" s="187">
        <v>0</v>
      </c>
      <c r="O7343" t="s">
        <v>7287</v>
      </c>
    </row>
    <row r="7344" spans="1:15" hidden="1" x14ac:dyDescent="0.45">
      <c r="A7344" s="187">
        <v>2025</v>
      </c>
      <c r="B7344" t="s">
        <v>316</v>
      </c>
      <c r="C7344" t="s">
        <v>323</v>
      </c>
      <c r="D7344" t="s">
        <v>35</v>
      </c>
      <c r="E7344" t="s">
        <v>349</v>
      </c>
      <c r="F7344" t="s">
        <v>389</v>
      </c>
      <c r="G7344" t="s">
        <v>36</v>
      </c>
      <c r="H7344" t="s">
        <v>43</v>
      </c>
      <c r="I7344" s="187">
        <v>0</v>
      </c>
      <c r="J7344" s="187"/>
      <c r="K7344" s="187">
        <v>0</v>
      </c>
      <c r="L7344" s="187"/>
      <c r="M7344" s="187">
        <v>0</v>
      </c>
      <c r="N7344" s="187">
        <v>0</v>
      </c>
      <c r="O7344" t="s">
        <v>7288</v>
      </c>
    </row>
    <row r="7345" spans="1:15" hidden="1" x14ac:dyDescent="0.45">
      <c r="A7345" s="187">
        <v>2025</v>
      </c>
      <c r="B7345" t="s">
        <v>316</v>
      </c>
      <c r="C7345" t="s">
        <v>323</v>
      </c>
      <c r="D7345" t="s">
        <v>35</v>
      </c>
      <c r="E7345" t="s">
        <v>349</v>
      </c>
      <c r="F7345" t="s">
        <v>390</v>
      </c>
      <c r="G7345" t="s">
        <v>36</v>
      </c>
      <c r="H7345" t="s">
        <v>43</v>
      </c>
      <c r="I7345" s="187">
        <v>4662.4684178448588</v>
      </c>
      <c r="J7345" s="187">
        <v>545.21965012467604</v>
      </c>
      <c r="K7345" s="187">
        <v>5024.3779279508499</v>
      </c>
      <c r="L7345" s="187">
        <v>2719.4895275915655</v>
      </c>
      <c r="M7345" s="187">
        <v>12951.5546875</v>
      </c>
      <c r="N7345" s="187">
        <v>7381.9580078125</v>
      </c>
      <c r="O7345" t="s">
        <v>7290</v>
      </c>
    </row>
    <row r="7346" spans="1:15" hidden="1" x14ac:dyDescent="0.45">
      <c r="A7346" s="187">
        <v>2025</v>
      </c>
      <c r="B7346" t="s">
        <v>317</v>
      </c>
      <c r="C7346" t="s">
        <v>323</v>
      </c>
      <c r="D7346" t="s">
        <v>35</v>
      </c>
      <c r="E7346" t="s">
        <v>349</v>
      </c>
      <c r="F7346" t="s">
        <v>390</v>
      </c>
      <c r="G7346" t="s">
        <v>36</v>
      </c>
      <c r="H7346" t="s">
        <v>43</v>
      </c>
      <c r="I7346" s="187">
        <v>5316.1047507783151</v>
      </c>
      <c r="J7346" s="187">
        <v>534.8520023648914</v>
      </c>
      <c r="K7346" s="187">
        <v>6320.4573053066379</v>
      </c>
      <c r="L7346" s="187">
        <v>3138.8789229697163</v>
      </c>
      <c r="M7346" s="187">
        <v>15310.29296875</v>
      </c>
      <c r="N7346" s="187">
        <v>8454.984375</v>
      </c>
      <c r="O7346" t="s">
        <v>7289</v>
      </c>
    </row>
    <row r="7347" spans="1:15" hidden="1" x14ac:dyDescent="0.45">
      <c r="A7347" s="187">
        <v>2025</v>
      </c>
      <c r="B7347" t="s">
        <v>8570</v>
      </c>
      <c r="C7347" t="s">
        <v>323</v>
      </c>
      <c r="D7347" t="s">
        <v>35</v>
      </c>
      <c r="E7347" t="s">
        <v>349</v>
      </c>
      <c r="F7347" t="s">
        <v>390</v>
      </c>
      <c r="G7347" t="s">
        <v>36</v>
      </c>
      <c r="H7347" t="s">
        <v>43</v>
      </c>
      <c r="I7347" s="187">
        <v>3745.7921177600001</v>
      </c>
      <c r="J7347" s="187">
        <v>495</v>
      </c>
      <c r="K7347" s="187">
        <v>4565.0450293516387</v>
      </c>
      <c r="L7347" s="187">
        <v>3113</v>
      </c>
      <c r="M7347" s="187">
        <v>11918.8369140625</v>
      </c>
      <c r="N7347" s="187">
        <v>6858.7919921875</v>
      </c>
      <c r="O7347" t="s">
        <v>9086</v>
      </c>
    </row>
    <row r="7348" spans="1:15" hidden="1" x14ac:dyDescent="0.45">
      <c r="A7348" s="187">
        <v>2025</v>
      </c>
      <c r="B7348" t="s">
        <v>316</v>
      </c>
      <c r="C7348" t="s">
        <v>323</v>
      </c>
      <c r="D7348" t="s">
        <v>35</v>
      </c>
      <c r="E7348" t="s">
        <v>349</v>
      </c>
      <c r="F7348" t="s">
        <v>391</v>
      </c>
      <c r="G7348" t="s">
        <v>36</v>
      </c>
      <c r="H7348" t="s">
        <v>43</v>
      </c>
      <c r="I7348" s="187">
        <v>381.57885622624599</v>
      </c>
      <c r="J7348" s="187">
        <v>11.01453838635709</v>
      </c>
      <c r="K7348" s="187">
        <v>1152.601663288918</v>
      </c>
      <c r="L7348" s="187">
        <v>665.27811853596825</v>
      </c>
      <c r="M7348" s="187">
        <v>2210.47314453125</v>
      </c>
      <c r="N7348" s="187">
        <v>1046.85693359375</v>
      </c>
      <c r="O7348" t="s">
        <v>7292</v>
      </c>
    </row>
    <row r="7349" spans="1:15" hidden="1" x14ac:dyDescent="0.45">
      <c r="A7349" s="187">
        <v>2025</v>
      </c>
      <c r="B7349" t="s">
        <v>317</v>
      </c>
      <c r="C7349" t="s">
        <v>323</v>
      </c>
      <c r="D7349" t="s">
        <v>35</v>
      </c>
      <c r="E7349" t="s">
        <v>349</v>
      </c>
      <c r="F7349" t="s">
        <v>391</v>
      </c>
      <c r="G7349" t="s">
        <v>36</v>
      </c>
      <c r="H7349" t="s">
        <v>43</v>
      </c>
      <c r="I7349" s="187">
        <v>324.15272870599478</v>
      </c>
      <c r="J7349" s="187">
        <v>10.805090956866493</v>
      </c>
      <c r="K7349" s="187">
        <v>96.573419952506015</v>
      </c>
      <c r="L7349" s="187">
        <v>1118.326914035682</v>
      </c>
      <c r="M7349" s="187">
        <v>1549.858154296875</v>
      </c>
      <c r="N7349" s="187">
        <v>1442.4796142578125</v>
      </c>
      <c r="O7349" t="s">
        <v>7291</v>
      </c>
    </row>
    <row r="7350" spans="1:15" hidden="1" x14ac:dyDescent="0.45">
      <c r="A7350" s="187">
        <v>2025</v>
      </c>
      <c r="B7350" t="s">
        <v>8570</v>
      </c>
      <c r="C7350" t="s">
        <v>323</v>
      </c>
      <c r="D7350" t="s">
        <v>35</v>
      </c>
      <c r="E7350" t="s">
        <v>349</v>
      </c>
      <c r="F7350" t="s">
        <v>391</v>
      </c>
      <c r="G7350" t="s">
        <v>36</v>
      </c>
      <c r="H7350" t="s">
        <v>43</v>
      </c>
      <c r="I7350" s="187">
        <v>545.88289648639989</v>
      </c>
      <c r="J7350" s="187">
        <v>10</v>
      </c>
      <c r="K7350" s="187">
        <v>1566.273083160843</v>
      </c>
      <c r="L7350" s="187">
        <v>1105</v>
      </c>
      <c r="M7350" s="187">
        <v>3227.156005859375</v>
      </c>
      <c r="N7350" s="187">
        <v>1650.8828125</v>
      </c>
      <c r="O7350" t="s">
        <v>9087</v>
      </c>
    </row>
    <row r="7351" spans="1:15" hidden="1" x14ac:dyDescent="0.45">
      <c r="A7351" s="187">
        <v>2025</v>
      </c>
      <c r="B7351" t="s">
        <v>8570</v>
      </c>
      <c r="C7351" t="s">
        <v>323</v>
      </c>
      <c r="D7351" t="s">
        <v>35</v>
      </c>
      <c r="E7351" t="s">
        <v>349</v>
      </c>
      <c r="F7351" t="s">
        <v>392</v>
      </c>
      <c r="G7351" t="s">
        <v>36</v>
      </c>
      <c r="H7351" t="s">
        <v>43</v>
      </c>
      <c r="I7351" s="187">
        <v>149.8316847104</v>
      </c>
      <c r="J7351" s="187"/>
      <c r="K7351" s="187">
        <v>126.9159610247555</v>
      </c>
      <c r="L7351" s="187">
        <v>248</v>
      </c>
      <c r="M7351" s="187">
        <v>524.7476806640625</v>
      </c>
      <c r="N7351" s="187">
        <v>397.8316650390625</v>
      </c>
      <c r="O7351" t="s">
        <v>9088</v>
      </c>
    </row>
    <row r="7352" spans="1:15" hidden="1" x14ac:dyDescent="0.45">
      <c r="A7352" s="187">
        <v>2025</v>
      </c>
      <c r="B7352" t="s">
        <v>317</v>
      </c>
      <c r="C7352" t="s">
        <v>323</v>
      </c>
      <c r="D7352" t="s">
        <v>35</v>
      </c>
      <c r="E7352" t="s">
        <v>349</v>
      </c>
      <c r="F7352" t="s">
        <v>392</v>
      </c>
      <c r="G7352" t="s">
        <v>36</v>
      </c>
      <c r="H7352" t="s">
        <v>43</v>
      </c>
      <c r="I7352" s="187">
        <v>86.440727654931948</v>
      </c>
      <c r="J7352" s="187"/>
      <c r="K7352" s="187">
        <v>1.0374734475391607</v>
      </c>
      <c r="L7352" s="187">
        <v>267.96625573028905</v>
      </c>
      <c r="M7352" s="187">
        <v>355.4444580078125</v>
      </c>
      <c r="N7352" s="187">
        <v>354.406982421875</v>
      </c>
      <c r="O7352" t="s">
        <v>7294</v>
      </c>
    </row>
    <row r="7353" spans="1:15" hidden="1" x14ac:dyDescent="0.45">
      <c r="A7353" s="187">
        <v>2025</v>
      </c>
      <c r="B7353" t="s">
        <v>316</v>
      </c>
      <c r="C7353" t="s">
        <v>323</v>
      </c>
      <c r="D7353" t="s">
        <v>35</v>
      </c>
      <c r="E7353" t="s">
        <v>349</v>
      </c>
      <c r="F7353" t="s">
        <v>392</v>
      </c>
      <c r="G7353" t="s">
        <v>36</v>
      </c>
      <c r="H7353" t="s">
        <v>43</v>
      </c>
      <c r="I7353" s="187">
        <v>112.35930607922869</v>
      </c>
      <c r="J7353" s="187"/>
      <c r="K7353" s="187">
        <v>0.42940731809133553</v>
      </c>
      <c r="L7353" s="187">
        <v>0</v>
      </c>
      <c r="M7353" s="187">
        <v>112.78871154785156</v>
      </c>
      <c r="N7353" s="187">
        <v>112.35930633544922</v>
      </c>
      <c r="O7353" t="s">
        <v>7293</v>
      </c>
    </row>
    <row r="7354" spans="1:15" hidden="1" x14ac:dyDescent="0.45">
      <c r="A7354" s="187">
        <v>2025</v>
      </c>
      <c r="B7354" t="s">
        <v>316</v>
      </c>
      <c r="C7354" t="s">
        <v>323</v>
      </c>
      <c r="D7354" t="s">
        <v>35</v>
      </c>
      <c r="E7354" t="s">
        <v>349</v>
      </c>
      <c r="F7354" t="s">
        <v>393</v>
      </c>
      <c r="G7354" t="s">
        <v>36</v>
      </c>
      <c r="H7354" t="s">
        <v>43</v>
      </c>
      <c r="I7354" s="187">
        <v>22.029076772714181</v>
      </c>
      <c r="J7354" s="187"/>
      <c r="K7354" s="187">
        <v>27.072012268078407</v>
      </c>
      <c r="L7354" s="187">
        <v>0</v>
      </c>
      <c r="M7354" s="187">
        <v>49.101089477539063</v>
      </c>
      <c r="N7354" s="187">
        <v>22.029077529907227</v>
      </c>
      <c r="O7354" t="s">
        <v>7296</v>
      </c>
    </row>
    <row r="7355" spans="1:15" hidden="1" x14ac:dyDescent="0.45">
      <c r="A7355" s="187">
        <v>2025</v>
      </c>
      <c r="B7355" t="s">
        <v>8570</v>
      </c>
      <c r="C7355" t="s">
        <v>323</v>
      </c>
      <c r="D7355" t="s">
        <v>35</v>
      </c>
      <c r="E7355" t="s">
        <v>349</v>
      </c>
      <c r="F7355" t="s">
        <v>393</v>
      </c>
      <c r="G7355" t="s">
        <v>36</v>
      </c>
      <c r="H7355" t="s">
        <v>43</v>
      </c>
      <c r="I7355" s="187">
        <v>21.472000000000001</v>
      </c>
      <c r="J7355" s="187"/>
      <c r="K7355" s="187">
        <v>35.893357606402738</v>
      </c>
      <c r="L7355" s="187">
        <v>0</v>
      </c>
      <c r="M7355" s="187">
        <v>57.3653564453125</v>
      </c>
      <c r="N7355" s="187">
        <v>21.472000122070313</v>
      </c>
      <c r="O7355" t="s">
        <v>9089</v>
      </c>
    </row>
    <row r="7356" spans="1:15" hidden="1" x14ac:dyDescent="0.45">
      <c r="A7356" s="187">
        <v>2025</v>
      </c>
      <c r="B7356" t="s">
        <v>317</v>
      </c>
      <c r="C7356" t="s">
        <v>323</v>
      </c>
      <c r="D7356" t="s">
        <v>35</v>
      </c>
      <c r="E7356" t="s">
        <v>349</v>
      </c>
      <c r="F7356" t="s">
        <v>393</v>
      </c>
      <c r="G7356" t="s">
        <v>36</v>
      </c>
      <c r="H7356" t="s">
        <v>43</v>
      </c>
      <c r="I7356" s="187">
        <v>21.610181913732987</v>
      </c>
      <c r="J7356" s="187"/>
      <c r="K7356" s="187">
        <v>64.757959097656652</v>
      </c>
      <c r="L7356" s="187">
        <v>0</v>
      </c>
      <c r="M7356" s="187">
        <v>86.368141174316406</v>
      </c>
      <c r="N7356" s="187">
        <v>21.61018180847168</v>
      </c>
      <c r="O7356" t="s">
        <v>7295</v>
      </c>
    </row>
    <row r="7357" spans="1:15" hidden="1" x14ac:dyDescent="0.45">
      <c r="A7357" s="187">
        <v>2025</v>
      </c>
      <c r="B7357" t="s">
        <v>317</v>
      </c>
      <c r="C7357" t="s">
        <v>323</v>
      </c>
      <c r="D7357" t="s">
        <v>35</v>
      </c>
      <c r="E7357" t="s">
        <v>349</v>
      </c>
      <c r="F7357" t="s">
        <v>394</v>
      </c>
      <c r="G7357" t="s">
        <v>36</v>
      </c>
      <c r="H7357" t="s">
        <v>43</v>
      </c>
      <c r="I7357" s="187">
        <v>0</v>
      </c>
      <c r="J7357" s="187"/>
      <c r="K7357" s="187">
        <v>30.523684546973694</v>
      </c>
      <c r="L7357" s="187">
        <v>0</v>
      </c>
      <c r="M7357" s="187">
        <v>30.523685455322266</v>
      </c>
      <c r="N7357" s="187">
        <v>0</v>
      </c>
      <c r="O7357" t="s">
        <v>7297</v>
      </c>
    </row>
    <row r="7358" spans="1:15" hidden="1" x14ac:dyDescent="0.45">
      <c r="A7358" s="187">
        <v>2025</v>
      </c>
      <c r="B7358" t="s">
        <v>316</v>
      </c>
      <c r="C7358" t="s">
        <v>323</v>
      </c>
      <c r="D7358" t="s">
        <v>35</v>
      </c>
      <c r="E7358" t="s">
        <v>349</v>
      </c>
      <c r="F7358" t="s">
        <v>394</v>
      </c>
      <c r="G7358" t="s">
        <v>36</v>
      </c>
      <c r="H7358" t="s">
        <v>43</v>
      </c>
      <c r="I7358" s="187">
        <v>0</v>
      </c>
      <c r="J7358" s="187"/>
      <c r="K7358" s="187">
        <v>12.517989061151951</v>
      </c>
      <c r="L7358" s="187">
        <v>0</v>
      </c>
      <c r="M7358" s="187">
        <v>12.517989158630371</v>
      </c>
      <c r="N7358" s="187">
        <v>0</v>
      </c>
      <c r="O7358" t="s">
        <v>7298</v>
      </c>
    </row>
    <row r="7359" spans="1:15" hidden="1" x14ac:dyDescent="0.45">
      <c r="A7359" s="187">
        <v>2025</v>
      </c>
      <c r="B7359" t="s">
        <v>8570</v>
      </c>
      <c r="C7359" t="s">
        <v>323</v>
      </c>
      <c r="D7359" t="s">
        <v>35</v>
      </c>
      <c r="E7359" t="s">
        <v>349</v>
      </c>
      <c r="F7359" t="s">
        <v>394</v>
      </c>
      <c r="G7359" t="s">
        <v>36</v>
      </c>
      <c r="H7359" t="s">
        <v>43</v>
      </c>
      <c r="I7359" s="187">
        <v>0</v>
      </c>
      <c r="J7359" s="187"/>
      <c r="K7359" s="187">
        <v>17.400205264600132</v>
      </c>
      <c r="L7359" s="187">
        <v>0</v>
      </c>
      <c r="M7359" s="187">
        <v>17.400205612182617</v>
      </c>
      <c r="N7359" s="187">
        <v>0</v>
      </c>
      <c r="O7359" t="s">
        <v>9090</v>
      </c>
    </row>
    <row r="7360" spans="1:15" hidden="1" x14ac:dyDescent="0.45">
      <c r="A7360" s="187">
        <v>2025</v>
      </c>
      <c r="B7360" t="s">
        <v>317</v>
      </c>
      <c r="C7360" t="s">
        <v>323</v>
      </c>
      <c r="D7360" t="s">
        <v>35</v>
      </c>
      <c r="E7360" t="s">
        <v>349</v>
      </c>
      <c r="F7360" t="s">
        <v>395</v>
      </c>
      <c r="G7360" t="s">
        <v>36</v>
      </c>
      <c r="H7360" t="s">
        <v>43</v>
      </c>
      <c r="I7360" s="187">
        <v>0</v>
      </c>
      <c r="J7360" s="187"/>
      <c r="K7360" s="187">
        <v>0.25430286033651661</v>
      </c>
      <c r="L7360" s="187">
        <v>171.80094621417723</v>
      </c>
      <c r="M7360" s="187">
        <v>172.05525207519531</v>
      </c>
      <c r="N7360" s="187">
        <v>171.80094909667969</v>
      </c>
      <c r="O7360" t="s">
        <v>7300</v>
      </c>
    </row>
    <row r="7361" spans="1:15" hidden="1" x14ac:dyDescent="0.45">
      <c r="A7361" s="187">
        <v>2025</v>
      </c>
      <c r="B7361" t="s">
        <v>316</v>
      </c>
      <c r="C7361" t="s">
        <v>323</v>
      </c>
      <c r="D7361" t="s">
        <v>35</v>
      </c>
      <c r="E7361" t="s">
        <v>349</v>
      </c>
      <c r="F7361" t="s">
        <v>395</v>
      </c>
      <c r="G7361" t="s">
        <v>36</v>
      </c>
      <c r="H7361" t="s">
        <v>43</v>
      </c>
      <c r="I7361" s="187">
        <v>0</v>
      </c>
      <c r="J7361" s="187"/>
      <c r="K7361" s="187">
        <v>0.10316697799872003</v>
      </c>
      <c r="L7361" s="187">
        <v>58.377053447692582</v>
      </c>
      <c r="M7361" s="187">
        <v>58.480220794677734</v>
      </c>
      <c r="N7361" s="187">
        <v>58.377052307128906</v>
      </c>
      <c r="O7361" t="s">
        <v>7299</v>
      </c>
    </row>
    <row r="7362" spans="1:15" hidden="1" x14ac:dyDescent="0.45">
      <c r="A7362" s="187">
        <v>2025</v>
      </c>
      <c r="B7362" t="s">
        <v>8570</v>
      </c>
      <c r="C7362" t="s">
        <v>323</v>
      </c>
      <c r="D7362" t="s">
        <v>35</v>
      </c>
      <c r="E7362" t="s">
        <v>349</v>
      </c>
      <c r="F7362" t="s">
        <v>395</v>
      </c>
      <c r="G7362" t="s">
        <v>36</v>
      </c>
      <c r="H7362" t="s">
        <v>43</v>
      </c>
      <c r="I7362" s="187">
        <v>0</v>
      </c>
      <c r="J7362" s="187"/>
      <c r="K7362" s="187">
        <v>0.1393701533021573</v>
      </c>
      <c r="L7362" s="187">
        <v>537</v>
      </c>
      <c r="M7362" s="187">
        <v>537.13934326171875</v>
      </c>
      <c r="N7362" s="187">
        <v>537</v>
      </c>
      <c r="O7362" t="s">
        <v>9091</v>
      </c>
    </row>
    <row r="7363" spans="1:15" hidden="1" x14ac:dyDescent="0.45">
      <c r="A7363" s="187">
        <v>2025</v>
      </c>
      <c r="B7363" t="s">
        <v>316</v>
      </c>
      <c r="C7363" t="s">
        <v>323</v>
      </c>
      <c r="D7363" t="s">
        <v>35</v>
      </c>
      <c r="E7363" t="s">
        <v>349</v>
      </c>
      <c r="F7363" t="s">
        <v>396</v>
      </c>
      <c r="G7363" t="s">
        <v>36</v>
      </c>
      <c r="H7363" t="s">
        <v>43</v>
      </c>
      <c r="I7363" s="187">
        <v>247.19047337430308</v>
      </c>
      <c r="J7363" s="187">
        <v>11.01453838635709</v>
      </c>
      <c r="K7363" s="187">
        <v>1112.4790876635966</v>
      </c>
      <c r="L7363" s="187">
        <v>606.90106508827569</v>
      </c>
      <c r="M7363" s="187">
        <v>1977.585205078125</v>
      </c>
      <c r="N7363" s="187">
        <v>854.091552734375</v>
      </c>
      <c r="O7363" t="s">
        <v>7301</v>
      </c>
    </row>
    <row r="7364" spans="1:15" hidden="1" x14ac:dyDescent="0.45">
      <c r="A7364" s="187">
        <v>2025</v>
      </c>
      <c r="B7364" t="s">
        <v>8570</v>
      </c>
      <c r="C7364" t="s">
        <v>323</v>
      </c>
      <c r="D7364" t="s">
        <v>35</v>
      </c>
      <c r="E7364" t="s">
        <v>349</v>
      </c>
      <c r="F7364" t="s">
        <v>396</v>
      </c>
      <c r="G7364" t="s">
        <v>36</v>
      </c>
      <c r="H7364" t="s">
        <v>43</v>
      </c>
      <c r="I7364" s="187">
        <v>374.57921177600002</v>
      </c>
      <c r="J7364" s="187">
        <v>10</v>
      </c>
      <c r="K7364" s="187">
        <v>1385.924189111782</v>
      </c>
      <c r="L7364" s="187">
        <v>320</v>
      </c>
      <c r="M7364" s="187">
        <v>2090.50341796875</v>
      </c>
      <c r="N7364" s="187">
        <v>694.5792236328125</v>
      </c>
      <c r="O7364" t="s">
        <v>9092</v>
      </c>
    </row>
    <row r="7365" spans="1:15" hidden="1" x14ac:dyDescent="0.45">
      <c r="A7365" s="187">
        <v>2025</v>
      </c>
      <c r="B7365" t="s">
        <v>317</v>
      </c>
      <c r="C7365" t="s">
        <v>323</v>
      </c>
      <c r="D7365" t="s">
        <v>35</v>
      </c>
      <c r="E7365" t="s">
        <v>349</v>
      </c>
      <c r="F7365" t="s">
        <v>396</v>
      </c>
      <c r="G7365" t="s">
        <v>36</v>
      </c>
      <c r="H7365" t="s">
        <v>43</v>
      </c>
      <c r="I7365" s="187">
        <v>216.10181913732987</v>
      </c>
      <c r="J7365" s="187">
        <v>10.805090956866493</v>
      </c>
      <c r="K7365" s="187">
        <v>0</v>
      </c>
      <c r="L7365" s="187">
        <v>678.55971209121572</v>
      </c>
      <c r="M7365" s="187">
        <v>905.46661376953125</v>
      </c>
      <c r="N7365" s="187">
        <v>894.66156005859375</v>
      </c>
      <c r="O7365" t="s">
        <v>7302</v>
      </c>
    </row>
    <row r="7366" spans="1:15" hidden="1" x14ac:dyDescent="0.45">
      <c r="A7366" s="187">
        <v>2025</v>
      </c>
      <c r="B7366" t="s">
        <v>316</v>
      </c>
      <c r="C7366" t="s">
        <v>323</v>
      </c>
      <c r="D7366" t="s">
        <v>35</v>
      </c>
      <c r="E7366" t="s">
        <v>349</v>
      </c>
      <c r="F7366" t="s">
        <v>397</v>
      </c>
      <c r="G7366" t="s">
        <v>36</v>
      </c>
      <c r="H7366" t="s">
        <v>43</v>
      </c>
      <c r="I7366" s="187">
        <v>0</v>
      </c>
      <c r="J7366" s="187"/>
      <c r="K7366" s="187">
        <v>4.6506403446219174E-2</v>
      </c>
      <c r="L7366" s="187">
        <v>0</v>
      </c>
      <c r="M7366" s="187">
        <v>4.6506404876708984E-2</v>
      </c>
      <c r="N7366" s="187">
        <v>0</v>
      </c>
      <c r="O7366" t="s">
        <v>7303</v>
      </c>
    </row>
    <row r="7367" spans="1:15" hidden="1" x14ac:dyDescent="0.45">
      <c r="A7367" s="187">
        <v>2025</v>
      </c>
      <c r="B7367" t="s">
        <v>317</v>
      </c>
      <c r="C7367" t="s">
        <v>323</v>
      </c>
      <c r="D7367" t="s">
        <v>35</v>
      </c>
      <c r="E7367" t="s">
        <v>349</v>
      </c>
      <c r="F7367" t="s">
        <v>397</v>
      </c>
      <c r="G7367" t="s">
        <v>36</v>
      </c>
      <c r="H7367" t="s">
        <v>43</v>
      </c>
      <c r="I7367" s="187">
        <v>0</v>
      </c>
      <c r="J7367" s="187"/>
      <c r="K7367" s="187">
        <v>7.583713099251338E-2</v>
      </c>
      <c r="L7367" s="187">
        <v>0</v>
      </c>
      <c r="M7367" s="187">
        <v>7.5837127864360809E-2</v>
      </c>
      <c r="N7367" s="187">
        <v>0</v>
      </c>
      <c r="O7367" t="s">
        <v>7304</v>
      </c>
    </row>
    <row r="7368" spans="1:15" hidden="1" x14ac:dyDescent="0.45">
      <c r="A7368" s="187">
        <v>2025</v>
      </c>
      <c r="B7368" t="s">
        <v>8570</v>
      </c>
      <c r="C7368" t="s">
        <v>323</v>
      </c>
      <c r="D7368" t="s">
        <v>35</v>
      </c>
      <c r="E7368" t="s">
        <v>349</v>
      </c>
      <c r="F7368" t="s">
        <v>397</v>
      </c>
      <c r="G7368" t="s">
        <v>36</v>
      </c>
      <c r="H7368" t="s">
        <v>43</v>
      </c>
      <c r="I7368" s="187">
        <v>0</v>
      </c>
      <c r="J7368" s="187"/>
      <c r="K7368" s="187">
        <v>4.0986008530789098E-2</v>
      </c>
      <c r="L7368" s="187">
        <v>0</v>
      </c>
      <c r="M7368" s="187">
        <v>4.0986008942127228E-2</v>
      </c>
      <c r="N7368" s="187">
        <v>0</v>
      </c>
      <c r="O7368" t="s">
        <v>9093</v>
      </c>
    </row>
    <row r="7369" spans="1:15" hidden="1" x14ac:dyDescent="0.45">
      <c r="A7369" s="187">
        <v>2025</v>
      </c>
      <c r="B7369" t="s">
        <v>317</v>
      </c>
      <c r="C7369" t="s">
        <v>323</v>
      </c>
      <c r="D7369" t="s">
        <v>35</v>
      </c>
      <c r="E7369" t="s">
        <v>349</v>
      </c>
      <c r="F7369" t="s">
        <v>398</v>
      </c>
      <c r="G7369" t="s">
        <v>36</v>
      </c>
      <c r="H7369" t="s">
        <v>43</v>
      </c>
      <c r="I7369" s="187">
        <v>0</v>
      </c>
      <c r="J7369" s="187">
        <v>513.24182045115845</v>
      </c>
      <c r="K7369" s="187">
        <v>7.0593142568660827</v>
      </c>
      <c r="L7369" s="187">
        <v>0</v>
      </c>
      <c r="M7369" s="187">
        <v>520.3011474609375</v>
      </c>
      <c r="N7369" s="187">
        <v>0</v>
      </c>
      <c r="O7369" t="s">
        <v>7306</v>
      </c>
    </row>
    <row r="7370" spans="1:15" hidden="1" x14ac:dyDescent="0.45">
      <c r="A7370" s="187">
        <v>2025</v>
      </c>
      <c r="B7370" t="s">
        <v>8570</v>
      </c>
      <c r="C7370" t="s">
        <v>323</v>
      </c>
      <c r="D7370" t="s">
        <v>35</v>
      </c>
      <c r="E7370" t="s">
        <v>349</v>
      </c>
      <c r="F7370" t="s">
        <v>398</v>
      </c>
      <c r="G7370" t="s">
        <v>36</v>
      </c>
      <c r="H7370" t="s">
        <v>43</v>
      </c>
      <c r="I7370" s="187">
        <v>0</v>
      </c>
      <c r="J7370" s="187">
        <v>475</v>
      </c>
      <c r="K7370" s="187">
        <v>2.9344661362007369</v>
      </c>
      <c r="L7370" s="187">
        <v>0</v>
      </c>
      <c r="M7370" s="187">
        <v>477.93447875976563</v>
      </c>
      <c r="N7370" s="187">
        <v>0</v>
      </c>
      <c r="O7370" t="s">
        <v>9094</v>
      </c>
    </row>
    <row r="7371" spans="1:15" hidden="1" x14ac:dyDescent="0.45">
      <c r="A7371" s="187">
        <v>2025</v>
      </c>
      <c r="B7371" t="s">
        <v>316</v>
      </c>
      <c r="C7371" t="s">
        <v>323</v>
      </c>
      <c r="D7371" t="s">
        <v>35</v>
      </c>
      <c r="E7371" t="s">
        <v>349</v>
      </c>
      <c r="F7371" t="s">
        <v>398</v>
      </c>
      <c r="G7371" t="s">
        <v>36</v>
      </c>
      <c r="H7371" t="s">
        <v>43</v>
      </c>
      <c r="I7371" s="187">
        <v>0</v>
      </c>
      <c r="J7371" s="187">
        <v>523.1905733519618</v>
      </c>
      <c r="K7371" s="187">
        <v>4.3454235890216042</v>
      </c>
      <c r="L7371" s="187">
        <v>0</v>
      </c>
      <c r="M7371" s="187">
        <v>527.53594970703125</v>
      </c>
      <c r="N7371" s="187">
        <v>0</v>
      </c>
      <c r="O7371" t="s">
        <v>7305</v>
      </c>
    </row>
    <row r="7372" spans="1:15" hidden="1" x14ac:dyDescent="0.45">
      <c r="A7372" s="187">
        <v>2025</v>
      </c>
      <c r="B7372" t="s">
        <v>317</v>
      </c>
      <c r="C7372" t="s">
        <v>323</v>
      </c>
      <c r="D7372" t="s">
        <v>35</v>
      </c>
      <c r="E7372" t="s">
        <v>349</v>
      </c>
      <c r="F7372" t="s">
        <v>399</v>
      </c>
      <c r="G7372" t="s">
        <v>36</v>
      </c>
      <c r="H7372" t="s">
        <v>43</v>
      </c>
      <c r="I7372" s="187">
        <v>0</v>
      </c>
      <c r="J7372" s="187">
        <v>459.21636566682594</v>
      </c>
      <c r="K7372" s="187">
        <v>4.733670860247666</v>
      </c>
      <c r="L7372" s="187">
        <v>0</v>
      </c>
      <c r="M7372" s="187">
        <v>463.95004272460938</v>
      </c>
      <c r="N7372" s="187">
        <v>0</v>
      </c>
      <c r="O7372" t="s">
        <v>7307</v>
      </c>
    </row>
    <row r="7373" spans="1:15" hidden="1" x14ac:dyDescent="0.45">
      <c r="A7373" s="187">
        <v>2025</v>
      </c>
      <c r="B7373" t="s">
        <v>8570</v>
      </c>
      <c r="C7373" t="s">
        <v>323</v>
      </c>
      <c r="D7373" t="s">
        <v>35</v>
      </c>
      <c r="E7373" t="s">
        <v>349</v>
      </c>
      <c r="F7373" t="s">
        <v>399</v>
      </c>
      <c r="G7373" t="s">
        <v>36</v>
      </c>
      <c r="H7373" t="s">
        <v>43</v>
      </c>
      <c r="I7373" s="187">
        <v>0</v>
      </c>
      <c r="J7373" s="187">
        <v>425</v>
      </c>
      <c r="K7373" s="187">
        <v>1.9436836248954561</v>
      </c>
      <c r="L7373" s="187">
        <v>0</v>
      </c>
      <c r="M7373" s="187">
        <v>426.94369506835938</v>
      </c>
      <c r="N7373" s="187">
        <v>0</v>
      </c>
      <c r="O7373" t="s">
        <v>9095</v>
      </c>
    </row>
    <row r="7374" spans="1:15" hidden="1" x14ac:dyDescent="0.45">
      <c r="A7374" s="187">
        <v>2025</v>
      </c>
      <c r="B7374" t="s">
        <v>316</v>
      </c>
      <c r="C7374" t="s">
        <v>323</v>
      </c>
      <c r="D7374" t="s">
        <v>35</v>
      </c>
      <c r="E7374" t="s">
        <v>349</v>
      </c>
      <c r="F7374" t="s">
        <v>399</v>
      </c>
      <c r="G7374" t="s">
        <v>36</v>
      </c>
      <c r="H7374" t="s">
        <v>43</v>
      </c>
      <c r="I7374" s="187">
        <v>0</v>
      </c>
      <c r="J7374" s="187">
        <v>468.11788142017633</v>
      </c>
      <c r="K7374" s="187">
        <v>2.931999226833053</v>
      </c>
      <c r="L7374" s="187">
        <v>0</v>
      </c>
      <c r="M7374" s="187">
        <v>471.04989624023438</v>
      </c>
      <c r="N7374" s="187">
        <v>0</v>
      </c>
      <c r="O7374" t="s">
        <v>7308</v>
      </c>
    </row>
    <row r="7375" spans="1:15" hidden="1" x14ac:dyDescent="0.45">
      <c r="A7375" s="187">
        <v>2025</v>
      </c>
      <c r="B7375" t="s">
        <v>8570</v>
      </c>
      <c r="C7375" t="s">
        <v>323</v>
      </c>
      <c r="D7375" t="s">
        <v>35</v>
      </c>
      <c r="E7375" t="s">
        <v>349</v>
      </c>
      <c r="F7375" t="s">
        <v>400</v>
      </c>
      <c r="G7375" t="s">
        <v>36</v>
      </c>
      <c r="H7375" t="s">
        <v>43</v>
      </c>
      <c r="I7375" s="187">
        <v>0</v>
      </c>
      <c r="J7375" s="187">
        <v>50</v>
      </c>
      <c r="K7375" s="187">
        <v>0.94224938255957413</v>
      </c>
      <c r="L7375" s="187">
        <v>0</v>
      </c>
      <c r="M7375" s="187">
        <v>50.942249298095703</v>
      </c>
      <c r="N7375" s="187">
        <v>0</v>
      </c>
      <c r="O7375" t="s">
        <v>9096</v>
      </c>
    </row>
    <row r="7376" spans="1:15" hidden="1" x14ac:dyDescent="0.45">
      <c r="A7376" s="187">
        <v>2025</v>
      </c>
      <c r="B7376" t="s">
        <v>317</v>
      </c>
      <c r="C7376" t="s">
        <v>323</v>
      </c>
      <c r="D7376" t="s">
        <v>35</v>
      </c>
      <c r="E7376" t="s">
        <v>349</v>
      </c>
      <c r="F7376" t="s">
        <v>400</v>
      </c>
      <c r="G7376" t="s">
        <v>36</v>
      </c>
      <c r="H7376" t="s">
        <v>43</v>
      </c>
      <c r="I7376" s="187">
        <v>0</v>
      </c>
      <c r="J7376" s="187">
        <v>54.025454784332467</v>
      </c>
      <c r="K7376" s="187">
        <v>2.2312172604066807</v>
      </c>
      <c r="L7376" s="187">
        <v>0</v>
      </c>
      <c r="M7376" s="187">
        <v>56.256671905517578</v>
      </c>
      <c r="N7376" s="187">
        <v>0</v>
      </c>
      <c r="O7376" t="s">
        <v>7310</v>
      </c>
    </row>
    <row r="7377" spans="1:15" hidden="1" x14ac:dyDescent="0.45">
      <c r="A7377" s="187">
        <v>2025</v>
      </c>
      <c r="B7377" t="s">
        <v>316</v>
      </c>
      <c r="C7377" t="s">
        <v>323</v>
      </c>
      <c r="D7377" t="s">
        <v>35</v>
      </c>
      <c r="E7377" t="s">
        <v>349</v>
      </c>
      <c r="F7377" t="s">
        <v>400</v>
      </c>
      <c r="G7377" t="s">
        <v>36</v>
      </c>
      <c r="H7377" t="s">
        <v>43</v>
      </c>
      <c r="I7377" s="187">
        <v>0</v>
      </c>
      <c r="J7377" s="187">
        <v>55.07269193178545</v>
      </c>
      <c r="K7377" s="187">
        <v>1.3557445928051552</v>
      </c>
      <c r="L7377" s="187">
        <v>0</v>
      </c>
      <c r="M7377" s="187">
        <v>56.428436279296875</v>
      </c>
      <c r="N7377" s="187">
        <v>0</v>
      </c>
      <c r="O7377" t="s">
        <v>7309</v>
      </c>
    </row>
    <row r="7378" spans="1:15" hidden="1" x14ac:dyDescent="0.45">
      <c r="A7378" s="187">
        <v>2025</v>
      </c>
      <c r="B7378" t="s">
        <v>316</v>
      </c>
      <c r="C7378" t="s">
        <v>323</v>
      </c>
      <c r="D7378" t="s">
        <v>35</v>
      </c>
      <c r="E7378" t="s">
        <v>349</v>
      </c>
      <c r="F7378" t="s">
        <v>401</v>
      </c>
      <c r="G7378" t="s">
        <v>36</v>
      </c>
      <c r="H7378" t="s">
        <v>43</v>
      </c>
      <c r="I7378" s="187">
        <v>0</v>
      </c>
      <c r="J7378" s="187"/>
      <c r="K7378" s="187">
        <v>1.1173365937175743E-2</v>
      </c>
      <c r="L7378" s="187">
        <v>0</v>
      </c>
      <c r="M7378" s="187">
        <v>1.1173365637660027E-2</v>
      </c>
      <c r="N7378" s="187">
        <v>0</v>
      </c>
      <c r="O7378" t="s">
        <v>7312</v>
      </c>
    </row>
    <row r="7379" spans="1:15" hidden="1" x14ac:dyDescent="0.45">
      <c r="A7379" s="187">
        <v>2025</v>
      </c>
      <c r="B7379" t="s">
        <v>317</v>
      </c>
      <c r="C7379" t="s">
        <v>323</v>
      </c>
      <c r="D7379" t="s">
        <v>35</v>
      </c>
      <c r="E7379" t="s">
        <v>349</v>
      </c>
      <c r="F7379" t="s">
        <v>401</v>
      </c>
      <c r="G7379" t="s">
        <v>36</v>
      </c>
      <c r="H7379" t="s">
        <v>43</v>
      </c>
      <c r="I7379" s="187">
        <v>0</v>
      </c>
      <c r="J7379" s="187"/>
      <c r="K7379" s="187">
        <v>1.8589005219223433E-2</v>
      </c>
      <c r="L7379" s="187">
        <v>0</v>
      </c>
      <c r="M7379" s="187">
        <v>1.8589004874229431E-2</v>
      </c>
      <c r="N7379" s="187">
        <v>0</v>
      </c>
      <c r="O7379" t="s">
        <v>7311</v>
      </c>
    </row>
    <row r="7380" spans="1:15" hidden="1" x14ac:dyDescent="0.45">
      <c r="A7380" s="187">
        <v>2025</v>
      </c>
      <c r="B7380" t="s">
        <v>8570</v>
      </c>
      <c r="C7380" t="s">
        <v>323</v>
      </c>
      <c r="D7380" t="s">
        <v>35</v>
      </c>
      <c r="E7380" t="s">
        <v>349</v>
      </c>
      <c r="F7380" t="s">
        <v>401</v>
      </c>
      <c r="G7380" t="s">
        <v>36</v>
      </c>
      <c r="H7380" t="s">
        <v>43</v>
      </c>
      <c r="I7380" s="187">
        <v>0</v>
      </c>
      <c r="J7380" s="187"/>
      <c r="K7380" s="187">
        <v>7.5471202149183002E-3</v>
      </c>
      <c r="L7380" s="187">
        <v>0</v>
      </c>
      <c r="M7380" s="187">
        <v>7.5471200980246067E-3</v>
      </c>
      <c r="N7380" s="187">
        <v>0</v>
      </c>
      <c r="O7380" t="s">
        <v>9097</v>
      </c>
    </row>
    <row r="7381" spans="1:15" hidden="1" x14ac:dyDescent="0.45">
      <c r="A7381" s="187">
        <v>2025</v>
      </c>
      <c r="B7381" t="s">
        <v>316</v>
      </c>
      <c r="C7381" t="s">
        <v>323</v>
      </c>
      <c r="D7381" t="s">
        <v>35</v>
      </c>
      <c r="E7381" t="s">
        <v>349</v>
      </c>
      <c r="F7381" t="s">
        <v>402</v>
      </c>
      <c r="G7381" t="s">
        <v>36</v>
      </c>
      <c r="H7381" t="s">
        <v>43</v>
      </c>
      <c r="I7381" s="187">
        <v>0</v>
      </c>
      <c r="J7381" s="187"/>
      <c r="K7381" s="187">
        <v>8.862311971029186</v>
      </c>
      <c r="L7381" s="187">
        <v>0</v>
      </c>
      <c r="M7381" s="187">
        <v>8.8623123168945313</v>
      </c>
      <c r="N7381" s="187">
        <v>0</v>
      </c>
      <c r="O7381" t="s">
        <v>7314</v>
      </c>
    </row>
    <row r="7382" spans="1:15" hidden="1" x14ac:dyDescent="0.45">
      <c r="A7382" s="187">
        <v>2025</v>
      </c>
      <c r="B7382" t="s">
        <v>8570</v>
      </c>
      <c r="C7382" t="s">
        <v>323</v>
      </c>
      <c r="D7382" t="s">
        <v>35</v>
      </c>
      <c r="E7382" t="s">
        <v>349</v>
      </c>
      <c r="F7382" t="s">
        <v>402</v>
      </c>
      <c r="G7382" t="s">
        <v>36</v>
      </c>
      <c r="H7382" t="s">
        <v>43</v>
      </c>
      <c r="I7382" s="187">
        <v>0</v>
      </c>
      <c r="J7382" s="187"/>
      <c r="K7382" s="187">
        <v>16.01186733269493</v>
      </c>
      <c r="L7382" s="187">
        <v>0</v>
      </c>
      <c r="M7382" s="187">
        <v>16.011867523193359</v>
      </c>
      <c r="N7382" s="187">
        <v>0</v>
      </c>
      <c r="O7382" t="s">
        <v>9098</v>
      </c>
    </row>
    <row r="7383" spans="1:15" hidden="1" x14ac:dyDescent="0.45">
      <c r="A7383" s="187">
        <v>2025</v>
      </c>
      <c r="B7383" t="s">
        <v>317</v>
      </c>
      <c r="C7383" t="s">
        <v>323</v>
      </c>
      <c r="D7383" t="s">
        <v>35</v>
      </c>
      <c r="E7383" t="s">
        <v>349</v>
      </c>
      <c r="F7383" t="s">
        <v>402</v>
      </c>
      <c r="G7383" t="s">
        <v>36</v>
      </c>
      <c r="H7383" t="s">
        <v>43</v>
      </c>
      <c r="I7383" s="187">
        <v>0</v>
      </c>
      <c r="J7383" s="187"/>
      <c r="K7383" s="187">
        <v>21.680357304947286</v>
      </c>
      <c r="L7383" s="187">
        <v>0</v>
      </c>
      <c r="M7383" s="187">
        <v>21.680356979370117</v>
      </c>
      <c r="N7383" s="187">
        <v>0</v>
      </c>
      <c r="O7383" t="s">
        <v>7313</v>
      </c>
    </row>
    <row r="7384" spans="1:15" hidden="1" x14ac:dyDescent="0.45">
      <c r="A7384" s="187">
        <v>2025</v>
      </c>
      <c r="B7384" t="s">
        <v>8570</v>
      </c>
      <c r="C7384" t="s">
        <v>323</v>
      </c>
      <c r="D7384" t="s">
        <v>35</v>
      </c>
      <c r="E7384" t="s">
        <v>349</v>
      </c>
      <c r="F7384" t="s">
        <v>403</v>
      </c>
      <c r="G7384" t="s">
        <v>36</v>
      </c>
      <c r="H7384" t="s">
        <v>43</v>
      </c>
      <c r="I7384" s="187">
        <v>2750.4141671423999</v>
      </c>
      <c r="J7384" s="187"/>
      <c r="K7384" s="187">
        <v>1754.4006390547841</v>
      </c>
      <c r="L7384" s="187">
        <v>1199</v>
      </c>
      <c r="M7384" s="187">
        <v>5703.81494140625</v>
      </c>
      <c r="N7384" s="187">
        <v>3949.4140625</v>
      </c>
      <c r="O7384" t="s">
        <v>9099</v>
      </c>
    </row>
    <row r="7385" spans="1:15" hidden="1" x14ac:dyDescent="0.45">
      <c r="A7385" s="187">
        <v>2025</v>
      </c>
      <c r="B7385" t="s">
        <v>316</v>
      </c>
      <c r="C7385" t="s">
        <v>323</v>
      </c>
      <c r="D7385" t="s">
        <v>35</v>
      </c>
      <c r="E7385" t="s">
        <v>349</v>
      </c>
      <c r="F7385" t="s">
        <v>403</v>
      </c>
      <c r="G7385" t="s">
        <v>36</v>
      </c>
      <c r="H7385" t="s">
        <v>43</v>
      </c>
      <c r="I7385" s="187">
        <v>3999.9912964205409</v>
      </c>
      <c r="J7385" s="187"/>
      <c r="K7385" s="187">
        <v>2333.7467186594777</v>
      </c>
      <c r="L7385" s="187">
        <v>1513.3975742854643</v>
      </c>
      <c r="M7385" s="187">
        <v>7847.13525390625</v>
      </c>
      <c r="N7385" s="187">
        <v>5513.388671875</v>
      </c>
      <c r="O7385" t="s">
        <v>7315</v>
      </c>
    </row>
    <row r="7386" spans="1:15" hidden="1" x14ac:dyDescent="0.45">
      <c r="A7386" s="187">
        <v>2025</v>
      </c>
      <c r="B7386" t="s">
        <v>317</v>
      </c>
      <c r="C7386" t="s">
        <v>323</v>
      </c>
      <c r="D7386" t="s">
        <v>35</v>
      </c>
      <c r="E7386" t="s">
        <v>349</v>
      </c>
      <c r="F7386" t="s">
        <v>403</v>
      </c>
      <c r="G7386" t="s">
        <v>36</v>
      </c>
      <c r="H7386" t="s">
        <v>43</v>
      </c>
      <c r="I7386" s="187">
        <v>4740.1934027773304</v>
      </c>
      <c r="J7386" s="187"/>
      <c r="K7386" s="187">
        <v>3772.4057987663764</v>
      </c>
      <c r="L7386" s="187">
        <v>1526.7593522052355</v>
      </c>
      <c r="M7386" s="187">
        <v>10039.359375</v>
      </c>
      <c r="N7386" s="187">
        <v>6266.95263671875</v>
      </c>
      <c r="O7386" t="s">
        <v>7316</v>
      </c>
    </row>
    <row r="7387" spans="1:15" hidden="1" x14ac:dyDescent="0.45">
      <c r="A7387" s="187">
        <v>2025</v>
      </c>
      <c r="B7387" t="s">
        <v>8570</v>
      </c>
      <c r="C7387" t="s">
        <v>323</v>
      </c>
      <c r="D7387" t="s">
        <v>35</v>
      </c>
      <c r="E7387" t="s">
        <v>349</v>
      </c>
      <c r="F7387" t="s">
        <v>404</v>
      </c>
      <c r="G7387" t="s">
        <v>36</v>
      </c>
      <c r="H7387" t="s">
        <v>43</v>
      </c>
      <c r="I7387" s="187">
        <v>2750.4141671423999</v>
      </c>
      <c r="J7387" s="187">
        <v>10</v>
      </c>
      <c r="K7387" s="187">
        <v>2623.8506228544388</v>
      </c>
      <c r="L7387" s="187">
        <v>1731</v>
      </c>
      <c r="M7387" s="187">
        <v>7115.2646484375</v>
      </c>
      <c r="N7387" s="187">
        <v>4481.4140625</v>
      </c>
      <c r="O7387" t="s">
        <v>9100</v>
      </c>
    </row>
    <row r="7388" spans="1:15" hidden="1" x14ac:dyDescent="0.45">
      <c r="A7388" s="187">
        <v>2025</v>
      </c>
      <c r="B7388" t="s">
        <v>317</v>
      </c>
      <c r="C7388" t="s">
        <v>323</v>
      </c>
      <c r="D7388" t="s">
        <v>35</v>
      </c>
      <c r="E7388" t="s">
        <v>349</v>
      </c>
      <c r="F7388" t="s">
        <v>404</v>
      </c>
      <c r="G7388" t="s">
        <v>36</v>
      </c>
      <c r="H7388" t="s">
        <v>43</v>
      </c>
      <c r="I7388" s="187">
        <v>4740.1934027773304</v>
      </c>
      <c r="J7388" s="187">
        <v>10.805090956866493</v>
      </c>
      <c r="K7388" s="187">
        <v>5829.0672694280747</v>
      </c>
      <c r="L7388" s="187">
        <v>1836.8654626673037</v>
      </c>
      <c r="M7388" s="187">
        <v>12416.9306640625</v>
      </c>
      <c r="N7388" s="187">
        <v>6577.05859375</v>
      </c>
      <c r="O7388" t="s">
        <v>7317</v>
      </c>
    </row>
    <row r="7389" spans="1:15" hidden="1" x14ac:dyDescent="0.45">
      <c r="A7389" s="187">
        <v>2025</v>
      </c>
      <c r="B7389" t="s">
        <v>316</v>
      </c>
      <c r="C7389" t="s">
        <v>323</v>
      </c>
      <c r="D7389" t="s">
        <v>35</v>
      </c>
      <c r="E7389" t="s">
        <v>349</v>
      </c>
      <c r="F7389" t="s">
        <v>404</v>
      </c>
      <c r="G7389" t="s">
        <v>36</v>
      </c>
      <c r="H7389" t="s">
        <v>43</v>
      </c>
      <c r="I7389" s="187">
        <v>3999.9912964205409</v>
      </c>
      <c r="J7389" s="187">
        <v>11.01453838635709</v>
      </c>
      <c r="K7389" s="187">
        <v>3671.0708655730336</v>
      </c>
      <c r="L7389" s="187">
        <v>1732.5868881739702</v>
      </c>
      <c r="M7389" s="187">
        <v>9414.6630859375</v>
      </c>
      <c r="N7389" s="187">
        <v>5732.578125</v>
      </c>
      <c r="O7389" t="s">
        <v>7318</v>
      </c>
    </row>
    <row r="7390" spans="1:15" hidden="1" x14ac:dyDescent="0.45">
      <c r="A7390" s="187">
        <v>2025</v>
      </c>
      <c r="B7390" t="s">
        <v>317</v>
      </c>
      <c r="C7390" t="s">
        <v>323</v>
      </c>
      <c r="D7390" t="s">
        <v>35</v>
      </c>
      <c r="E7390" t="s">
        <v>349</v>
      </c>
      <c r="F7390" t="s">
        <v>405</v>
      </c>
      <c r="G7390" t="s">
        <v>36</v>
      </c>
      <c r="H7390" t="s">
        <v>43</v>
      </c>
      <c r="I7390" s="187">
        <v>0</v>
      </c>
      <c r="J7390" s="187"/>
      <c r="K7390" s="187">
        <v>2029.6668791574637</v>
      </c>
      <c r="L7390" s="187">
        <v>89.6822549419919</v>
      </c>
      <c r="M7390" s="187">
        <v>2119.34912109375</v>
      </c>
      <c r="N7390" s="187">
        <v>89.682258605957031</v>
      </c>
      <c r="O7390" t="s">
        <v>7319</v>
      </c>
    </row>
    <row r="7391" spans="1:15" hidden="1" x14ac:dyDescent="0.45">
      <c r="A7391" s="187">
        <v>2025</v>
      </c>
      <c r="B7391" t="s">
        <v>316</v>
      </c>
      <c r="C7391" t="s">
        <v>323</v>
      </c>
      <c r="D7391" t="s">
        <v>35</v>
      </c>
      <c r="E7391" t="s">
        <v>349</v>
      </c>
      <c r="F7391" t="s">
        <v>405</v>
      </c>
      <c r="G7391" t="s">
        <v>36</v>
      </c>
      <c r="H7391" t="s">
        <v>43</v>
      </c>
      <c r="I7391" s="187">
        <v>0</v>
      </c>
      <c r="J7391" s="187"/>
      <c r="K7391" s="187">
        <v>1326.3326259011055</v>
      </c>
      <c r="L7391" s="187">
        <v>0</v>
      </c>
      <c r="M7391" s="187">
        <v>1326.3326416015625</v>
      </c>
      <c r="N7391" s="187">
        <v>0</v>
      </c>
      <c r="O7391" t="s">
        <v>7320</v>
      </c>
    </row>
    <row r="7392" spans="1:15" hidden="1" x14ac:dyDescent="0.45">
      <c r="A7392" s="187">
        <v>2025</v>
      </c>
      <c r="B7392" t="s">
        <v>8570</v>
      </c>
      <c r="C7392" t="s">
        <v>323</v>
      </c>
      <c r="D7392" t="s">
        <v>35</v>
      </c>
      <c r="E7392" t="s">
        <v>349</v>
      </c>
      <c r="F7392" t="s">
        <v>405</v>
      </c>
      <c r="G7392" t="s">
        <v>36</v>
      </c>
      <c r="H7392" t="s">
        <v>43</v>
      </c>
      <c r="I7392" s="187">
        <v>0</v>
      </c>
      <c r="J7392" s="187"/>
      <c r="K7392" s="187">
        <v>850.48970816966482</v>
      </c>
      <c r="L7392" s="187">
        <v>433</v>
      </c>
      <c r="M7392" s="187">
        <v>1283.48974609375</v>
      </c>
      <c r="N7392" s="187">
        <v>433</v>
      </c>
      <c r="O7392" t="s">
        <v>9101</v>
      </c>
    </row>
    <row r="7393" spans="1:15" hidden="1" x14ac:dyDescent="0.45">
      <c r="A7393" s="187">
        <v>2025</v>
      </c>
      <c r="B7393" t="s">
        <v>8570</v>
      </c>
      <c r="C7393" t="s">
        <v>323</v>
      </c>
      <c r="D7393" t="s">
        <v>35</v>
      </c>
      <c r="E7393" t="s">
        <v>349</v>
      </c>
      <c r="F7393" t="s">
        <v>406</v>
      </c>
      <c r="G7393" t="s">
        <v>36</v>
      </c>
      <c r="H7393" t="s">
        <v>43</v>
      </c>
      <c r="I7393" s="187">
        <v>0</v>
      </c>
      <c r="J7393" s="187"/>
      <c r="K7393" s="187">
        <v>2.9484082972947361</v>
      </c>
      <c r="L7393" s="187">
        <v>0</v>
      </c>
      <c r="M7393" s="187">
        <v>2.9484083652496338</v>
      </c>
      <c r="N7393" s="187">
        <v>0</v>
      </c>
      <c r="O7393" t="s">
        <v>9102</v>
      </c>
    </row>
    <row r="7394" spans="1:15" hidden="1" x14ac:dyDescent="0.45">
      <c r="A7394" s="187">
        <v>2025</v>
      </c>
      <c r="B7394" t="s">
        <v>317</v>
      </c>
      <c r="C7394" t="s">
        <v>323</v>
      </c>
      <c r="D7394" t="s">
        <v>35</v>
      </c>
      <c r="E7394" t="s">
        <v>349</v>
      </c>
      <c r="F7394" t="s">
        <v>406</v>
      </c>
      <c r="G7394" t="s">
        <v>36</v>
      </c>
      <c r="H7394" t="s">
        <v>43</v>
      </c>
      <c r="I7394" s="187">
        <v>0</v>
      </c>
      <c r="J7394" s="187"/>
      <c r="K7394" s="187">
        <v>5.3142341992879567</v>
      </c>
      <c r="L7394" s="187">
        <v>0</v>
      </c>
      <c r="M7394" s="187">
        <v>5.3142342567443848</v>
      </c>
      <c r="N7394" s="187">
        <v>0</v>
      </c>
      <c r="O7394" t="s">
        <v>7322</v>
      </c>
    </row>
    <row r="7395" spans="1:15" hidden="1" x14ac:dyDescent="0.45">
      <c r="A7395" s="187">
        <v>2025</v>
      </c>
      <c r="B7395" t="s">
        <v>316</v>
      </c>
      <c r="C7395" t="s">
        <v>323</v>
      </c>
      <c r="D7395" t="s">
        <v>35</v>
      </c>
      <c r="E7395" t="s">
        <v>349</v>
      </c>
      <c r="F7395" t="s">
        <v>406</v>
      </c>
      <c r="G7395" t="s">
        <v>36</v>
      </c>
      <c r="H7395" t="s">
        <v>43</v>
      </c>
      <c r="I7395" s="187">
        <v>0</v>
      </c>
      <c r="J7395" s="187"/>
      <c r="K7395" s="187">
        <v>2.1292090414222731</v>
      </c>
      <c r="L7395" s="187">
        <v>0</v>
      </c>
      <c r="M7395" s="187">
        <v>2.129209041595459</v>
      </c>
      <c r="N7395" s="187">
        <v>0</v>
      </c>
      <c r="O7395" t="s">
        <v>7321</v>
      </c>
    </row>
    <row r="7396" spans="1:15" hidden="1" x14ac:dyDescent="0.45">
      <c r="A7396" s="187">
        <v>2025</v>
      </c>
      <c r="B7396" t="s">
        <v>316</v>
      </c>
      <c r="C7396" t="s">
        <v>323</v>
      </c>
      <c r="D7396" t="s">
        <v>35</v>
      </c>
      <c r="E7396" t="s">
        <v>349</v>
      </c>
      <c r="F7396" t="s">
        <v>407</v>
      </c>
      <c r="G7396" t="s">
        <v>36</v>
      </c>
      <c r="H7396" t="s">
        <v>43</v>
      </c>
      <c r="I7396" s="187">
        <v>0</v>
      </c>
      <c r="J7396" s="187">
        <v>11.01453838635709</v>
      </c>
      <c r="K7396" s="187">
        <v>0</v>
      </c>
      <c r="L7396" s="187">
        <v>219.18931388850609</v>
      </c>
      <c r="M7396" s="187">
        <v>230.203857421875</v>
      </c>
      <c r="N7396" s="187">
        <v>219.18931579589844</v>
      </c>
      <c r="O7396" t="s">
        <v>7324</v>
      </c>
    </row>
    <row r="7397" spans="1:15" hidden="1" x14ac:dyDescent="0.45">
      <c r="A7397" s="187">
        <v>2025</v>
      </c>
      <c r="B7397" t="s">
        <v>8570</v>
      </c>
      <c r="C7397" t="s">
        <v>323</v>
      </c>
      <c r="D7397" t="s">
        <v>35</v>
      </c>
      <c r="E7397" t="s">
        <v>349</v>
      </c>
      <c r="F7397" t="s">
        <v>407</v>
      </c>
      <c r="G7397" t="s">
        <v>36</v>
      </c>
      <c r="H7397" t="s">
        <v>43</v>
      </c>
      <c r="I7397" s="187">
        <v>0</v>
      </c>
      <c r="J7397" s="187">
        <v>10</v>
      </c>
      <c r="K7397" s="187">
        <v>0</v>
      </c>
      <c r="L7397" s="187">
        <v>99</v>
      </c>
      <c r="M7397" s="187">
        <v>109</v>
      </c>
      <c r="N7397" s="187">
        <v>99</v>
      </c>
      <c r="O7397" t="s">
        <v>9103</v>
      </c>
    </row>
    <row r="7398" spans="1:15" hidden="1" x14ac:dyDescent="0.45">
      <c r="A7398" s="187">
        <v>2025</v>
      </c>
      <c r="B7398" t="s">
        <v>317</v>
      </c>
      <c r="C7398" t="s">
        <v>323</v>
      </c>
      <c r="D7398" t="s">
        <v>35</v>
      </c>
      <c r="E7398" t="s">
        <v>349</v>
      </c>
      <c r="F7398" t="s">
        <v>407</v>
      </c>
      <c r="G7398" t="s">
        <v>36</v>
      </c>
      <c r="H7398" t="s">
        <v>43</v>
      </c>
      <c r="I7398" s="187">
        <v>0</v>
      </c>
      <c r="J7398" s="187">
        <v>10.805090956866493</v>
      </c>
      <c r="K7398" s="187">
        <v>0</v>
      </c>
      <c r="L7398" s="187">
        <v>220.42385552007647</v>
      </c>
      <c r="M7398" s="187">
        <v>231.22894287109375</v>
      </c>
      <c r="N7398" s="187">
        <v>220.42385864257813</v>
      </c>
      <c r="O7398" t="s">
        <v>7323</v>
      </c>
    </row>
    <row r="7399" spans="1:15" hidden="1" x14ac:dyDescent="0.45">
      <c r="A7399" s="187">
        <v>2025</v>
      </c>
      <c r="B7399" t="s">
        <v>8570</v>
      </c>
      <c r="C7399" t="s">
        <v>323</v>
      </c>
      <c r="D7399" t="s">
        <v>35</v>
      </c>
      <c r="E7399" t="s">
        <v>349</v>
      </c>
      <c r="F7399" t="s">
        <v>408</v>
      </c>
      <c r="G7399" t="s">
        <v>36</v>
      </c>
      <c r="H7399" t="s">
        <v>43</v>
      </c>
      <c r="I7399" s="187">
        <v>149.8316847104</v>
      </c>
      <c r="J7399" s="187"/>
      <c r="K7399" s="187"/>
      <c r="L7399" s="187"/>
      <c r="M7399" s="187">
        <v>149.83168029785156</v>
      </c>
      <c r="N7399" s="187">
        <v>149.83168029785156</v>
      </c>
      <c r="O7399" t="s">
        <v>9104</v>
      </c>
    </row>
    <row r="7400" spans="1:15" hidden="1" x14ac:dyDescent="0.45">
      <c r="A7400" s="187">
        <v>2025</v>
      </c>
      <c r="B7400" t="s">
        <v>8570</v>
      </c>
      <c r="C7400" t="s">
        <v>323</v>
      </c>
      <c r="D7400" t="s">
        <v>35</v>
      </c>
      <c r="E7400" t="s">
        <v>349</v>
      </c>
      <c r="F7400" t="s">
        <v>409</v>
      </c>
      <c r="G7400" t="s">
        <v>36</v>
      </c>
      <c r="H7400" t="s">
        <v>43</v>
      </c>
      <c r="I7400" s="187">
        <v>149.8316847104</v>
      </c>
      <c r="J7400" s="187"/>
      <c r="K7400" s="187"/>
      <c r="L7400" s="187"/>
      <c r="M7400" s="187">
        <v>149.83168029785156</v>
      </c>
      <c r="N7400" s="187">
        <v>149.83168029785156</v>
      </c>
      <c r="O7400" t="s">
        <v>9105</v>
      </c>
    </row>
    <row r="7401" spans="1:15" hidden="1" x14ac:dyDescent="0.45">
      <c r="A7401" s="187">
        <v>2025</v>
      </c>
      <c r="B7401" t="s">
        <v>8570</v>
      </c>
      <c r="C7401" t="s">
        <v>323</v>
      </c>
      <c r="D7401" t="s">
        <v>35</v>
      </c>
      <c r="E7401" t="s">
        <v>349</v>
      </c>
      <c r="F7401" t="s">
        <v>410</v>
      </c>
      <c r="G7401" t="s">
        <v>36</v>
      </c>
      <c r="H7401" t="s">
        <v>43</v>
      </c>
      <c r="I7401" s="187">
        <v>149.8316847104</v>
      </c>
      <c r="J7401" s="187"/>
      <c r="K7401" s="187"/>
      <c r="L7401" s="187"/>
      <c r="M7401" s="187">
        <v>149.83168029785156</v>
      </c>
      <c r="N7401" s="187">
        <v>149.83168029785156</v>
      </c>
      <c r="O7401" t="s">
        <v>9106</v>
      </c>
    </row>
    <row r="7402" spans="1:15" hidden="1" x14ac:dyDescent="0.45">
      <c r="A7402" s="187">
        <v>2025</v>
      </c>
      <c r="B7402" t="s">
        <v>8570</v>
      </c>
      <c r="C7402" t="s">
        <v>323</v>
      </c>
      <c r="D7402" t="s">
        <v>35</v>
      </c>
      <c r="E7402" t="s">
        <v>349</v>
      </c>
      <c r="F7402" t="s">
        <v>411</v>
      </c>
      <c r="G7402" t="s">
        <v>36</v>
      </c>
      <c r="H7402" t="s">
        <v>43</v>
      </c>
      <c r="I7402" s="187">
        <v>449.49505413119999</v>
      </c>
      <c r="J7402" s="187"/>
      <c r="K7402" s="187"/>
      <c r="L7402" s="187"/>
      <c r="M7402" s="187">
        <v>449.49505615234375</v>
      </c>
      <c r="N7402" s="187">
        <v>449.49505615234375</v>
      </c>
      <c r="O7402" t="s">
        <v>9107</v>
      </c>
    </row>
    <row r="7403" spans="1:15" hidden="1" x14ac:dyDescent="0.45">
      <c r="A7403" s="187">
        <v>2025</v>
      </c>
      <c r="B7403" t="s">
        <v>8570</v>
      </c>
      <c r="C7403" t="s">
        <v>323</v>
      </c>
      <c r="D7403" t="s">
        <v>35</v>
      </c>
      <c r="E7403" t="s">
        <v>349</v>
      </c>
      <c r="F7403" t="s">
        <v>423</v>
      </c>
      <c r="G7403" t="s">
        <v>36</v>
      </c>
      <c r="H7403" t="s">
        <v>43</v>
      </c>
      <c r="I7403" s="187"/>
      <c r="J7403" s="187"/>
      <c r="K7403" s="187">
        <v>371.98685720015629</v>
      </c>
      <c r="L7403" s="187">
        <v>55</v>
      </c>
      <c r="M7403" s="187">
        <v>426.98684692382813</v>
      </c>
      <c r="N7403" s="187">
        <v>55</v>
      </c>
      <c r="O7403" t="s">
        <v>9108</v>
      </c>
    </row>
    <row r="7404" spans="1:15" hidden="1" x14ac:dyDescent="0.45">
      <c r="A7404" s="187">
        <v>2025</v>
      </c>
      <c r="B7404" t="s">
        <v>316</v>
      </c>
      <c r="C7404" t="s">
        <v>323</v>
      </c>
      <c r="D7404" t="s">
        <v>35</v>
      </c>
      <c r="E7404" t="s">
        <v>349</v>
      </c>
      <c r="F7404" t="s">
        <v>423</v>
      </c>
      <c r="G7404" t="s">
        <v>36</v>
      </c>
      <c r="H7404" t="s">
        <v>43</v>
      </c>
      <c r="I7404" s="187">
        <v>56.179653039614344</v>
      </c>
      <c r="J7404" s="187"/>
      <c r="K7404" s="187">
        <v>196.35997549987596</v>
      </c>
      <c r="L7404" s="187">
        <v>138.78318366809935</v>
      </c>
      <c r="M7404" s="187">
        <v>391.32281494140625</v>
      </c>
      <c r="N7404" s="187">
        <v>194.96282958984375</v>
      </c>
      <c r="O7404" t="s">
        <v>7325</v>
      </c>
    </row>
    <row r="7405" spans="1:15" hidden="1" x14ac:dyDescent="0.45">
      <c r="A7405" s="187">
        <v>2025</v>
      </c>
      <c r="B7405" t="s">
        <v>317</v>
      </c>
      <c r="C7405" t="s">
        <v>323</v>
      </c>
      <c r="D7405" t="s">
        <v>35</v>
      </c>
      <c r="E7405" t="s">
        <v>349</v>
      </c>
      <c r="F7405" t="s">
        <v>423</v>
      </c>
      <c r="G7405" t="s">
        <v>36</v>
      </c>
      <c r="H7405" t="s">
        <v>43</v>
      </c>
      <c r="I7405" s="187">
        <v>55.105963880019118</v>
      </c>
      <c r="J7405" s="187"/>
      <c r="K7405" s="187">
        <v>387.75730166919107</v>
      </c>
      <c r="L7405" s="187">
        <v>88.601745846305249</v>
      </c>
      <c r="M7405" s="187">
        <v>531.46502685546875</v>
      </c>
      <c r="N7405" s="187">
        <v>143.70771789550781</v>
      </c>
      <c r="O7405" t="s">
        <v>7326</v>
      </c>
    </row>
    <row r="7406" spans="1:15" hidden="1" x14ac:dyDescent="0.45">
      <c r="A7406" s="187">
        <v>2025</v>
      </c>
      <c r="B7406" t="s">
        <v>316</v>
      </c>
      <c r="C7406" t="s">
        <v>323</v>
      </c>
      <c r="D7406" t="s">
        <v>35</v>
      </c>
      <c r="E7406" t="s">
        <v>349</v>
      </c>
      <c r="F7406" t="s">
        <v>424</v>
      </c>
      <c r="G7406" t="s">
        <v>36</v>
      </c>
      <c r="H7406" t="s">
        <v>43</v>
      </c>
      <c r="I7406" s="187">
        <v>112.35930607922869</v>
      </c>
      <c r="J7406" s="187"/>
      <c r="K7406" s="187">
        <v>0</v>
      </c>
      <c r="L7406" s="187">
        <v>70.493045672685383</v>
      </c>
      <c r="M7406" s="187">
        <v>182.85235595703125</v>
      </c>
      <c r="N7406" s="187">
        <v>182.85235595703125</v>
      </c>
      <c r="O7406" t="s">
        <v>7327</v>
      </c>
    </row>
    <row r="7407" spans="1:15" hidden="1" x14ac:dyDescent="0.45">
      <c r="A7407" s="187">
        <v>2025</v>
      </c>
      <c r="B7407" t="s">
        <v>317</v>
      </c>
      <c r="C7407" t="s">
        <v>323</v>
      </c>
      <c r="D7407" t="s">
        <v>35</v>
      </c>
      <c r="E7407" t="s">
        <v>349</v>
      </c>
      <c r="F7407" t="s">
        <v>424</v>
      </c>
      <c r="G7407" t="s">
        <v>36</v>
      </c>
      <c r="H7407" t="s">
        <v>43</v>
      </c>
      <c r="I7407" s="187">
        <v>110.21192776003824</v>
      </c>
      <c r="J7407" s="187"/>
      <c r="K7407" s="187">
        <v>0</v>
      </c>
      <c r="L7407" s="187">
        <v>71.313600315318851</v>
      </c>
      <c r="M7407" s="187">
        <v>181.52552795410156</v>
      </c>
      <c r="N7407" s="187">
        <v>181.52552795410156</v>
      </c>
      <c r="O7407" t="s">
        <v>7328</v>
      </c>
    </row>
    <row r="7408" spans="1:15" hidden="1" x14ac:dyDescent="0.45">
      <c r="A7408" s="187">
        <v>2025</v>
      </c>
      <c r="B7408" t="s">
        <v>8570</v>
      </c>
      <c r="C7408" t="s">
        <v>323</v>
      </c>
      <c r="D7408" t="s">
        <v>35</v>
      </c>
      <c r="E7408" t="s">
        <v>349</v>
      </c>
      <c r="F7408" t="s">
        <v>424</v>
      </c>
      <c r="G7408" t="s">
        <v>36</v>
      </c>
      <c r="H7408" t="s">
        <v>43</v>
      </c>
      <c r="I7408" s="187"/>
      <c r="J7408" s="187"/>
      <c r="K7408" s="187">
        <v>0</v>
      </c>
      <c r="L7408" s="187">
        <v>222</v>
      </c>
      <c r="M7408" s="187">
        <v>222</v>
      </c>
      <c r="N7408" s="187">
        <v>222</v>
      </c>
      <c r="O7408" t="s">
        <v>9109</v>
      </c>
    </row>
    <row r="7409" spans="1:15" hidden="1" x14ac:dyDescent="0.45">
      <c r="A7409" s="187">
        <v>2025</v>
      </c>
      <c r="B7409" t="s">
        <v>8570</v>
      </c>
      <c r="C7409" t="s">
        <v>323</v>
      </c>
      <c r="D7409" t="s">
        <v>35</v>
      </c>
      <c r="E7409" t="s">
        <v>349</v>
      </c>
      <c r="F7409" t="s">
        <v>446</v>
      </c>
      <c r="G7409" t="s">
        <v>36</v>
      </c>
      <c r="H7409" t="s">
        <v>43</v>
      </c>
      <c r="I7409" s="187"/>
      <c r="J7409" s="187"/>
      <c r="K7409" s="187">
        <v>0</v>
      </c>
      <c r="L7409" s="187">
        <v>0</v>
      </c>
      <c r="M7409" s="187">
        <v>0</v>
      </c>
      <c r="N7409" s="187">
        <v>0</v>
      </c>
      <c r="O7409" t="s">
        <v>9110</v>
      </c>
    </row>
    <row r="7410" spans="1:15" hidden="1" x14ac:dyDescent="0.45">
      <c r="A7410" s="187">
        <v>2025</v>
      </c>
      <c r="B7410" t="s">
        <v>316</v>
      </c>
      <c r="C7410" t="s">
        <v>323</v>
      </c>
      <c r="D7410" t="s">
        <v>35</v>
      </c>
      <c r="E7410" t="s">
        <v>349</v>
      </c>
      <c r="F7410" t="s">
        <v>446</v>
      </c>
      <c r="G7410" t="s">
        <v>36</v>
      </c>
      <c r="H7410" t="s">
        <v>43</v>
      </c>
      <c r="I7410" s="187">
        <v>112.35930607922869</v>
      </c>
      <c r="J7410" s="187"/>
      <c r="K7410" s="187">
        <v>0</v>
      </c>
      <c r="L7410" s="187">
        <v>112.34829154084233</v>
      </c>
      <c r="M7410" s="187">
        <v>224.70759582519531</v>
      </c>
      <c r="N7410" s="187">
        <v>224.70759582519531</v>
      </c>
      <c r="O7410" t="s">
        <v>7330</v>
      </c>
    </row>
    <row r="7411" spans="1:15" hidden="1" x14ac:dyDescent="0.45">
      <c r="A7411" s="187">
        <v>2025</v>
      </c>
      <c r="B7411" t="s">
        <v>317</v>
      </c>
      <c r="C7411" t="s">
        <v>323</v>
      </c>
      <c r="D7411" t="s">
        <v>35</v>
      </c>
      <c r="E7411" t="s">
        <v>349</v>
      </c>
      <c r="F7411" t="s">
        <v>446</v>
      </c>
      <c r="G7411" t="s">
        <v>36</v>
      </c>
      <c r="H7411" t="s">
        <v>43</v>
      </c>
      <c r="I7411" s="187">
        <v>86.440727654931948</v>
      </c>
      <c r="J7411" s="187"/>
      <c r="K7411" s="187">
        <v>0</v>
      </c>
      <c r="L7411" s="187">
        <v>23.771200105106285</v>
      </c>
      <c r="M7411" s="187">
        <v>110.21192932128906</v>
      </c>
      <c r="N7411" s="187">
        <v>110.21192932128906</v>
      </c>
      <c r="O7411" t="s">
        <v>7329</v>
      </c>
    </row>
    <row r="7412" spans="1:15" hidden="1" x14ac:dyDescent="0.45">
      <c r="A7412" s="187">
        <v>2025</v>
      </c>
      <c r="B7412" t="s">
        <v>317</v>
      </c>
      <c r="C7412" t="s">
        <v>323</v>
      </c>
      <c r="D7412" t="s">
        <v>35</v>
      </c>
      <c r="E7412" t="s">
        <v>349</v>
      </c>
      <c r="F7412" t="s">
        <v>447</v>
      </c>
      <c r="G7412" t="s">
        <v>36</v>
      </c>
      <c r="H7412" t="s">
        <v>43</v>
      </c>
      <c r="I7412" s="187">
        <v>251.7586192949893</v>
      </c>
      <c r="J7412" s="187">
        <v>0</v>
      </c>
      <c r="K7412" s="187">
        <v>387.75730166919107</v>
      </c>
      <c r="L7412" s="187">
        <v>183.68654626673037</v>
      </c>
      <c r="M7412" s="187">
        <v>823.20245361328125</v>
      </c>
      <c r="N7412" s="187">
        <v>435.44515991210938</v>
      </c>
      <c r="O7412" t="s">
        <v>7331</v>
      </c>
    </row>
    <row r="7413" spans="1:15" hidden="1" x14ac:dyDescent="0.45">
      <c r="A7413" s="187">
        <v>2025</v>
      </c>
      <c r="B7413" t="s">
        <v>316</v>
      </c>
      <c r="C7413" t="s">
        <v>323</v>
      </c>
      <c r="D7413" t="s">
        <v>35</v>
      </c>
      <c r="E7413" t="s">
        <v>349</v>
      </c>
      <c r="F7413" t="s">
        <v>447</v>
      </c>
      <c r="G7413" t="s">
        <v>36</v>
      </c>
      <c r="H7413" t="s">
        <v>43</v>
      </c>
      <c r="I7413" s="187">
        <v>280.89826519807173</v>
      </c>
      <c r="J7413" s="187">
        <v>0</v>
      </c>
      <c r="K7413" s="187">
        <v>196.35997549987596</v>
      </c>
      <c r="L7413" s="187">
        <v>321.62452088162706</v>
      </c>
      <c r="M7413" s="187">
        <v>798.88275146484375</v>
      </c>
      <c r="N7413" s="187">
        <v>602.52276611328125</v>
      </c>
      <c r="O7413" t="s">
        <v>7332</v>
      </c>
    </row>
    <row r="7414" spans="1:15" hidden="1" x14ac:dyDescent="0.45">
      <c r="A7414" s="187">
        <v>2025</v>
      </c>
      <c r="B7414" t="s">
        <v>8570</v>
      </c>
      <c r="C7414" t="s">
        <v>323</v>
      </c>
      <c r="D7414" t="s">
        <v>35</v>
      </c>
      <c r="E7414" t="s">
        <v>349</v>
      </c>
      <c r="F7414" t="s">
        <v>447</v>
      </c>
      <c r="G7414" t="s">
        <v>36</v>
      </c>
      <c r="H7414" t="s">
        <v>43</v>
      </c>
      <c r="I7414" s="187"/>
      <c r="J7414" s="187">
        <v>0</v>
      </c>
      <c r="K7414" s="187">
        <v>371.98685720015629</v>
      </c>
      <c r="L7414" s="187">
        <v>277</v>
      </c>
      <c r="M7414" s="187">
        <v>648.98681640625</v>
      </c>
      <c r="N7414" s="187">
        <v>277</v>
      </c>
      <c r="O7414" t="s">
        <v>9111</v>
      </c>
    </row>
    <row r="7415" spans="1:15" hidden="1" x14ac:dyDescent="0.45">
      <c r="A7415" s="187">
        <v>2025</v>
      </c>
      <c r="B7415" t="s">
        <v>317</v>
      </c>
      <c r="C7415" t="s">
        <v>328</v>
      </c>
      <c r="D7415" t="s">
        <v>39</v>
      </c>
      <c r="E7415" t="s">
        <v>349</v>
      </c>
      <c r="F7415" t="s">
        <v>349</v>
      </c>
      <c r="G7415" t="s">
        <v>36</v>
      </c>
      <c r="H7415" t="s">
        <v>43</v>
      </c>
      <c r="I7415" s="187">
        <v>0</v>
      </c>
      <c r="J7415" s="187">
        <v>26.131645976874857</v>
      </c>
      <c r="K7415" s="187">
        <v>2341.2734664025952</v>
      </c>
      <c r="L7415" s="187">
        <v>0</v>
      </c>
      <c r="M7415" s="187">
        <v>2367.405029296875</v>
      </c>
      <c r="N7415" s="187">
        <v>0</v>
      </c>
      <c r="O7415" t="s">
        <v>7339</v>
      </c>
    </row>
    <row r="7416" spans="1:15" hidden="1" x14ac:dyDescent="0.45">
      <c r="A7416" s="187">
        <v>2025</v>
      </c>
      <c r="B7416" t="s">
        <v>313</v>
      </c>
      <c r="C7416" t="s">
        <v>328</v>
      </c>
      <c r="D7416" t="s">
        <v>39</v>
      </c>
      <c r="E7416" t="s">
        <v>349</v>
      </c>
      <c r="F7416" t="s">
        <v>349</v>
      </c>
      <c r="G7416" t="s">
        <v>36</v>
      </c>
      <c r="H7416" t="s">
        <v>43</v>
      </c>
      <c r="I7416" s="187">
        <v>0</v>
      </c>
      <c r="J7416" s="187">
        <v>0</v>
      </c>
      <c r="K7416" s="187">
        <v>3116.9027883913095</v>
      </c>
      <c r="L7416" s="187">
        <v>0</v>
      </c>
      <c r="M7416" s="187">
        <v>3116.90283203125</v>
      </c>
      <c r="N7416" s="187">
        <v>0</v>
      </c>
      <c r="O7416" t="s">
        <v>7335</v>
      </c>
    </row>
    <row r="7417" spans="1:15" hidden="1" x14ac:dyDescent="0.45">
      <c r="A7417" s="187">
        <v>2025</v>
      </c>
      <c r="B7417" t="s">
        <v>314</v>
      </c>
      <c r="C7417" t="s">
        <v>328</v>
      </c>
      <c r="D7417" t="s">
        <v>39</v>
      </c>
      <c r="E7417" t="s">
        <v>349</v>
      </c>
      <c r="F7417" t="s">
        <v>349</v>
      </c>
      <c r="G7417" t="s">
        <v>36</v>
      </c>
      <c r="H7417" t="s">
        <v>43</v>
      </c>
      <c r="I7417" s="187">
        <v>0</v>
      </c>
      <c r="J7417" s="187">
        <v>22.192551404189587</v>
      </c>
      <c r="K7417" s="187">
        <v>2919.0427025655886</v>
      </c>
      <c r="L7417" s="187">
        <v>0</v>
      </c>
      <c r="M7417" s="187">
        <v>2941.2353515625</v>
      </c>
      <c r="N7417" s="187">
        <v>0</v>
      </c>
      <c r="O7417" t="s">
        <v>7334</v>
      </c>
    </row>
    <row r="7418" spans="1:15" hidden="1" x14ac:dyDescent="0.45">
      <c r="A7418" s="187">
        <v>2025</v>
      </c>
      <c r="B7418" t="s">
        <v>315</v>
      </c>
      <c r="C7418" t="s">
        <v>328</v>
      </c>
      <c r="D7418" t="s">
        <v>39</v>
      </c>
      <c r="E7418" t="s">
        <v>349</v>
      </c>
      <c r="F7418" t="s">
        <v>349</v>
      </c>
      <c r="G7418" t="s">
        <v>36</v>
      </c>
      <c r="H7418" t="s">
        <v>43</v>
      </c>
      <c r="I7418" s="187">
        <v>0</v>
      </c>
      <c r="J7418" s="187">
        <v>21.603009729083823</v>
      </c>
      <c r="K7418" s="187">
        <v>2288.5757734780855</v>
      </c>
      <c r="L7418" s="187">
        <v>0</v>
      </c>
      <c r="M7418" s="187">
        <v>2310.1787109375</v>
      </c>
      <c r="N7418" s="187">
        <v>0</v>
      </c>
      <c r="O7418" t="s">
        <v>7333</v>
      </c>
    </row>
    <row r="7419" spans="1:15" hidden="1" x14ac:dyDescent="0.45">
      <c r="A7419" s="187">
        <v>2025</v>
      </c>
      <c r="B7419" t="s">
        <v>8570</v>
      </c>
      <c r="C7419" t="s">
        <v>328</v>
      </c>
      <c r="D7419" t="s">
        <v>39</v>
      </c>
      <c r="E7419" t="s">
        <v>349</v>
      </c>
      <c r="F7419" t="s">
        <v>349</v>
      </c>
      <c r="G7419" t="s">
        <v>36</v>
      </c>
      <c r="H7419" t="s">
        <v>43</v>
      </c>
      <c r="I7419" s="187">
        <v>0</v>
      </c>
      <c r="J7419" s="187"/>
      <c r="K7419" s="187">
        <v>2483.155341196818</v>
      </c>
      <c r="L7419" s="187">
        <v>0</v>
      </c>
      <c r="M7419" s="187">
        <v>2483.1552734375</v>
      </c>
      <c r="N7419" s="187">
        <v>0</v>
      </c>
      <c r="O7419" t="s">
        <v>9112</v>
      </c>
    </row>
    <row r="7420" spans="1:15" hidden="1" x14ac:dyDescent="0.45">
      <c r="A7420" s="187">
        <v>2025</v>
      </c>
      <c r="B7420" t="s">
        <v>311</v>
      </c>
      <c r="C7420" t="s">
        <v>328</v>
      </c>
      <c r="D7420" t="s">
        <v>39</v>
      </c>
      <c r="E7420" t="s">
        <v>349</v>
      </c>
      <c r="F7420" t="s">
        <v>349</v>
      </c>
      <c r="G7420" t="s">
        <v>36</v>
      </c>
      <c r="H7420" t="s">
        <v>43</v>
      </c>
      <c r="I7420" s="187"/>
      <c r="J7420" s="187">
        <v>0</v>
      </c>
      <c r="K7420" s="187">
        <v>2867.4793648097834</v>
      </c>
      <c r="L7420" s="187">
        <v>0</v>
      </c>
      <c r="M7420" s="187">
        <v>2867.479248046875</v>
      </c>
      <c r="N7420" s="187">
        <v>0</v>
      </c>
      <c r="O7420" t="s">
        <v>7337</v>
      </c>
    </row>
    <row r="7421" spans="1:15" hidden="1" x14ac:dyDescent="0.45">
      <c r="A7421" s="187">
        <v>2025</v>
      </c>
      <c r="B7421" t="s">
        <v>316</v>
      </c>
      <c r="C7421" t="s">
        <v>328</v>
      </c>
      <c r="D7421" t="s">
        <v>39</v>
      </c>
      <c r="E7421" t="s">
        <v>349</v>
      </c>
      <c r="F7421" t="s">
        <v>349</v>
      </c>
      <c r="G7421" t="s">
        <v>36</v>
      </c>
      <c r="H7421" t="s">
        <v>43</v>
      </c>
      <c r="I7421" s="187">
        <v>0</v>
      </c>
      <c r="J7421" s="187">
        <v>26.440360977435727</v>
      </c>
      <c r="K7421" s="187">
        <v>2399.7872159009112</v>
      </c>
      <c r="L7421" s="187">
        <v>0</v>
      </c>
      <c r="M7421" s="187">
        <v>2426.2275390625</v>
      </c>
      <c r="N7421" s="187">
        <v>0</v>
      </c>
      <c r="O7421" t="s">
        <v>7338</v>
      </c>
    </row>
    <row r="7422" spans="1:15" hidden="1" x14ac:dyDescent="0.45">
      <c r="A7422" s="187">
        <v>2025</v>
      </c>
      <c r="B7422" t="s">
        <v>312</v>
      </c>
      <c r="C7422" t="s">
        <v>328</v>
      </c>
      <c r="D7422" t="s">
        <v>39</v>
      </c>
      <c r="E7422" t="s">
        <v>349</v>
      </c>
      <c r="F7422" t="s">
        <v>349</v>
      </c>
      <c r="G7422" t="s">
        <v>36</v>
      </c>
      <c r="H7422" t="s">
        <v>43</v>
      </c>
      <c r="I7422" s="187">
        <v>0</v>
      </c>
      <c r="J7422" s="187">
        <v>0</v>
      </c>
      <c r="K7422" s="187">
        <v>3577.6274891516391</v>
      </c>
      <c r="L7422" s="187">
        <v>0</v>
      </c>
      <c r="M7422" s="187">
        <v>3577.62744140625</v>
      </c>
      <c r="N7422" s="187">
        <v>0</v>
      </c>
      <c r="O7422" t="s">
        <v>7336</v>
      </c>
    </row>
    <row r="7423" spans="1:15" hidden="1" x14ac:dyDescent="0.45">
      <c r="A7423" s="187">
        <v>2025</v>
      </c>
      <c r="B7423" t="s">
        <v>312</v>
      </c>
      <c r="C7423" t="s">
        <v>328</v>
      </c>
      <c r="D7423" t="s">
        <v>39</v>
      </c>
      <c r="E7423" t="s">
        <v>349</v>
      </c>
      <c r="F7423" t="s">
        <v>349</v>
      </c>
      <c r="G7423" t="s">
        <v>37</v>
      </c>
      <c r="H7423" t="s">
        <v>43</v>
      </c>
      <c r="I7423" s="187">
        <v>0</v>
      </c>
      <c r="J7423" s="187">
        <v>0</v>
      </c>
      <c r="K7423" s="187">
        <v>3675.2507115900748</v>
      </c>
      <c r="L7423" s="187">
        <v>0</v>
      </c>
      <c r="M7423" s="187">
        <v>3675.250732421875</v>
      </c>
      <c r="N7423" s="187">
        <v>0</v>
      </c>
      <c r="O7423" t="s">
        <v>7344</v>
      </c>
    </row>
    <row r="7424" spans="1:15" hidden="1" x14ac:dyDescent="0.45">
      <c r="A7424" s="187">
        <v>2025</v>
      </c>
      <c r="B7424" t="s">
        <v>316</v>
      </c>
      <c r="C7424" t="s">
        <v>328</v>
      </c>
      <c r="D7424" t="s">
        <v>39</v>
      </c>
      <c r="E7424" t="s">
        <v>349</v>
      </c>
      <c r="F7424" t="s">
        <v>349</v>
      </c>
      <c r="G7424" t="s">
        <v>37</v>
      </c>
      <c r="H7424" t="s">
        <v>43</v>
      </c>
      <c r="I7424" s="187">
        <v>0</v>
      </c>
      <c r="J7424" s="187">
        <v>25</v>
      </c>
      <c r="K7424" s="187">
        <v>2460.4519667931759</v>
      </c>
      <c r="L7424" s="187">
        <v>0</v>
      </c>
      <c r="M7424" s="187">
        <v>2485.451904296875</v>
      </c>
      <c r="N7424" s="187">
        <v>0</v>
      </c>
      <c r="O7424" t="s">
        <v>7345</v>
      </c>
    </row>
    <row r="7425" spans="1:15" hidden="1" x14ac:dyDescent="0.45">
      <c r="A7425" s="187">
        <v>2025</v>
      </c>
      <c r="B7425" t="s">
        <v>8570</v>
      </c>
      <c r="C7425" t="s">
        <v>328</v>
      </c>
      <c r="D7425" t="s">
        <v>39</v>
      </c>
      <c r="E7425" t="s">
        <v>349</v>
      </c>
      <c r="F7425" t="s">
        <v>349</v>
      </c>
      <c r="G7425" t="s">
        <v>37</v>
      </c>
      <c r="H7425" t="s">
        <v>43</v>
      </c>
      <c r="I7425" s="187">
        <v>0</v>
      </c>
      <c r="J7425" s="187">
        <v>5</v>
      </c>
      <c r="K7425" s="187">
        <v>2646.760347365409</v>
      </c>
      <c r="L7425" s="187">
        <v>0</v>
      </c>
      <c r="M7425" s="187">
        <v>2651.76025390625</v>
      </c>
      <c r="N7425" s="187">
        <v>0</v>
      </c>
      <c r="O7425" t="s">
        <v>9113</v>
      </c>
    </row>
    <row r="7426" spans="1:15" hidden="1" x14ac:dyDescent="0.45">
      <c r="A7426" s="187">
        <v>2025</v>
      </c>
      <c r="B7426" t="s">
        <v>314</v>
      </c>
      <c r="C7426" t="s">
        <v>328</v>
      </c>
      <c r="D7426" t="s">
        <v>39</v>
      </c>
      <c r="E7426" t="s">
        <v>349</v>
      </c>
      <c r="F7426" t="s">
        <v>349</v>
      </c>
      <c r="G7426" t="s">
        <v>37</v>
      </c>
      <c r="H7426" t="s">
        <v>43</v>
      </c>
      <c r="I7426" s="187">
        <v>0</v>
      </c>
      <c r="J7426" s="187">
        <v>23</v>
      </c>
      <c r="K7426" s="187">
        <v>3027.3632708297919</v>
      </c>
      <c r="L7426" s="187">
        <v>0</v>
      </c>
      <c r="M7426" s="187">
        <v>3050.36328125</v>
      </c>
      <c r="N7426" s="187">
        <v>0</v>
      </c>
      <c r="O7426" t="s">
        <v>7343</v>
      </c>
    </row>
    <row r="7427" spans="1:15" hidden="1" x14ac:dyDescent="0.45">
      <c r="A7427" s="187">
        <v>2025</v>
      </c>
      <c r="B7427" t="s">
        <v>315</v>
      </c>
      <c r="C7427" t="s">
        <v>328</v>
      </c>
      <c r="D7427" t="s">
        <v>39</v>
      </c>
      <c r="E7427" t="s">
        <v>349</v>
      </c>
      <c r="F7427" t="s">
        <v>349</v>
      </c>
      <c r="G7427" t="s">
        <v>37</v>
      </c>
      <c r="H7427" t="s">
        <v>43</v>
      </c>
      <c r="I7427" s="187">
        <v>0</v>
      </c>
      <c r="J7427" s="187">
        <v>22</v>
      </c>
      <c r="K7427" s="187">
        <v>2380.1238796092962</v>
      </c>
      <c r="L7427" s="187">
        <v>0</v>
      </c>
      <c r="M7427" s="187">
        <v>2402.123779296875</v>
      </c>
      <c r="N7427" s="187">
        <v>0</v>
      </c>
      <c r="O7427" t="s">
        <v>7346</v>
      </c>
    </row>
    <row r="7428" spans="1:15" hidden="1" x14ac:dyDescent="0.45">
      <c r="A7428" s="187">
        <v>2025</v>
      </c>
      <c r="B7428" t="s">
        <v>313</v>
      </c>
      <c r="C7428" t="s">
        <v>328</v>
      </c>
      <c r="D7428" t="s">
        <v>39</v>
      </c>
      <c r="E7428" t="s">
        <v>349</v>
      </c>
      <c r="F7428" t="s">
        <v>349</v>
      </c>
      <c r="G7428" t="s">
        <v>37</v>
      </c>
      <c r="H7428" t="s">
        <v>43</v>
      </c>
      <c r="I7428" s="187">
        <v>0</v>
      </c>
      <c r="J7428" s="187">
        <v>0</v>
      </c>
      <c r="K7428" s="187">
        <v>3186.139940731503</v>
      </c>
      <c r="L7428" s="187">
        <v>0</v>
      </c>
      <c r="M7428" s="187">
        <v>3186.139892578125</v>
      </c>
      <c r="N7428" s="187">
        <v>0</v>
      </c>
      <c r="O7428" t="s">
        <v>7340</v>
      </c>
    </row>
    <row r="7429" spans="1:15" hidden="1" x14ac:dyDescent="0.45">
      <c r="A7429" s="187">
        <v>2025</v>
      </c>
      <c r="B7429" t="s">
        <v>311</v>
      </c>
      <c r="C7429" t="s">
        <v>328</v>
      </c>
      <c r="D7429" t="s">
        <v>39</v>
      </c>
      <c r="E7429" t="s">
        <v>349</v>
      </c>
      <c r="F7429" t="s">
        <v>349</v>
      </c>
      <c r="G7429" t="s">
        <v>37</v>
      </c>
      <c r="H7429" t="s">
        <v>43</v>
      </c>
      <c r="I7429" s="187"/>
      <c r="J7429" s="187">
        <v>0</v>
      </c>
      <c r="K7429" s="187">
        <v>2978.3151444106361</v>
      </c>
      <c r="L7429" s="187">
        <v>0</v>
      </c>
      <c r="M7429" s="187">
        <v>2978.315185546875</v>
      </c>
      <c r="N7429" s="187">
        <v>0</v>
      </c>
      <c r="O7429" t="s">
        <v>7341</v>
      </c>
    </row>
    <row r="7430" spans="1:15" hidden="1" x14ac:dyDescent="0.45">
      <c r="A7430" s="187">
        <v>2025</v>
      </c>
      <c r="B7430" t="s">
        <v>317</v>
      </c>
      <c r="C7430" t="s">
        <v>328</v>
      </c>
      <c r="D7430" t="s">
        <v>39</v>
      </c>
      <c r="E7430" t="s">
        <v>349</v>
      </c>
      <c r="F7430" t="s">
        <v>349</v>
      </c>
      <c r="G7430" t="s">
        <v>37</v>
      </c>
      <c r="H7430" t="s">
        <v>43</v>
      </c>
      <c r="I7430" s="187">
        <v>0</v>
      </c>
      <c r="J7430" s="187">
        <v>25</v>
      </c>
      <c r="K7430" s="187">
        <v>2409.7438031074412</v>
      </c>
      <c r="L7430" s="187">
        <v>0</v>
      </c>
      <c r="M7430" s="187">
        <v>2434.743896484375</v>
      </c>
      <c r="N7430" s="187">
        <v>0</v>
      </c>
      <c r="O7430" t="s">
        <v>7342</v>
      </c>
    </row>
    <row r="7431" spans="1:15" hidden="1" x14ac:dyDescent="0.45">
      <c r="A7431" s="187">
        <v>2025</v>
      </c>
      <c r="B7431" t="s">
        <v>311</v>
      </c>
      <c r="C7431" t="s">
        <v>328</v>
      </c>
      <c r="D7431" t="s">
        <v>39</v>
      </c>
      <c r="E7431" t="s">
        <v>21</v>
      </c>
      <c r="F7431" t="s">
        <v>21</v>
      </c>
      <c r="G7431" t="s">
        <v>36</v>
      </c>
      <c r="H7431" t="s">
        <v>43</v>
      </c>
      <c r="I7431" s="187"/>
      <c r="J7431" s="187">
        <v>891.27375513324205</v>
      </c>
      <c r="K7431" s="187">
        <v>7610.0854184394848</v>
      </c>
      <c r="L7431" s="187">
        <v>647.77543510337591</v>
      </c>
      <c r="M7431" s="187">
        <v>9149.134765625</v>
      </c>
      <c r="N7431" s="187">
        <v>647.77545166015625</v>
      </c>
      <c r="O7431" t="s">
        <v>7348</v>
      </c>
    </row>
    <row r="7432" spans="1:15" hidden="1" x14ac:dyDescent="0.45">
      <c r="A7432" s="187">
        <v>2025</v>
      </c>
      <c r="B7432" t="s">
        <v>315</v>
      </c>
      <c r="C7432" t="s">
        <v>328</v>
      </c>
      <c r="D7432" t="s">
        <v>39</v>
      </c>
      <c r="E7432" t="s">
        <v>21</v>
      </c>
      <c r="F7432" t="s">
        <v>21</v>
      </c>
      <c r="G7432" t="s">
        <v>36</v>
      </c>
      <c r="H7432" t="s">
        <v>43</v>
      </c>
      <c r="I7432" s="187">
        <v>1906.4656085916472</v>
      </c>
      <c r="J7432" s="187">
        <v>1069.3489815896492</v>
      </c>
      <c r="K7432" s="187">
        <v>5981.8051723279723</v>
      </c>
      <c r="L7432" s="187">
        <v>5191.2032378988424</v>
      </c>
      <c r="M7432" s="187">
        <v>14148.822265625</v>
      </c>
      <c r="N7432" s="187">
        <v>7097.6689453125</v>
      </c>
      <c r="O7432" t="s">
        <v>7352</v>
      </c>
    </row>
    <row r="7433" spans="1:15" hidden="1" x14ac:dyDescent="0.45">
      <c r="A7433" s="187">
        <v>2025</v>
      </c>
      <c r="B7433" t="s">
        <v>314</v>
      </c>
      <c r="C7433" t="s">
        <v>328</v>
      </c>
      <c r="D7433" t="s">
        <v>39</v>
      </c>
      <c r="E7433" t="s">
        <v>21</v>
      </c>
      <c r="F7433" t="s">
        <v>21</v>
      </c>
      <c r="G7433" t="s">
        <v>36</v>
      </c>
      <c r="H7433" t="s">
        <v>43</v>
      </c>
      <c r="I7433" s="187">
        <v>1958.4926614197309</v>
      </c>
      <c r="J7433" s="187">
        <v>909.89460757177301</v>
      </c>
      <c r="K7433" s="187">
        <v>5662.1003359521719</v>
      </c>
      <c r="L7433" s="187">
        <v>5066.5594855764821</v>
      </c>
      <c r="M7433" s="187">
        <v>13597.046875</v>
      </c>
      <c r="N7433" s="187">
        <v>7025.05224609375</v>
      </c>
      <c r="O7433" t="s">
        <v>7351</v>
      </c>
    </row>
    <row r="7434" spans="1:15" hidden="1" x14ac:dyDescent="0.45">
      <c r="A7434" s="187">
        <v>2025</v>
      </c>
      <c r="B7434" t="s">
        <v>317</v>
      </c>
      <c r="C7434" t="s">
        <v>328</v>
      </c>
      <c r="D7434" t="s">
        <v>39</v>
      </c>
      <c r="E7434" t="s">
        <v>21</v>
      </c>
      <c r="F7434" t="s">
        <v>21</v>
      </c>
      <c r="G7434" t="s">
        <v>36</v>
      </c>
      <c r="H7434" t="s">
        <v>43</v>
      </c>
      <c r="I7434" s="187">
        <v>3081.448554774689</v>
      </c>
      <c r="J7434" s="187">
        <v>1311.8086280391178</v>
      </c>
      <c r="K7434" s="187">
        <v>7654.932109096193</v>
      </c>
      <c r="L7434" s="187">
        <v>5351.7610960639713</v>
      </c>
      <c r="M7434" s="187">
        <v>17399.951171875</v>
      </c>
      <c r="N7434" s="187">
        <v>8433.2099609375</v>
      </c>
      <c r="O7434" t="s">
        <v>7353</v>
      </c>
    </row>
    <row r="7435" spans="1:15" hidden="1" x14ac:dyDescent="0.45">
      <c r="A7435" s="187">
        <v>2025</v>
      </c>
      <c r="B7435" t="s">
        <v>312</v>
      </c>
      <c r="C7435" t="s">
        <v>328</v>
      </c>
      <c r="D7435" t="s">
        <v>39</v>
      </c>
      <c r="E7435" t="s">
        <v>21</v>
      </c>
      <c r="F7435" t="s">
        <v>21</v>
      </c>
      <c r="G7435" t="s">
        <v>36</v>
      </c>
      <c r="H7435" t="s">
        <v>43</v>
      </c>
      <c r="I7435" s="187">
        <v>1901.6232069035862</v>
      </c>
      <c r="J7435" s="187">
        <v>887.21672074134676</v>
      </c>
      <c r="K7435" s="187">
        <v>7740.5961203689212</v>
      </c>
      <c r="L7435" s="187">
        <v>5028.7211779535683</v>
      </c>
      <c r="M7435" s="187">
        <v>15558.15625</v>
      </c>
      <c r="N7435" s="187">
        <v>6930.34423828125</v>
      </c>
      <c r="O7435" t="s">
        <v>7350</v>
      </c>
    </row>
    <row r="7436" spans="1:15" hidden="1" x14ac:dyDescent="0.45">
      <c r="A7436" s="187">
        <v>2025</v>
      </c>
      <c r="B7436" t="s">
        <v>313</v>
      </c>
      <c r="C7436" t="s">
        <v>328</v>
      </c>
      <c r="D7436" t="s">
        <v>39</v>
      </c>
      <c r="E7436" t="s">
        <v>21</v>
      </c>
      <c r="F7436" t="s">
        <v>21</v>
      </c>
      <c r="G7436" t="s">
        <v>36</v>
      </c>
      <c r="H7436" t="s">
        <v>43</v>
      </c>
      <c r="I7436" s="187">
        <v>1940.0044612941792</v>
      </c>
      <c r="J7436" s="187">
        <v>912.85735991632748</v>
      </c>
      <c r="K7436" s="187">
        <v>7402.9161653558567</v>
      </c>
      <c r="L7436" s="187">
        <v>5323.0994800120843</v>
      </c>
      <c r="M7436" s="187">
        <v>15578.8779296875</v>
      </c>
      <c r="N7436" s="187">
        <v>7263.10400390625</v>
      </c>
      <c r="O7436" t="s">
        <v>7347</v>
      </c>
    </row>
    <row r="7437" spans="1:15" hidden="1" x14ac:dyDescent="0.45">
      <c r="A7437" s="187">
        <v>2025</v>
      </c>
      <c r="B7437" t="s">
        <v>8570</v>
      </c>
      <c r="C7437" t="s">
        <v>328</v>
      </c>
      <c r="D7437" t="s">
        <v>39</v>
      </c>
      <c r="E7437" t="s">
        <v>21</v>
      </c>
      <c r="F7437" t="s">
        <v>21</v>
      </c>
      <c r="G7437" t="s">
        <v>36</v>
      </c>
      <c r="H7437" t="s">
        <v>43</v>
      </c>
      <c r="I7437" s="187">
        <v>3231.461580724294</v>
      </c>
      <c r="J7437" s="187">
        <v>1531</v>
      </c>
      <c r="K7437" s="187">
        <v>6782.6557338819821</v>
      </c>
      <c r="L7437" s="187">
        <v>5400</v>
      </c>
      <c r="M7437" s="187">
        <v>16945.1171875</v>
      </c>
      <c r="N7437" s="187">
        <v>8631.4619140625</v>
      </c>
      <c r="O7437" t="s">
        <v>9114</v>
      </c>
    </row>
    <row r="7438" spans="1:15" hidden="1" x14ac:dyDescent="0.45">
      <c r="A7438" s="187">
        <v>2025</v>
      </c>
      <c r="B7438" t="s">
        <v>316</v>
      </c>
      <c r="C7438" t="s">
        <v>328</v>
      </c>
      <c r="D7438" t="s">
        <v>39</v>
      </c>
      <c r="E7438" t="s">
        <v>21</v>
      </c>
      <c r="F7438" t="s">
        <v>21</v>
      </c>
      <c r="G7438" t="s">
        <v>36</v>
      </c>
      <c r="H7438" t="s">
        <v>43</v>
      </c>
      <c r="I7438" s="187">
        <v>3117.8522850700328</v>
      </c>
      <c r="J7438" s="187">
        <v>1327.3061210672736</v>
      </c>
      <c r="K7438" s="187">
        <v>6142.4789989682122</v>
      </c>
      <c r="L7438" s="187">
        <v>5255.2861478751247</v>
      </c>
      <c r="M7438" s="187">
        <v>15842.9228515625</v>
      </c>
      <c r="N7438" s="187">
        <v>8373.138671875</v>
      </c>
      <c r="O7438" t="s">
        <v>7349</v>
      </c>
    </row>
    <row r="7439" spans="1:15" hidden="1" x14ac:dyDescent="0.45">
      <c r="A7439" s="187">
        <v>2025</v>
      </c>
      <c r="B7439" t="s">
        <v>314</v>
      </c>
      <c r="C7439" t="s">
        <v>328</v>
      </c>
      <c r="D7439" t="s">
        <v>39</v>
      </c>
      <c r="E7439" t="s">
        <v>21</v>
      </c>
      <c r="F7439" t="s">
        <v>21</v>
      </c>
      <c r="G7439" t="s">
        <v>37</v>
      </c>
      <c r="H7439" t="s">
        <v>43</v>
      </c>
      <c r="I7439" s="187">
        <v>2028.4241781508949</v>
      </c>
      <c r="J7439" s="187">
        <v>942</v>
      </c>
      <c r="K7439" s="187">
        <v>5872.2109744228655</v>
      </c>
      <c r="L7439" s="187">
        <v>5640</v>
      </c>
      <c r="M7439" s="187">
        <v>14482.6357421875</v>
      </c>
      <c r="N7439" s="187">
        <v>7668.42431640625</v>
      </c>
      <c r="O7439" t="s">
        <v>7356</v>
      </c>
    </row>
    <row r="7440" spans="1:15" hidden="1" x14ac:dyDescent="0.45">
      <c r="A7440" s="187">
        <v>2025</v>
      </c>
      <c r="B7440" t="s">
        <v>313</v>
      </c>
      <c r="C7440" t="s">
        <v>328</v>
      </c>
      <c r="D7440" t="s">
        <v>39</v>
      </c>
      <c r="E7440" t="s">
        <v>21</v>
      </c>
      <c r="F7440" t="s">
        <v>21</v>
      </c>
      <c r="G7440" t="s">
        <v>37</v>
      </c>
      <c r="H7440" t="s">
        <v>43</v>
      </c>
      <c r="I7440" s="187">
        <v>1987.904864049654</v>
      </c>
      <c r="J7440" s="187">
        <v>937</v>
      </c>
      <c r="K7440" s="187">
        <v>7567.3604451747233</v>
      </c>
      <c r="L7440" s="187">
        <v>5517</v>
      </c>
      <c r="M7440" s="187">
        <v>16009.265625</v>
      </c>
      <c r="N7440" s="187">
        <v>7504.90478515625</v>
      </c>
      <c r="O7440" t="s">
        <v>7357</v>
      </c>
    </row>
    <row r="7441" spans="1:15" hidden="1" x14ac:dyDescent="0.45">
      <c r="A7441" s="187">
        <v>2025</v>
      </c>
      <c r="B7441" t="s">
        <v>315</v>
      </c>
      <c r="C7441" t="s">
        <v>328</v>
      </c>
      <c r="D7441" t="s">
        <v>39</v>
      </c>
      <c r="E7441" t="s">
        <v>21</v>
      </c>
      <c r="F7441" t="s">
        <v>21</v>
      </c>
      <c r="G7441" t="s">
        <v>37</v>
      </c>
      <c r="H7441" t="s">
        <v>43</v>
      </c>
      <c r="I7441" s="187">
        <v>1988.0664296294169</v>
      </c>
      <c r="J7441" s="187">
        <v>1093</v>
      </c>
      <c r="K7441" s="187">
        <v>6221.0906445936544</v>
      </c>
      <c r="L7441" s="187">
        <v>5525</v>
      </c>
      <c r="M7441" s="187">
        <v>14827.1572265625</v>
      </c>
      <c r="N7441" s="187">
        <v>7513.06640625</v>
      </c>
      <c r="O7441" t="s">
        <v>7358</v>
      </c>
    </row>
    <row r="7442" spans="1:15" hidden="1" x14ac:dyDescent="0.45">
      <c r="A7442" s="187">
        <v>2025</v>
      </c>
      <c r="B7442" t="s">
        <v>8570</v>
      </c>
      <c r="C7442" t="s">
        <v>328</v>
      </c>
      <c r="D7442" t="s">
        <v>39</v>
      </c>
      <c r="E7442" t="s">
        <v>21</v>
      </c>
      <c r="F7442" t="s">
        <v>21</v>
      </c>
      <c r="G7442" t="s">
        <v>37</v>
      </c>
      <c r="H7442" t="s">
        <v>43</v>
      </c>
      <c r="I7442" s="187">
        <v>3429.2528811572661</v>
      </c>
      <c r="J7442" s="187">
        <v>1593</v>
      </c>
      <c r="K7442" s="187">
        <v>7229.5373343888386</v>
      </c>
      <c r="L7442" s="187">
        <v>5938</v>
      </c>
      <c r="M7442" s="187">
        <v>18189.7890625</v>
      </c>
      <c r="N7442" s="187">
        <v>9367.2529296875</v>
      </c>
      <c r="O7442" t="s">
        <v>9115</v>
      </c>
    </row>
    <row r="7443" spans="1:15" hidden="1" x14ac:dyDescent="0.45">
      <c r="A7443" s="187">
        <v>2025</v>
      </c>
      <c r="B7443" t="s">
        <v>317</v>
      </c>
      <c r="C7443" t="s">
        <v>328</v>
      </c>
      <c r="D7443" t="s">
        <v>39</v>
      </c>
      <c r="E7443" t="s">
        <v>21</v>
      </c>
      <c r="F7443" t="s">
        <v>21</v>
      </c>
      <c r="G7443" t="s">
        <v>37</v>
      </c>
      <c r="H7443" t="s">
        <v>43</v>
      </c>
      <c r="I7443" s="187">
        <v>3191</v>
      </c>
      <c r="J7443" s="187">
        <v>1255</v>
      </c>
      <c r="K7443" s="187">
        <v>7878.7999256857274</v>
      </c>
      <c r="L7443" s="187">
        <v>5518</v>
      </c>
      <c r="M7443" s="187">
        <v>17842.80078125</v>
      </c>
      <c r="N7443" s="187">
        <v>8709</v>
      </c>
      <c r="O7443" t="s">
        <v>7360</v>
      </c>
    </row>
    <row r="7444" spans="1:15" hidden="1" x14ac:dyDescent="0.45">
      <c r="A7444" s="187">
        <v>2025</v>
      </c>
      <c r="B7444" t="s">
        <v>316</v>
      </c>
      <c r="C7444" t="s">
        <v>328</v>
      </c>
      <c r="D7444" t="s">
        <v>39</v>
      </c>
      <c r="E7444" t="s">
        <v>21</v>
      </c>
      <c r="F7444" t="s">
        <v>21</v>
      </c>
      <c r="G7444" t="s">
        <v>37</v>
      </c>
      <c r="H7444" t="s">
        <v>43</v>
      </c>
      <c r="I7444" s="187">
        <v>3255.1544440480902</v>
      </c>
      <c r="J7444" s="187">
        <v>1255</v>
      </c>
      <c r="K7444" s="187">
        <v>6297.756081813025</v>
      </c>
      <c r="L7444" s="187">
        <v>5539</v>
      </c>
      <c r="M7444" s="187">
        <v>16346.91015625</v>
      </c>
      <c r="N7444" s="187">
        <v>8794.154296875</v>
      </c>
      <c r="O7444" t="s">
        <v>7355</v>
      </c>
    </row>
    <row r="7445" spans="1:15" hidden="1" x14ac:dyDescent="0.45">
      <c r="A7445" s="187">
        <v>2025</v>
      </c>
      <c r="B7445" t="s">
        <v>312</v>
      </c>
      <c r="C7445" t="s">
        <v>328</v>
      </c>
      <c r="D7445" t="s">
        <v>39</v>
      </c>
      <c r="E7445" t="s">
        <v>21</v>
      </c>
      <c r="F7445" t="s">
        <v>21</v>
      </c>
      <c r="G7445" t="s">
        <v>37</v>
      </c>
      <c r="H7445" t="s">
        <v>43</v>
      </c>
      <c r="I7445" s="187">
        <v>1926.7618991354279</v>
      </c>
      <c r="J7445" s="187">
        <v>914</v>
      </c>
      <c r="K7445" s="187">
        <v>7951.8148509819466</v>
      </c>
      <c r="L7445" s="187">
        <v>5205</v>
      </c>
      <c r="M7445" s="187">
        <v>15997.576171875</v>
      </c>
      <c r="N7445" s="187">
        <v>7131.76171875</v>
      </c>
      <c r="O7445" t="s">
        <v>7354</v>
      </c>
    </row>
    <row r="7446" spans="1:15" hidden="1" x14ac:dyDescent="0.45">
      <c r="A7446" s="187">
        <v>2025</v>
      </c>
      <c r="B7446" t="s">
        <v>311</v>
      </c>
      <c r="C7446" t="s">
        <v>328</v>
      </c>
      <c r="D7446" t="s">
        <v>39</v>
      </c>
      <c r="E7446" t="s">
        <v>21</v>
      </c>
      <c r="F7446" t="s">
        <v>21</v>
      </c>
      <c r="G7446" t="s">
        <v>37</v>
      </c>
      <c r="H7446" t="s">
        <v>43</v>
      </c>
      <c r="I7446" s="187"/>
      <c r="J7446" s="187">
        <v>934</v>
      </c>
      <c r="K7446" s="187">
        <v>7904.2356608206628</v>
      </c>
      <c r="L7446" s="187">
        <v>720</v>
      </c>
      <c r="M7446" s="187">
        <v>9558.2353515625</v>
      </c>
      <c r="N7446" s="187">
        <v>720</v>
      </c>
      <c r="O7446" t="s">
        <v>7359</v>
      </c>
    </row>
    <row r="7447" spans="1:15" hidden="1" x14ac:dyDescent="0.45">
      <c r="A7447" s="187">
        <v>2025</v>
      </c>
      <c r="B7447" t="s">
        <v>8570</v>
      </c>
      <c r="C7447" t="s">
        <v>328</v>
      </c>
      <c r="D7447" t="s">
        <v>39</v>
      </c>
      <c r="E7447" t="s">
        <v>352</v>
      </c>
      <c r="F7447" t="s">
        <v>433</v>
      </c>
      <c r="G7447" t="s">
        <v>36</v>
      </c>
      <c r="H7447" t="s">
        <v>43</v>
      </c>
      <c r="I7447" s="187">
        <v>0</v>
      </c>
      <c r="J7447" s="187">
        <v>397</v>
      </c>
      <c r="K7447" s="187">
        <v>81.81471181017821</v>
      </c>
      <c r="L7447" s="187">
        <v>375</v>
      </c>
      <c r="M7447" s="187">
        <v>853.814697265625</v>
      </c>
      <c r="N7447" s="187">
        <v>375</v>
      </c>
      <c r="O7447" t="s">
        <v>9116</v>
      </c>
    </row>
    <row r="7448" spans="1:15" hidden="1" x14ac:dyDescent="0.45">
      <c r="A7448" s="187">
        <v>2025</v>
      </c>
      <c r="B7448" t="s">
        <v>312</v>
      </c>
      <c r="C7448" t="s">
        <v>328</v>
      </c>
      <c r="D7448" t="s">
        <v>39</v>
      </c>
      <c r="E7448" t="s">
        <v>352</v>
      </c>
      <c r="F7448" t="s">
        <v>433</v>
      </c>
      <c r="G7448" t="s">
        <v>36</v>
      </c>
      <c r="H7448" t="s">
        <v>43</v>
      </c>
      <c r="I7448" s="187"/>
      <c r="J7448" s="187">
        <v>197.15927127585482</v>
      </c>
      <c r="K7448" s="187">
        <v>162.99504884500701</v>
      </c>
      <c r="L7448" s="187">
        <v>248.18872972372316</v>
      </c>
      <c r="M7448" s="187">
        <v>608.34307861328125</v>
      </c>
      <c r="N7448" s="187">
        <v>248.18873596191406</v>
      </c>
      <c r="O7448" t="s">
        <v>7366</v>
      </c>
    </row>
    <row r="7449" spans="1:15" hidden="1" x14ac:dyDescent="0.45">
      <c r="A7449" s="187">
        <v>2025</v>
      </c>
      <c r="B7449" t="s">
        <v>316</v>
      </c>
      <c r="C7449" t="s">
        <v>328</v>
      </c>
      <c r="D7449" t="s">
        <v>39</v>
      </c>
      <c r="E7449" t="s">
        <v>352</v>
      </c>
      <c r="F7449" t="s">
        <v>433</v>
      </c>
      <c r="G7449" t="s">
        <v>36</v>
      </c>
      <c r="H7449" t="s">
        <v>43</v>
      </c>
      <c r="I7449" s="187"/>
      <c r="J7449" s="187">
        <v>301.42011514276726</v>
      </c>
      <c r="K7449" s="187">
        <v>118.1864284464184</v>
      </c>
      <c r="L7449" s="187">
        <v>291.90158519089044</v>
      </c>
      <c r="M7449" s="187">
        <v>711.50811767578125</v>
      </c>
      <c r="N7449" s="187">
        <v>291.90158081054688</v>
      </c>
      <c r="O7449" t="s">
        <v>7362</v>
      </c>
    </row>
    <row r="7450" spans="1:15" hidden="1" x14ac:dyDescent="0.45">
      <c r="A7450" s="187">
        <v>2025</v>
      </c>
      <c r="B7450" t="s">
        <v>311</v>
      </c>
      <c r="C7450" t="s">
        <v>328</v>
      </c>
      <c r="D7450" t="s">
        <v>39</v>
      </c>
      <c r="E7450" t="s">
        <v>352</v>
      </c>
      <c r="F7450" t="s">
        <v>433</v>
      </c>
      <c r="G7450" t="s">
        <v>36</v>
      </c>
      <c r="H7450" t="s">
        <v>43</v>
      </c>
      <c r="I7450" s="187"/>
      <c r="J7450" s="187">
        <v>233.0127464400633</v>
      </c>
      <c r="K7450" s="187">
        <v>176.31375484880269</v>
      </c>
      <c r="L7450" s="187">
        <v>259.80921228067058</v>
      </c>
      <c r="M7450" s="187">
        <v>669.1357421875</v>
      </c>
      <c r="N7450" s="187">
        <v>259.8092041015625</v>
      </c>
      <c r="O7450" t="s">
        <v>7365</v>
      </c>
    </row>
    <row r="7451" spans="1:15" hidden="1" x14ac:dyDescent="0.45">
      <c r="A7451" s="187">
        <v>2025</v>
      </c>
      <c r="B7451" t="s">
        <v>317</v>
      </c>
      <c r="C7451" t="s">
        <v>328</v>
      </c>
      <c r="D7451" t="s">
        <v>39</v>
      </c>
      <c r="E7451" t="s">
        <v>352</v>
      </c>
      <c r="F7451" t="s">
        <v>433</v>
      </c>
      <c r="G7451" t="s">
        <v>36</v>
      </c>
      <c r="H7451" t="s">
        <v>43</v>
      </c>
      <c r="I7451" s="187"/>
      <c r="J7451" s="187">
        <v>414.97053811277277</v>
      </c>
      <c r="K7451" s="187">
        <v>81.299056405605299</v>
      </c>
      <c r="L7451" s="187">
        <v>313.57975172249832</v>
      </c>
      <c r="M7451" s="187">
        <v>809.849365234375</v>
      </c>
      <c r="N7451" s="187">
        <v>313.57974243164063</v>
      </c>
      <c r="O7451" t="s">
        <v>7363</v>
      </c>
    </row>
    <row r="7452" spans="1:15" hidden="1" x14ac:dyDescent="0.45">
      <c r="A7452" s="187">
        <v>2025</v>
      </c>
      <c r="B7452" t="s">
        <v>315</v>
      </c>
      <c r="C7452" t="s">
        <v>328</v>
      </c>
      <c r="D7452" t="s">
        <v>39</v>
      </c>
      <c r="E7452" t="s">
        <v>352</v>
      </c>
      <c r="F7452" t="s">
        <v>433</v>
      </c>
      <c r="G7452" t="s">
        <v>36</v>
      </c>
      <c r="H7452" t="s">
        <v>43</v>
      </c>
      <c r="I7452" s="187">
        <v>0</v>
      </c>
      <c r="J7452" s="187">
        <v>194.4270875617544</v>
      </c>
      <c r="K7452" s="187">
        <v>114.12489492827301</v>
      </c>
      <c r="L7452" s="187">
        <v>263.55671869482262</v>
      </c>
      <c r="M7452" s="187">
        <v>572.10870361328125</v>
      </c>
      <c r="N7452" s="187">
        <v>263.55673217773438</v>
      </c>
      <c r="O7452" t="s">
        <v>7361</v>
      </c>
    </row>
    <row r="7453" spans="1:15" hidden="1" x14ac:dyDescent="0.45">
      <c r="A7453" s="187">
        <v>2025</v>
      </c>
      <c r="B7453" t="s">
        <v>313</v>
      </c>
      <c r="C7453" t="s">
        <v>328</v>
      </c>
      <c r="D7453" t="s">
        <v>39</v>
      </c>
      <c r="E7453" t="s">
        <v>352</v>
      </c>
      <c r="F7453" t="s">
        <v>433</v>
      </c>
      <c r="G7453" t="s">
        <v>36</v>
      </c>
      <c r="H7453" t="s">
        <v>43</v>
      </c>
      <c r="I7453" s="187"/>
      <c r="J7453" s="187">
        <v>182.5714719832655</v>
      </c>
      <c r="K7453" s="187">
        <v>158.74589488944935</v>
      </c>
      <c r="L7453" s="187">
        <v>295.53757027291101</v>
      </c>
      <c r="M7453" s="187">
        <v>636.85491943359375</v>
      </c>
      <c r="N7453" s="187">
        <v>295.53756713867188</v>
      </c>
      <c r="O7453" t="s">
        <v>7367</v>
      </c>
    </row>
    <row r="7454" spans="1:15" hidden="1" x14ac:dyDescent="0.45">
      <c r="A7454" s="187">
        <v>2025</v>
      </c>
      <c r="B7454" t="s">
        <v>314</v>
      </c>
      <c r="C7454" t="s">
        <v>328</v>
      </c>
      <c r="D7454" t="s">
        <v>39</v>
      </c>
      <c r="E7454" t="s">
        <v>352</v>
      </c>
      <c r="F7454" t="s">
        <v>433</v>
      </c>
      <c r="G7454" t="s">
        <v>36</v>
      </c>
      <c r="H7454" t="s">
        <v>43</v>
      </c>
      <c r="I7454" s="187">
        <v>0</v>
      </c>
      <c r="J7454" s="187">
        <v>210.82923833980107</v>
      </c>
      <c r="K7454" s="187">
        <v>115.97716401072456</v>
      </c>
      <c r="L7454" s="187">
        <v>98.75685374864365</v>
      </c>
      <c r="M7454" s="187">
        <v>425.56326293945313</v>
      </c>
      <c r="N7454" s="187">
        <v>98.756851196289063</v>
      </c>
      <c r="O7454" t="s">
        <v>7364</v>
      </c>
    </row>
    <row r="7455" spans="1:15" hidden="1" x14ac:dyDescent="0.45">
      <c r="A7455" s="187">
        <v>2025</v>
      </c>
      <c r="B7455" t="s">
        <v>315</v>
      </c>
      <c r="C7455" t="s">
        <v>328</v>
      </c>
      <c r="D7455" t="s">
        <v>39</v>
      </c>
      <c r="E7455" t="s">
        <v>352</v>
      </c>
      <c r="F7455" t="s">
        <v>361</v>
      </c>
      <c r="G7455" t="s">
        <v>36</v>
      </c>
      <c r="H7455" t="s">
        <v>43</v>
      </c>
      <c r="I7455" s="187"/>
      <c r="J7455" s="187">
        <v>0</v>
      </c>
      <c r="K7455" s="187">
        <v>0</v>
      </c>
      <c r="L7455" s="187">
        <v>0</v>
      </c>
      <c r="M7455" s="187">
        <v>0</v>
      </c>
      <c r="N7455" s="187">
        <v>0</v>
      </c>
      <c r="O7455" t="s">
        <v>7372</v>
      </c>
    </row>
    <row r="7456" spans="1:15" hidden="1" x14ac:dyDescent="0.45">
      <c r="A7456" s="187">
        <v>2025</v>
      </c>
      <c r="B7456" t="s">
        <v>314</v>
      </c>
      <c r="C7456" t="s">
        <v>328</v>
      </c>
      <c r="D7456" t="s">
        <v>39</v>
      </c>
      <c r="E7456" t="s">
        <v>352</v>
      </c>
      <c r="F7456" t="s">
        <v>361</v>
      </c>
      <c r="G7456" t="s">
        <v>36</v>
      </c>
      <c r="H7456" t="s">
        <v>43</v>
      </c>
      <c r="I7456" s="187"/>
      <c r="J7456" s="187">
        <v>0</v>
      </c>
      <c r="K7456" s="187"/>
      <c r="L7456" s="187">
        <v>0</v>
      </c>
      <c r="M7456" s="187">
        <v>0</v>
      </c>
      <c r="N7456" s="187">
        <v>0</v>
      </c>
      <c r="O7456" t="s">
        <v>7374</v>
      </c>
    </row>
    <row r="7457" spans="1:15" hidden="1" x14ac:dyDescent="0.45">
      <c r="A7457" s="187">
        <v>2025</v>
      </c>
      <c r="B7457" t="s">
        <v>316</v>
      </c>
      <c r="C7457" t="s">
        <v>328</v>
      </c>
      <c r="D7457" t="s">
        <v>39</v>
      </c>
      <c r="E7457" t="s">
        <v>352</v>
      </c>
      <c r="F7457" t="s">
        <v>361</v>
      </c>
      <c r="G7457" t="s">
        <v>36</v>
      </c>
      <c r="H7457" t="s">
        <v>43</v>
      </c>
      <c r="I7457" s="187"/>
      <c r="J7457" s="187"/>
      <c r="K7457" s="187">
        <v>0</v>
      </c>
      <c r="L7457" s="187"/>
      <c r="M7457" s="187">
        <v>0</v>
      </c>
      <c r="N7457" s="187">
        <v>0</v>
      </c>
      <c r="O7457" t="s">
        <v>7368</v>
      </c>
    </row>
    <row r="7458" spans="1:15" hidden="1" x14ac:dyDescent="0.45">
      <c r="A7458" s="187">
        <v>2025</v>
      </c>
      <c r="B7458" t="s">
        <v>8570</v>
      </c>
      <c r="C7458" t="s">
        <v>328</v>
      </c>
      <c r="D7458" t="s">
        <v>39</v>
      </c>
      <c r="E7458" t="s">
        <v>352</v>
      </c>
      <c r="F7458" t="s">
        <v>361</v>
      </c>
      <c r="G7458" t="s">
        <v>36</v>
      </c>
      <c r="H7458" t="s">
        <v>43</v>
      </c>
      <c r="I7458" s="187">
        <v>0</v>
      </c>
      <c r="J7458" s="187"/>
      <c r="K7458" s="187">
        <v>45</v>
      </c>
      <c r="L7458" s="187"/>
      <c r="M7458" s="187">
        <v>45</v>
      </c>
      <c r="N7458" s="187">
        <v>0</v>
      </c>
      <c r="O7458" t="s">
        <v>9117</v>
      </c>
    </row>
    <row r="7459" spans="1:15" hidden="1" x14ac:dyDescent="0.45">
      <c r="A7459" s="187">
        <v>2025</v>
      </c>
      <c r="B7459" t="s">
        <v>313</v>
      </c>
      <c r="C7459" t="s">
        <v>328</v>
      </c>
      <c r="D7459" t="s">
        <v>39</v>
      </c>
      <c r="E7459" t="s">
        <v>352</v>
      </c>
      <c r="F7459" t="s">
        <v>361</v>
      </c>
      <c r="G7459" t="s">
        <v>36</v>
      </c>
      <c r="H7459" t="s">
        <v>43</v>
      </c>
      <c r="I7459" s="187"/>
      <c r="J7459" s="187">
        <v>0</v>
      </c>
      <c r="K7459" s="187">
        <v>0</v>
      </c>
      <c r="L7459" s="187">
        <v>0</v>
      </c>
      <c r="M7459" s="187">
        <v>0</v>
      </c>
      <c r="N7459" s="187">
        <v>0</v>
      </c>
      <c r="O7459" t="s">
        <v>7373</v>
      </c>
    </row>
    <row r="7460" spans="1:15" hidden="1" x14ac:dyDescent="0.45">
      <c r="A7460" s="187">
        <v>2025</v>
      </c>
      <c r="B7460" t="s">
        <v>311</v>
      </c>
      <c r="C7460" t="s">
        <v>328</v>
      </c>
      <c r="D7460" t="s">
        <v>39</v>
      </c>
      <c r="E7460" t="s">
        <v>352</v>
      </c>
      <c r="F7460" t="s">
        <v>361</v>
      </c>
      <c r="G7460" t="s">
        <v>36</v>
      </c>
      <c r="H7460" t="s">
        <v>43</v>
      </c>
      <c r="I7460" s="187"/>
      <c r="J7460" s="187"/>
      <c r="K7460" s="187">
        <v>0</v>
      </c>
      <c r="L7460" s="187">
        <v>0</v>
      </c>
      <c r="M7460" s="187">
        <v>0</v>
      </c>
      <c r="N7460" s="187">
        <v>0</v>
      </c>
      <c r="O7460" t="s">
        <v>7369</v>
      </c>
    </row>
    <row r="7461" spans="1:15" hidden="1" x14ac:dyDescent="0.45">
      <c r="A7461" s="187">
        <v>2025</v>
      </c>
      <c r="B7461" t="s">
        <v>312</v>
      </c>
      <c r="C7461" t="s">
        <v>328</v>
      </c>
      <c r="D7461" t="s">
        <v>39</v>
      </c>
      <c r="E7461" t="s">
        <v>352</v>
      </c>
      <c r="F7461" t="s">
        <v>361</v>
      </c>
      <c r="G7461" t="s">
        <v>36</v>
      </c>
      <c r="H7461" t="s">
        <v>43</v>
      </c>
      <c r="I7461" s="187"/>
      <c r="J7461" s="187"/>
      <c r="K7461" s="187">
        <v>0</v>
      </c>
      <c r="L7461" s="187"/>
      <c r="M7461" s="187">
        <v>0</v>
      </c>
      <c r="N7461" s="187">
        <v>0</v>
      </c>
      <c r="O7461" t="s">
        <v>7371</v>
      </c>
    </row>
    <row r="7462" spans="1:15" hidden="1" x14ac:dyDescent="0.45">
      <c r="A7462" s="187">
        <v>2025</v>
      </c>
      <c r="B7462" t="s">
        <v>317</v>
      </c>
      <c r="C7462" t="s">
        <v>328</v>
      </c>
      <c r="D7462" t="s">
        <v>39</v>
      </c>
      <c r="E7462" t="s">
        <v>352</v>
      </c>
      <c r="F7462" t="s">
        <v>361</v>
      </c>
      <c r="G7462" t="s">
        <v>36</v>
      </c>
      <c r="H7462" t="s">
        <v>43</v>
      </c>
      <c r="I7462" s="187"/>
      <c r="J7462" s="187"/>
      <c r="K7462" s="187"/>
      <c r="L7462" s="187">
        <v>0</v>
      </c>
      <c r="M7462" s="187">
        <v>0</v>
      </c>
      <c r="N7462" s="187">
        <v>0</v>
      </c>
      <c r="O7462" t="s">
        <v>7370</v>
      </c>
    </row>
    <row r="7463" spans="1:15" hidden="1" x14ac:dyDescent="0.45">
      <c r="A7463" s="187">
        <v>2025</v>
      </c>
      <c r="B7463" t="s">
        <v>8570</v>
      </c>
      <c r="C7463" t="s">
        <v>328</v>
      </c>
      <c r="D7463" t="s">
        <v>39</v>
      </c>
      <c r="E7463" t="s">
        <v>40</v>
      </c>
      <c r="F7463" t="s">
        <v>40</v>
      </c>
      <c r="G7463" t="s">
        <v>36</v>
      </c>
      <c r="H7463" t="s">
        <v>43</v>
      </c>
      <c r="I7463" s="187">
        <v>4431.5810203593219</v>
      </c>
      <c r="J7463" s="187">
        <v>220</v>
      </c>
      <c r="K7463" s="187">
        <v>6688.0702759547257</v>
      </c>
      <c r="L7463" s="187">
        <v>5598</v>
      </c>
      <c r="M7463" s="187">
        <v>16937.65234375</v>
      </c>
      <c r="N7463" s="187">
        <v>10029.5810546875</v>
      </c>
      <c r="O7463" t="s">
        <v>9118</v>
      </c>
    </row>
    <row r="7464" spans="1:15" hidden="1" x14ac:dyDescent="0.45">
      <c r="A7464" s="187">
        <v>2025</v>
      </c>
      <c r="B7464" t="s">
        <v>313</v>
      </c>
      <c r="C7464" t="s">
        <v>328</v>
      </c>
      <c r="D7464" t="s">
        <v>39</v>
      </c>
      <c r="E7464" t="s">
        <v>40</v>
      </c>
      <c r="F7464" t="s">
        <v>40</v>
      </c>
      <c r="G7464" t="s">
        <v>36</v>
      </c>
      <c r="H7464" t="s">
        <v>43</v>
      </c>
      <c r="I7464" s="187">
        <v>5438.3522859883205</v>
      </c>
      <c r="J7464" s="187">
        <v>136.92860398744912</v>
      </c>
      <c r="K7464" s="187">
        <v>6438.4883957607672</v>
      </c>
      <c r="L7464" s="187">
        <v>5161.0672986269365</v>
      </c>
      <c r="M7464" s="187">
        <v>17174.8359375</v>
      </c>
      <c r="N7464" s="187">
        <v>10599.4189453125</v>
      </c>
      <c r="O7464" t="s">
        <v>7381</v>
      </c>
    </row>
    <row r="7465" spans="1:15" hidden="1" x14ac:dyDescent="0.45">
      <c r="A7465" s="187">
        <v>2025</v>
      </c>
      <c r="B7465" t="s">
        <v>314</v>
      </c>
      <c r="C7465" t="s">
        <v>328</v>
      </c>
      <c r="D7465" t="s">
        <v>39</v>
      </c>
      <c r="E7465" t="s">
        <v>40</v>
      </c>
      <c r="F7465" t="s">
        <v>40</v>
      </c>
      <c r="G7465" t="s">
        <v>36</v>
      </c>
      <c r="H7465" t="s">
        <v>43</v>
      </c>
      <c r="I7465" s="187">
        <v>5489.3275898262937</v>
      </c>
      <c r="J7465" s="187">
        <v>160.89599768037451</v>
      </c>
      <c r="K7465" s="187">
        <v>6459.9884567280633</v>
      </c>
      <c r="L7465" s="187">
        <v>5195.276283720782</v>
      </c>
      <c r="M7465" s="187">
        <v>17305.48828125</v>
      </c>
      <c r="N7465" s="187">
        <v>10684.603515625</v>
      </c>
      <c r="O7465" t="s">
        <v>7380</v>
      </c>
    </row>
    <row r="7466" spans="1:15" hidden="1" x14ac:dyDescent="0.45">
      <c r="A7466" s="187">
        <v>2025</v>
      </c>
      <c r="B7466" t="s">
        <v>316</v>
      </c>
      <c r="C7466" t="s">
        <v>328</v>
      </c>
      <c r="D7466" t="s">
        <v>39</v>
      </c>
      <c r="E7466" t="s">
        <v>40</v>
      </c>
      <c r="F7466" t="s">
        <v>40</v>
      </c>
      <c r="G7466" t="s">
        <v>36</v>
      </c>
      <c r="H7466" t="s">
        <v>43</v>
      </c>
      <c r="I7466" s="187">
        <v>4373.6888723027332</v>
      </c>
      <c r="J7466" s="187">
        <v>259.11553757887015</v>
      </c>
      <c r="K7466" s="187">
        <v>6442.9697665700787</v>
      </c>
      <c r="L7466" s="187">
        <v>5285.9569666089501</v>
      </c>
      <c r="M7466" s="187">
        <v>16361.7314453125</v>
      </c>
      <c r="N7466" s="187">
        <v>9659.6455078125</v>
      </c>
      <c r="O7466" t="s">
        <v>7375</v>
      </c>
    </row>
    <row r="7467" spans="1:15" hidden="1" x14ac:dyDescent="0.45">
      <c r="A7467" s="187">
        <v>2025</v>
      </c>
      <c r="B7467" t="s">
        <v>312</v>
      </c>
      <c r="C7467" t="s">
        <v>328</v>
      </c>
      <c r="D7467" t="s">
        <v>39</v>
      </c>
      <c r="E7467" t="s">
        <v>40</v>
      </c>
      <c r="F7467" t="s">
        <v>40</v>
      </c>
      <c r="G7467" t="s">
        <v>36</v>
      </c>
      <c r="H7467" t="s">
        <v>43</v>
      </c>
      <c r="I7467" s="187">
        <v>4782.008294941219</v>
      </c>
      <c r="J7467" s="187">
        <v>168.16526079411148</v>
      </c>
      <c r="K7467" s="187">
        <v>6528.3218052351094</v>
      </c>
      <c r="L7467" s="187">
        <v>5140.0581782034624</v>
      </c>
      <c r="M7467" s="187">
        <v>16618.552734375</v>
      </c>
      <c r="N7467" s="187">
        <v>9922.06640625</v>
      </c>
      <c r="O7467" t="s">
        <v>7377</v>
      </c>
    </row>
    <row r="7468" spans="1:15" hidden="1" x14ac:dyDescent="0.45">
      <c r="A7468" s="187">
        <v>2025</v>
      </c>
      <c r="B7468" t="s">
        <v>317</v>
      </c>
      <c r="C7468" t="s">
        <v>328</v>
      </c>
      <c r="D7468" t="s">
        <v>39</v>
      </c>
      <c r="E7468" t="s">
        <v>40</v>
      </c>
      <c r="F7468" t="s">
        <v>40</v>
      </c>
      <c r="G7468" t="s">
        <v>36</v>
      </c>
      <c r="H7468" t="s">
        <v>43</v>
      </c>
      <c r="I7468" s="187">
        <v>4322.6221200818281</v>
      </c>
      <c r="J7468" s="187">
        <v>204.87210445869889</v>
      </c>
      <c r="K7468" s="187">
        <v>6351.6298276194366</v>
      </c>
      <c r="L7468" s="187">
        <v>5386.2548687534454</v>
      </c>
      <c r="M7468" s="187">
        <v>16265.37890625</v>
      </c>
      <c r="N7468" s="187">
        <v>9708.876953125</v>
      </c>
      <c r="O7468" t="s">
        <v>7379</v>
      </c>
    </row>
    <row r="7469" spans="1:15" hidden="1" x14ac:dyDescent="0.45">
      <c r="A7469" s="187">
        <v>2025</v>
      </c>
      <c r="B7469" t="s">
        <v>311</v>
      </c>
      <c r="C7469" t="s">
        <v>328</v>
      </c>
      <c r="D7469" t="s">
        <v>39</v>
      </c>
      <c r="E7469" t="s">
        <v>40</v>
      </c>
      <c r="F7469" t="s">
        <v>40</v>
      </c>
      <c r="G7469" t="s">
        <v>36</v>
      </c>
      <c r="H7469" t="s">
        <v>43</v>
      </c>
      <c r="I7469" s="187"/>
      <c r="J7469" s="187">
        <v>168.93424116904589</v>
      </c>
      <c r="K7469" s="187">
        <v>6315.0961126571383</v>
      </c>
      <c r="L7469" s="187">
        <v>9617.6011093136131</v>
      </c>
      <c r="M7469" s="187">
        <v>16101.6318359375</v>
      </c>
      <c r="N7469" s="187">
        <v>9617.6015625</v>
      </c>
      <c r="O7469" t="s">
        <v>7378</v>
      </c>
    </row>
    <row r="7470" spans="1:15" hidden="1" x14ac:dyDescent="0.45">
      <c r="A7470" s="187">
        <v>2025</v>
      </c>
      <c r="B7470" t="s">
        <v>315</v>
      </c>
      <c r="C7470" t="s">
        <v>328</v>
      </c>
      <c r="D7470" t="s">
        <v>39</v>
      </c>
      <c r="E7470" t="s">
        <v>40</v>
      </c>
      <c r="F7470" t="s">
        <v>40</v>
      </c>
      <c r="G7470" t="s">
        <v>36</v>
      </c>
      <c r="H7470" t="s">
        <v>43</v>
      </c>
      <c r="I7470" s="187">
        <v>5343.5044564888831</v>
      </c>
      <c r="J7470" s="187">
        <v>172.82407783267058</v>
      </c>
      <c r="K7470" s="187">
        <v>6361.5328678756005</v>
      </c>
      <c r="L7470" s="187">
        <v>5162.039174764579</v>
      </c>
      <c r="M7470" s="187">
        <v>17039.900390625</v>
      </c>
      <c r="N7470" s="187">
        <v>10505.5439453125</v>
      </c>
      <c r="O7470" t="s">
        <v>7376</v>
      </c>
    </row>
    <row r="7471" spans="1:15" hidden="1" x14ac:dyDescent="0.45">
      <c r="A7471" s="187">
        <v>2025</v>
      </c>
      <c r="B7471" t="s">
        <v>317</v>
      </c>
      <c r="C7471" t="s">
        <v>328</v>
      </c>
      <c r="D7471" t="s">
        <v>39</v>
      </c>
      <c r="E7471" t="s">
        <v>40</v>
      </c>
      <c r="F7471" t="s">
        <v>40</v>
      </c>
      <c r="G7471" t="s">
        <v>37</v>
      </c>
      <c r="H7471" t="s">
        <v>43</v>
      </c>
      <c r="I7471" s="187">
        <v>4475.8485652923391</v>
      </c>
      <c r="J7471" s="187">
        <v>196</v>
      </c>
      <c r="K7471" s="187">
        <v>6537.3826835597874</v>
      </c>
      <c r="L7471" s="187">
        <v>5553</v>
      </c>
      <c r="M7471" s="187">
        <v>16762.23046875</v>
      </c>
      <c r="N7471" s="187">
        <v>10028.8486328125</v>
      </c>
      <c r="O7471" t="s">
        <v>7386</v>
      </c>
    </row>
    <row r="7472" spans="1:15" hidden="1" x14ac:dyDescent="0.45">
      <c r="A7472" s="187">
        <v>2025</v>
      </c>
      <c r="B7472" t="s">
        <v>311</v>
      </c>
      <c r="C7472" t="s">
        <v>328</v>
      </c>
      <c r="D7472" t="s">
        <v>39</v>
      </c>
      <c r="E7472" t="s">
        <v>40</v>
      </c>
      <c r="F7472" t="s">
        <v>40</v>
      </c>
      <c r="G7472" t="s">
        <v>37</v>
      </c>
      <c r="H7472" t="s">
        <v>43</v>
      </c>
      <c r="I7472" s="187"/>
      <c r="J7472" s="187">
        <v>177</v>
      </c>
      <c r="K7472" s="187">
        <v>6559.1915399827694</v>
      </c>
      <c r="L7472" s="187">
        <v>10685</v>
      </c>
      <c r="M7472" s="187">
        <v>17421.19140625</v>
      </c>
      <c r="N7472" s="187">
        <v>10685</v>
      </c>
      <c r="O7472" t="s">
        <v>7383</v>
      </c>
    </row>
    <row r="7473" spans="1:15" hidden="1" x14ac:dyDescent="0.45">
      <c r="A7473" s="187">
        <v>2025</v>
      </c>
      <c r="B7473" t="s">
        <v>315</v>
      </c>
      <c r="C7473" t="s">
        <v>328</v>
      </c>
      <c r="D7473" t="s">
        <v>39</v>
      </c>
      <c r="E7473" t="s">
        <v>40</v>
      </c>
      <c r="F7473" t="s">
        <v>40</v>
      </c>
      <c r="G7473" t="s">
        <v>37</v>
      </c>
      <c r="H7473" t="s">
        <v>43</v>
      </c>
      <c r="I7473" s="187">
        <v>5572.2179191936129</v>
      </c>
      <c r="J7473" s="187">
        <v>177</v>
      </c>
      <c r="K7473" s="187">
        <v>6616.0082900550324</v>
      </c>
      <c r="L7473" s="187">
        <v>5494</v>
      </c>
      <c r="M7473" s="187">
        <v>17859.2265625</v>
      </c>
      <c r="N7473" s="187">
        <v>11066.2177734375</v>
      </c>
      <c r="O7473" t="s">
        <v>7387</v>
      </c>
    </row>
    <row r="7474" spans="1:15" hidden="1" x14ac:dyDescent="0.45">
      <c r="A7474" s="187">
        <v>2025</v>
      </c>
      <c r="B7474" t="s">
        <v>312</v>
      </c>
      <c r="C7474" t="s">
        <v>328</v>
      </c>
      <c r="D7474" t="s">
        <v>39</v>
      </c>
      <c r="E7474" t="s">
        <v>40</v>
      </c>
      <c r="F7474" t="s">
        <v>40</v>
      </c>
      <c r="G7474" t="s">
        <v>37</v>
      </c>
      <c r="H7474" t="s">
        <v>43</v>
      </c>
      <c r="I7474" s="187">
        <v>4845.2245169247471</v>
      </c>
      <c r="J7474" s="187">
        <v>174</v>
      </c>
      <c r="K7474" s="187">
        <v>6706.461036799793</v>
      </c>
      <c r="L7474" s="187">
        <v>5320</v>
      </c>
      <c r="M7474" s="187">
        <v>17045.685546875</v>
      </c>
      <c r="N7474" s="187">
        <v>10165.224609375</v>
      </c>
      <c r="O7474" t="s">
        <v>7388</v>
      </c>
    </row>
    <row r="7475" spans="1:15" hidden="1" x14ac:dyDescent="0.45">
      <c r="A7475" s="187">
        <v>2025</v>
      </c>
      <c r="B7475" t="s">
        <v>316</v>
      </c>
      <c r="C7475" t="s">
        <v>328</v>
      </c>
      <c r="D7475" t="s">
        <v>39</v>
      </c>
      <c r="E7475" t="s">
        <v>40</v>
      </c>
      <c r="F7475" t="s">
        <v>40</v>
      </c>
      <c r="G7475" t="s">
        <v>37</v>
      </c>
      <c r="H7475" t="s">
        <v>43</v>
      </c>
      <c r="I7475" s="187">
        <v>4566.2948298527699</v>
      </c>
      <c r="J7475" s="187">
        <v>245</v>
      </c>
      <c r="K7475" s="187">
        <v>6605.8430218760204</v>
      </c>
      <c r="L7475" s="187">
        <v>5571</v>
      </c>
      <c r="M7475" s="187">
        <v>16988.13671875</v>
      </c>
      <c r="N7475" s="187">
        <v>10137.294921875</v>
      </c>
      <c r="O7475" t="s">
        <v>7385</v>
      </c>
    </row>
    <row r="7476" spans="1:15" hidden="1" x14ac:dyDescent="0.45">
      <c r="A7476" s="187">
        <v>2025</v>
      </c>
      <c r="B7476" t="s">
        <v>8570</v>
      </c>
      <c r="C7476" t="s">
        <v>328</v>
      </c>
      <c r="D7476" t="s">
        <v>39</v>
      </c>
      <c r="E7476" t="s">
        <v>40</v>
      </c>
      <c r="F7476" t="s">
        <v>40</v>
      </c>
      <c r="G7476" t="s">
        <v>37</v>
      </c>
      <c r="H7476" t="s">
        <v>43</v>
      </c>
      <c r="I7476" s="187">
        <v>4702.8292314534747</v>
      </c>
      <c r="J7476" s="187">
        <v>231</v>
      </c>
      <c r="K7476" s="187">
        <v>7128.7200253281007</v>
      </c>
      <c r="L7476" s="187">
        <v>6155</v>
      </c>
      <c r="M7476" s="187">
        <v>18217.548828125</v>
      </c>
      <c r="N7476" s="187">
        <v>10857.8291015625</v>
      </c>
      <c r="O7476" t="s">
        <v>9119</v>
      </c>
    </row>
    <row r="7477" spans="1:15" hidden="1" x14ac:dyDescent="0.45">
      <c r="A7477" s="187">
        <v>2025</v>
      </c>
      <c r="B7477" t="s">
        <v>314</v>
      </c>
      <c r="C7477" t="s">
        <v>328</v>
      </c>
      <c r="D7477" t="s">
        <v>39</v>
      </c>
      <c r="E7477" t="s">
        <v>40</v>
      </c>
      <c r="F7477" t="s">
        <v>40</v>
      </c>
      <c r="G7477" t="s">
        <v>37</v>
      </c>
      <c r="H7477" t="s">
        <v>43</v>
      </c>
      <c r="I7477" s="187">
        <v>5685.3339429532443</v>
      </c>
      <c r="J7477" s="187">
        <v>166</v>
      </c>
      <c r="K7477" s="187">
        <v>6699.707327574989</v>
      </c>
      <c r="L7477" s="187">
        <v>5783</v>
      </c>
      <c r="M7477" s="187">
        <v>18334.041015625</v>
      </c>
      <c r="N7477" s="187">
        <v>11468.333984375</v>
      </c>
      <c r="O7477" t="s">
        <v>7384</v>
      </c>
    </row>
    <row r="7478" spans="1:15" hidden="1" x14ac:dyDescent="0.45">
      <c r="A7478" s="187">
        <v>2025</v>
      </c>
      <c r="B7478" t="s">
        <v>313</v>
      </c>
      <c r="C7478" t="s">
        <v>328</v>
      </c>
      <c r="D7478" t="s">
        <v>39</v>
      </c>
      <c r="E7478" t="s">
        <v>40</v>
      </c>
      <c r="F7478" t="s">
        <v>40</v>
      </c>
      <c r="G7478" t="s">
        <v>37</v>
      </c>
      <c r="H7478" t="s">
        <v>43</v>
      </c>
      <c r="I7478" s="187">
        <v>5572.6299487578272</v>
      </c>
      <c r="J7478" s="187">
        <v>141</v>
      </c>
      <c r="K7478" s="187">
        <v>6581.5094112246252</v>
      </c>
      <c r="L7478" s="187">
        <v>5349</v>
      </c>
      <c r="M7478" s="187">
        <v>17644.140625</v>
      </c>
      <c r="N7478" s="187">
        <v>10921.6298828125</v>
      </c>
      <c r="O7478" t="s">
        <v>7382</v>
      </c>
    </row>
    <row r="7479" spans="1:15" hidden="1" x14ac:dyDescent="0.45">
      <c r="A7479" s="187">
        <v>2025</v>
      </c>
      <c r="B7479" t="s">
        <v>317</v>
      </c>
      <c r="C7479" t="s">
        <v>328</v>
      </c>
      <c r="D7479" t="s">
        <v>39</v>
      </c>
      <c r="E7479" t="s">
        <v>41</v>
      </c>
      <c r="F7479" t="s">
        <v>41</v>
      </c>
      <c r="G7479" t="s">
        <v>36</v>
      </c>
      <c r="H7479" t="s">
        <v>43</v>
      </c>
      <c r="I7479" s="187">
        <v>6644.759800181344</v>
      </c>
      <c r="J7479" s="187">
        <v>2221.1899080343628</v>
      </c>
      <c r="K7479" s="187">
        <v>12822.499969927901</v>
      </c>
      <c r="L7479" s="187">
        <v>9174.2982695612245</v>
      </c>
      <c r="M7479" s="187">
        <v>30862.748046875</v>
      </c>
      <c r="N7479" s="187">
        <v>15819.0576171875</v>
      </c>
      <c r="O7479" t="s">
        <v>7389</v>
      </c>
    </row>
    <row r="7480" spans="1:15" hidden="1" x14ac:dyDescent="0.45">
      <c r="A7480" s="187">
        <v>2025</v>
      </c>
      <c r="B7480" t="s">
        <v>311</v>
      </c>
      <c r="C7480" t="s">
        <v>328</v>
      </c>
      <c r="D7480" t="s">
        <v>39</v>
      </c>
      <c r="E7480" t="s">
        <v>41</v>
      </c>
      <c r="F7480" t="s">
        <v>41</v>
      </c>
      <c r="G7480" t="s">
        <v>36</v>
      </c>
      <c r="H7480" t="s">
        <v>43</v>
      </c>
      <c r="I7480" s="187"/>
      <c r="J7480" s="187">
        <v>1683.5170930294573</v>
      </c>
      <c r="K7480" s="187">
        <v>12096.635636407922</v>
      </c>
      <c r="L7480" s="187">
        <v>12276.276546194735</v>
      </c>
      <c r="M7480" s="187">
        <v>26056.4296875</v>
      </c>
      <c r="N7480" s="187">
        <v>12276.2763671875</v>
      </c>
      <c r="O7480" t="s">
        <v>7394</v>
      </c>
    </row>
    <row r="7481" spans="1:15" hidden="1" x14ac:dyDescent="0.45">
      <c r="A7481" s="187">
        <v>2025</v>
      </c>
      <c r="B7481" t="s">
        <v>8570</v>
      </c>
      <c r="C7481" t="s">
        <v>328</v>
      </c>
      <c r="D7481" t="s">
        <v>39</v>
      </c>
      <c r="E7481" t="s">
        <v>41</v>
      </c>
      <c r="F7481" t="s">
        <v>41</v>
      </c>
      <c r="G7481" t="s">
        <v>36</v>
      </c>
      <c r="H7481" t="s">
        <v>43</v>
      </c>
      <c r="I7481" s="187">
        <v>6291.3627614485868</v>
      </c>
      <c r="J7481" s="187">
        <v>2554</v>
      </c>
      <c r="K7481" s="187">
        <v>11774.65450504917</v>
      </c>
      <c r="L7481" s="187">
        <v>9319</v>
      </c>
      <c r="M7481" s="187">
        <v>29939.017578125</v>
      </c>
      <c r="N7481" s="187">
        <v>15610.36328125</v>
      </c>
      <c r="O7481" t="s">
        <v>9120</v>
      </c>
    </row>
    <row r="7482" spans="1:15" hidden="1" x14ac:dyDescent="0.45">
      <c r="A7482" s="187">
        <v>2025</v>
      </c>
      <c r="B7482" t="s">
        <v>313</v>
      </c>
      <c r="C7482" t="s">
        <v>328</v>
      </c>
      <c r="D7482" t="s">
        <v>39</v>
      </c>
      <c r="E7482" t="s">
        <v>41</v>
      </c>
      <c r="F7482" t="s">
        <v>41</v>
      </c>
      <c r="G7482" t="s">
        <v>36</v>
      </c>
      <c r="H7482" t="s">
        <v>43</v>
      </c>
      <c r="I7482" s="187">
        <v>3717.2418910284773</v>
      </c>
      <c r="J7482" s="187">
        <v>1688.7861158452058</v>
      </c>
      <c r="K7482" s="187">
        <v>12471.236516206927</v>
      </c>
      <c r="L7482" s="187">
        <v>8283.0394695407758</v>
      </c>
      <c r="M7482" s="187">
        <v>26160.302734375</v>
      </c>
      <c r="N7482" s="187">
        <v>12000.28125</v>
      </c>
      <c r="O7482" t="s">
        <v>7395</v>
      </c>
    </row>
    <row r="7483" spans="1:15" hidden="1" x14ac:dyDescent="0.45">
      <c r="A7483" s="187">
        <v>2025</v>
      </c>
      <c r="B7483" t="s">
        <v>315</v>
      </c>
      <c r="C7483" t="s">
        <v>328</v>
      </c>
      <c r="D7483" t="s">
        <v>39</v>
      </c>
      <c r="E7483" t="s">
        <v>41</v>
      </c>
      <c r="F7483" t="s">
        <v>41</v>
      </c>
      <c r="G7483" t="s">
        <v>36</v>
      </c>
      <c r="H7483" t="s">
        <v>43</v>
      </c>
      <c r="I7483" s="187">
        <v>3653.0689451880744</v>
      </c>
      <c r="J7483" s="187">
        <v>1809.25206481077</v>
      </c>
      <c r="K7483" s="187">
        <v>11155.402810268784</v>
      </c>
      <c r="L7483" s="187">
        <v>7736.037783984917</v>
      </c>
      <c r="M7483" s="187">
        <v>24353.759765625</v>
      </c>
      <c r="N7483" s="187">
        <v>11389.1064453125</v>
      </c>
      <c r="O7483" t="s">
        <v>7390</v>
      </c>
    </row>
    <row r="7484" spans="1:15" hidden="1" x14ac:dyDescent="0.45">
      <c r="A7484" s="187">
        <v>2025</v>
      </c>
      <c r="B7484" t="s">
        <v>312</v>
      </c>
      <c r="C7484" t="s">
        <v>328</v>
      </c>
      <c r="D7484" t="s">
        <v>39</v>
      </c>
      <c r="E7484" t="s">
        <v>41</v>
      </c>
      <c r="F7484" t="s">
        <v>41</v>
      </c>
      <c r="G7484" t="s">
        <v>36</v>
      </c>
      <c r="H7484" t="s">
        <v>43</v>
      </c>
      <c r="I7484" s="187">
        <v>3335.0819750877085</v>
      </c>
      <c r="J7484" s="187">
        <v>1675.8538058447662</v>
      </c>
      <c r="K7484" s="187">
        <v>12537.609625401657</v>
      </c>
      <c r="L7484" s="187">
        <v>8532.3574045674359</v>
      </c>
      <c r="M7484" s="187">
        <v>26080.90234375</v>
      </c>
      <c r="N7484" s="187">
        <v>11867.439453125</v>
      </c>
      <c r="O7484" t="s">
        <v>7392</v>
      </c>
    </row>
    <row r="7485" spans="1:15" hidden="1" x14ac:dyDescent="0.45">
      <c r="A7485" s="187">
        <v>2025</v>
      </c>
      <c r="B7485" t="s">
        <v>316</v>
      </c>
      <c r="C7485" t="s">
        <v>328</v>
      </c>
      <c r="D7485" t="s">
        <v>39</v>
      </c>
      <c r="E7485" t="s">
        <v>41</v>
      </c>
      <c r="F7485" t="s">
        <v>41</v>
      </c>
      <c r="G7485" t="s">
        <v>36</v>
      </c>
      <c r="H7485" t="s">
        <v>43</v>
      </c>
      <c r="I7485" s="187">
        <v>6151.6769224556501</v>
      </c>
      <c r="J7485" s="187">
        <v>2247.4306830820369</v>
      </c>
      <c r="K7485" s="187">
        <v>11266.844814603797</v>
      </c>
      <c r="L7485" s="187">
        <v>8318.1375635012791</v>
      </c>
      <c r="M7485" s="187">
        <v>27984.08984375</v>
      </c>
      <c r="N7485" s="187">
        <v>14469.814453125</v>
      </c>
      <c r="O7485" t="s">
        <v>7391</v>
      </c>
    </row>
    <row r="7486" spans="1:15" hidden="1" x14ac:dyDescent="0.45">
      <c r="A7486" s="187">
        <v>2025</v>
      </c>
      <c r="B7486" t="s">
        <v>314</v>
      </c>
      <c r="C7486" t="s">
        <v>328</v>
      </c>
      <c r="D7486" t="s">
        <v>39</v>
      </c>
      <c r="E7486" t="s">
        <v>41</v>
      </c>
      <c r="F7486" t="s">
        <v>41</v>
      </c>
      <c r="G7486" t="s">
        <v>36</v>
      </c>
      <c r="H7486" t="s">
        <v>43</v>
      </c>
      <c r="I7486" s="187">
        <v>3752.7604424484589</v>
      </c>
      <c r="J7486" s="187">
        <v>1675.5376310163138</v>
      </c>
      <c r="K7486" s="187">
        <v>10829.318703555768</v>
      </c>
      <c r="L7486" s="187">
        <v>7767.3929914663549</v>
      </c>
      <c r="M7486" s="187">
        <v>24025.009765625</v>
      </c>
      <c r="N7486" s="187">
        <v>11520.1533203125</v>
      </c>
      <c r="O7486" t="s">
        <v>7393</v>
      </c>
    </row>
    <row r="7487" spans="1:15" hidden="1" x14ac:dyDescent="0.45">
      <c r="A7487" s="187">
        <v>2025</v>
      </c>
      <c r="B7487" t="s">
        <v>316</v>
      </c>
      <c r="C7487" t="s">
        <v>328</v>
      </c>
      <c r="D7487" t="s">
        <v>39</v>
      </c>
      <c r="E7487" t="s">
        <v>41</v>
      </c>
      <c r="F7487" t="s">
        <v>41</v>
      </c>
      <c r="G7487" t="s">
        <v>37</v>
      </c>
      <c r="H7487" t="s">
        <v>43</v>
      </c>
      <c r="I7487" s="187">
        <v>6422.5808799116394</v>
      </c>
      <c r="J7487" s="187">
        <v>2125</v>
      </c>
      <c r="K7487" s="187">
        <v>11551.661872337439</v>
      </c>
      <c r="L7487" s="187">
        <v>8767</v>
      </c>
      <c r="M7487" s="187">
        <v>28866.2421875</v>
      </c>
      <c r="N7487" s="187">
        <v>15189.5810546875</v>
      </c>
      <c r="O7487" t="s">
        <v>7401</v>
      </c>
    </row>
    <row r="7488" spans="1:15" hidden="1" x14ac:dyDescent="0.45">
      <c r="A7488" s="187">
        <v>2025</v>
      </c>
      <c r="B7488" t="s">
        <v>312</v>
      </c>
      <c r="C7488" t="s">
        <v>328</v>
      </c>
      <c r="D7488" t="s">
        <v>39</v>
      </c>
      <c r="E7488" t="s">
        <v>41</v>
      </c>
      <c r="F7488" t="s">
        <v>41</v>
      </c>
      <c r="G7488" t="s">
        <v>37</v>
      </c>
      <c r="H7488" t="s">
        <v>43</v>
      </c>
      <c r="I7488" s="187">
        <v>3379.1704143933098</v>
      </c>
      <c r="J7488" s="187">
        <v>1727</v>
      </c>
      <c r="K7488" s="187">
        <v>12879.725135475939</v>
      </c>
      <c r="L7488" s="187">
        <v>8831</v>
      </c>
      <c r="M7488" s="187">
        <v>26816.896484375</v>
      </c>
      <c r="N7488" s="187">
        <v>12210.169921875</v>
      </c>
      <c r="O7488" t="s">
        <v>7398</v>
      </c>
    </row>
    <row r="7489" spans="1:15" hidden="1" x14ac:dyDescent="0.45">
      <c r="A7489" s="187">
        <v>2025</v>
      </c>
      <c r="B7489" t="s">
        <v>8570</v>
      </c>
      <c r="C7489" t="s">
        <v>328</v>
      </c>
      <c r="D7489" t="s">
        <v>39</v>
      </c>
      <c r="E7489" t="s">
        <v>41</v>
      </c>
      <c r="F7489" t="s">
        <v>41</v>
      </c>
      <c r="G7489" t="s">
        <v>37</v>
      </c>
      <c r="H7489" t="s">
        <v>43</v>
      </c>
      <c r="I7489" s="187">
        <v>6676.4444933513314</v>
      </c>
      <c r="J7489" s="187">
        <v>2657</v>
      </c>
      <c r="K7489" s="187">
        <v>12550.438601586249</v>
      </c>
      <c r="L7489" s="187">
        <v>10247</v>
      </c>
      <c r="M7489" s="187">
        <v>32130.8828125</v>
      </c>
      <c r="N7489" s="187">
        <v>16923.4453125</v>
      </c>
      <c r="O7489" t="s">
        <v>9121</v>
      </c>
    </row>
    <row r="7490" spans="1:15" hidden="1" x14ac:dyDescent="0.45">
      <c r="A7490" s="187">
        <v>2025</v>
      </c>
      <c r="B7490" t="s">
        <v>313</v>
      </c>
      <c r="C7490" t="s">
        <v>328</v>
      </c>
      <c r="D7490" t="s">
        <v>39</v>
      </c>
      <c r="E7490" t="s">
        <v>41</v>
      </c>
      <c r="F7490" t="s">
        <v>41</v>
      </c>
      <c r="G7490" t="s">
        <v>37</v>
      </c>
      <c r="H7490" t="s">
        <v>43</v>
      </c>
      <c r="I7490" s="187">
        <v>3809.0238365199871</v>
      </c>
      <c r="J7490" s="187">
        <v>1734</v>
      </c>
      <c r="K7490" s="187">
        <v>12748.26565736562</v>
      </c>
      <c r="L7490" s="187">
        <v>8585</v>
      </c>
      <c r="M7490" s="187">
        <v>26876.2890625</v>
      </c>
      <c r="N7490" s="187">
        <v>12394.0234375</v>
      </c>
      <c r="O7490" t="s">
        <v>7397</v>
      </c>
    </row>
    <row r="7491" spans="1:15" hidden="1" x14ac:dyDescent="0.45">
      <c r="A7491" s="187">
        <v>2025</v>
      </c>
      <c r="B7491" t="s">
        <v>317</v>
      </c>
      <c r="C7491" t="s">
        <v>328</v>
      </c>
      <c r="D7491" t="s">
        <v>39</v>
      </c>
      <c r="E7491" t="s">
        <v>41</v>
      </c>
      <c r="F7491" t="s">
        <v>41</v>
      </c>
      <c r="G7491" t="s">
        <v>37</v>
      </c>
      <c r="H7491" t="s">
        <v>43</v>
      </c>
      <c r="I7491" s="187">
        <v>6880.5289882640773</v>
      </c>
      <c r="J7491" s="187">
        <v>2125</v>
      </c>
      <c r="K7491" s="187">
        <v>13197.49285432933</v>
      </c>
      <c r="L7491" s="187">
        <v>9460</v>
      </c>
      <c r="M7491" s="187">
        <v>31663.021484375</v>
      </c>
      <c r="N7491" s="187">
        <v>16340.529296875</v>
      </c>
      <c r="O7491" t="s">
        <v>7400</v>
      </c>
    </row>
    <row r="7492" spans="1:15" hidden="1" x14ac:dyDescent="0.45">
      <c r="A7492" s="187">
        <v>2025</v>
      </c>
      <c r="B7492" t="s">
        <v>311</v>
      </c>
      <c r="C7492" t="s">
        <v>328</v>
      </c>
      <c r="D7492" t="s">
        <v>39</v>
      </c>
      <c r="E7492" t="s">
        <v>41</v>
      </c>
      <c r="F7492" t="s">
        <v>41</v>
      </c>
      <c r="G7492" t="s">
        <v>37</v>
      </c>
      <c r="H7492" t="s">
        <v>43</v>
      </c>
      <c r="I7492" s="187"/>
      <c r="J7492" s="187">
        <v>1764</v>
      </c>
      <c r="K7492" s="187">
        <v>12564.20309574609</v>
      </c>
      <c r="L7492" s="187">
        <v>13641</v>
      </c>
      <c r="M7492" s="187">
        <v>27969.203125</v>
      </c>
      <c r="N7492" s="187">
        <v>13641</v>
      </c>
      <c r="O7492" t="s">
        <v>7396</v>
      </c>
    </row>
    <row r="7493" spans="1:15" hidden="1" x14ac:dyDescent="0.45">
      <c r="A7493" s="187">
        <v>2025</v>
      </c>
      <c r="B7493" t="s">
        <v>315</v>
      </c>
      <c r="C7493" t="s">
        <v>328</v>
      </c>
      <c r="D7493" t="s">
        <v>39</v>
      </c>
      <c r="E7493" t="s">
        <v>41</v>
      </c>
      <c r="F7493" t="s">
        <v>41</v>
      </c>
      <c r="G7493" t="s">
        <v>37</v>
      </c>
      <c r="H7493" t="s">
        <v>43</v>
      </c>
      <c r="I7493" s="187">
        <v>3809.428138813988</v>
      </c>
      <c r="J7493" s="187">
        <v>1849</v>
      </c>
      <c r="K7493" s="187">
        <v>11601.643661127229</v>
      </c>
      <c r="L7493" s="187">
        <v>8233</v>
      </c>
      <c r="M7493" s="187">
        <v>25493.072265625</v>
      </c>
      <c r="N7493" s="187">
        <v>12042.427734375</v>
      </c>
      <c r="O7493" t="s">
        <v>7402</v>
      </c>
    </row>
    <row r="7494" spans="1:15" hidden="1" x14ac:dyDescent="0.45">
      <c r="A7494" s="187">
        <v>2025</v>
      </c>
      <c r="B7494" t="s">
        <v>314</v>
      </c>
      <c r="C7494" t="s">
        <v>328</v>
      </c>
      <c r="D7494" t="s">
        <v>39</v>
      </c>
      <c r="E7494" t="s">
        <v>41</v>
      </c>
      <c r="F7494" t="s">
        <v>41</v>
      </c>
      <c r="G7494" t="s">
        <v>37</v>
      </c>
      <c r="H7494" t="s">
        <v>43</v>
      </c>
      <c r="I7494" s="187">
        <v>3886.7595300319131</v>
      </c>
      <c r="J7494" s="187">
        <v>1735</v>
      </c>
      <c r="K7494" s="187">
        <v>11231.17577637362</v>
      </c>
      <c r="L7494" s="187">
        <v>8647</v>
      </c>
      <c r="M7494" s="187">
        <v>25499.935546875</v>
      </c>
      <c r="N7494" s="187">
        <v>12533.759765625</v>
      </c>
      <c r="O7494" t="s">
        <v>7399</v>
      </c>
    </row>
    <row r="7495" spans="1:15" hidden="1" x14ac:dyDescent="0.45">
      <c r="A7495" s="187">
        <v>2025</v>
      </c>
      <c r="B7495" t="s">
        <v>316</v>
      </c>
      <c r="C7495" t="s">
        <v>328</v>
      </c>
      <c r="D7495" t="s">
        <v>39</v>
      </c>
      <c r="E7495" t="s">
        <v>361</v>
      </c>
      <c r="F7495" t="s">
        <v>361</v>
      </c>
      <c r="G7495" t="s">
        <v>36</v>
      </c>
      <c r="H7495" t="s">
        <v>43</v>
      </c>
      <c r="I7495" s="187"/>
      <c r="J7495" s="187"/>
      <c r="K7495" s="187"/>
      <c r="L7495" s="187">
        <v>0</v>
      </c>
      <c r="M7495" s="187">
        <v>0</v>
      </c>
      <c r="N7495" s="187">
        <v>0</v>
      </c>
      <c r="O7495" t="s">
        <v>7403</v>
      </c>
    </row>
    <row r="7496" spans="1:15" hidden="1" x14ac:dyDescent="0.45">
      <c r="A7496" s="187">
        <v>2025</v>
      </c>
      <c r="B7496" t="s">
        <v>312</v>
      </c>
      <c r="C7496" t="s">
        <v>328</v>
      </c>
      <c r="D7496" t="s">
        <v>39</v>
      </c>
      <c r="E7496" t="s">
        <v>361</v>
      </c>
      <c r="F7496" t="s">
        <v>361</v>
      </c>
      <c r="G7496" t="s">
        <v>36</v>
      </c>
      <c r="H7496" t="s">
        <v>43</v>
      </c>
      <c r="I7496" s="187"/>
      <c r="J7496" s="187">
        <v>0</v>
      </c>
      <c r="K7496" s="187"/>
      <c r="L7496" s="187"/>
      <c r="M7496" s="187">
        <v>0</v>
      </c>
      <c r="N7496" s="187">
        <v>0</v>
      </c>
      <c r="O7496" t="s">
        <v>7404</v>
      </c>
    </row>
    <row r="7497" spans="1:15" hidden="1" x14ac:dyDescent="0.45">
      <c r="A7497" s="187">
        <v>2025</v>
      </c>
      <c r="B7497" t="s">
        <v>315</v>
      </c>
      <c r="C7497" t="s">
        <v>328</v>
      </c>
      <c r="D7497" t="s">
        <v>39</v>
      </c>
      <c r="E7497" t="s">
        <v>361</v>
      </c>
      <c r="F7497" t="s">
        <v>361</v>
      </c>
      <c r="G7497" t="s">
        <v>36</v>
      </c>
      <c r="H7497" t="s">
        <v>43</v>
      </c>
      <c r="I7497" s="187">
        <v>0</v>
      </c>
      <c r="J7497" s="187"/>
      <c r="K7497" s="187"/>
      <c r="L7497" s="187"/>
      <c r="M7497" s="187">
        <v>0</v>
      </c>
      <c r="N7497" s="187">
        <v>0</v>
      </c>
      <c r="O7497" t="s">
        <v>7409</v>
      </c>
    </row>
    <row r="7498" spans="1:15" hidden="1" x14ac:dyDescent="0.45">
      <c r="A7498" s="187">
        <v>2025</v>
      </c>
      <c r="B7498" t="s">
        <v>313</v>
      </c>
      <c r="C7498" t="s">
        <v>328</v>
      </c>
      <c r="D7498" t="s">
        <v>39</v>
      </c>
      <c r="E7498" t="s">
        <v>361</v>
      </c>
      <c r="F7498" t="s">
        <v>361</v>
      </c>
      <c r="G7498" t="s">
        <v>36</v>
      </c>
      <c r="H7498" t="s">
        <v>43</v>
      </c>
      <c r="I7498" s="187"/>
      <c r="J7498" s="187"/>
      <c r="K7498" s="187"/>
      <c r="L7498" s="187"/>
      <c r="M7498" s="187">
        <v>0</v>
      </c>
      <c r="N7498" s="187">
        <v>0</v>
      </c>
      <c r="O7498" t="s">
        <v>7405</v>
      </c>
    </row>
    <row r="7499" spans="1:15" hidden="1" x14ac:dyDescent="0.45">
      <c r="A7499" s="187">
        <v>2025</v>
      </c>
      <c r="B7499" t="s">
        <v>314</v>
      </c>
      <c r="C7499" t="s">
        <v>328</v>
      </c>
      <c r="D7499" t="s">
        <v>39</v>
      </c>
      <c r="E7499" t="s">
        <v>361</v>
      </c>
      <c r="F7499" t="s">
        <v>361</v>
      </c>
      <c r="G7499" t="s">
        <v>36</v>
      </c>
      <c r="H7499" t="s">
        <v>43</v>
      </c>
      <c r="I7499" s="187">
        <v>0</v>
      </c>
      <c r="J7499" s="187"/>
      <c r="K7499" s="187">
        <v>0</v>
      </c>
      <c r="L7499" s="187"/>
      <c r="M7499" s="187">
        <v>0</v>
      </c>
      <c r="N7499" s="187">
        <v>0</v>
      </c>
      <c r="O7499" t="s">
        <v>7407</v>
      </c>
    </row>
    <row r="7500" spans="1:15" hidden="1" x14ac:dyDescent="0.45">
      <c r="A7500" s="187">
        <v>2025</v>
      </c>
      <c r="B7500" t="s">
        <v>317</v>
      </c>
      <c r="C7500" t="s">
        <v>328</v>
      </c>
      <c r="D7500" t="s">
        <v>39</v>
      </c>
      <c r="E7500" t="s">
        <v>361</v>
      </c>
      <c r="F7500" t="s">
        <v>361</v>
      </c>
      <c r="G7500" t="s">
        <v>36</v>
      </c>
      <c r="H7500" t="s">
        <v>43</v>
      </c>
      <c r="I7500" s="187"/>
      <c r="J7500" s="187"/>
      <c r="K7500" s="187">
        <v>0</v>
      </c>
      <c r="L7500" s="187"/>
      <c r="M7500" s="187">
        <v>0</v>
      </c>
      <c r="N7500" s="187">
        <v>0</v>
      </c>
      <c r="O7500" t="s">
        <v>7408</v>
      </c>
    </row>
    <row r="7501" spans="1:15" hidden="1" x14ac:dyDescent="0.45">
      <c r="A7501" s="187">
        <v>2025</v>
      </c>
      <c r="B7501" t="s">
        <v>311</v>
      </c>
      <c r="C7501" t="s">
        <v>328</v>
      </c>
      <c r="D7501" t="s">
        <v>39</v>
      </c>
      <c r="E7501" t="s">
        <v>361</v>
      </c>
      <c r="F7501" t="s">
        <v>361</v>
      </c>
      <c r="G7501" t="s">
        <v>36</v>
      </c>
      <c r="H7501" t="s">
        <v>43</v>
      </c>
      <c r="I7501" s="187"/>
      <c r="J7501" s="187">
        <v>0</v>
      </c>
      <c r="K7501" s="187"/>
      <c r="L7501" s="187"/>
      <c r="M7501" s="187">
        <v>0</v>
      </c>
      <c r="N7501" s="187">
        <v>0</v>
      </c>
      <c r="O7501" t="s">
        <v>7406</v>
      </c>
    </row>
    <row r="7502" spans="1:15" hidden="1" x14ac:dyDescent="0.45">
      <c r="A7502" s="187">
        <v>2025</v>
      </c>
      <c r="B7502" t="s">
        <v>8570</v>
      </c>
      <c r="C7502" t="s">
        <v>328</v>
      </c>
      <c r="D7502" t="s">
        <v>39</v>
      </c>
      <c r="E7502" t="s">
        <v>361</v>
      </c>
      <c r="F7502" t="s">
        <v>361</v>
      </c>
      <c r="G7502" t="s">
        <v>36</v>
      </c>
      <c r="H7502" t="s">
        <v>43</v>
      </c>
      <c r="I7502" s="187"/>
      <c r="J7502" s="187"/>
      <c r="K7502" s="187"/>
      <c r="L7502" s="187">
        <v>0</v>
      </c>
      <c r="M7502" s="187">
        <v>0</v>
      </c>
      <c r="N7502" s="187">
        <v>0</v>
      </c>
      <c r="O7502" t="s">
        <v>9122</v>
      </c>
    </row>
    <row r="7503" spans="1:15" hidden="1" x14ac:dyDescent="0.45">
      <c r="A7503" s="187">
        <v>2025</v>
      </c>
      <c r="B7503" t="s">
        <v>317</v>
      </c>
      <c r="C7503" t="s">
        <v>328</v>
      </c>
      <c r="D7503" t="s">
        <v>39</v>
      </c>
      <c r="E7503" t="s">
        <v>362</v>
      </c>
      <c r="F7503" t="s">
        <v>362</v>
      </c>
      <c r="G7503" t="s">
        <v>36</v>
      </c>
      <c r="H7503" t="s">
        <v>43</v>
      </c>
      <c r="I7503" s="187">
        <v>1092.9854858581857</v>
      </c>
      <c r="J7503" s="187">
        <v>131.70349572344929</v>
      </c>
      <c r="K7503" s="187">
        <v>3373.8874038852819</v>
      </c>
      <c r="L7503" s="187">
        <v>3078.3078960758585</v>
      </c>
      <c r="M7503" s="187">
        <v>7676.88427734375</v>
      </c>
      <c r="N7503" s="187">
        <v>4171.29345703125</v>
      </c>
      <c r="O7503" t="s">
        <v>7416</v>
      </c>
    </row>
    <row r="7504" spans="1:15" hidden="1" x14ac:dyDescent="0.45">
      <c r="A7504" s="187">
        <v>2025</v>
      </c>
      <c r="B7504" t="s">
        <v>311</v>
      </c>
      <c r="C7504" t="s">
        <v>328</v>
      </c>
      <c r="D7504" t="s">
        <v>39</v>
      </c>
      <c r="E7504" t="s">
        <v>362</v>
      </c>
      <c r="F7504" t="s">
        <v>362</v>
      </c>
      <c r="G7504" t="s">
        <v>36</v>
      </c>
      <c r="H7504" t="s">
        <v>43</v>
      </c>
      <c r="I7504" s="187"/>
      <c r="J7504" s="187">
        <v>99.030417237026896</v>
      </c>
      <c r="K7504" s="187">
        <v>2994.0468989568299</v>
      </c>
      <c r="L7504" s="187">
        <v>5059.871788945974</v>
      </c>
      <c r="M7504" s="187">
        <v>8152.94921875</v>
      </c>
      <c r="N7504" s="187">
        <v>5059.87158203125</v>
      </c>
      <c r="O7504" t="s">
        <v>7415</v>
      </c>
    </row>
    <row r="7505" spans="1:15" hidden="1" x14ac:dyDescent="0.45">
      <c r="A7505" s="187">
        <v>2025</v>
      </c>
      <c r="B7505" t="s">
        <v>316</v>
      </c>
      <c r="C7505" t="s">
        <v>328</v>
      </c>
      <c r="D7505" t="s">
        <v>39</v>
      </c>
      <c r="E7505" t="s">
        <v>362</v>
      </c>
      <c r="F7505" t="s">
        <v>362</v>
      </c>
      <c r="G7505" t="s">
        <v>36</v>
      </c>
      <c r="H7505" t="s">
        <v>43</v>
      </c>
      <c r="I7505" s="187">
        <v>1105.8978379992766</v>
      </c>
      <c r="J7505" s="187">
        <v>185.0825268420501</v>
      </c>
      <c r="K7505" s="187">
        <v>3375.2570921860361</v>
      </c>
      <c r="L7505" s="187">
        <v>2922.1886952261966</v>
      </c>
      <c r="M7505" s="187">
        <v>7588.42578125</v>
      </c>
      <c r="N7505" s="187">
        <v>4028.08642578125</v>
      </c>
      <c r="O7505" t="s">
        <v>7412</v>
      </c>
    </row>
    <row r="7506" spans="1:15" hidden="1" x14ac:dyDescent="0.45">
      <c r="A7506" s="187">
        <v>2025</v>
      </c>
      <c r="B7506" t="s">
        <v>315</v>
      </c>
      <c r="C7506" t="s">
        <v>328</v>
      </c>
      <c r="D7506" t="s">
        <v>39</v>
      </c>
      <c r="E7506" t="s">
        <v>362</v>
      </c>
      <c r="F7506" t="s">
        <v>362</v>
      </c>
      <c r="G7506" t="s">
        <v>36</v>
      </c>
      <c r="H7506" t="s">
        <v>43</v>
      </c>
      <c r="I7506" s="187">
        <v>2068.488181559776</v>
      </c>
      <c r="J7506" s="187">
        <v>113.41580107769006</v>
      </c>
      <c r="K7506" s="187">
        <v>3425.89115479674</v>
      </c>
      <c r="L7506" s="187">
        <v>2802.990512348626</v>
      </c>
      <c r="M7506" s="187">
        <v>8410.7861328125</v>
      </c>
      <c r="N7506" s="187">
        <v>4871.47900390625</v>
      </c>
      <c r="O7506" t="s">
        <v>7410</v>
      </c>
    </row>
    <row r="7507" spans="1:15" hidden="1" x14ac:dyDescent="0.45">
      <c r="A7507" s="187">
        <v>2025</v>
      </c>
      <c r="B7507" t="s">
        <v>312</v>
      </c>
      <c r="C7507" t="s">
        <v>328</v>
      </c>
      <c r="D7507" t="s">
        <v>39</v>
      </c>
      <c r="E7507" t="s">
        <v>362</v>
      </c>
      <c r="F7507" t="s">
        <v>362</v>
      </c>
      <c r="G7507" t="s">
        <v>36</v>
      </c>
      <c r="H7507" t="s">
        <v>43</v>
      </c>
      <c r="I7507" s="187">
        <v>2148.7570596580576</v>
      </c>
      <c r="J7507" s="187">
        <v>98.57963563792741</v>
      </c>
      <c r="K7507" s="187">
        <v>2457.8346784227306</v>
      </c>
      <c r="L7507" s="187">
        <v>2870.4070376925924</v>
      </c>
      <c r="M7507" s="187">
        <v>7575.57861328125</v>
      </c>
      <c r="N7507" s="187">
        <v>5019.1640625</v>
      </c>
      <c r="O7507" t="s">
        <v>7413</v>
      </c>
    </row>
    <row r="7508" spans="1:15" hidden="1" x14ac:dyDescent="0.45">
      <c r="A7508" s="187">
        <v>2025</v>
      </c>
      <c r="B7508" t="s">
        <v>313</v>
      </c>
      <c r="C7508" t="s">
        <v>328</v>
      </c>
      <c r="D7508" t="s">
        <v>39</v>
      </c>
      <c r="E7508" t="s">
        <v>362</v>
      </c>
      <c r="F7508" t="s">
        <v>362</v>
      </c>
      <c r="G7508" t="s">
        <v>36</v>
      </c>
      <c r="H7508" t="s">
        <v>43</v>
      </c>
      <c r="I7508" s="187">
        <v>2105.2772863070304</v>
      </c>
      <c r="J7508" s="187">
        <v>79.875018992678648</v>
      </c>
      <c r="K7508" s="187">
        <v>2878.1584458364246</v>
      </c>
      <c r="L7508" s="187">
        <v>2810.4595968423932</v>
      </c>
      <c r="M7508" s="187">
        <v>7873.77001953125</v>
      </c>
      <c r="N7508" s="187">
        <v>4915.73681640625</v>
      </c>
      <c r="O7508" t="s">
        <v>7414</v>
      </c>
    </row>
    <row r="7509" spans="1:15" hidden="1" x14ac:dyDescent="0.45">
      <c r="A7509" s="187">
        <v>2025</v>
      </c>
      <c r="B7509" t="s">
        <v>314</v>
      </c>
      <c r="C7509" t="s">
        <v>328</v>
      </c>
      <c r="D7509" t="s">
        <v>39</v>
      </c>
      <c r="E7509" t="s">
        <v>362</v>
      </c>
      <c r="F7509" t="s">
        <v>362</v>
      </c>
      <c r="G7509" t="s">
        <v>36</v>
      </c>
      <c r="H7509" t="s">
        <v>43</v>
      </c>
      <c r="I7509" s="187">
        <v>2124.9367969511527</v>
      </c>
      <c r="J7509" s="187">
        <v>83.222067765710946</v>
      </c>
      <c r="K7509" s="187">
        <v>3075.5451287000078</v>
      </c>
      <c r="L7509" s="187">
        <v>2859.5102484298282</v>
      </c>
      <c r="M7509" s="187">
        <v>8143.21435546875</v>
      </c>
      <c r="N7509" s="187">
        <v>4984.44677734375</v>
      </c>
      <c r="O7509" t="s">
        <v>7411</v>
      </c>
    </row>
    <row r="7510" spans="1:15" hidden="1" x14ac:dyDescent="0.45">
      <c r="A7510" s="187">
        <v>2025</v>
      </c>
      <c r="B7510" t="s">
        <v>8570</v>
      </c>
      <c r="C7510" t="s">
        <v>328</v>
      </c>
      <c r="D7510" t="s">
        <v>39</v>
      </c>
      <c r="E7510" t="s">
        <v>362</v>
      </c>
      <c r="F7510" t="s">
        <v>362</v>
      </c>
      <c r="G7510" t="s">
        <v>36</v>
      </c>
      <c r="H7510" t="s">
        <v>43</v>
      </c>
      <c r="I7510" s="187">
        <v>2215.7905101796609</v>
      </c>
      <c r="J7510" s="187">
        <v>175</v>
      </c>
      <c r="K7510" s="187">
        <v>3582.7088274110711</v>
      </c>
      <c r="L7510" s="187">
        <v>3312</v>
      </c>
      <c r="M7510" s="187">
        <v>9285.5</v>
      </c>
      <c r="N7510" s="187">
        <v>5527.79052734375</v>
      </c>
      <c r="O7510" t="s">
        <v>9123</v>
      </c>
    </row>
    <row r="7511" spans="1:15" hidden="1" x14ac:dyDescent="0.45">
      <c r="A7511" s="187">
        <v>2025</v>
      </c>
      <c r="B7511" t="s">
        <v>312</v>
      </c>
      <c r="C7511" t="s">
        <v>328</v>
      </c>
      <c r="D7511" t="s">
        <v>39</v>
      </c>
      <c r="E7511" t="s">
        <v>362</v>
      </c>
      <c r="F7511" t="s">
        <v>362</v>
      </c>
      <c r="G7511" t="s">
        <v>37</v>
      </c>
      <c r="H7511" t="s">
        <v>43</v>
      </c>
      <c r="I7511" s="187">
        <v>2177.1627618011748</v>
      </c>
      <c r="J7511" s="187">
        <v>102</v>
      </c>
      <c r="K7511" s="187">
        <v>2524.901957578018</v>
      </c>
      <c r="L7511" s="187">
        <v>2971</v>
      </c>
      <c r="M7511" s="187">
        <v>7775.06494140625</v>
      </c>
      <c r="N7511" s="187">
        <v>5148.1630859375</v>
      </c>
      <c r="O7511" t="s">
        <v>7423</v>
      </c>
    </row>
    <row r="7512" spans="1:15" hidden="1" x14ac:dyDescent="0.45">
      <c r="A7512" s="187">
        <v>2025</v>
      </c>
      <c r="B7512" t="s">
        <v>313</v>
      </c>
      <c r="C7512" t="s">
        <v>328</v>
      </c>
      <c r="D7512" t="s">
        <v>39</v>
      </c>
      <c r="E7512" t="s">
        <v>362</v>
      </c>
      <c r="F7512" t="s">
        <v>362</v>
      </c>
      <c r="G7512" t="s">
        <v>37</v>
      </c>
      <c r="H7512" t="s">
        <v>43</v>
      </c>
      <c r="I7512" s="187">
        <v>2157.2584193085431</v>
      </c>
      <c r="J7512" s="187">
        <v>82</v>
      </c>
      <c r="K7512" s="187">
        <v>2942.092263572345</v>
      </c>
      <c r="L7512" s="187">
        <v>2913</v>
      </c>
      <c r="M7512" s="187">
        <v>8094.3505859375</v>
      </c>
      <c r="N7512" s="187">
        <v>5070.25830078125</v>
      </c>
      <c r="O7512" t="s">
        <v>7418</v>
      </c>
    </row>
    <row r="7513" spans="1:15" hidden="1" x14ac:dyDescent="0.45">
      <c r="A7513" s="187">
        <v>2025</v>
      </c>
      <c r="B7513" t="s">
        <v>317</v>
      </c>
      <c r="C7513" t="s">
        <v>328</v>
      </c>
      <c r="D7513" t="s">
        <v>39</v>
      </c>
      <c r="E7513" t="s">
        <v>362</v>
      </c>
      <c r="F7513" t="s">
        <v>362</v>
      </c>
      <c r="G7513" t="s">
        <v>37</v>
      </c>
      <c r="H7513" t="s">
        <v>43</v>
      </c>
      <c r="I7513" s="187">
        <v>1131.8485652923389</v>
      </c>
      <c r="J7513" s="187">
        <v>126</v>
      </c>
      <c r="K7513" s="187">
        <v>3472.556444415271</v>
      </c>
      <c r="L7513" s="187">
        <v>3174</v>
      </c>
      <c r="M7513" s="187">
        <v>7904.40478515625</v>
      </c>
      <c r="N7513" s="187">
        <v>4305.8486328125</v>
      </c>
      <c r="O7513" t="s">
        <v>7419</v>
      </c>
    </row>
    <row r="7514" spans="1:15" hidden="1" x14ac:dyDescent="0.45">
      <c r="A7514" s="187">
        <v>2025</v>
      </c>
      <c r="B7514" t="s">
        <v>314</v>
      </c>
      <c r="C7514" t="s">
        <v>328</v>
      </c>
      <c r="D7514" t="s">
        <v>39</v>
      </c>
      <c r="E7514" t="s">
        <v>362</v>
      </c>
      <c r="F7514" t="s">
        <v>362</v>
      </c>
      <c r="G7514" t="s">
        <v>37</v>
      </c>
      <c r="H7514" t="s">
        <v>43</v>
      </c>
      <c r="I7514" s="187">
        <v>2200.811502073067</v>
      </c>
      <c r="J7514" s="187">
        <v>86</v>
      </c>
      <c r="K7514" s="187">
        <v>3189.6732282205062</v>
      </c>
      <c r="L7514" s="187">
        <v>3183</v>
      </c>
      <c r="M7514" s="187">
        <v>8659.484375</v>
      </c>
      <c r="N7514" s="187">
        <v>5383.8115234375</v>
      </c>
      <c r="O7514" t="s">
        <v>7417</v>
      </c>
    </row>
    <row r="7515" spans="1:15" hidden="1" x14ac:dyDescent="0.45">
      <c r="A7515" s="187">
        <v>2025</v>
      </c>
      <c r="B7515" t="s">
        <v>8570</v>
      </c>
      <c r="C7515" t="s">
        <v>328</v>
      </c>
      <c r="D7515" t="s">
        <v>39</v>
      </c>
      <c r="E7515" t="s">
        <v>362</v>
      </c>
      <c r="F7515" t="s">
        <v>362</v>
      </c>
      <c r="G7515" t="s">
        <v>37</v>
      </c>
      <c r="H7515" t="s">
        <v>43</v>
      </c>
      <c r="I7515" s="187">
        <v>2351.4146157267369</v>
      </c>
      <c r="J7515" s="187">
        <v>179</v>
      </c>
      <c r="K7515" s="187">
        <v>3818.7589407826899</v>
      </c>
      <c r="L7515" s="187">
        <v>3641</v>
      </c>
      <c r="M7515" s="187">
        <v>9990.173828125</v>
      </c>
      <c r="N7515" s="187">
        <v>5992.41455078125</v>
      </c>
      <c r="O7515" t="s">
        <v>9124</v>
      </c>
    </row>
    <row r="7516" spans="1:15" hidden="1" x14ac:dyDescent="0.45">
      <c r="A7516" s="187">
        <v>2025</v>
      </c>
      <c r="B7516" t="s">
        <v>316</v>
      </c>
      <c r="C7516" t="s">
        <v>328</v>
      </c>
      <c r="D7516" t="s">
        <v>39</v>
      </c>
      <c r="E7516" t="s">
        <v>362</v>
      </c>
      <c r="F7516" t="s">
        <v>362</v>
      </c>
      <c r="G7516" t="s">
        <v>37</v>
      </c>
      <c r="H7516" t="s">
        <v>43</v>
      </c>
      <c r="I7516" s="187">
        <v>1154.5987214547199</v>
      </c>
      <c r="J7516" s="187">
        <v>175</v>
      </c>
      <c r="K7516" s="187">
        <v>3460.5809614599798</v>
      </c>
      <c r="L7516" s="187">
        <v>3080</v>
      </c>
      <c r="M7516" s="187">
        <v>7870.1796875</v>
      </c>
      <c r="N7516" s="187">
        <v>4234.5986328125</v>
      </c>
      <c r="O7516" t="s">
        <v>7422</v>
      </c>
    </row>
    <row r="7517" spans="1:15" hidden="1" x14ac:dyDescent="0.45">
      <c r="A7517" s="187">
        <v>2025</v>
      </c>
      <c r="B7517" t="s">
        <v>315</v>
      </c>
      <c r="C7517" t="s">
        <v>328</v>
      </c>
      <c r="D7517" t="s">
        <v>39</v>
      </c>
      <c r="E7517" t="s">
        <v>362</v>
      </c>
      <c r="F7517" t="s">
        <v>362</v>
      </c>
      <c r="G7517" t="s">
        <v>37</v>
      </c>
      <c r="H7517" t="s">
        <v>43</v>
      </c>
      <c r="I7517" s="187">
        <v>2157.0239165667608</v>
      </c>
      <c r="J7517" s="187">
        <v>116</v>
      </c>
      <c r="K7517" s="187">
        <v>3562.9343983143699</v>
      </c>
      <c r="L7517" s="187">
        <v>2983</v>
      </c>
      <c r="M7517" s="187">
        <v>8818.958984375</v>
      </c>
      <c r="N7517" s="187">
        <v>5140.02392578125</v>
      </c>
      <c r="O7517" t="s">
        <v>7420</v>
      </c>
    </row>
    <row r="7518" spans="1:15" hidden="1" x14ac:dyDescent="0.45">
      <c r="A7518" s="187">
        <v>2025</v>
      </c>
      <c r="B7518" t="s">
        <v>311</v>
      </c>
      <c r="C7518" t="s">
        <v>328</v>
      </c>
      <c r="D7518" t="s">
        <v>39</v>
      </c>
      <c r="E7518" t="s">
        <v>362</v>
      </c>
      <c r="F7518" t="s">
        <v>362</v>
      </c>
      <c r="G7518" t="s">
        <v>37</v>
      </c>
      <c r="H7518" t="s">
        <v>43</v>
      </c>
      <c r="I7518" s="187"/>
      <c r="J7518" s="187">
        <v>104</v>
      </c>
      <c r="K7518" s="187">
        <v>3109.7748537173379</v>
      </c>
      <c r="L7518" s="187">
        <v>5621</v>
      </c>
      <c r="M7518" s="187">
        <v>8834.775390625</v>
      </c>
      <c r="N7518" s="187">
        <v>5621</v>
      </c>
      <c r="O7518" t="s">
        <v>7421</v>
      </c>
    </row>
    <row r="7519" spans="1:15" hidden="1" x14ac:dyDescent="0.45">
      <c r="A7519" s="187">
        <v>2025</v>
      </c>
      <c r="B7519" t="s">
        <v>8570</v>
      </c>
      <c r="C7519" t="s">
        <v>328</v>
      </c>
      <c r="D7519" t="s">
        <v>39</v>
      </c>
      <c r="E7519" t="s">
        <v>363</v>
      </c>
      <c r="F7519" t="s">
        <v>363</v>
      </c>
      <c r="G7519" t="s">
        <v>36</v>
      </c>
      <c r="H7519" t="s">
        <v>43</v>
      </c>
      <c r="I7519" s="187">
        <v>2215.7905101796609</v>
      </c>
      <c r="J7519" s="187">
        <v>45</v>
      </c>
      <c r="K7519" s="187">
        <v>622.20610734683612</v>
      </c>
      <c r="L7519" s="187">
        <v>2286</v>
      </c>
      <c r="M7519" s="187">
        <v>5168.99658203125</v>
      </c>
      <c r="N7519" s="187">
        <v>4501.79052734375</v>
      </c>
      <c r="O7519" t="s">
        <v>9125</v>
      </c>
    </row>
    <row r="7520" spans="1:15" hidden="1" x14ac:dyDescent="0.45">
      <c r="A7520" s="187">
        <v>2025</v>
      </c>
      <c r="B7520" t="s">
        <v>311</v>
      </c>
      <c r="C7520" t="s">
        <v>328</v>
      </c>
      <c r="D7520" t="s">
        <v>39</v>
      </c>
      <c r="E7520" t="s">
        <v>363</v>
      </c>
      <c r="F7520" t="s">
        <v>363</v>
      </c>
      <c r="G7520" t="s">
        <v>36</v>
      </c>
      <c r="H7520" t="s">
        <v>43</v>
      </c>
      <c r="I7520" s="187"/>
      <c r="J7520" s="187">
        <v>69.90382393201898</v>
      </c>
      <c r="K7520" s="187">
        <v>453.56984889052569</v>
      </c>
      <c r="L7520" s="187">
        <v>4557.7293203676381</v>
      </c>
      <c r="M7520" s="187">
        <v>5081.203125</v>
      </c>
      <c r="N7520" s="187">
        <v>4557.7294921875</v>
      </c>
      <c r="O7520" t="s">
        <v>7428</v>
      </c>
    </row>
    <row r="7521" spans="1:15" hidden="1" x14ac:dyDescent="0.45">
      <c r="A7521" s="187">
        <v>2025</v>
      </c>
      <c r="B7521" t="s">
        <v>314</v>
      </c>
      <c r="C7521" t="s">
        <v>328</v>
      </c>
      <c r="D7521" t="s">
        <v>39</v>
      </c>
      <c r="E7521" t="s">
        <v>363</v>
      </c>
      <c r="F7521" t="s">
        <v>363</v>
      </c>
      <c r="G7521" t="s">
        <v>36</v>
      </c>
      <c r="H7521" t="s">
        <v>43</v>
      </c>
      <c r="I7521" s="187">
        <v>3364.390792875141</v>
      </c>
      <c r="J7521" s="187">
        <v>55.481378510473967</v>
      </c>
      <c r="K7521" s="187">
        <v>465.40062546246776</v>
      </c>
      <c r="L7521" s="187">
        <v>2335.7660352909538</v>
      </c>
      <c r="M7521" s="187">
        <v>6221.0390625</v>
      </c>
      <c r="N7521" s="187">
        <v>5700.15673828125</v>
      </c>
      <c r="O7521" t="s">
        <v>7429</v>
      </c>
    </row>
    <row r="7522" spans="1:15" hidden="1" x14ac:dyDescent="0.45">
      <c r="A7522" s="187">
        <v>2025</v>
      </c>
      <c r="B7522" t="s">
        <v>315</v>
      </c>
      <c r="C7522" t="s">
        <v>328</v>
      </c>
      <c r="D7522" t="s">
        <v>39</v>
      </c>
      <c r="E7522" t="s">
        <v>363</v>
      </c>
      <c r="F7522" t="s">
        <v>363</v>
      </c>
      <c r="G7522" t="s">
        <v>36</v>
      </c>
      <c r="H7522" t="s">
        <v>43</v>
      </c>
      <c r="I7522" s="187">
        <v>3275.0162749291076</v>
      </c>
      <c r="J7522" s="187">
        <v>37.80526702589669</v>
      </c>
      <c r="K7522" s="187">
        <v>647.06593960077521</v>
      </c>
      <c r="L7522" s="187">
        <v>2359.0486624159535</v>
      </c>
      <c r="M7522" s="187">
        <v>6318.93603515625</v>
      </c>
      <c r="N7522" s="187">
        <v>5634.06494140625</v>
      </c>
      <c r="O7522" t="s">
        <v>7424</v>
      </c>
    </row>
    <row r="7523" spans="1:15" hidden="1" x14ac:dyDescent="0.45">
      <c r="A7523" s="187">
        <v>2025</v>
      </c>
      <c r="B7523" t="s">
        <v>312</v>
      </c>
      <c r="C7523" t="s">
        <v>328</v>
      </c>
      <c r="D7523" t="s">
        <v>39</v>
      </c>
      <c r="E7523" t="s">
        <v>363</v>
      </c>
      <c r="F7523" t="s">
        <v>363</v>
      </c>
      <c r="G7523" t="s">
        <v>36</v>
      </c>
      <c r="H7523" t="s">
        <v>43</v>
      </c>
      <c r="I7523" s="187">
        <v>2633.2512352831613</v>
      </c>
      <c r="J7523" s="187">
        <v>69.585625156184065</v>
      </c>
      <c r="K7523" s="187">
        <v>492.85963766074065</v>
      </c>
      <c r="L7523" s="187">
        <v>2269.6511405108699</v>
      </c>
      <c r="M7523" s="187">
        <v>5465.34765625</v>
      </c>
      <c r="N7523" s="187">
        <v>4902.90234375</v>
      </c>
      <c r="O7523" t="s">
        <v>7426</v>
      </c>
    </row>
    <row r="7524" spans="1:15" hidden="1" x14ac:dyDescent="0.45">
      <c r="A7524" s="187">
        <v>2025</v>
      </c>
      <c r="B7524" t="s">
        <v>316</v>
      </c>
      <c r="C7524" t="s">
        <v>328</v>
      </c>
      <c r="D7524" t="s">
        <v>39</v>
      </c>
      <c r="E7524" t="s">
        <v>363</v>
      </c>
      <c r="F7524" t="s">
        <v>363</v>
      </c>
      <c r="G7524" t="s">
        <v>36</v>
      </c>
      <c r="H7524" t="s">
        <v>43</v>
      </c>
      <c r="I7524" s="187">
        <v>3267.7910343034573</v>
      </c>
      <c r="J7524" s="187">
        <v>47.592649759384308</v>
      </c>
      <c r="K7524" s="187">
        <v>667.92545848313148</v>
      </c>
      <c r="L7524" s="187">
        <v>2363.7682713827539</v>
      </c>
      <c r="M7524" s="187">
        <v>6347.0771484375</v>
      </c>
      <c r="N7524" s="187">
        <v>5631.55908203125</v>
      </c>
      <c r="O7524" t="s">
        <v>7425</v>
      </c>
    </row>
    <row r="7525" spans="1:15" hidden="1" x14ac:dyDescent="0.45">
      <c r="A7525" s="187">
        <v>2025</v>
      </c>
      <c r="B7525" t="s">
        <v>317</v>
      </c>
      <c r="C7525" t="s">
        <v>328</v>
      </c>
      <c r="D7525" t="s">
        <v>39</v>
      </c>
      <c r="E7525" t="s">
        <v>363</v>
      </c>
      <c r="F7525" t="s">
        <v>363</v>
      </c>
      <c r="G7525" t="s">
        <v>36</v>
      </c>
      <c r="H7525" t="s">
        <v>43</v>
      </c>
      <c r="I7525" s="187">
        <v>3229.6366342236429</v>
      </c>
      <c r="J7525" s="187">
        <v>47.036962758374742</v>
      </c>
      <c r="K7525" s="187">
        <v>636.46895733155964</v>
      </c>
      <c r="L7525" s="187">
        <v>2307.9469726775874</v>
      </c>
      <c r="M7525" s="187">
        <v>6221.08935546875</v>
      </c>
      <c r="N7525" s="187">
        <v>5537.58349609375</v>
      </c>
      <c r="O7525" t="s">
        <v>7430</v>
      </c>
    </row>
    <row r="7526" spans="1:15" hidden="1" x14ac:dyDescent="0.45">
      <c r="A7526" s="187">
        <v>2025</v>
      </c>
      <c r="B7526" t="s">
        <v>313</v>
      </c>
      <c r="C7526" t="s">
        <v>328</v>
      </c>
      <c r="D7526" t="s">
        <v>39</v>
      </c>
      <c r="E7526" t="s">
        <v>363</v>
      </c>
      <c r="F7526" t="s">
        <v>363</v>
      </c>
      <c r="G7526" t="s">
        <v>36</v>
      </c>
      <c r="H7526" t="s">
        <v>43</v>
      </c>
      <c r="I7526" s="187">
        <v>3333.0749996812901</v>
      </c>
      <c r="J7526" s="187">
        <v>57.053584994770468</v>
      </c>
      <c r="K7526" s="187">
        <v>443.4271615330332</v>
      </c>
      <c r="L7526" s="187">
        <v>2350.6077017845432</v>
      </c>
      <c r="M7526" s="187">
        <v>6184.16357421875</v>
      </c>
      <c r="N7526" s="187">
        <v>5683.6826171875</v>
      </c>
      <c r="O7526" t="s">
        <v>7427</v>
      </c>
    </row>
    <row r="7527" spans="1:15" hidden="1" x14ac:dyDescent="0.45">
      <c r="A7527" s="187">
        <v>2025</v>
      </c>
      <c r="B7527" t="s">
        <v>316</v>
      </c>
      <c r="C7527" t="s">
        <v>328</v>
      </c>
      <c r="D7527" t="s">
        <v>39</v>
      </c>
      <c r="E7527" t="s">
        <v>363</v>
      </c>
      <c r="F7527" t="s">
        <v>363</v>
      </c>
      <c r="G7527" t="s">
        <v>37</v>
      </c>
      <c r="H7527" t="s">
        <v>43</v>
      </c>
      <c r="I7527" s="187">
        <v>3411.69610839805</v>
      </c>
      <c r="J7527" s="187">
        <v>45</v>
      </c>
      <c r="K7527" s="187">
        <v>684.81009362286352</v>
      </c>
      <c r="L7527" s="187">
        <v>2491</v>
      </c>
      <c r="M7527" s="187">
        <v>6632.50634765625</v>
      </c>
      <c r="N7527" s="187">
        <v>5902.6962890625</v>
      </c>
      <c r="O7527" t="s">
        <v>7433</v>
      </c>
    </row>
    <row r="7528" spans="1:15" hidden="1" x14ac:dyDescent="0.45">
      <c r="A7528" s="187">
        <v>2025</v>
      </c>
      <c r="B7528" t="s">
        <v>317</v>
      </c>
      <c r="C7528" t="s">
        <v>328</v>
      </c>
      <c r="D7528" t="s">
        <v>39</v>
      </c>
      <c r="E7528" t="s">
        <v>363</v>
      </c>
      <c r="F7528" t="s">
        <v>363</v>
      </c>
      <c r="G7528" t="s">
        <v>37</v>
      </c>
      <c r="H7528" t="s">
        <v>43</v>
      </c>
      <c r="I7528" s="187">
        <v>3344</v>
      </c>
      <c r="J7528" s="187">
        <v>45</v>
      </c>
      <c r="K7528" s="187">
        <v>655.08243603707569</v>
      </c>
      <c r="L7528" s="187">
        <v>2379</v>
      </c>
      <c r="M7528" s="187">
        <v>6423.08251953125</v>
      </c>
      <c r="N7528" s="187">
        <v>5723</v>
      </c>
      <c r="O7528" t="s">
        <v>7437</v>
      </c>
    </row>
    <row r="7529" spans="1:15" hidden="1" x14ac:dyDescent="0.45">
      <c r="A7529" s="187">
        <v>2025</v>
      </c>
      <c r="B7529" t="s">
        <v>8570</v>
      </c>
      <c r="C7529" t="s">
        <v>328</v>
      </c>
      <c r="D7529" t="s">
        <v>39</v>
      </c>
      <c r="E7529" t="s">
        <v>363</v>
      </c>
      <c r="F7529" t="s">
        <v>363</v>
      </c>
      <c r="G7529" t="s">
        <v>37</v>
      </c>
      <c r="H7529" t="s">
        <v>43</v>
      </c>
      <c r="I7529" s="187">
        <v>2351.4146157267369</v>
      </c>
      <c r="J7529" s="187">
        <v>47</v>
      </c>
      <c r="K7529" s="187">
        <v>663.20073718000253</v>
      </c>
      <c r="L7529" s="187">
        <v>2514</v>
      </c>
      <c r="M7529" s="187">
        <v>5575.615234375</v>
      </c>
      <c r="N7529" s="187">
        <v>4865.41455078125</v>
      </c>
      <c r="O7529" t="s">
        <v>9126</v>
      </c>
    </row>
    <row r="7530" spans="1:15" hidden="1" x14ac:dyDescent="0.45">
      <c r="A7530" s="187">
        <v>2025</v>
      </c>
      <c r="B7530" t="s">
        <v>313</v>
      </c>
      <c r="C7530" t="s">
        <v>328</v>
      </c>
      <c r="D7530" t="s">
        <v>39</v>
      </c>
      <c r="E7530" t="s">
        <v>363</v>
      </c>
      <c r="F7530" t="s">
        <v>363</v>
      </c>
      <c r="G7530" t="s">
        <v>37</v>
      </c>
      <c r="H7530" t="s">
        <v>43</v>
      </c>
      <c r="I7530" s="187">
        <v>3415.3715294492849</v>
      </c>
      <c r="J7530" s="187">
        <v>59</v>
      </c>
      <c r="K7530" s="187">
        <v>453.27720692077793</v>
      </c>
      <c r="L7530" s="187">
        <v>2436</v>
      </c>
      <c r="M7530" s="187">
        <v>6363.6484375</v>
      </c>
      <c r="N7530" s="187">
        <v>5851.37158203125</v>
      </c>
      <c r="O7530" t="s">
        <v>7434</v>
      </c>
    </row>
    <row r="7531" spans="1:15" hidden="1" x14ac:dyDescent="0.45">
      <c r="A7531" s="187">
        <v>2025</v>
      </c>
      <c r="B7531" t="s">
        <v>315</v>
      </c>
      <c r="C7531" t="s">
        <v>328</v>
      </c>
      <c r="D7531" t="s">
        <v>39</v>
      </c>
      <c r="E7531" t="s">
        <v>363</v>
      </c>
      <c r="F7531" t="s">
        <v>363</v>
      </c>
      <c r="G7531" t="s">
        <v>37</v>
      </c>
      <c r="H7531" t="s">
        <v>43</v>
      </c>
      <c r="I7531" s="187">
        <v>3415.1940026268521</v>
      </c>
      <c r="J7531" s="187">
        <v>39</v>
      </c>
      <c r="K7531" s="187">
        <v>672.9500121313672</v>
      </c>
      <c r="L7531" s="187">
        <v>2511</v>
      </c>
      <c r="M7531" s="187">
        <v>6638.14404296875</v>
      </c>
      <c r="N7531" s="187">
        <v>5926.1943359375</v>
      </c>
      <c r="O7531" t="s">
        <v>7435</v>
      </c>
    </row>
    <row r="7532" spans="1:15" hidden="1" x14ac:dyDescent="0.45">
      <c r="A7532" s="187">
        <v>2025</v>
      </c>
      <c r="B7532" t="s">
        <v>311</v>
      </c>
      <c r="C7532" t="s">
        <v>328</v>
      </c>
      <c r="D7532" t="s">
        <v>39</v>
      </c>
      <c r="E7532" t="s">
        <v>363</v>
      </c>
      <c r="F7532" t="s">
        <v>363</v>
      </c>
      <c r="G7532" t="s">
        <v>37</v>
      </c>
      <c r="H7532" t="s">
        <v>43</v>
      </c>
      <c r="I7532" s="187"/>
      <c r="J7532" s="187">
        <v>73</v>
      </c>
      <c r="K7532" s="187">
        <v>471.10154185479479</v>
      </c>
      <c r="L7532" s="187">
        <v>5064</v>
      </c>
      <c r="M7532" s="187">
        <v>5608.1015625</v>
      </c>
      <c r="N7532" s="187">
        <v>5064</v>
      </c>
      <c r="O7532" t="s">
        <v>7431</v>
      </c>
    </row>
    <row r="7533" spans="1:15" hidden="1" x14ac:dyDescent="0.45">
      <c r="A7533" s="187">
        <v>2025</v>
      </c>
      <c r="B7533" t="s">
        <v>314</v>
      </c>
      <c r="C7533" t="s">
        <v>328</v>
      </c>
      <c r="D7533" t="s">
        <v>39</v>
      </c>
      <c r="E7533" t="s">
        <v>363</v>
      </c>
      <c r="F7533" t="s">
        <v>363</v>
      </c>
      <c r="G7533" t="s">
        <v>37</v>
      </c>
      <c r="H7533" t="s">
        <v>43</v>
      </c>
      <c r="I7533" s="187">
        <v>3484.5224408801769</v>
      </c>
      <c r="J7533" s="187">
        <v>57</v>
      </c>
      <c r="K7533" s="187">
        <v>482.6708285246915</v>
      </c>
      <c r="L7533" s="187">
        <v>2600</v>
      </c>
      <c r="M7533" s="187">
        <v>6624.193359375</v>
      </c>
      <c r="N7533" s="187">
        <v>6084.5224609375</v>
      </c>
      <c r="O7533" t="s">
        <v>7436</v>
      </c>
    </row>
    <row r="7534" spans="1:15" hidden="1" x14ac:dyDescent="0.45">
      <c r="A7534" s="187">
        <v>2025</v>
      </c>
      <c r="B7534" t="s">
        <v>312</v>
      </c>
      <c r="C7534" t="s">
        <v>328</v>
      </c>
      <c r="D7534" t="s">
        <v>39</v>
      </c>
      <c r="E7534" t="s">
        <v>363</v>
      </c>
      <c r="F7534" t="s">
        <v>363</v>
      </c>
      <c r="G7534" t="s">
        <v>37</v>
      </c>
      <c r="H7534" t="s">
        <v>43</v>
      </c>
      <c r="I7534" s="187">
        <v>2668.0617551235719</v>
      </c>
      <c r="J7534" s="187">
        <v>72</v>
      </c>
      <c r="K7534" s="187">
        <v>506.30836763169998</v>
      </c>
      <c r="L7534" s="187">
        <v>2349</v>
      </c>
      <c r="M7534" s="187">
        <v>5595.3701171875</v>
      </c>
      <c r="N7534" s="187">
        <v>5017.0615234375</v>
      </c>
      <c r="O7534" t="s">
        <v>7432</v>
      </c>
    </row>
    <row r="7535" spans="1:15" hidden="1" x14ac:dyDescent="0.45">
      <c r="A7535" s="187">
        <v>2025</v>
      </c>
      <c r="B7535" t="s">
        <v>313</v>
      </c>
      <c r="C7535" t="s">
        <v>328</v>
      </c>
      <c r="D7535" t="s">
        <v>39</v>
      </c>
      <c r="E7535" t="s">
        <v>364</v>
      </c>
      <c r="F7535" t="s">
        <v>364</v>
      </c>
      <c r="G7535" t="s">
        <v>36</v>
      </c>
      <c r="H7535" t="s">
        <v>43</v>
      </c>
      <c r="I7535" s="187">
        <v>1777.2374297342985</v>
      </c>
      <c r="J7535" s="187">
        <v>775.92875592887833</v>
      </c>
      <c r="K7535" s="187">
        <v>5068.320350851066</v>
      </c>
      <c r="L7535" s="187">
        <v>2959.939989528692</v>
      </c>
      <c r="M7535" s="187">
        <v>10581.4267578125</v>
      </c>
      <c r="N7535" s="187">
        <v>4737.17724609375</v>
      </c>
      <c r="O7535" t="s">
        <v>7442</v>
      </c>
    </row>
    <row r="7536" spans="1:15" hidden="1" x14ac:dyDescent="0.45">
      <c r="A7536" s="187">
        <v>2025</v>
      </c>
      <c r="B7536" t="s">
        <v>8570</v>
      </c>
      <c r="C7536" t="s">
        <v>328</v>
      </c>
      <c r="D7536" t="s">
        <v>39</v>
      </c>
      <c r="E7536" t="s">
        <v>364</v>
      </c>
      <c r="F7536" t="s">
        <v>364</v>
      </c>
      <c r="G7536" t="s">
        <v>36</v>
      </c>
      <c r="H7536" t="s">
        <v>43</v>
      </c>
      <c r="I7536" s="187">
        <v>3059.9011807242941</v>
      </c>
      <c r="J7536" s="187">
        <v>1023</v>
      </c>
      <c r="K7536" s="187">
        <v>4991.998771167192</v>
      </c>
      <c r="L7536" s="187">
        <v>3919</v>
      </c>
      <c r="M7536" s="187">
        <v>12993.8994140625</v>
      </c>
      <c r="N7536" s="187">
        <v>6978.9013671875</v>
      </c>
      <c r="O7536" t="s">
        <v>9127</v>
      </c>
    </row>
    <row r="7537" spans="1:15" hidden="1" x14ac:dyDescent="0.45">
      <c r="A7537" s="187">
        <v>2025</v>
      </c>
      <c r="B7537" t="s">
        <v>312</v>
      </c>
      <c r="C7537" t="s">
        <v>328</v>
      </c>
      <c r="D7537" t="s">
        <v>39</v>
      </c>
      <c r="E7537" t="s">
        <v>364</v>
      </c>
      <c r="F7537" t="s">
        <v>364</v>
      </c>
      <c r="G7537" t="s">
        <v>36</v>
      </c>
      <c r="H7537" t="s">
        <v>43</v>
      </c>
      <c r="I7537" s="187">
        <v>1433.4587681841222</v>
      </c>
      <c r="J7537" s="187">
        <v>788.63708510341928</v>
      </c>
      <c r="K7537" s="187">
        <v>4797.0135050327399</v>
      </c>
      <c r="L7537" s="187">
        <v>3503.6362266138672</v>
      </c>
      <c r="M7537" s="187">
        <v>10522.7451171875</v>
      </c>
      <c r="N7537" s="187">
        <v>4937.0947265625</v>
      </c>
      <c r="O7537" t="s">
        <v>7444</v>
      </c>
    </row>
    <row r="7538" spans="1:15" hidden="1" x14ac:dyDescent="0.45">
      <c r="A7538" s="187">
        <v>2025</v>
      </c>
      <c r="B7538" t="s">
        <v>316</v>
      </c>
      <c r="C7538" t="s">
        <v>328</v>
      </c>
      <c r="D7538" t="s">
        <v>39</v>
      </c>
      <c r="E7538" t="s">
        <v>364</v>
      </c>
      <c r="F7538" t="s">
        <v>364</v>
      </c>
      <c r="G7538" t="s">
        <v>36</v>
      </c>
      <c r="H7538" t="s">
        <v>43</v>
      </c>
      <c r="I7538" s="187">
        <v>3033.8246373856173</v>
      </c>
      <c r="J7538" s="187">
        <v>920.12456201476334</v>
      </c>
      <c r="K7538" s="187">
        <v>5124.3658156355805</v>
      </c>
      <c r="L7538" s="187">
        <v>3062.8514156261544</v>
      </c>
      <c r="M7538" s="187">
        <v>12141.1669921875</v>
      </c>
      <c r="N7538" s="187">
        <v>6096.67626953125</v>
      </c>
      <c r="O7538" t="s">
        <v>7440</v>
      </c>
    </row>
    <row r="7539" spans="1:15" hidden="1" x14ac:dyDescent="0.45">
      <c r="A7539" s="187">
        <v>2025</v>
      </c>
      <c r="B7539" t="s">
        <v>311</v>
      </c>
      <c r="C7539" t="s">
        <v>328</v>
      </c>
      <c r="D7539" t="s">
        <v>39</v>
      </c>
      <c r="E7539" t="s">
        <v>364</v>
      </c>
      <c r="F7539" t="s">
        <v>364</v>
      </c>
      <c r="G7539" t="s">
        <v>36</v>
      </c>
      <c r="H7539" t="s">
        <v>43</v>
      </c>
      <c r="I7539" s="187"/>
      <c r="J7539" s="187">
        <v>792.24333789621517</v>
      </c>
      <c r="K7539" s="187">
        <v>4486.5502179684399</v>
      </c>
      <c r="L7539" s="187">
        <v>11628.501111091358</v>
      </c>
      <c r="M7539" s="187">
        <v>16907.294921875</v>
      </c>
      <c r="N7539" s="187">
        <v>11628.5009765625</v>
      </c>
      <c r="O7539" t="s">
        <v>7443</v>
      </c>
    </row>
    <row r="7540" spans="1:15" hidden="1" x14ac:dyDescent="0.45">
      <c r="A7540" s="187">
        <v>2025</v>
      </c>
      <c r="B7540" t="s">
        <v>317</v>
      </c>
      <c r="C7540" t="s">
        <v>328</v>
      </c>
      <c r="D7540" t="s">
        <v>39</v>
      </c>
      <c r="E7540" t="s">
        <v>364</v>
      </c>
      <c r="F7540" t="s">
        <v>364</v>
      </c>
      <c r="G7540" t="s">
        <v>36</v>
      </c>
      <c r="H7540" t="s">
        <v>43</v>
      </c>
      <c r="I7540" s="187">
        <v>3563.3112454066554</v>
      </c>
      <c r="J7540" s="187">
        <v>909.38127999524511</v>
      </c>
      <c r="K7540" s="187">
        <v>5167.5678608317094</v>
      </c>
      <c r="L7540" s="187">
        <v>3822.5371734972541</v>
      </c>
      <c r="M7540" s="187">
        <v>13462.796875</v>
      </c>
      <c r="N7540" s="187">
        <v>7385.8486328125</v>
      </c>
      <c r="O7540" t="s">
        <v>7439</v>
      </c>
    </row>
    <row r="7541" spans="1:15" hidden="1" x14ac:dyDescent="0.45">
      <c r="A7541" s="187">
        <v>2025</v>
      </c>
      <c r="B7541" t="s">
        <v>315</v>
      </c>
      <c r="C7541" t="s">
        <v>328</v>
      </c>
      <c r="D7541" t="s">
        <v>39</v>
      </c>
      <c r="E7541" t="s">
        <v>364</v>
      </c>
      <c r="F7541" t="s">
        <v>364</v>
      </c>
      <c r="G7541" t="s">
        <v>36</v>
      </c>
      <c r="H7541" t="s">
        <v>43</v>
      </c>
      <c r="I7541" s="187">
        <v>1746.603336596427</v>
      </c>
      <c r="J7541" s="187">
        <v>739.90308322112094</v>
      </c>
      <c r="K7541" s="187">
        <v>5173.5976379408148</v>
      </c>
      <c r="L7541" s="187">
        <v>2544.8345460860742</v>
      </c>
      <c r="M7541" s="187">
        <v>10204.9384765625</v>
      </c>
      <c r="N7541" s="187">
        <v>4291.43798828125</v>
      </c>
      <c r="O7541" t="s">
        <v>7441</v>
      </c>
    </row>
    <row r="7542" spans="1:15" hidden="1" x14ac:dyDescent="0.45">
      <c r="A7542" s="187">
        <v>2025</v>
      </c>
      <c r="B7542" t="s">
        <v>314</v>
      </c>
      <c r="C7542" t="s">
        <v>328</v>
      </c>
      <c r="D7542" t="s">
        <v>39</v>
      </c>
      <c r="E7542" t="s">
        <v>364</v>
      </c>
      <c r="F7542" t="s">
        <v>364</v>
      </c>
      <c r="G7542" t="s">
        <v>36</v>
      </c>
      <c r="H7542" t="s">
        <v>43</v>
      </c>
      <c r="I7542" s="187">
        <v>1794.267781028728</v>
      </c>
      <c r="J7542" s="187">
        <v>765.64302344454075</v>
      </c>
      <c r="K7542" s="187">
        <v>5167.2183676035957</v>
      </c>
      <c r="L7542" s="187">
        <v>2700.8335058898724</v>
      </c>
      <c r="M7542" s="187">
        <v>10427.962890625</v>
      </c>
      <c r="N7542" s="187">
        <v>4495.1015625</v>
      </c>
      <c r="O7542" t="s">
        <v>7438</v>
      </c>
    </row>
    <row r="7543" spans="1:15" hidden="1" x14ac:dyDescent="0.45">
      <c r="A7543" s="187">
        <v>2025</v>
      </c>
      <c r="B7543" t="s">
        <v>315</v>
      </c>
      <c r="C7543" t="s">
        <v>328</v>
      </c>
      <c r="D7543" t="s">
        <v>39</v>
      </c>
      <c r="E7543" t="s">
        <v>364</v>
      </c>
      <c r="F7543" t="s">
        <v>364</v>
      </c>
      <c r="G7543" t="s">
        <v>37</v>
      </c>
      <c r="H7543" t="s">
        <v>43</v>
      </c>
      <c r="I7543" s="187">
        <v>1821.3617091845711</v>
      </c>
      <c r="J7543" s="187">
        <v>756</v>
      </c>
      <c r="K7543" s="187">
        <v>5380.5530165335767</v>
      </c>
      <c r="L7543" s="187">
        <v>2708</v>
      </c>
      <c r="M7543" s="187">
        <v>10665.9150390625</v>
      </c>
      <c r="N7543" s="187">
        <v>4529.36181640625</v>
      </c>
      <c r="O7543" t="s">
        <v>7449</v>
      </c>
    </row>
    <row r="7544" spans="1:15" hidden="1" x14ac:dyDescent="0.45">
      <c r="A7544" s="187">
        <v>2025</v>
      </c>
      <c r="B7544" t="s">
        <v>313</v>
      </c>
      <c r="C7544" t="s">
        <v>328</v>
      </c>
      <c r="D7544" t="s">
        <v>39</v>
      </c>
      <c r="E7544" t="s">
        <v>364</v>
      </c>
      <c r="F7544" t="s">
        <v>364</v>
      </c>
      <c r="G7544" t="s">
        <v>37</v>
      </c>
      <c r="H7544" t="s">
        <v>43</v>
      </c>
      <c r="I7544" s="187">
        <v>1821.1189724703331</v>
      </c>
      <c r="J7544" s="187">
        <v>797</v>
      </c>
      <c r="K7544" s="187">
        <v>5180.9052121908999</v>
      </c>
      <c r="L7544" s="187">
        <v>3068</v>
      </c>
      <c r="M7544" s="187">
        <v>10867.0244140625</v>
      </c>
      <c r="N7544" s="187">
        <v>4889.119140625</v>
      </c>
      <c r="O7544" t="s">
        <v>7447</v>
      </c>
    </row>
    <row r="7545" spans="1:15" hidden="1" x14ac:dyDescent="0.45">
      <c r="A7545" s="187">
        <v>2025</v>
      </c>
      <c r="B7545" t="s">
        <v>312</v>
      </c>
      <c r="C7545" t="s">
        <v>328</v>
      </c>
      <c r="D7545" t="s">
        <v>39</v>
      </c>
      <c r="E7545" t="s">
        <v>364</v>
      </c>
      <c r="F7545" t="s">
        <v>364</v>
      </c>
      <c r="G7545" t="s">
        <v>37</v>
      </c>
      <c r="H7545" t="s">
        <v>43</v>
      </c>
      <c r="I7545" s="187">
        <v>1452.4085152578821</v>
      </c>
      <c r="J7545" s="187">
        <v>813</v>
      </c>
      <c r="K7545" s="187">
        <v>4927.9102844939925</v>
      </c>
      <c r="L7545" s="187">
        <v>3626</v>
      </c>
      <c r="M7545" s="187">
        <v>10819.318359375</v>
      </c>
      <c r="N7545" s="187">
        <v>5078.40869140625</v>
      </c>
      <c r="O7545" t="s">
        <v>7445</v>
      </c>
    </row>
    <row r="7546" spans="1:15" hidden="1" x14ac:dyDescent="0.45">
      <c r="A7546" s="187">
        <v>2025</v>
      </c>
      <c r="B7546" t="s">
        <v>311</v>
      </c>
      <c r="C7546" t="s">
        <v>328</v>
      </c>
      <c r="D7546" t="s">
        <v>39</v>
      </c>
      <c r="E7546" t="s">
        <v>364</v>
      </c>
      <c r="F7546" t="s">
        <v>364</v>
      </c>
      <c r="G7546" t="s">
        <v>37</v>
      </c>
      <c r="H7546" t="s">
        <v>43</v>
      </c>
      <c r="I7546" s="187"/>
      <c r="J7546" s="187">
        <v>830</v>
      </c>
      <c r="K7546" s="187">
        <v>4659.9674349254301</v>
      </c>
      <c r="L7546" s="187">
        <v>12921</v>
      </c>
      <c r="M7546" s="187">
        <v>18410.966796875</v>
      </c>
      <c r="N7546" s="187">
        <v>12921</v>
      </c>
      <c r="O7546" t="s">
        <v>7450</v>
      </c>
    </row>
    <row r="7547" spans="1:15" hidden="1" x14ac:dyDescent="0.45">
      <c r="A7547" s="187">
        <v>2025</v>
      </c>
      <c r="B7547" t="s">
        <v>317</v>
      </c>
      <c r="C7547" t="s">
        <v>328</v>
      </c>
      <c r="D7547" t="s">
        <v>39</v>
      </c>
      <c r="E7547" t="s">
        <v>364</v>
      </c>
      <c r="F7547" t="s">
        <v>364</v>
      </c>
      <c r="G7547" t="s">
        <v>37</v>
      </c>
      <c r="H7547" t="s">
        <v>43</v>
      </c>
      <c r="I7547" s="187">
        <v>3689.5289882640768</v>
      </c>
      <c r="J7547" s="187">
        <v>870</v>
      </c>
      <c r="K7547" s="187">
        <v>5318.692928643607</v>
      </c>
      <c r="L7547" s="187">
        <v>3942</v>
      </c>
      <c r="M7547" s="187">
        <v>13820.22265625</v>
      </c>
      <c r="N7547" s="187">
        <v>7631.529296875</v>
      </c>
      <c r="O7547" t="s">
        <v>7448</v>
      </c>
    </row>
    <row r="7548" spans="1:15" hidden="1" x14ac:dyDescent="0.45">
      <c r="A7548" s="187">
        <v>2025</v>
      </c>
      <c r="B7548" t="s">
        <v>314</v>
      </c>
      <c r="C7548" t="s">
        <v>328</v>
      </c>
      <c r="D7548" t="s">
        <v>39</v>
      </c>
      <c r="E7548" t="s">
        <v>364</v>
      </c>
      <c r="F7548" t="s">
        <v>364</v>
      </c>
      <c r="G7548" t="s">
        <v>37</v>
      </c>
      <c r="H7548" t="s">
        <v>43</v>
      </c>
      <c r="I7548" s="187">
        <v>1858.3353518810179</v>
      </c>
      <c r="J7548" s="187">
        <v>793</v>
      </c>
      <c r="K7548" s="187">
        <v>5358.9648019507567</v>
      </c>
      <c r="L7548" s="187">
        <v>3007</v>
      </c>
      <c r="M7548" s="187">
        <v>11017.30078125</v>
      </c>
      <c r="N7548" s="187">
        <v>4865.33544921875</v>
      </c>
      <c r="O7548" t="s">
        <v>7446</v>
      </c>
    </row>
    <row r="7549" spans="1:15" hidden="1" x14ac:dyDescent="0.45">
      <c r="A7549" s="187">
        <v>2025</v>
      </c>
      <c r="B7549" t="s">
        <v>8570</v>
      </c>
      <c r="C7549" t="s">
        <v>328</v>
      </c>
      <c r="D7549" t="s">
        <v>39</v>
      </c>
      <c r="E7549" t="s">
        <v>364</v>
      </c>
      <c r="F7549" t="s">
        <v>364</v>
      </c>
      <c r="G7549" t="s">
        <v>37</v>
      </c>
      <c r="H7549" t="s">
        <v>43</v>
      </c>
      <c r="I7549" s="187">
        <v>3247.1916121940658</v>
      </c>
      <c r="J7549" s="187">
        <v>1064</v>
      </c>
      <c r="K7549" s="187">
        <v>5320.9012671974106</v>
      </c>
      <c r="L7549" s="187">
        <v>4309</v>
      </c>
      <c r="M7549" s="187">
        <v>13941.0927734375</v>
      </c>
      <c r="N7549" s="187">
        <v>7556.19140625</v>
      </c>
      <c r="O7549" t="s">
        <v>9128</v>
      </c>
    </row>
    <row r="7550" spans="1:15" hidden="1" x14ac:dyDescent="0.45">
      <c r="A7550" s="187">
        <v>2025</v>
      </c>
      <c r="B7550" t="s">
        <v>316</v>
      </c>
      <c r="C7550" t="s">
        <v>328</v>
      </c>
      <c r="D7550" t="s">
        <v>39</v>
      </c>
      <c r="E7550" t="s">
        <v>364</v>
      </c>
      <c r="F7550" t="s">
        <v>364</v>
      </c>
      <c r="G7550" t="s">
        <v>37</v>
      </c>
      <c r="H7550" t="s">
        <v>43</v>
      </c>
      <c r="I7550" s="187">
        <v>3167.4264358635501</v>
      </c>
      <c r="J7550" s="187">
        <v>870</v>
      </c>
      <c r="K7550" s="187">
        <v>5253.9057905244208</v>
      </c>
      <c r="L7550" s="187">
        <v>3228</v>
      </c>
      <c r="M7550" s="187">
        <v>12519.33203125</v>
      </c>
      <c r="N7550" s="187">
        <v>6395.4267578125</v>
      </c>
      <c r="O7550" t="s">
        <v>7451</v>
      </c>
    </row>
    <row r="7551" spans="1:15" hidden="1" x14ac:dyDescent="0.45">
      <c r="A7551" s="187">
        <v>2025</v>
      </c>
      <c r="B7551" t="s">
        <v>311</v>
      </c>
      <c r="C7551" t="s">
        <v>328</v>
      </c>
      <c r="D7551" t="s">
        <v>39</v>
      </c>
      <c r="E7551" t="s">
        <v>365</v>
      </c>
      <c r="F7551" t="s">
        <v>375</v>
      </c>
      <c r="G7551" t="s">
        <v>36</v>
      </c>
      <c r="H7551" t="s">
        <v>43</v>
      </c>
      <c r="I7551" s="187"/>
      <c r="J7551" s="187">
        <v>1852.4513341985032</v>
      </c>
      <c r="K7551" s="187">
        <v>18411.73174906506</v>
      </c>
      <c r="L7551" s="187">
        <v>21893.877655508346</v>
      </c>
      <c r="M7551" s="187">
        <v>42158.0625</v>
      </c>
      <c r="N7551" s="187">
        <v>21893.876953125</v>
      </c>
      <c r="O7551" t="s">
        <v>7452</v>
      </c>
    </row>
    <row r="7552" spans="1:15" hidden="1" x14ac:dyDescent="0.45">
      <c r="A7552" s="187">
        <v>2025</v>
      </c>
      <c r="B7552" t="s">
        <v>312</v>
      </c>
      <c r="C7552" t="s">
        <v>328</v>
      </c>
      <c r="D7552" t="s">
        <v>39</v>
      </c>
      <c r="E7552" t="s">
        <v>365</v>
      </c>
      <c r="F7552" t="s">
        <v>375</v>
      </c>
      <c r="G7552" t="s">
        <v>36</v>
      </c>
      <c r="H7552" t="s">
        <v>43</v>
      </c>
      <c r="I7552" s="187">
        <v>8117.0902700289271</v>
      </c>
      <c r="J7552" s="187">
        <v>1844.0190666388776</v>
      </c>
      <c r="K7552" s="187">
        <v>19065.931430636771</v>
      </c>
      <c r="L7552" s="187">
        <v>13672.415582770898</v>
      </c>
      <c r="M7552" s="187">
        <v>42699.45703125</v>
      </c>
      <c r="N7552" s="187">
        <v>21789.505859375</v>
      </c>
      <c r="O7552" t="s">
        <v>7453</v>
      </c>
    </row>
    <row r="7553" spans="1:15" hidden="1" x14ac:dyDescent="0.45">
      <c r="A7553" s="187">
        <v>2025</v>
      </c>
      <c r="B7553" t="s">
        <v>317</v>
      </c>
      <c r="C7553" t="s">
        <v>328</v>
      </c>
      <c r="D7553" t="s">
        <v>39</v>
      </c>
      <c r="E7553" t="s">
        <v>365</v>
      </c>
      <c r="F7553" t="s">
        <v>375</v>
      </c>
      <c r="G7553" t="s">
        <v>36</v>
      </c>
      <c r="H7553" t="s">
        <v>43</v>
      </c>
      <c r="I7553" s="187">
        <v>10967.381920263177</v>
      </c>
      <c r="J7553" s="187">
        <v>2426.062012493062</v>
      </c>
      <c r="K7553" s="187">
        <v>19174.129797547335</v>
      </c>
      <c r="L7553" s="187">
        <v>14560.553138314672</v>
      </c>
      <c r="M7553" s="187">
        <v>47128.12890625</v>
      </c>
      <c r="N7553" s="187">
        <v>25527.935546875</v>
      </c>
      <c r="O7553" t="s">
        <v>7455</v>
      </c>
    </row>
    <row r="7554" spans="1:15" hidden="1" x14ac:dyDescent="0.45">
      <c r="A7554" s="187">
        <v>2025</v>
      </c>
      <c r="B7554" t="s">
        <v>8570</v>
      </c>
      <c r="C7554" t="s">
        <v>328</v>
      </c>
      <c r="D7554" t="s">
        <v>39</v>
      </c>
      <c r="E7554" t="s">
        <v>365</v>
      </c>
      <c r="F7554" t="s">
        <v>375</v>
      </c>
      <c r="G7554" t="s">
        <v>36</v>
      </c>
      <c r="H7554" t="s">
        <v>43</v>
      </c>
      <c r="I7554" s="187">
        <v>10722.94378180791</v>
      </c>
      <c r="J7554" s="187">
        <v>2774</v>
      </c>
      <c r="K7554" s="187">
        <v>18462.724781003901</v>
      </c>
      <c r="L7554" s="187">
        <v>14917</v>
      </c>
      <c r="M7554" s="187">
        <v>46876.66796875</v>
      </c>
      <c r="N7554" s="187">
        <v>25639.943359375</v>
      </c>
      <c r="O7554" t="s">
        <v>9129</v>
      </c>
    </row>
    <row r="7555" spans="1:15" hidden="1" x14ac:dyDescent="0.45">
      <c r="A7555" s="187">
        <v>2025</v>
      </c>
      <c r="B7555" t="s">
        <v>314</v>
      </c>
      <c r="C7555" t="s">
        <v>328</v>
      </c>
      <c r="D7555" t="s">
        <v>39</v>
      </c>
      <c r="E7555" t="s">
        <v>365</v>
      </c>
      <c r="F7555" t="s">
        <v>375</v>
      </c>
      <c r="G7555" t="s">
        <v>36</v>
      </c>
      <c r="H7555" t="s">
        <v>43</v>
      </c>
      <c r="I7555" s="187">
        <v>9242.0880322747525</v>
      </c>
      <c r="J7555" s="187">
        <v>1836.4336286966882</v>
      </c>
      <c r="K7555" s="187">
        <v>17289.307160283832</v>
      </c>
      <c r="L7555" s="187">
        <v>12962.669275187136</v>
      </c>
      <c r="M7555" s="187">
        <v>41330.49609375</v>
      </c>
      <c r="N7555" s="187">
        <v>22204.7578125</v>
      </c>
      <c r="O7555" t="s">
        <v>7454</v>
      </c>
    </row>
    <row r="7556" spans="1:15" hidden="1" x14ac:dyDescent="0.45">
      <c r="A7556" s="187">
        <v>2025</v>
      </c>
      <c r="B7556" t="s">
        <v>316</v>
      </c>
      <c r="C7556" t="s">
        <v>328</v>
      </c>
      <c r="D7556" t="s">
        <v>39</v>
      </c>
      <c r="E7556" t="s">
        <v>365</v>
      </c>
      <c r="F7556" t="s">
        <v>375</v>
      </c>
      <c r="G7556" t="s">
        <v>36</v>
      </c>
      <c r="H7556" t="s">
        <v>43</v>
      </c>
      <c r="I7556" s="187">
        <v>10525.365794758383</v>
      </c>
      <c r="J7556" s="187">
        <v>2506.5462206609068</v>
      </c>
      <c r="K7556" s="187">
        <v>17709.814581173869</v>
      </c>
      <c r="L7556" s="187">
        <v>13604.094530110231</v>
      </c>
      <c r="M7556" s="187">
        <v>44345.8203125</v>
      </c>
      <c r="N7556" s="187">
        <v>24129.4609375</v>
      </c>
      <c r="O7556" t="s">
        <v>7456</v>
      </c>
    </row>
    <row r="7557" spans="1:15" hidden="1" x14ac:dyDescent="0.45">
      <c r="A7557" s="187">
        <v>2025</v>
      </c>
      <c r="B7557" t="s">
        <v>315</v>
      </c>
      <c r="C7557" t="s">
        <v>328</v>
      </c>
      <c r="D7557" t="s">
        <v>39</v>
      </c>
      <c r="E7557" t="s">
        <v>365</v>
      </c>
      <c r="F7557" t="s">
        <v>375</v>
      </c>
      <c r="G7557" t="s">
        <v>36</v>
      </c>
      <c r="H7557" t="s">
        <v>43</v>
      </c>
      <c r="I7557" s="187">
        <v>8996.5734016769584</v>
      </c>
      <c r="J7557" s="187">
        <v>1982.0761426434406</v>
      </c>
      <c r="K7557" s="187">
        <v>17516.935678144382</v>
      </c>
      <c r="L7557" s="187">
        <v>12898.076958749496</v>
      </c>
      <c r="M7557" s="187">
        <v>41393.6640625</v>
      </c>
      <c r="N7557" s="187">
        <v>21894.650390625</v>
      </c>
      <c r="O7557" t="s">
        <v>7458</v>
      </c>
    </row>
    <row r="7558" spans="1:15" hidden="1" x14ac:dyDescent="0.45">
      <c r="A7558" s="187">
        <v>2025</v>
      </c>
      <c r="B7558" t="s">
        <v>313</v>
      </c>
      <c r="C7558" t="s">
        <v>328</v>
      </c>
      <c r="D7558" t="s">
        <v>39</v>
      </c>
      <c r="E7558" t="s">
        <v>365</v>
      </c>
      <c r="F7558" t="s">
        <v>375</v>
      </c>
      <c r="G7558" t="s">
        <v>36</v>
      </c>
      <c r="H7558" t="s">
        <v>43</v>
      </c>
      <c r="I7558" s="187">
        <v>9155.5941770167992</v>
      </c>
      <c r="J7558" s="187">
        <v>1825.714719832655</v>
      </c>
      <c r="K7558" s="187">
        <v>18909.724911967689</v>
      </c>
      <c r="L7558" s="187">
        <v>13444.106768167712</v>
      </c>
      <c r="M7558" s="187">
        <v>43335.140625</v>
      </c>
      <c r="N7558" s="187">
        <v>22599.701171875</v>
      </c>
      <c r="O7558" t="s">
        <v>7457</v>
      </c>
    </row>
    <row r="7559" spans="1:15" hidden="1" x14ac:dyDescent="0.45">
      <c r="A7559" s="187">
        <v>2025</v>
      </c>
      <c r="B7559" t="s">
        <v>312</v>
      </c>
      <c r="C7559" t="s">
        <v>328</v>
      </c>
      <c r="D7559" t="s">
        <v>39</v>
      </c>
      <c r="E7559" t="s">
        <v>365</v>
      </c>
      <c r="F7559" t="s">
        <v>375</v>
      </c>
      <c r="G7559" t="s">
        <v>37</v>
      </c>
      <c r="H7559" t="s">
        <v>43</v>
      </c>
      <c r="I7559" s="187">
        <v>8224.3949313180565</v>
      </c>
      <c r="J7559" s="187">
        <v>1901</v>
      </c>
      <c r="K7559" s="187">
        <v>19586.186172275731</v>
      </c>
      <c r="L7559" s="187">
        <v>14151</v>
      </c>
      <c r="M7559" s="187">
        <v>43862.578125</v>
      </c>
      <c r="N7559" s="187">
        <v>22375.39453125</v>
      </c>
      <c r="O7559" t="s">
        <v>7460</v>
      </c>
    </row>
    <row r="7560" spans="1:15" hidden="1" x14ac:dyDescent="0.45">
      <c r="A7560" s="187">
        <v>2025</v>
      </c>
      <c r="B7560" t="s">
        <v>311</v>
      </c>
      <c r="C7560" t="s">
        <v>328</v>
      </c>
      <c r="D7560" t="s">
        <v>39</v>
      </c>
      <c r="E7560" t="s">
        <v>365</v>
      </c>
      <c r="F7560" t="s">
        <v>375</v>
      </c>
      <c r="G7560" t="s">
        <v>37</v>
      </c>
      <c r="H7560" t="s">
        <v>43</v>
      </c>
      <c r="I7560" s="187"/>
      <c r="J7560" s="187">
        <v>1941</v>
      </c>
      <c r="K7560" s="187">
        <v>19123.394635728859</v>
      </c>
      <c r="L7560" s="187">
        <v>24326</v>
      </c>
      <c r="M7560" s="187">
        <v>45390.39453125</v>
      </c>
      <c r="N7560" s="187">
        <v>24326</v>
      </c>
      <c r="O7560" t="s">
        <v>7463</v>
      </c>
    </row>
    <row r="7561" spans="1:15" hidden="1" x14ac:dyDescent="0.45">
      <c r="A7561" s="187">
        <v>2025</v>
      </c>
      <c r="B7561" t="s">
        <v>316</v>
      </c>
      <c r="C7561" t="s">
        <v>328</v>
      </c>
      <c r="D7561" t="s">
        <v>39</v>
      </c>
      <c r="E7561" t="s">
        <v>365</v>
      </c>
      <c r="F7561" t="s">
        <v>375</v>
      </c>
      <c r="G7561" t="s">
        <v>37</v>
      </c>
      <c r="H7561" t="s">
        <v>43</v>
      </c>
      <c r="I7561" s="187">
        <v>10988.87570976441</v>
      </c>
      <c r="J7561" s="187">
        <v>2370</v>
      </c>
      <c r="K7561" s="187">
        <v>18157.504894213471</v>
      </c>
      <c r="L7561" s="187">
        <v>14338</v>
      </c>
      <c r="M7561" s="187">
        <v>45854.3828125</v>
      </c>
      <c r="N7561" s="187">
        <v>25326.875</v>
      </c>
      <c r="O7561" t="s">
        <v>7464</v>
      </c>
    </row>
    <row r="7562" spans="1:15" hidden="1" x14ac:dyDescent="0.45">
      <c r="A7562" s="187">
        <v>2025</v>
      </c>
      <c r="B7562" t="s">
        <v>317</v>
      </c>
      <c r="C7562" t="s">
        <v>328</v>
      </c>
      <c r="D7562" t="s">
        <v>39</v>
      </c>
      <c r="E7562" t="s">
        <v>365</v>
      </c>
      <c r="F7562" t="s">
        <v>375</v>
      </c>
      <c r="G7562" t="s">
        <v>37</v>
      </c>
      <c r="H7562" t="s">
        <v>43</v>
      </c>
      <c r="I7562" s="187">
        <v>11356.37755355642</v>
      </c>
      <c r="J7562" s="187">
        <v>2321</v>
      </c>
      <c r="K7562" s="187">
        <v>19734.875537889118</v>
      </c>
      <c r="L7562" s="187">
        <v>15013</v>
      </c>
      <c r="M7562" s="187">
        <v>48425.25390625</v>
      </c>
      <c r="N7562" s="187">
        <v>26369.37890625</v>
      </c>
      <c r="O7562" t="s">
        <v>7465</v>
      </c>
    </row>
    <row r="7563" spans="1:15" hidden="1" x14ac:dyDescent="0.45">
      <c r="A7563" s="187">
        <v>2025</v>
      </c>
      <c r="B7563" t="s">
        <v>314</v>
      </c>
      <c r="C7563" t="s">
        <v>328</v>
      </c>
      <c r="D7563" t="s">
        <v>39</v>
      </c>
      <c r="E7563" t="s">
        <v>365</v>
      </c>
      <c r="F7563" t="s">
        <v>375</v>
      </c>
      <c r="G7563" t="s">
        <v>37</v>
      </c>
      <c r="H7563" t="s">
        <v>43</v>
      </c>
      <c r="I7563" s="187">
        <v>9572.0934729851579</v>
      </c>
      <c r="J7563" s="187">
        <v>1901</v>
      </c>
      <c r="K7563" s="187">
        <v>17930.88310394861</v>
      </c>
      <c r="L7563" s="187">
        <v>14430</v>
      </c>
      <c r="M7563" s="187">
        <v>43833.9765625</v>
      </c>
      <c r="N7563" s="187">
        <v>24002.09375</v>
      </c>
      <c r="O7563" t="s">
        <v>7461</v>
      </c>
    </row>
    <row r="7564" spans="1:15" hidden="1" x14ac:dyDescent="0.45">
      <c r="A7564" s="187">
        <v>2025</v>
      </c>
      <c r="B7564" t="s">
        <v>8570</v>
      </c>
      <c r="C7564" t="s">
        <v>328</v>
      </c>
      <c r="D7564" t="s">
        <v>39</v>
      </c>
      <c r="E7564" t="s">
        <v>365</v>
      </c>
      <c r="F7564" t="s">
        <v>375</v>
      </c>
      <c r="G7564" t="s">
        <v>37</v>
      </c>
      <c r="H7564" t="s">
        <v>43</v>
      </c>
      <c r="I7564" s="187">
        <v>11379.273724804811</v>
      </c>
      <c r="J7564" s="187">
        <v>2888</v>
      </c>
      <c r="K7564" s="187">
        <v>19679.158626914352</v>
      </c>
      <c r="L7564" s="187">
        <v>16402</v>
      </c>
      <c r="M7564" s="187">
        <v>50348.43359375</v>
      </c>
      <c r="N7564" s="187">
        <v>27781.2734375</v>
      </c>
      <c r="O7564" t="s">
        <v>9130</v>
      </c>
    </row>
    <row r="7565" spans="1:15" hidden="1" x14ac:dyDescent="0.45">
      <c r="A7565" s="187">
        <v>2025</v>
      </c>
      <c r="B7565" t="s">
        <v>313</v>
      </c>
      <c r="C7565" t="s">
        <v>328</v>
      </c>
      <c r="D7565" t="s">
        <v>39</v>
      </c>
      <c r="E7565" t="s">
        <v>365</v>
      </c>
      <c r="F7565" t="s">
        <v>375</v>
      </c>
      <c r="G7565" t="s">
        <v>37</v>
      </c>
      <c r="H7565" t="s">
        <v>43</v>
      </c>
      <c r="I7565" s="187">
        <v>9381.6537852778129</v>
      </c>
      <c r="J7565" s="187">
        <v>1875</v>
      </c>
      <c r="K7565" s="187">
        <v>19329.77506859025</v>
      </c>
      <c r="L7565" s="187">
        <v>13934</v>
      </c>
      <c r="M7565" s="187">
        <v>44520.4296875</v>
      </c>
      <c r="N7565" s="187">
        <v>23315.65234375</v>
      </c>
      <c r="O7565" t="s">
        <v>7462</v>
      </c>
    </row>
    <row r="7566" spans="1:15" hidden="1" x14ac:dyDescent="0.45">
      <c r="A7566" s="187">
        <v>2025</v>
      </c>
      <c r="B7566" t="s">
        <v>315</v>
      </c>
      <c r="C7566" t="s">
        <v>328</v>
      </c>
      <c r="D7566" t="s">
        <v>39</v>
      </c>
      <c r="E7566" t="s">
        <v>365</v>
      </c>
      <c r="F7566" t="s">
        <v>375</v>
      </c>
      <c r="G7566" t="s">
        <v>37</v>
      </c>
      <c r="H7566" t="s">
        <v>43</v>
      </c>
      <c r="I7566" s="187">
        <v>9381.6460580076018</v>
      </c>
      <c r="J7566" s="187">
        <v>2026</v>
      </c>
      <c r="K7566" s="187">
        <v>18217.651951182259</v>
      </c>
      <c r="L7566" s="187">
        <v>13727</v>
      </c>
      <c r="M7566" s="187">
        <v>43352.296875</v>
      </c>
      <c r="N7566" s="187">
        <v>23108.646484375</v>
      </c>
      <c r="O7566" t="s">
        <v>7459</v>
      </c>
    </row>
    <row r="7567" spans="1:15" hidden="1" x14ac:dyDescent="0.45">
      <c r="A7567" s="187">
        <v>2026</v>
      </c>
      <c r="B7567" t="s">
        <v>316</v>
      </c>
      <c r="C7567" t="s">
        <v>322</v>
      </c>
      <c r="D7567" t="s">
        <v>35</v>
      </c>
      <c r="E7567" t="s">
        <v>348</v>
      </c>
      <c r="F7567" t="s">
        <v>382</v>
      </c>
      <c r="G7567" t="s">
        <v>36</v>
      </c>
      <c r="H7567" t="s">
        <v>43</v>
      </c>
      <c r="I7567" s="187">
        <v>21721.94334197135</v>
      </c>
      <c r="J7567" s="187">
        <v>990.2070009335024</v>
      </c>
      <c r="K7567" s="187">
        <v>19396.574888473562</v>
      </c>
      <c r="L7567" s="187">
        <v>30671.083590649956</v>
      </c>
      <c r="M7567" s="187">
        <v>72779.8125</v>
      </c>
      <c r="N7567" s="187">
        <v>52393.02734375</v>
      </c>
      <c r="O7567" t="s">
        <v>7469</v>
      </c>
    </row>
    <row r="7568" spans="1:15" hidden="1" x14ac:dyDescent="0.45">
      <c r="A7568" s="187">
        <v>2026</v>
      </c>
      <c r="B7568" t="s">
        <v>317</v>
      </c>
      <c r="C7568" t="s">
        <v>322</v>
      </c>
      <c r="D7568" t="s">
        <v>35</v>
      </c>
      <c r="E7568" t="s">
        <v>348</v>
      </c>
      <c r="F7568" t="s">
        <v>382</v>
      </c>
      <c r="G7568" t="s">
        <v>36</v>
      </c>
      <c r="H7568" t="s">
        <v>43</v>
      </c>
      <c r="I7568" s="187">
        <v>16878.8983792449</v>
      </c>
      <c r="J7568" s="187">
        <v>1080.5090956866493</v>
      </c>
      <c r="K7568" s="187">
        <v>21244.510384368674</v>
      </c>
      <c r="L7568" s="187">
        <v>29215.885438271311</v>
      </c>
      <c r="M7568" s="187">
        <v>68419.8046875</v>
      </c>
      <c r="N7568" s="187">
        <v>46094.78515625</v>
      </c>
      <c r="O7568" t="s">
        <v>7471</v>
      </c>
    </row>
    <row r="7569" spans="1:15" hidden="1" x14ac:dyDescent="0.45">
      <c r="A7569" s="187">
        <v>2026</v>
      </c>
      <c r="B7569" t="s">
        <v>313</v>
      </c>
      <c r="C7569" t="s">
        <v>322</v>
      </c>
      <c r="D7569" t="s">
        <v>35</v>
      </c>
      <c r="E7569" t="s">
        <v>348</v>
      </c>
      <c r="F7569" t="s">
        <v>382</v>
      </c>
      <c r="G7569" t="s">
        <v>36</v>
      </c>
      <c r="H7569" t="s">
        <v>43</v>
      </c>
      <c r="I7569" s="187">
        <v>14420.636266809252</v>
      </c>
      <c r="J7569" s="187">
        <v>922.37674338968839</v>
      </c>
      <c r="K7569" s="187">
        <v>17842.683264371</v>
      </c>
      <c r="L7569" s="187">
        <v>28667.948341301326</v>
      </c>
      <c r="M7569" s="187">
        <v>61853.64453125</v>
      </c>
      <c r="N7569" s="187">
        <v>43088.5859375</v>
      </c>
      <c r="O7569" t="s">
        <v>7468</v>
      </c>
    </row>
    <row r="7570" spans="1:15" hidden="1" x14ac:dyDescent="0.45">
      <c r="A7570" s="187">
        <v>2026</v>
      </c>
      <c r="B7570" t="s">
        <v>315</v>
      </c>
      <c r="C7570" t="s">
        <v>322</v>
      </c>
      <c r="D7570" t="s">
        <v>35</v>
      </c>
      <c r="E7570" t="s">
        <v>348</v>
      </c>
      <c r="F7570" t="s">
        <v>382</v>
      </c>
      <c r="G7570" t="s">
        <v>36</v>
      </c>
      <c r="H7570" t="s">
        <v>43</v>
      </c>
      <c r="I7570" s="187">
        <v>21774.492525260968</v>
      </c>
      <c r="J7570" s="187">
        <v>962.87782075725158</v>
      </c>
      <c r="K7570" s="187">
        <v>19007.008089474581</v>
      </c>
      <c r="L7570" s="187">
        <v>25690.713055239656</v>
      </c>
      <c r="M7570" s="187">
        <v>67435.09375</v>
      </c>
      <c r="N7570" s="187">
        <v>47465.20703125</v>
      </c>
      <c r="O7570" t="s">
        <v>7467</v>
      </c>
    </row>
    <row r="7571" spans="1:15" hidden="1" x14ac:dyDescent="0.45">
      <c r="A7571" s="187">
        <v>2026</v>
      </c>
      <c r="B7571" t="s">
        <v>314</v>
      </c>
      <c r="C7571" t="s">
        <v>322</v>
      </c>
      <c r="D7571" t="s">
        <v>35</v>
      </c>
      <c r="E7571" t="s">
        <v>348</v>
      </c>
      <c r="F7571" t="s">
        <v>382</v>
      </c>
      <c r="G7571" t="s">
        <v>36</v>
      </c>
      <c r="H7571" t="s">
        <v>43</v>
      </c>
      <c r="I7571" s="187">
        <v>22273.556936613746</v>
      </c>
      <c r="J7571" s="187">
        <v>908.56011565714186</v>
      </c>
      <c r="K7571" s="187">
        <v>17943.677287207138</v>
      </c>
      <c r="L7571" s="187">
        <v>24539.276867370521</v>
      </c>
      <c r="M7571" s="187">
        <v>65665.0703125</v>
      </c>
      <c r="N7571" s="187">
        <v>46812.83203125</v>
      </c>
      <c r="O7571" t="s">
        <v>7466</v>
      </c>
    </row>
    <row r="7572" spans="1:15" hidden="1" x14ac:dyDescent="0.45">
      <c r="A7572" s="187">
        <v>2026</v>
      </c>
      <c r="B7572" t="s">
        <v>312</v>
      </c>
      <c r="C7572" t="s">
        <v>322</v>
      </c>
      <c r="D7572" t="s">
        <v>35</v>
      </c>
      <c r="E7572" t="s">
        <v>348</v>
      </c>
      <c r="F7572" t="s">
        <v>382</v>
      </c>
      <c r="G7572" t="s">
        <v>36</v>
      </c>
      <c r="H7572" t="s">
        <v>43</v>
      </c>
      <c r="I7572" s="187">
        <v>14472.05552961847</v>
      </c>
      <c r="J7572" s="187">
        <v>1180.92839533544</v>
      </c>
      <c r="K7572" s="187">
        <v>16069.070894591758</v>
      </c>
      <c r="L7572" s="187">
        <v>25003.53105097654</v>
      </c>
      <c r="M7572" s="187">
        <v>56725.5859375</v>
      </c>
      <c r="N7572" s="187">
        <v>39475.5859375</v>
      </c>
      <c r="O7572" t="s">
        <v>7470</v>
      </c>
    </row>
    <row r="7573" spans="1:15" hidden="1" x14ac:dyDescent="0.45">
      <c r="A7573" s="187">
        <v>2026</v>
      </c>
      <c r="B7573" t="s">
        <v>8570</v>
      </c>
      <c r="C7573" t="s">
        <v>322</v>
      </c>
      <c r="D7573" t="s">
        <v>35</v>
      </c>
      <c r="E7573" t="s">
        <v>348</v>
      </c>
      <c r="F7573" t="s">
        <v>382</v>
      </c>
      <c r="G7573" t="s">
        <v>36</v>
      </c>
      <c r="H7573" t="s">
        <v>43</v>
      </c>
      <c r="I7573" s="187">
        <v>13792.05894206716</v>
      </c>
      <c r="J7573" s="187">
        <v>1000</v>
      </c>
      <c r="K7573" s="187">
        <v>18472.068640219051</v>
      </c>
      <c r="L7573" s="187">
        <v>20743</v>
      </c>
      <c r="M7573" s="187">
        <v>54007.12890625</v>
      </c>
      <c r="N7573" s="187">
        <v>34535.05859375</v>
      </c>
      <c r="O7573" t="s">
        <v>9131</v>
      </c>
    </row>
    <row r="7574" spans="1:15" hidden="1" x14ac:dyDescent="0.45">
      <c r="A7574" s="187">
        <v>2026</v>
      </c>
      <c r="B7574" t="s">
        <v>316</v>
      </c>
      <c r="C7574" t="s">
        <v>322</v>
      </c>
      <c r="D7574" t="s">
        <v>35</v>
      </c>
      <c r="E7574" t="s">
        <v>348</v>
      </c>
      <c r="F7574" t="s">
        <v>382</v>
      </c>
      <c r="G7574" t="s">
        <v>37</v>
      </c>
      <c r="H7574" t="s">
        <v>43</v>
      </c>
      <c r="I7574" s="187">
        <v>22212</v>
      </c>
      <c r="J7574" s="187">
        <v>899</v>
      </c>
      <c r="K7574" s="187">
        <v>19477.286187144389</v>
      </c>
      <c r="L7574" s="187">
        <v>31480.909152921311</v>
      </c>
      <c r="M7574" s="187">
        <v>74069.1953125</v>
      </c>
      <c r="N7574" s="187">
        <v>53692.91015625</v>
      </c>
      <c r="O7574" t="s">
        <v>7476</v>
      </c>
    </row>
    <row r="7575" spans="1:15" hidden="1" x14ac:dyDescent="0.45">
      <c r="A7575" s="187">
        <v>2026</v>
      </c>
      <c r="B7575" t="s">
        <v>315</v>
      </c>
      <c r="C7575" t="s">
        <v>322</v>
      </c>
      <c r="D7575" t="s">
        <v>35</v>
      </c>
      <c r="E7575" t="s">
        <v>348</v>
      </c>
      <c r="F7575" t="s">
        <v>382</v>
      </c>
      <c r="G7575" t="s">
        <v>37</v>
      </c>
      <c r="H7575" t="s">
        <v>43</v>
      </c>
      <c r="I7575" s="187">
        <v>22084.223753011851</v>
      </c>
      <c r="J7575" s="187">
        <v>958</v>
      </c>
      <c r="K7575" s="187">
        <v>19225.613391005409</v>
      </c>
      <c r="L7575" s="187">
        <v>26051.856268565301</v>
      </c>
      <c r="M7575" s="187">
        <v>68319.6953125</v>
      </c>
      <c r="N7575" s="187">
        <v>48136.08203125</v>
      </c>
      <c r="O7575" t="s">
        <v>7473</v>
      </c>
    </row>
    <row r="7576" spans="1:15" hidden="1" x14ac:dyDescent="0.45">
      <c r="A7576" s="187">
        <v>2026</v>
      </c>
      <c r="B7576" t="s">
        <v>312</v>
      </c>
      <c r="C7576" t="s">
        <v>322</v>
      </c>
      <c r="D7576" t="s">
        <v>35</v>
      </c>
      <c r="E7576" t="s">
        <v>348</v>
      </c>
      <c r="F7576" t="s">
        <v>382</v>
      </c>
      <c r="G7576" t="s">
        <v>37</v>
      </c>
      <c r="H7576" t="s">
        <v>43</v>
      </c>
      <c r="I7576" s="187">
        <v>14027.55764823378</v>
      </c>
      <c r="J7576" s="187">
        <v>1164</v>
      </c>
      <c r="K7576" s="187">
        <v>15791.772515646901</v>
      </c>
      <c r="L7576" s="187">
        <v>24806</v>
      </c>
      <c r="M7576" s="187">
        <v>55789.328125</v>
      </c>
      <c r="N7576" s="187">
        <v>38833.55859375</v>
      </c>
      <c r="O7576" t="s">
        <v>7475</v>
      </c>
    </row>
    <row r="7577" spans="1:15" hidden="1" x14ac:dyDescent="0.45">
      <c r="A7577" s="187">
        <v>2026</v>
      </c>
      <c r="B7577" t="s">
        <v>314</v>
      </c>
      <c r="C7577" t="s">
        <v>322</v>
      </c>
      <c r="D7577" t="s">
        <v>35</v>
      </c>
      <c r="E7577" t="s">
        <v>348</v>
      </c>
      <c r="F7577" t="s">
        <v>382</v>
      </c>
      <c r="G7577" t="s">
        <v>37</v>
      </c>
      <c r="H7577" t="s">
        <v>43</v>
      </c>
      <c r="I7577" s="187">
        <v>22415.310114930919</v>
      </c>
      <c r="J7577" s="187">
        <v>915</v>
      </c>
      <c r="K7577" s="187">
        <v>18082.30891865497</v>
      </c>
      <c r="L7577" s="187">
        <v>26769.000985639621</v>
      </c>
      <c r="M7577" s="187">
        <v>68181.625</v>
      </c>
      <c r="N7577" s="187">
        <v>49184.3125</v>
      </c>
      <c r="O7577" t="s">
        <v>7477</v>
      </c>
    </row>
    <row r="7578" spans="1:15" hidden="1" x14ac:dyDescent="0.45">
      <c r="A7578" s="187">
        <v>2026</v>
      </c>
      <c r="B7578" t="s">
        <v>313</v>
      </c>
      <c r="C7578" t="s">
        <v>322</v>
      </c>
      <c r="D7578" t="s">
        <v>35</v>
      </c>
      <c r="E7578" t="s">
        <v>348</v>
      </c>
      <c r="F7578" t="s">
        <v>382</v>
      </c>
      <c r="G7578" t="s">
        <v>37</v>
      </c>
      <c r="H7578" t="s">
        <v>43</v>
      </c>
      <c r="I7578" s="187">
        <v>14357.30007894319</v>
      </c>
      <c r="J7578" s="187">
        <v>921</v>
      </c>
      <c r="K7578" s="187">
        <v>17721.367937042862</v>
      </c>
      <c r="L7578" s="187">
        <v>28928.287099501191</v>
      </c>
      <c r="M7578" s="187">
        <v>61927.953125</v>
      </c>
      <c r="N7578" s="187">
        <v>43285.5859375</v>
      </c>
      <c r="O7578" t="s">
        <v>7474</v>
      </c>
    </row>
    <row r="7579" spans="1:15" hidden="1" x14ac:dyDescent="0.45">
      <c r="A7579" s="187">
        <v>2026</v>
      </c>
      <c r="B7579" t="s">
        <v>317</v>
      </c>
      <c r="C7579" t="s">
        <v>322</v>
      </c>
      <c r="D7579" t="s">
        <v>35</v>
      </c>
      <c r="E7579" t="s">
        <v>348</v>
      </c>
      <c r="F7579" t="s">
        <v>382</v>
      </c>
      <c r="G7579" t="s">
        <v>37</v>
      </c>
      <c r="H7579" t="s">
        <v>43</v>
      </c>
      <c r="I7579" s="187">
        <v>17248.46148707658</v>
      </c>
      <c r="J7579" s="187">
        <v>1000</v>
      </c>
      <c r="K7579" s="187">
        <v>21575.653416704059</v>
      </c>
      <c r="L7579" s="187">
        <v>29512</v>
      </c>
      <c r="M7579" s="187">
        <v>69336.109375</v>
      </c>
      <c r="N7579" s="187">
        <v>46760.4609375</v>
      </c>
      <c r="O7579" t="s">
        <v>7472</v>
      </c>
    </row>
    <row r="7580" spans="1:15" hidden="1" x14ac:dyDescent="0.45">
      <c r="A7580" s="187">
        <v>2026</v>
      </c>
      <c r="B7580" t="s">
        <v>8570</v>
      </c>
      <c r="C7580" t="s">
        <v>322</v>
      </c>
      <c r="D7580" t="s">
        <v>35</v>
      </c>
      <c r="E7580" t="s">
        <v>348</v>
      </c>
      <c r="F7580" t="s">
        <v>382</v>
      </c>
      <c r="G7580" t="s">
        <v>37</v>
      </c>
      <c r="H7580" t="s">
        <v>43</v>
      </c>
      <c r="I7580" s="187">
        <v>14928.968151509071</v>
      </c>
      <c r="J7580" s="187">
        <v>1000</v>
      </c>
      <c r="K7580" s="187">
        <v>20082.900477310912</v>
      </c>
      <c r="L7580" s="187">
        <v>24414</v>
      </c>
      <c r="M7580" s="187">
        <v>60425.8671875</v>
      </c>
      <c r="N7580" s="187">
        <v>39342.96875</v>
      </c>
      <c r="O7580" t="s">
        <v>9132</v>
      </c>
    </row>
    <row r="7581" spans="1:15" hidden="1" x14ac:dyDescent="0.45">
      <c r="A7581" s="187">
        <v>2026</v>
      </c>
      <c r="B7581" t="s">
        <v>316</v>
      </c>
      <c r="C7581" t="s">
        <v>322</v>
      </c>
      <c r="D7581" t="s">
        <v>35</v>
      </c>
      <c r="E7581" t="s">
        <v>19</v>
      </c>
      <c r="F7581" t="s">
        <v>19</v>
      </c>
      <c r="G7581" t="s">
        <v>36</v>
      </c>
      <c r="H7581" t="s">
        <v>43</v>
      </c>
      <c r="I7581" s="187">
        <v>1005.6157894090967</v>
      </c>
      <c r="J7581" s="187">
        <v>0</v>
      </c>
      <c r="K7581" s="187">
        <v>128.78135439622534</v>
      </c>
      <c r="L7581" s="187">
        <v>6389.5337179257485</v>
      </c>
      <c r="M7581" s="187">
        <v>7523.9306640625</v>
      </c>
      <c r="N7581" s="187">
        <v>7395.1494140625</v>
      </c>
      <c r="O7581" t="s">
        <v>7478</v>
      </c>
    </row>
    <row r="7582" spans="1:15" hidden="1" x14ac:dyDescent="0.45">
      <c r="A7582" s="187">
        <v>2026</v>
      </c>
      <c r="B7582" t="s">
        <v>314</v>
      </c>
      <c r="C7582" t="s">
        <v>322</v>
      </c>
      <c r="D7582" t="s">
        <v>35</v>
      </c>
      <c r="E7582" t="s">
        <v>19</v>
      </c>
      <c r="F7582" t="s">
        <v>19</v>
      </c>
      <c r="G7582" t="s">
        <v>36</v>
      </c>
      <c r="H7582" t="s">
        <v>43</v>
      </c>
      <c r="I7582" s="187">
        <v>1042.5144916835152</v>
      </c>
      <c r="J7582" s="187">
        <v>0</v>
      </c>
      <c r="K7582" s="187">
        <v>129.68124753227937</v>
      </c>
      <c r="L7582" s="187">
        <v>3312.7499601652707</v>
      </c>
      <c r="M7582" s="187">
        <v>4484.94580078125</v>
      </c>
      <c r="N7582" s="187">
        <v>4355.2646484375</v>
      </c>
      <c r="O7582" t="s">
        <v>7482</v>
      </c>
    </row>
    <row r="7583" spans="1:15" hidden="1" x14ac:dyDescent="0.45">
      <c r="A7583" s="187">
        <v>2026</v>
      </c>
      <c r="B7583" t="s">
        <v>317</v>
      </c>
      <c r="C7583" t="s">
        <v>322</v>
      </c>
      <c r="D7583" t="s">
        <v>35</v>
      </c>
      <c r="E7583" t="s">
        <v>19</v>
      </c>
      <c r="F7583" t="s">
        <v>19</v>
      </c>
      <c r="G7583" t="s">
        <v>36</v>
      </c>
      <c r="H7583" t="s">
        <v>43</v>
      </c>
      <c r="I7583" s="187">
        <v>918.43273133365187</v>
      </c>
      <c r="J7583" s="187">
        <v>0</v>
      </c>
      <c r="K7583" s="187">
        <v>130.28374188813621</v>
      </c>
      <c r="L7583" s="187">
        <v>6202.1222092413673</v>
      </c>
      <c r="M7583" s="187">
        <v>7250.8388671875</v>
      </c>
      <c r="N7583" s="187">
        <v>7120.55517578125</v>
      </c>
      <c r="O7583" t="s">
        <v>7483</v>
      </c>
    </row>
    <row r="7584" spans="1:15" hidden="1" x14ac:dyDescent="0.45">
      <c r="A7584" s="187">
        <v>2026</v>
      </c>
      <c r="B7584" t="s">
        <v>315</v>
      </c>
      <c r="C7584" t="s">
        <v>322</v>
      </c>
      <c r="D7584" t="s">
        <v>35</v>
      </c>
      <c r="E7584" t="s">
        <v>19</v>
      </c>
      <c r="F7584" t="s">
        <v>19</v>
      </c>
      <c r="G7584" t="s">
        <v>36</v>
      </c>
      <c r="H7584" t="s">
        <v>43</v>
      </c>
      <c r="I7584" s="187">
        <v>1013.8537053855766</v>
      </c>
      <c r="J7584" s="187">
        <v>0</v>
      </c>
      <c r="K7584" s="187">
        <v>128.74815711446712</v>
      </c>
      <c r="L7584" s="187">
        <v>3427.8450418958155</v>
      </c>
      <c r="M7584" s="187">
        <v>4570.44677734375</v>
      </c>
      <c r="N7584" s="187">
        <v>4441.69873046875</v>
      </c>
      <c r="O7584" t="s">
        <v>7479</v>
      </c>
    </row>
    <row r="7585" spans="1:15" hidden="1" x14ac:dyDescent="0.45">
      <c r="A7585" s="187">
        <v>2026</v>
      </c>
      <c r="B7585" t="s">
        <v>313</v>
      </c>
      <c r="C7585" t="s">
        <v>322</v>
      </c>
      <c r="D7585" t="s">
        <v>35</v>
      </c>
      <c r="E7585" t="s">
        <v>19</v>
      </c>
      <c r="F7585" t="s">
        <v>19</v>
      </c>
      <c r="G7585" t="s">
        <v>36</v>
      </c>
      <c r="H7585" t="s">
        <v>43</v>
      </c>
      <c r="I7585" s="187">
        <v>916.38728401702804</v>
      </c>
      <c r="J7585" s="187">
        <v>11.978918745320629</v>
      </c>
      <c r="K7585" s="187">
        <v>131.51861673628227</v>
      </c>
      <c r="L7585" s="187">
        <v>2908.4814713638484</v>
      </c>
      <c r="M7585" s="187">
        <v>3968.366455078125</v>
      </c>
      <c r="N7585" s="187">
        <v>3824.86865234375</v>
      </c>
      <c r="O7585" t="s">
        <v>7481</v>
      </c>
    </row>
    <row r="7586" spans="1:15" hidden="1" x14ac:dyDescent="0.45">
      <c r="A7586" s="187">
        <v>2026</v>
      </c>
      <c r="B7586" t="s">
        <v>8570</v>
      </c>
      <c r="C7586" t="s">
        <v>322</v>
      </c>
      <c r="D7586" t="s">
        <v>35</v>
      </c>
      <c r="E7586" t="s">
        <v>19</v>
      </c>
      <c r="F7586" t="s">
        <v>19</v>
      </c>
      <c r="G7586" t="s">
        <v>36</v>
      </c>
      <c r="H7586" t="s">
        <v>43</v>
      </c>
      <c r="I7586" s="187">
        <v>685.20587520000015</v>
      </c>
      <c r="J7586" s="187">
        <v>0</v>
      </c>
      <c r="K7586" s="187">
        <v>127.7607061079826</v>
      </c>
      <c r="L7586" s="187">
        <v>2791</v>
      </c>
      <c r="M7586" s="187">
        <v>3603.966552734375</v>
      </c>
      <c r="N7586" s="187">
        <v>3476.205810546875</v>
      </c>
      <c r="O7586" t="s">
        <v>9133</v>
      </c>
    </row>
    <row r="7587" spans="1:15" hidden="1" x14ac:dyDescent="0.45">
      <c r="A7587" s="187">
        <v>2026</v>
      </c>
      <c r="B7587" t="s">
        <v>312</v>
      </c>
      <c r="C7587" t="s">
        <v>322</v>
      </c>
      <c r="D7587" t="s">
        <v>35</v>
      </c>
      <c r="E7587" t="s">
        <v>19</v>
      </c>
      <c r="F7587" t="s">
        <v>19</v>
      </c>
      <c r="G7587" t="s">
        <v>36</v>
      </c>
      <c r="H7587" t="s">
        <v>43</v>
      </c>
      <c r="I7587" s="187">
        <v>945.97929050430525</v>
      </c>
      <c r="J7587" s="187">
        <v>0</v>
      </c>
      <c r="K7587" s="187">
        <v>139.4652676399954</v>
      </c>
      <c r="L7587" s="187">
        <v>2119.4882404240252</v>
      </c>
      <c r="M7587" s="187">
        <v>3204.932861328125</v>
      </c>
      <c r="N7587" s="187">
        <v>3065.467529296875</v>
      </c>
      <c r="O7587" t="s">
        <v>7480</v>
      </c>
    </row>
    <row r="7588" spans="1:15" hidden="1" x14ac:dyDescent="0.45">
      <c r="A7588" s="187">
        <v>2026</v>
      </c>
      <c r="B7588" t="s">
        <v>8570</v>
      </c>
      <c r="C7588" t="s">
        <v>322</v>
      </c>
      <c r="D7588" t="s">
        <v>35</v>
      </c>
      <c r="E7588" t="s">
        <v>19</v>
      </c>
      <c r="F7588" t="s">
        <v>19</v>
      </c>
      <c r="G7588" t="s">
        <v>37</v>
      </c>
      <c r="H7588" t="s">
        <v>43</v>
      </c>
      <c r="I7588" s="187">
        <v>741.68887553742661</v>
      </c>
      <c r="J7588" s="187">
        <v>0</v>
      </c>
      <c r="K7588" s="187">
        <v>138.90190620508409</v>
      </c>
      <c r="L7588" s="187">
        <v>3285</v>
      </c>
      <c r="M7588" s="187">
        <v>4165.5908203125</v>
      </c>
      <c r="N7588" s="187">
        <v>4026.68896484375</v>
      </c>
      <c r="O7588" t="s">
        <v>9134</v>
      </c>
    </row>
    <row r="7589" spans="1:15" hidden="1" x14ac:dyDescent="0.45">
      <c r="A7589" s="187">
        <v>2026</v>
      </c>
      <c r="B7589" t="s">
        <v>317</v>
      </c>
      <c r="C7589" t="s">
        <v>322</v>
      </c>
      <c r="D7589" t="s">
        <v>35</v>
      </c>
      <c r="E7589" t="s">
        <v>19</v>
      </c>
      <c r="F7589" t="s">
        <v>19</v>
      </c>
      <c r="G7589" t="s">
        <v>37</v>
      </c>
      <c r="H7589" t="s">
        <v>43</v>
      </c>
      <c r="I7589" s="187">
        <v>938.46868272000006</v>
      </c>
      <c r="J7589" s="187">
        <v>0</v>
      </c>
      <c r="K7589" s="187">
        <v>132.31450430968781</v>
      </c>
      <c r="L7589" s="187">
        <v>6265</v>
      </c>
      <c r="M7589" s="187">
        <v>7335.783203125</v>
      </c>
      <c r="N7589" s="187">
        <v>7203.46875</v>
      </c>
      <c r="O7589" t="s">
        <v>7486</v>
      </c>
    </row>
    <row r="7590" spans="1:15" hidden="1" x14ac:dyDescent="0.45">
      <c r="A7590" s="187">
        <v>2026</v>
      </c>
      <c r="B7590" t="s">
        <v>313</v>
      </c>
      <c r="C7590" t="s">
        <v>322</v>
      </c>
      <c r="D7590" t="s">
        <v>35</v>
      </c>
      <c r="E7590" t="s">
        <v>19</v>
      </c>
      <c r="F7590" t="s">
        <v>19</v>
      </c>
      <c r="G7590" t="s">
        <v>37</v>
      </c>
      <c r="H7590" t="s">
        <v>43</v>
      </c>
      <c r="I7590" s="187">
        <v>912.3624631904911</v>
      </c>
      <c r="J7590" s="187">
        <v>12</v>
      </c>
      <c r="K7590" s="187">
        <v>130.62440010962911</v>
      </c>
      <c r="L7590" s="187">
        <v>2935</v>
      </c>
      <c r="M7590" s="187">
        <v>3989.98681640625</v>
      </c>
      <c r="N7590" s="187">
        <v>3847.362548828125</v>
      </c>
      <c r="O7590" t="s">
        <v>7487</v>
      </c>
    </row>
    <row r="7591" spans="1:15" hidden="1" x14ac:dyDescent="0.45">
      <c r="A7591" s="187">
        <v>2026</v>
      </c>
      <c r="B7591" t="s">
        <v>316</v>
      </c>
      <c r="C7591" t="s">
        <v>322</v>
      </c>
      <c r="D7591" t="s">
        <v>35</v>
      </c>
      <c r="E7591" t="s">
        <v>19</v>
      </c>
      <c r="F7591" t="s">
        <v>19</v>
      </c>
      <c r="G7591" t="s">
        <v>37</v>
      </c>
      <c r="H7591" t="s">
        <v>43</v>
      </c>
      <c r="I7591" s="187">
        <v>1028</v>
      </c>
      <c r="J7591" s="187">
        <v>0</v>
      </c>
      <c r="K7591" s="187">
        <v>129.317227890266</v>
      </c>
      <c r="L7591" s="187">
        <v>6558</v>
      </c>
      <c r="M7591" s="187">
        <v>7715.3173828125</v>
      </c>
      <c r="N7591" s="187">
        <v>7586</v>
      </c>
      <c r="O7591" t="s">
        <v>7484</v>
      </c>
    </row>
    <row r="7592" spans="1:15" hidden="1" x14ac:dyDescent="0.45">
      <c r="A7592" s="187">
        <v>2026</v>
      </c>
      <c r="B7592" t="s">
        <v>315</v>
      </c>
      <c r="C7592" t="s">
        <v>322</v>
      </c>
      <c r="D7592" t="s">
        <v>35</v>
      </c>
      <c r="E7592" t="s">
        <v>19</v>
      </c>
      <c r="F7592" t="s">
        <v>19</v>
      </c>
      <c r="G7592" t="s">
        <v>37</v>
      </c>
      <c r="H7592" t="s">
        <v>43</v>
      </c>
      <c r="I7592" s="187">
        <v>1028.2752655006771</v>
      </c>
      <c r="J7592" s="187">
        <v>0</v>
      </c>
      <c r="K7592" s="187">
        <v>130.22892828976489</v>
      </c>
      <c r="L7592" s="187">
        <v>3476</v>
      </c>
      <c r="M7592" s="187">
        <v>4634.50390625</v>
      </c>
      <c r="N7592" s="187">
        <v>4504.275390625</v>
      </c>
      <c r="O7592" t="s">
        <v>7488</v>
      </c>
    </row>
    <row r="7593" spans="1:15" hidden="1" x14ac:dyDescent="0.45">
      <c r="A7593" s="187">
        <v>2026</v>
      </c>
      <c r="B7593" t="s">
        <v>312</v>
      </c>
      <c r="C7593" t="s">
        <v>322</v>
      </c>
      <c r="D7593" t="s">
        <v>35</v>
      </c>
      <c r="E7593" t="s">
        <v>19</v>
      </c>
      <c r="F7593" t="s">
        <v>19</v>
      </c>
      <c r="G7593" t="s">
        <v>37</v>
      </c>
      <c r="H7593" t="s">
        <v>43</v>
      </c>
      <c r="I7593" s="187">
        <v>916.92427550644345</v>
      </c>
      <c r="J7593" s="187">
        <v>0</v>
      </c>
      <c r="K7593" s="187">
        <v>137.05856392393321</v>
      </c>
      <c r="L7593" s="187">
        <v>2103</v>
      </c>
      <c r="M7593" s="187">
        <v>3156.98291015625</v>
      </c>
      <c r="N7593" s="187">
        <v>3019.92431640625</v>
      </c>
      <c r="O7593" t="s">
        <v>7489</v>
      </c>
    </row>
    <row r="7594" spans="1:15" hidden="1" x14ac:dyDescent="0.45">
      <c r="A7594" s="187">
        <v>2026</v>
      </c>
      <c r="B7594" t="s">
        <v>314</v>
      </c>
      <c r="C7594" t="s">
        <v>322</v>
      </c>
      <c r="D7594" t="s">
        <v>35</v>
      </c>
      <c r="E7594" t="s">
        <v>19</v>
      </c>
      <c r="F7594" t="s">
        <v>19</v>
      </c>
      <c r="G7594" t="s">
        <v>37</v>
      </c>
      <c r="H7594" t="s">
        <v>43</v>
      </c>
      <c r="I7594" s="187">
        <v>1049.1492533903411</v>
      </c>
      <c r="J7594" s="187">
        <v>0</v>
      </c>
      <c r="K7594" s="187">
        <v>130.68315603887109</v>
      </c>
      <c r="L7594" s="187">
        <v>3614</v>
      </c>
      <c r="M7594" s="187">
        <v>4793.83251953125</v>
      </c>
      <c r="N7594" s="187">
        <v>4663.1494140625</v>
      </c>
      <c r="O7594" t="s">
        <v>7485</v>
      </c>
    </row>
    <row r="7595" spans="1:15" hidden="1" x14ac:dyDescent="0.45">
      <c r="A7595" s="187">
        <v>2026</v>
      </c>
      <c r="B7595" t="s">
        <v>316</v>
      </c>
      <c r="C7595" t="s">
        <v>322</v>
      </c>
      <c r="D7595" t="s">
        <v>35</v>
      </c>
      <c r="E7595" t="s">
        <v>349</v>
      </c>
      <c r="F7595" t="s">
        <v>349</v>
      </c>
      <c r="G7595" t="s">
        <v>36</v>
      </c>
      <c r="H7595" t="s">
        <v>43</v>
      </c>
      <c r="I7595" s="187">
        <v>4662.9112022879899</v>
      </c>
      <c r="J7595" s="187">
        <v>545.21965012467604</v>
      </c>
      <c r="K7595" s="187">
        <v>4982.5596433123164</v>
      </c>
      <c r="L7595" s="187">
        <v>2558.677267150752</v>
      </c>
      <c r="M7595" s="187">
        <v>12749.3681640625</v>
      </c>
      <c r="N7595" s="187">
        <v>7221.58837890625</v>
      </c>
      <c r="O7595" t="s">
        <v>7490</v>
      </c>
    </row>
    <row r="7596" spans="1:15" hidden="1" x14ac:dyDescent="0.45">
      <c r="A7596" s="187">
        <v>2026</v>
      </c>
      <c r="B7596" t="s">
        <v>312</v>
      </c>
      <c r="C7596" t="s">
        <v>322</v>
      </c>
      <c r="D7596" t="s">
        <v>35</v>
      </c>
      <c r="E7596" t="s">
        <v>349</v>
      </c>
      <c r="F7596" t="s">
        <v>349</v>
      </c>
      <c r="G7596" t="s">
        <v>36</v>
      </c>
      <c r="H7596" t="s">
        <v>43</v>
      </c>
      <c r="I7596" s="187">
        <v>4513.4959612296916</v>
      </c>
      <c r="J7596" s="187">
        <v>741.94454157200414</v>
      </c>
      <c r="K7596" s="187">
        <v>4107.8860650325933</v>
      </c>
      <c r="L7596" s="187">
        <v>2087.3373102892383</v>
      </c>
      <c r="M7596" s="187">
        <v>11450.6630859375</v>
      </c>
      <c r="N7596" s="187">
        <v>6600.83349609375</v>
      </c>
      <c r="O7596" t="s">
        <v>7491</v>
      </c>
    </row>
    <row r="7597" spans="1:15" hidden="1" x14ac:dyDescent="0.45">
      <c r="A7597" s="187">
        <v>2026</v>
      </c>
      <c r="B7597" t="s">
        <v>317</v>
      </c>
      <c r="C7597" t="s">
        <v>322</v>
      </c>
      <c r="D7597" t="s">
        <v>35</v>
      </c>
      <c r="E7597" t="s">
        <v>349</v>
      </c>
      <c r="F7597" t="s">
        <v>349</v>
      </c>
      <c r="G7597" t="s">
        <v>36</v>
      </c>
      <c r="H7597" t="s">
        <v>43</v>
      </c>
      <c r="I7597" s="187">
        <v>5316.1047507783151</v>
      </c>
      <c r="J7597" s="187">
        <v>534.8520023648914</v>
      </c>
      <c r="K7597" s="187">
        <v>6009.759057320055</v>
      </c>
      <c r="L7597" s="187">
        <v>2802.8405942111685</v>
      </c>
      <c r="M7597" s="187">
        <v>14663.556640625</v>
      </c>
      <c r="N7597" s="187">
        <v>8118.94580078125</v>
      </c>
      <c r="O7597" t="s">
        <v>7492</v>
      </c>
    </row>
    <row r="7598" spans="1:15" hidden="1" x14ac:dyDescent="0.45">
      <c r="A7598" s="187">
        <v>2026</v>
      </c>
      <c r="B7598" t="s">
        <v>8570</v>
      </c>
      <c r="C7598" t="s">
        <v>322</v>
      </c>
      <c r="D7598" t="s">
        <v>35</v>
      </c>
      <c r="E7598" t="s">
        <v>349</v>
      </c>
      <c r="F7598" t="s">
        <v>349</v>
      </c>
      <c r="G7598" t="s">
        <v>36</v>
      </c>
      <c r="H7598" t="s">
        <v>43</v>
      </c>
      <c r="I7598" s="187">
        <v>3745.7921177600001</v>
      </c>
      <c r="J7598" s="187">
        <v>495</v>
      </c>
      <c r="K7598" s="187">
        <v>4014.8469243311461</v>
      </c>
      <c r="L7598" s="187">
        <v>3026</v>
      </c>
      <c r="M7598" s="187">
        <v>11281.638671875</v>
      </c>
      <c r="N7598" s="187">
        <v>6771.7919921875</v>
      </c>
      <c r="O7598" t="s">
        <v>9135</v>
      </c>
    </row>
    <row r="7599" spans="1:15" hidden="1" x14ac:dyDescent="0.45">
      <c r="A7599" s="187">
        <v>2026</v>
      </c>
      <c r="B7599" t="s">
        <v>313</v>
      </c>
      <c r="C7599" t="s">
        <v>322</v>
      </c>
      <c r="D7599" t="s">
        <v>35</v>
      </c>
      <c r="E7599" t="s">
        <v>349</v>
      </c>
      <c r="F7599" t="s">
        <v>349</v>
      </c>
      <c r="G7599" t="s">
        <v>36</v>
      </c>
      <c r="H7599" t="s">
        <v>43</v>
      </c>
      <c r="I7599" s="187">
        <v>4312.4107483154257</v>
      </c>
      <c r="J7599" s="187">
        <v>539.05134353942822</v>
      </c>
      <c r="K7599" s="187">
        <v>4588.1966661019169</v>
      </c>
      <c r="L7599" s="187">
        <v>2031.6246192063784</v>
      </c>
      <c r="M7599" s="187">
        <v>11471.283203125</v>
      </c>
      <c r="N7599" s="187">
        <v>6344.03515625</v>
      </c>
      <c r="O7599" t="s">
        <v>7495</v>
      </c>
    </row>
    <row r="7600" spans="1:15" hidden="1" x14ac:dyDescent="0.45">
      <c r="A7600" s="187">
        <v>2026</v>
      </c>
      <c r="B7600" t="s">
        <v>315</v>
      </c>
      <c r="C7600" t="s">
        <v>322</v>
      </c>
      <c r="D7600" t="s">
        <v>35</v>
      </c>
      <c r="E7600" t="s">
        <v>349</v>
      </c>
      <c r="F7600" t="s">
        <v>349</v>
      </c>
      <c r="G7600" t="s">
        <v>36</v>
      </c>
      <c r="H7600" t="s">
        <v>43</v>
      </c>
      <c r="I7600" s="187">
        <v>4701.1093601677576</v>
      </c>
      <c r="J7600" s="187">
        <v>464.44694883585072</v>
      </c>
      <c r="K7600" s="187">
        <v>4869.7873586057276</v>
      </c>
      <c r="L7600" s="187">
        <v>2489.8887647346342</v>
      </c>
      <c r="M7600" s="187">
        <v>12525.232421875</v>
      </c>
      <c r="N7600" s="187">
        <v>7190.998046875</v>
      </c>
      <c r="O7600" t="s">
        <v>7493</v>
      </c>
    </row>
    <row r="7601" spans="1:15" hidden="1" x14ac:dyDescent="0.45">
      <c r="A7601" s="187">
        <v>2026</v>
      </c>
      <c r="B7601" t="s">
        <v>314</v>
      </c>
      <c r="C7601" t="s">
        <v>322</v>
      </c>
      <c r="D7601" t="s">
        <v>35</v>
      </c>
      <c r="E7601" t="s">
        <v>349</v>
      </c>
      <c r="F7601" t="s">
        <v>349</v>
      </c>
      <c r="G7601" t="s">
        <v>36</v>
      </c>
      <c r="H7601" t="s">
        <v>43</v>
      </c>
      <c r="I7601" s="187">
        <v>4717.5236774505438</v>
      </c>
      <c r="J7601" s="187">
        <v>524.16929749450492</v>
      </c>
      <c r="K7601" s="187">
        <v>5135.2200726179472</v>
      </c>
      <c r="L7601" s="187">
        <v>2010.480461056701</v>
      </c>
      <c r="M7601" s="187">
        <v>12387.3935546875</v>
      </c>
      <c r="N7601" s="187">
        <v>6728.00390625</v>
      </c>
      <c r="O7601" t="s">
        <v>7494</v>
      </c>
    </row>
    <row r="7602" spans="1:15" hidden="1" x14ac:dyDescent="0.45">
      <c r="A7602" s="187">
        <v>2026</v>
      </c>
      <c r="B7602" t="s">
        <v>313</v>
      </c>
      <c r="C7602" t="s">
        <v>322</v>
      </c>
      <c r="D7602" t="s">
        <v>35</v>
      </c>
      <c r="E7602" t="s">
        <v>349</v>
      </c>
      <c r="F7602" t="s">
        <v>349</v>
      </c>
      <c r="G7602" t="s">
        <v>37</v>
      </c>
      <c r="H7602" t="s">
        <v>43</v>
      </c>
      <c r="I7602" s="187">
        <v>4293.4704150140751</v>
      </c>
      <c r="J7602" s="187">
        <v>538</v>
      </c>
      <c r="K7602" s="187">
        <v>4557.0007651184869</v>
      </c>
      <c r="L7602" s="187">
        <v>2050</v>
      </c>
      <c r="M7602" s="187">
        <v>11438.470703125</v>
      </c>
      <c r="N7602" s="187">
        <v>6343.47021484375</v>
      </c>
      <c r="O7602" t="s">
        <v>7497</v>
      </c>
    </row>
    <row r="7603" spans="1:15" hidden="1" x14ac:dyDescent="0.45">
      <c r="A7603" s="187">
        <v>2026</v>
      </c>
      <c r="B7603" t="s">
        <v>316</v>
      </c>
      <c r="C7603" t="s">
        <v>322</v>
      </c>
      <c r="D7603" t="s">
        <v>35</v>
      </c>
      <c r="E7603" t="s">
        <v>349</v>
      </c>
      <c r="F7603" t="s">
        <v>349</v>
      </c>
      <c r="G7603" t="s">
        <v>37</v>
      </c>
      <c r="H7603" t="s">
        <v>43</v>
      </c>
      <c r="I7603" s="187">
        <v>4768</v>
      </c>
      <c r="J7603" s="187">
        <v>495</v>
      </c>
      <c r="K7603" s="187">
        <v>5003.292626420357</v>
      </c>
      <c r="L7603" s="187">
        <v>2626</v>
      </c>
      <c r="M7603" s="187">
        <v>12892.29296875</v>
      </c>
      <c r="N7603" s="187">
        <v>7394</v>
      </c>
      <c r="O7603" t="s">
        <v>7498</v>
      </c>
    </row>
    <row r="7604" spans="1:15" hidden="1" x14ac:dyDescent="0.45">
      <c r="A7604" s="187">
        <v>2026</v>
      </c>
      <c r="B7604" t="s">
        <v>8570</v>
      </c>
      <c r="C7604" t="s">
        <v>322</v>
      </c>
      <c r="D7604" t="s">
        <v>35</v>
      </c>
      <c r="E7604" t="s">
        <v>349</v>
      </c>
      <c r="F7604" t="s">
        <v>349</v>
      </c>
      <c r="G7604" t="s">
        <v>37</v>
      </c>
      <c r="H7604" t="s">
        <v>43</v>
      </c>
      <c r="I7604" s="187">
        <v>4054.565852937932</v>
      </c>
      <c r="J7604" s="187">
        <v>495</v>
      </c>
      <c r="K7604" s="187">
        <v>4364.9562365433094</v>
      </c>
      <c r="L7604" s="187">
        <v>3562</v>
      </c>
      <c r="M7604" s="187">
        <v>12476.5224609375</v>
      </c>
      <c r="N7604" s="187">
        <v>7616.56591796875</v>
      </c>
      <c r="O7604" t="s">
        <v>9136</v>
      </c>
    </row>
    <row r="7605" spans="1:15" hidden="1" x14ac:dyDescent="0.45">
      <c r="A7605" s="187">
        <v>2026</v>
      </c>
      <c r="B7605" t="s">
        <v>315</v>
      </c>
      <c r="C7605" t="s">
        <v>322</v>
      </c>
      <c r="D7605" t="s">
        <v>35</v>
      </c>
      <c r="E7605" t="s">
        <v>349</v>
      </c>
      <c r="F7605" t="s">
        <v>349</v>
      </c>
      <c r="G7605" t="s">
        <v>37</v>
      </c>
      <c r="H7605" t="s">
        <v>43</v>
      </c>
      <c r="I7605" s="187">
        <v>4767.9802813718543</v>
      </c>
      <c r="J7605" s="187">
        <v>462</v>
      </c>
      <c r="K7605" s="187">
        <v>4925.7962437973156</v>
      </c>
      <c r="L7605" s="187">
        <v>2525</v>
      </c>
      <c r="M7605" s="187">
        <v>12680.7763671875</v>
      </c>
      <c r="N7605" s="187">
        <v>7292.98046875</v>
      </c>
      <c r="O7605" t="s">
        <v>7501</v>
      </c>
    </row>
    <row r="7606" spans="1:15" hidden="1" x14ac:dyDescent="0.45">
      <c r="A7606" s="187">
        <v>2026</v>
      </c>
      <c r="B7606" t="s">
        <v>314</v>
      </c>
      <c r="C7606" t="s">
        <v>322</v>
      </c>
      <c r="D7606" t="s">
        <v>35</v>
      </c>
      <c r="E7606" t="s">
        <v>349</v>
      </c>
      <c r="F7606" t="s">
        <v>349</v>
      </c>
      <c r="G7606" t="s">
        <v>37</v>
      </c>
      <c r="H7606" t="s">
        <v>43</v>
      </c>
      <c r="I7606" s="187">
        <v>4747.5469008166274</v>
      </c>
      <c r="J7606" s="187">
        <v>527</v>
      </c>
      <c r="K7606" s="187">
        <v>5174.8944339607133</v>
      </c>
      <c r="L7606" s="187">
        <v>2193</v>
      </c>
      <c r="M7606" s="187">
        <v>12642.44140625</v>
      </c>
      <c r="N7606" s="187">
        <v>6940.546875</v>
      </c>
      <c r="O7606" t="s">
        <v>7496</v>
      </c>
    </row>
    <row r="7607" spans="1:15" hidden="1" x14ac:dyDescent="0.45">
      <c r="A7607" s="187">
        <v>2026</v>
      </c>
      <c r="B7607" t="s">
        <v>317</v>
      </c>
      <c r="C7607" t="s">
        <v>322</v>
      </c>
      <c r="D7607" t="s">
        <v>35</v>
      </c>
      <c r="E7607" t="s">
        <v>349</v>
      </c>
      <c r="F7607" t="s">
        <v>349</v>
      </c>
      <c r="G7607" t="s">
        <v>37</v>
      </c>
      <c r="H7607" t="s">
        <v>43</v>
      </c>
      <c r="I7607" s="187">
        <v>5432.5379534389349</v>
      </c>
      <c r="J7607" s="187">
        <v>495</v>
      </c>
      <c r="K7607" s="187">
        <v>6103.4345434498882</v>
      </c>
      <c r="L7607" s="187">
        <v>2831</v>
      </c>
      <c r="M7607" s="187">
        <v>14861.97265625</v>
      </c>
      <c r="N7607" s="187">
        <v>8263.5380859375</v>
      </c>
      <c r="O7607" t="s">
        <v>7499</v>
      </c>
    </row>
    <row r="7608" spans="1:15" hidden="1" x14ac:dyDescent="0.45">
      <c r="A7608" s="187">
        <v>2026</v>
      </c>
      <c r="B7608" t="s">
        <v>312</v>
      </c>
      <c r="C7608" t="s">
        <v>322</v>
      </c>
      <c r="D7608" t="s">
        <v>35</v>
      </c>
      <c r="E7608" t="s">
        <v>349</v>
      </c>
      <c r="F7608" t="s">
        <v>349</v>
      </c>
      <c r="G7608" t="s">
        <v>37</v>
      </c>
      <c r="H7608" t="s">
        <v>43</v>
      </c>
      <c r="I7608" s="187">
        <v>4374.8674582987169</v>
      </c>
      <c r="J7608" s="187">
        <v>731</v>
      </c>
      <c r="K7608" s="187">
        <v>4036.9977010322141</v>
      </c>
      <c r="L7608" s="187">
        <v>2071</v>
      </c>
      <c r="M7608" s="187">
        <v>11213.865234375</v>
      </c>
      <c r="N7608" s="187">
        <v>6445.86767578125</v>
      </c>
      <c r="O7608" t="s">
        <v>7500</v>
      </c>
    </row>
    <row r="7609" spans="1:15" hidden="1" x14ac:dyDescent="0.45">
      <c r="A7609" s="187">
        <v>2026</v>
      </c>
      <c r="B7609" t="s">
        <v>316</v>
      </c>
      <c r="C7609" t="s">
        <v>322</v>
      </c>
      <c r="D7609" t="s">
        <v>35</v>
      </c>
      <c r="E7609" t="s">
        <v>46</v>
      </c>
      <c r="F7609" t="s">
        <v>46</v>
      </c>
      <c r="G7609" t="s">
        <v>37</v>
      </c>
      <c r="H7609" t="s">
        <v>43</v>
      </c>
      <c r="I7609" s="187">
        <v>19775</v>
      </c>
      <c r="J7609" s="187"/>
      <c r="K7609" s="187">
        <v>18558.266640579019</v>
      </c>
      <c r="L7609" s="187">
        <v>23852</v>
      </c>
      <c r="M7609" s="187">
        <v>62185.265625</v>
      </c>
      <c r="N7609" s="187">
        <v>43627</v>
      </c>
      <c r="O7609" t="s">
        <v>7503</v>
      </c>
    </row>
    <row r="7610" spans="1:15" hidden="1" x14ac:dyDescent="0.45">
      <c r="A7610" s="187">
        <v>2026</v>
      </c>
      <c r="B7610" t="s">
        <v>312</v>
      </c>
      <c r="C7610" t="s">
        <v>322</v>
      </c>
      <c r="D7610" t="s">
        <v>35</v>
      </c>
      <c r="E7610" t="s">
        <v>46</v>
      </c>
      <c r="F7610" t="s">
        <v>46</v>
      </c>
      <c r="G7610" t="s">
        <v>37</v>
      </c>
      <c r="H7610" t="s">
        <v>43</v>
      </c>
      <c r="I7610" s="187">
        <v>16979.972310984482</v>
      </c>
      <c r="J7610" s="187">
        <v>1164</v>
      </c>
      <c r="K7610" s="187">
        <v>14964.36992590169</v>
      </c>
      <c r="L7610" s="187">
        <v>20638</v>
      </c>
      <c r="M7610" s="187">
        <v>53746.34375</v>
      </c>
      <c r="N7610" s="187">
        <v>37617.97265625</v>
      </c>
      <c r="O7610" t="s">
        <v>7507</v>
      </c>
    </row>
    <row r="7611" spans="1:15" hidden="1" x14ac:dyDescent="0.45">
      <c r="A7611" s="187">
        <v>2026</v>
      </c>
      <c r="B7611" t="s">
        <v>314</v>
      </c>
      <c r="C7611" t="s">
        <v>322</v>
      </c>
      <c r="D7611" t="s">
        <v>35</v>
      </c>
      <c r="E7611" t="s">
        <v>46</v>
      </c>
      <c r="F7611" t="s">
        <v>46</v>
      </c>
      <c r="G7611" t="s">
        <v>37</v>
      </c>
      <c r="H7611" t="s">
        <v>43</v>
      </c>
      <c r="I7611" s="187">
        <v>19932.62317319561</v>
      </c>
      <c r="J7611" s="187">
        <v>915</v>
      </c>
      <c r="K7611" s="187">
        <v>17750.268765989891</v>
      </c>
      <c r="L7611" s="187">
        <v>19103</v>
      </c>
      <c r="M7611" s="187">
        <v>57700.890625</v>
      </c>
      <c r="N7611" s="187">
        <v>39035.625</v>
      </c>
      <c r="O7611" t="s">
        <v>7504</v>
      </c>
    </row>
    <row r="7612" spans="1:15" hidden="1" x14ac:dyDescent="0.45">
      <c r="A7612" s="187">
        <v>2026</v>
      </c>
      <c r="B7612" t="s">
        <v>313</v>
      </c>
      <c r="C7612" t="s">
        <v>322</v>
      </c>
      <c r="D7612" t="s">
        <v>35</v>
      </c>
      <c r="E7612" t="s">
        <v>46</v>
      </c>
      <c r="F7612" t="s">
        <v>46</v>
      </c>
      <c r="G7612" t="s">
        <v>37</v>
      </c>
      <c r="H7612" t="s">
        <v>43</v>
      </c>
      <c r="I7612" s="187">
        <v>13069.32430352448</v>
      </c>
      <c r="J7612" s="187">
        <v>921</v>
      </c>
      <c r="K7612" s="187">
        <v>17499.5226556507</v>
      </c>
      <c r="L7612" s="187"/>
      <c r="M7612" s="187">
        <v>31489.84765625</v>
      </c>
      <c r="N7612" s="187">
        <v>13069.32421875</v>
      </c>
      <c r="O7612" t="s">
        <v>7505</v>
      </c>
    </row>
    <row r="7613" spans="1:15" hidden="1" x14ac:dyDescent="0.45">
      <c r="A7613" s="187">
        <v>2026</v>
      </c>
      <c r="B7613" t="s">
        <v>8570</v>
      </c>
      <c r="C7613" t="s">
        <v>322</v>
      </c>
      <c r="D7613" t="s">
        <v>35</v>
      </c>
      <c r="E7613" t="s">
        <v>46</v>
      </c>
      <c r="F7613" t="s">
        <v>46</v>
      </c>
      <c r="G7613" t="s">
        <v>37</v>
      </c>
      <c r="H7613" t="s">
        <v>43</v>
      </c>
      <c r="I7613" s="187"/>
      <c r="J7613" s="187">
        <v>1000</v>
      </c>
      <c r="K7613" s="187">
        <v>19408.18944871729</v>
      </c>
      <c r="L7613" s="187">
        <v>6454</v>
      </c>
      <c r="M7613" s="187">
        <v>26862.189453125</v>
      </c>
      <c r="N7613" s="187">
        <v>6454</v>
      </c>
      <c r="O7613" t="s">
        <v>9137</v>
      </c>
    </row>
    <row r="7614" spans="1:15" hidden="1" x14ac:dyDescent="0.45">
      <c r="A7614" s="187">
        <v>2026</v>
      </c>
      <c r="B7614" t="s">
        <v>317</v>
      </c>
      <c r="C7614" t="s">
        <v>322</v>
      </c>
      <c r="D7614" t="s">
        <v>35</v>
      </c>
      <c r="E7614" t="s">
        <v>46</v>
      </c>
      <c r="F7614" t="s">
        <v>46</v>
      </c>
      <c r="G7614" t="s">
        <v>37</v>
      </c>
      <c r="H7614" t="s">
        <v>43</v>
      </c>
      <c r="I7614" s="187">
        <v>15112.505588528629</v>
      </c>
      <c r="J7614" s="187">
        <v>1000</v>
      </c>
      <c r="K7614" s="187">
        <v>20467.942621401591</v>
      </c>
      <c r="L7614" s="187">
        <v>6709</v>
      </c>
      <c r="M7614" s="187">
        <v>43289.44921875</v>
      </c>
      <c r="N7614" s="187">
        <v>21821.505859375</v>
      </c>
      <c r="O7614" t="s">
        <v>7502</v>
      </c>
    </row>
    <row r="7615" spans="1:15" hidden="1" x14ac:dyDescent="0.45">
      <c r="A7615" s="187">
        <v>2026</v>
      </c>
      <c r="B7615" t="s">
        <v>315</v>
      </c>
      <c r="C7615" t="s">
        <v>322</v>
      </c>
      <c r="D7615" t="s">
        <v>35</v>
      </c>
      <c r="E7615" t="s">
        <v>46</v>
      </c>
      <c r="F7615" t="s">
        <v>46</v>
      </c>
      <c r="G7615" t="s">
        <v>37</v>
      </c>
      <c r="H7615" t="s">
        <v>43</v>
      </c>
      <c r="I7615" s="187">
        <v>19650.932621251279</v>
      </c>
      <c r="J7615" s="187">
        <v>958</v>
      </c>
      <c r="K7615" s="187">
        <v>18394.020535388419</v>
      </c>
      <c r="L7615" s="187">
        <v>18955</v>
      </c>
      <c r="M7615" s="187">
        <v>57957.953125</v>
      </c>
      <c r="N7615" s="187">
        <v>38605.93359375</v>
      </c>
      <c r="O7615" t="s">
        <v>7506</v>
      </c>
    </row>
    <row r="7616" spans="1:15" hidden="1" x14ac:dyDescent="0.45">
      <c r="A7616" s="187">
        <v>2026</v>
      </c>
      <c r="B7616" t="s">
        <v>316</v>
      </c>
      <c r="C7616" t="s">
        <v>322</v>
      </c>
      <c r="D7616" t="s">
        <v>35</v>
      </c>
      <c r="E7616" t="s">
        <v>350</v>
      </c>
      <c r="F7616" t="s">
        <v>350</v>
      </c>
      <c r="G7616" t="s">
        <v>37</v>
      </c>
      <c r="H7616" t="s">
        <v>43</v>
      </c>
      <c r="I7616" s="187">
        <v>20066</v>
      </c>
      <c r="J7616" s="187">
        <v>899</v>
      </c>
      <c r="K7616" s="187">
        <v>18559.206154733551</v>
      </c>
      <c r="L7616" s="187">
        <v>23624.909152921311</v>
      </c>
      <c r="M7616" s="187">
        <v>63149.1171875</v>
      </c>
      <c r="N7616" s="187">
        <v>43690.91015625</v>
      </c>
      <c r="O7616" t="s">
        <v>7508</v>
      </c>
    </row>
    <row r="7617" spans="1:15" hidden="1" x14ac:dyDescent="0.45">
      <c r="A7617" s="187">
        <v>2026</v>
      </c>
      <c r="B7617" t="s">
        <v>314</v>
      </c>
      <c r="C7617" t="s">
        <v>322</v>
      </c>
      <c r="D7617" t="s">
        <v>35</v>
      </c>
      <c r="E7617" t="s">
        <v>350</v>
      </c>
      <c r="F7617" t="s">
        <v>350</v>
      </c>
      <c r="G7617" t="s">
        <v>37</v>
      </c>
      <c r="H7617" t="s">
        <v>43</v>
      </c>
      <c r="I7617" s="187">
        <v>20573.990298246488</v>
      </c>
      <c r="J7617" s="187">
        <v>915</v>
      </c>
      <c r="K7617" s="187">
        <v>17786.972738019111</v>
      </c>
      <c r="L7617" s="187">
        <v>18124.000985639621</v>
      </c>
      <c r="M7617" s="187">
        <v>57399.96484375</v>
      </c>
      <c r="N7617" s="187">
        <v>38697.9921875</v>
      </c>
      <c r="O7617" t="s">
        <v>7509</v>
      </c>
    </row>
    <row r="7618" spans="1:15" hidden="1" x14ac:dyDescent="0.45">
      <c r="A7618" s="187">
        <v>2026</v>
      </c>
      <c r="B7618" t="s">
        <v>8570</v>
      </c>
      <c r="C7618" t="s">
        <v>322</v>
      </c>
      <c r="D7618" t="s">
        <v>35</v>
      </c>
      <c r="E7618" t="s">
        <v>350</v>
      </c>
      <c r="F7618" t="s">
        <v>350</v>
      </c>
      <c r="G7618" t="s">
        <v>37</v>
      </c>
      <c r="H7618" t="s">
        <v>43</v>
      </c>
      <c r="I7618" s="187">
        <v>13275.9403105491</v>
      </c>
      <c r="J7618" s="187">
        <v>1000</v>
      </c>
      <c r="K7618" s="187">
        <v>19514.606835362611</v>
      </c>
      <c r="L7618" s="187">
        <v>6387</v>
      </c>
      <c r="M7618" s="187">
        <v>40177.546875</v>
      </c>
      <c r="N7618" s="187">
        <v>19662.94140625</v>
      </c>
      <c r="O7618" t="s">
        <v>9138</v>
      </c>
    </row>
    <row r="7619" spans="1:15" hidden="1" x14ac:dyDescent="0.45">
      <c r="A7619" s="187">
        <v>2026</v>
      </c>
      <c r="B7619" t="s">
        <v>317</v>
      </c>
      <c r="C7619" t="s">
        <v>322</v>
      </c>
      <c r="D7619" t="s">
        <v>35</v>
      </c>
      <c r="E7619" t="s">
        <v>350</v>
      </c>
      <c r="F7619" t="s">
        <v>350</v>
      </c>
      <c r="G7619" t="s">
        <v>37</v>
      </c>
      <c r="H7619" t="s">
        <v>43</v>
      </c>
      <c r="I7619" s="187">
        <v>15154.43450647343</v>
      </c>
      <c r="J7619" s="187">
        <v>1000</v>
      </c>
      <c r="K7619" s="187">
        <v>20656.491824624671</v>
      </c>
      <c r="L7619" s="187">
        <v>6848</v>
      </c>
      <c r="M7619" s="187">
        <v>43658.92578125</v>
      </c>
      <c r="N7619" s="187">
        <v>22002.43359375</v>
      </c>
      <c r="O7619" t="s">
        <v>7511</v>
      </c>
    </row>
    <row r="7620" spans="1:15" hidden="1" x14ac:dyDescent="0.45">
      <c r="A7620" s="187">
        <v>2026</v>
      </c>
      <c r="B7620" t="s">
        <v>315</v>
      </c>
      <c r="C7620" t="s">
        <v>322</v>
      </c>
      <c r="D7620" t="s">
        <v>35</v>
      </c>
      <c r="E7620" t="s">
        <v>350</v>
      </c>
      <c r="F7620" t="s">
        <v>350</v>
      </c>
      <c r="G7620" t="s">
        <v>37</v>
      </c>
      <c r="H7620" t="s">
        <v>43</v>
      </c>
      <c r="I7620" s="187">
        <v>19954.673370782992</v>
      </c>
      <c r="J7620" s="187">
        <v>958</v>
      </c>
      <c r="K7620" s="187">
        <v>18400.79660140998</v>
      </c>
      <c r="L7620" s="187">
        <v>18402.856268565301</v>
      </c>
      <c r="M7620" s="187">
        <v>57716.32421875</v>
      </c>
      <c r="N7620" s="187">
        <v>38357.53125</v>
      </c>
      <c r="O7620" t="s">
        <v>7510</v>
      </c>
    </row>
    <row r="7621" spans="1:15" hidden="1" x14ac:dyDescent="0.45">
      <c r="A7621" s="187">
        <v>2026</v>
      </c>
      <c r="B7621" t="s">
        <v>312</v>
      </c>
      <c r="C7621" t="s">
        <v>322</v>
      </c>
      <c r="D7621" t="s">
        <v>35</v>
      </c>
      <c r="E7621" t="s">
        <v>350</v>
      </c>
      <c r="F7621" t="s">
        <v>350</v>
      </c>
      <c r="G7621" t="s">
        <v>37</v>
      </c>
      <c r="H7621" t="s">
        <v>43</v>
      </c>
      <c r="I7621" s="187">
        <v>13521.642025913099</v>
      </c>
      <c r="J7621" s="187">
        <v>1164</v>
      </c>
      <c r="K7621" s="187">
        <v>15009.636307009931</v>
      </c>
      <c r="L7621" s="187">
        <v>20637</v>
      </c>
      <c r="M7621" s="187">
        <v>50332.27734375</v>
      </c>
      <c r="N7621" s="187">
        <v>34158.640625</v>
      </c>
      <c r="O7621" t="s">
        <v>7512</v>
      </c>
    </row>
    <row r="7622" spans="1:15" hidden="1" x14ac:dyDescent="0.45">
      <c r="A7622" s="187">
        <v>2026</v>
      </c>
      <c r="B7622" t="s">
        <v>313</v>
      </c>
      <c r="C7622" t="s">
        <v>322</v>
      </c>
      <c r="D7622" t="s">
        <v>35</v>
      </c>
      <c r="E7622" t="s">
        <v>350</v>
      </c>
      <c r="F7622" t="s">
        <v>350</v>
      </c>
      <c r="G7622" t="s">
        <v>37</v>
      </c>
      <c r="H7622" t="s">
        <v>43</v>
      </c>
      <c r="I7622" s="187">
        <v>13166.501248366079</v>
      </c>
      <c r="J7622" s="187">
        <v>921</v>
      </c>
      <c r="K7622" s="187">
        <v>17595.32900570588</v>
      </c>
      <c r="L7622" s="187">
        <v>23951.287099501191</v>
      </c>
      <c r="M7622" s="187">
        <v>55634.1171875</v>
      </c>
      <c r="N7622" s="187">
        <v>37117.7890625</v>
      </c>
      <c r="O7622" t="s">
        <v>7513</v>
      </c>
    </row>
    <row r="7623" spans="1:15" hidden="1" x14ac:dyDescent="0.45">
      <c r="A7623" s="187">
        <v>2026</v>
      </c>
      <c r="B7623" t="s">
        <v>316</v>
      </c>
      <c r="C7623" t="s">
        <v>322</v>
      </c>
      <c r="D7623" t="s">
        <v>35</v>
      </c>
      <c r="E7623" t="s">
        <v>16</v>
      </c>
      <c r="F7623" t="s">
        <v>16</v>
      </c>
      <c r="G7623" t="s">
        <v>36</v>
      </c>
      <c r="H7623" t="s">
        <v>43</v>
      </c>
      <c r="I7623" s="187">
        <v>12714.39098061143</v>
      </c>
      <c r="J7623" s="187">
        <v>131.07300679764938</v>
      </c>
      <c r="K7623" s="187">
        <v>7914.7787230326994</v>
      </c>
      <c r="L7623" s="187">
        <v>17812.711478416688</v>
      </c>
      <c r="M7623" s="187">
        <v>38572.953125</v>
      </c>
      <c r="N7623" s="187">
        <v>30527.1015625</v>
      </c>
      <c r="O7623" t="s">
        <v>7518</v>
      </c>
    </row>
    <row r="7624" spans="1:15" hidden="1" x14ac:dyDescent="0.45">
      <c r="A7624" s="187">
        <v>2026</v>
      </c>
      <c r="B7624" t="s">
        <v>312</v>
      </c>
      <c r="C7624" t="s">
        <v>322</v>
      </c>
      <c r="D7624" t="s">
        <v>35</v>
      </c>
      <c r="E7624" t="s">
        <v>16</v>
      </c>
      <c r="F7624" t="s">
        <v>16</v>
      </c>
      <c r="G7624" t="s">
        <v>36</v>
      </c>
      <c r="H7624" t="s">
        <v>43</v>
      </c>
      <c r="I7624" s="187">
        <v>6388.8566344142209</v>
      </c>
      <c r="J7624" s="187">
        <v>129.84029477510072</v>
      </c>
      <c r="K7624" s="187">
        <v>4961.2453404748194</v>
      </c>
      <c r="L7624" s="187">
        <v>18463.289917019323</v>
      </c>
      <c r="M7624" s="187">
        <v>29943.232421875</v>
      </c>
      <c r="N7624" s="187">
        <v>24852.146484375</v>
      </c>
      <c r="O7624" t="s">
        <v>7519</v>
      </c>
    </row>
    <row r="7625" spans="1:15" hidden="1" x14ac:dyDescent="0.45">
      <c r="A7625" s="187">
        <v>2026</v>
      </c>
      <c r="B7625" t="s">
        <v>313</v>
      </c>
      <c r="C7625" t="s">
        <v>322</v>
      </c>
      <c r="D7625" t="s">
        <v>35</v>
      </c>
      <c r="E7625" t="s">
        <v>16</v>
      </c>
      <c r="F7625" t="s">
        <v>16</v>
      </c>
      <c r="G7625" t="s">
        <v>36</v>
      </c>
      <c r="H7625" t="s">
        <v>43</v>
      </c>
      <c r="I7625" s="187">
        <v>6189.0012159398038</v>
      </c>
      <c r="J7625" s="187">
        <v>125.77864682586659</v>
      </c>
      <c r="K7625" s="187">
        <v>5809.2009385180399</v>
      </c>
      <c r="L7625" s="187">
        <v>21437.472986625795</v>
      </c>
      <c r="M7625" s="187">
        <v>33561.453125</v>
      </c>
      <c r="N7625" s="187">
        <v>27626.474609375</v>
      </c>
      <c r="O7625" t="s">
        <v>7515</v>
      </c>
    </row>
    <row r="7626" spans="1:15" hidden="1" x14ac:dyDescent="0.45">
      <c r="A7626" s="187">
        <v>2026</v>
      </c>
      <c r="B7626" t="s">
        <v>314</v>
      </c>
      <c r="C7626" t="s">
        <v>322</v>
      </c>
      <c r="D7626" t="s">
        <v>35</v>
      </c>
      <c r="E7626" t="s">
        <v>16</v>
      </c>
      <c r="F7626" t="s">
        <v>16</v>
      </c>
      <c r="G7626" t="s">
        <v>36</v>
      </c>
      <c r="H7626" t="s">
        <v>43</v>
      </c>
      <c r="I7626" s="187">
        <v>13180.915603966649</v>
      </c>
      <c r="J7626" s="187">
        <v>139.77847933186797</v>
      </c>
      <c r="K7626" s="187">
        <v>7068.9883988141546</v>
      </c>
      <c r="L7626" s="187">
        <v>17094.908022287455</v>
      </c>
      <c r="M7626" s="187">
        <v>37484.58984375</v>
      </c>
      <c r="N7626" s="187">
        <v>30275.82421875</v>
      </c>
      <c r="O7626" t="s">
        <v>7516</v>
      </c>
    </row>
    <row r="7627" spans="1:15" hidden="1" x14ac:dyDescent="0.45">
      <c r="A7627" s="187">
        <v>2026</v>
      </c>
      <c r="B7627" t="s">
        <v>8570</v>
      </c>
      <c r="C7627" t="s">
        <v>322</v>
      </c>
      <c r="D7627" t="s">
        <v>35</v>
      </c>
      <c r="E7627" t="s">
        <v>16</v>
      </c>
      <c r="F7627" t="s">
        <v>16</v>
      </c>
      <c r="G7627" t="s">
        <v>36</v>
      </c>
      <c r="H7627" t="s">
        <v>43</v>
      </c>
      <c r="I7627" s="187">
        <v>5129.5668599999999</v>
      </c>
      <c r="J7627" s="187">
        <v>220</v>
      </c>
      <c r="K7627" s="187">
        <v>8262.5994919488767</v>
      </c>
      <c r="L7627" s="187">
        <v>11720</v>
      </c>
      <c r="M7627" s="187">
        <v>25332.166015625</v>
      </c>
      <c r="N7627" s="187">
        <v>16849.56640625</v>
      </c>
      <c r="O7627" t="s">
        <v>9139</v>
      </c>
    </row>
    <row r="7628" spans="1:15" hidden="1" x14ac:dyDescent="0.45">
      <c r="A7628" s="187">
        <v>2026</v>
      </c>
      <c r="B7628" t="s">
        <v>315</v>
      </c>
      <c r="C7628" t="s">
        <v>322</v>
      </c>
      <c r="D7628" t="s">
        <v>35</v>
      </c>
      <c r="E7628" t="s">
        <v>16</v>
      </c>
      <c r="F7628" t="s">
        <v>16</v>
      </c>
      <c r="G7628" t="s">
        <v>36</v>
      </c>
      <c r="H7628" t="s">
        <v>43</v>
      </c>
      <c r="I7628" s="187">
        <v>12818.546151695151</v>
      </c>
      <c r="J7628" s="187">
        <v>249.2154359607004</v>
      </c>
      <c r="K7628" s="187">
        <v>7740.2540802441399</v>
      </c>
      <c r="L7628" s="187">
        <v>17254.770547969947</v>
      </c>
      <c r="M7628" s="187">
        <v>38062.78515625</v>
      </c>
      <c r="N7628" s="187">
        <v>30073.31640625</v>
      </c>
      <c r="O7628" t="s">
        <v>7514</v>
      </c>
    </row>
    <row r="7629" spans="1:15" hidden="1" x14ac:dyDescent="0.45">
      <c r="A7629" s="187">
        <v>2026</v>
      </c>
      <c r="B7629" t="s">
        <v>317</v>
      </c>
      <c r="C7629" t="s">
        <v>322</v>
      </c>
      <c r="D7629" t="s">
        <v>35</v>
      </c>
      <c r="E7629" t="s">
        <v>16</v>
      </c>
      <c r="F7629" t="s">
        <v>16</v>
      </c>
      <c r="G7629" t="s">
        <v>36</v>
      </c>
      <c r="H7629" t="s">
        <v>43</v>
      </c>
      <c r="I7629" s="187">
        <v>5684.5583524074618</v>
      </c>
      <c r="J7629" s="187">
        <v>237.71200105106286</v>
      </c>
      <c r="K7629" s="187">
        <v>7988.2591742763716</v>
      </c>
      <c r="L7629" s="187">
        <v>14049.859771213502</v>
      </c>
      <c r="M7629" s="187">
        <v>27960.388671875</v>
      </c>
      <c r="N7629" s="187">
        <v>19734.41796875</v>
      </c>
      <c r="O7629" t="s">
        <v>7517</v>
      </c>
    </row>
    <row r="7630" spans="1:15" hidden="1" x14ac:dyDescent="0.45">
      <c r="A7630" s="187">
        <v>2026</v>
      </c>
      <c r="B7630" t="s">
        <v>316</v>
      </c>
      <c r="C7630" t="s">
        <v>322</v>
      </c>
      <c r="D7630" t="s">
        <v>35</v>
      </c>
      <c r="E7630" t="s">
        <v>16</v>
      </c>
      <c r="F7630" t="s">
        <v>16</v>
      </c>
      <c r="G7630" t="s">
        <v>37</v>
      </c>
      <c r="H7630" t="s">
        <v>43</v>
      </c>
      <c r="I7630" s="187">
        <v>13001</v>
      </c>
      <c r="J7630" s="187">
        <v>119</v>
      </c>
      <c r="K7630" s="187">
        <v>7947.7129948359016</v>
      </c>
      <c r="L7630" s="187">
        <v>18283</v>
      </c>
      <c r="M7630" s="187">
        <v>39350.7109375</v>
      </c>
      <c r="N7630" s="187">
        <v>31284</v>
      </c>
      <c r="O7630" t="s">
        <v>7522</v>
      </c>
    </row>
    <row r="7631" spans="1:15" hidden="1" x14ac:dyDescent="0.45">
      <c r="A7631" s="187">
        <v>2026</v>
      </c>
      <c r="B7631" t="s">
        <v>315</v>
      </c>
      <c r="C7631" t="s">
        <v>322</v>
      </c>
      <c r="D7631" t="s">
        <v>35</v>
      </c>
      <c r="E7631" t="s">
        <v>16</v>
      </c>
      <c r="F7631" t="s">
        <v>16</v>
      </c>
      <c r="G7631" t="s">
        <v>37</v>
      </c>
      <c r="H7631" t="s">
        <v>43</v>
      </c>
      <c r="I7631" s="187">
        <v>13000.883537190581</v>
      </c>
      <c r="J7631" s="187">
        <v>248</v>
      </c>
      <c r="K7631" s="187">
        <v>7829.2770642493897</v>
      </c>
      <c r="L7631" s="187">
        <v>17497</v>
      </c>
      <c r="M7631" s="187">
        <v>38575.16015625</v>
      </c>
      <c r="N7631" s="187">
        <v>30497.8828125</v>
      </c>
      <c r="O7631" t="s">
        <v>7525</v>
      </c>
    </row>
    <row r="7632" spans="1:15" hidden="1" x14ac:dyDescent="0.45">
      <c r="A7632" s="187">
        <v>2026</v>
      </c>
      <c r="B7632" t="s">
        <v>312</v>
      </c>
      <c r="C7632" t="s">
        <v>322</v>
      </c>
      <c r="D7632" t="s">
        <v>35</v>
      </c>
      <c r="E7632" t="s">
        <v>16</v>
      </c>
      <c r="F7632" t="s">
        <v>16</v>
      </c>
      <c r="G7632" t="s">
        <v>37</v>
      </c>
      <c r="H7632" t="s">
        <v>43</v>
      </c>
      <c r="I7632" s="187">
        <v>6192.627893261616</v>
      </c>
      <c r="J7632" s="187">
        <v>128</v>
      </c>
      <c r="K7632" s="187">
        <v>4875.630851654284</v>
      </c>
      <c r="L7632" s="187">
        <v>18317</v>
      </c>
      <c r="M7632" s="187">
        <v>29513.2578125</v>
      </c>
      <c r="N7632" s="187">
        <v>24509.62890625</v>
      </c>
      <c r="O7632" t="s">
        <v>7520</v>
      </c>
    </row>
    <row r="7633" spans="1:15" hidden="1" x14ac:dyDescent="0.45">
      <c r="A7633" s="187">
        <v>2026</v>
      </c>
      <c r="B7633" t="s">
        <v>8570</v>
      </c>
      <c r="C7633" t="s">
        <v>322</v>
      </c>
      <c r="D7633" t="s">
        <v>35</v>
      </c>
      <c r="E7633" t="s">
        <v>16</v>
      </c>
      <c r="F7633" t="s">
        <v>16</v>
      </c>
      <c r="G7633" t="s">
        <v>37</v>
      </c>
      <c r="H7633" t="s">
        <v>43</v>
      </c>
      <c r="I7633" s="187">
        <v>5552.4081361342178</v>
      </c>
      <c r="J7633" s="187">
        <v>220</v>
      </c>
      <c r="K7633" s="187">
        <v>8983.1283389341734</v>
      </c>
      <c r="L7633" s="187">
        <v>13794</v>
      </c>
      <c r="M7633" s="187">
        <v>28549.53515625</v>
      </c>
      <c r="N7633" s="187">
        <v>19346.408203125</v>
      </c>
      <c r="O7633" t="s">
        <v>9140</v>
      </c>
    </row>
    <row r="7634" spans="1:15" hidden="1" x14ac:dyDescent="0.45">
      <c r="A7634" s="187">
        <v>2026</v>
      </c>
      <c r="B7634" t="s">
        <v>313</v>
      </c>
      <c r="C7634" t="s">
        <v>322</v>
      </c>
      <c r="D7634" t="s">
        <v>35</v>
      </c>
      <c r="E7634" t="s">
        <v>16</v>
      </c>
      <c r="F7634" t="s">
        <v>16</v>
      </c>
      <c r="G7634" t="s">
        <v>37</v>
      </c>
      <c r="H7634" t="s">
        <v>43</v>
      </c>
      <c r="I7634" s="187">
        <v>6161.8187992652893</v>
      </c>
      <c r="J7634" s="187">
        <v>125</v>
      </c>
      <c r="K7634" s="187">
        <v>5769.7032294050559</v>
      </c>
      <c r="L7634" s="187">
        <v>21632</v>
      </c>
      <c r="M7634" s="187">
        <v>33688.5234375</v>
      </c>
      <c r="N7634" s="187">
        <v>27793.818359375</v>
      </c>
      <c r="O7634" t="s">
        <v>7523</v>
      </c>
    </row>
    <row r="7635" spans="1:15" hidden="1" x14ac:dyDescent="0.45">
      <c r="A7635" s="187">
        <v>2026</v>
      </c>
      <c r="B7635" t="s">
        <v>317</v>
      </c>
      <c r="C7635" t="s">
        <v>322</v>
      </c>
      <c r="D7635" t="s">
        <v>35</v>
      </c>
      <c r="E7635" t="s">
        <v>16</v>
      </c>
      <c r="F7635" t="s">
        <v>16</v>
      </c>
      <c r="G7635" t="s">
        <v>37</v>
      </c>
      <c r="H7635" t="s">
        <v>43</v>
      </c>
      <c r="I7635" s="187">
        <v>5808.5691056351998</v>
      </c>
      <c r="J7635" s="187">
        <v>220</v>
      </c>
      <c r="K7635" s="187">
        <v>8112.7739933139119</v>
      </c>
      <c r="L7635" s="187">
        <v>14192</v>
      </c>
      <c r="M7635" s="187">
        <v>28333.34375</v>
      </c>
      <c r="N7635" s="187">
        <v>20000.5703125</v>
      </c>
      <c r="O7635" t="s">
        <v>7521</v>
      </c>
    </row>
    <row r="7636" spans="1:15" hidden="1" x14ac:dyDescent="0.45">
      <c r="A7636" s="187">
        <v>2026</v>
      </c>
      <c r="B7636" t="s">
        <v>314</v>
      </c>
      <c r="C7636" t="s">
        <v>322</v>
      </c>
      <c r="D7636" t="s">
        <v>35</v>
      </c>
      <c r="E7636" t="s">
        <v>16</v>
      </c>
      <c r="F7636" t="s">
        <v>16</v>
      </c>
      <c r="G7636" t="s">
        <v>37</v>
      </c>
      <c r="H7636" t="s">
        <v>43</v>
      </c>
      <c r="I7636" s="187">
        <v>13264.80147299555</v>
      </c>
      <c r="J7636" s="187">
        <v>141</v>
      </c>
      <c r="K7636" s="187">
        <v>7123.6029228455272</v>
      </c>
      <c r="L7636" s="187">
        <v>18648</v>
      </c>
      <c r="M7636" s="187">
        <v>39177.40625</v>
      </c>
      <c r="N7636" s="187">
        <v>31912.80078125</v>
      </c>
      <c r="O7636" t="s">
        <v>7524</v>
      </c>
    </row>
    <row r="7637" spans="1:15" hidden="1" x14ac:dyDescent="0.45">
      <c r="A7637" s="187">
        <v>2026</v>
      </c>
      <c r="B7637" t="s">
        <v>8570</v>
      </c>
      <c r="C7637" t="s">
        <v>322</v>
      </c>
      <c r="D7637" t="s">
        <v>35</v>
      </c>
      <c r="E7637" t="s">
        <v>351</v>
      </c>
      <c r="F7637" t="s">
        <v>351</v>
      </c>
      <c r="G7637" t="s">
        <v>37</v>
      </c>
      <c r="H7637" t="s">
        <v>43</v>
      </c>
      <c r="I7637" s="187">
        <v>55.816526259208878</v>
      </c>
      <c r="J7637" s="187"/>
      <c r="K7637" s="187">
        <v>87.754034608981499</v>
      </c>
      <c r="L7637" s="187">
        <v>185</v>
      </c>
      <c r="M7637" s="187">
        <v>328.570556640625</v>
      </c>
      <c r="N7637" s="187">
        <v>240.8165283203125</v>
      </c>
      <c r="O7637" t="s">
        <v>9141</v>
      </c>
    </row>
    <row r="7638" spans="1:15" hidden="1" x14ac:dyDescent="0.45">
      <c r="A7638" s="187">
        <v>2026</v>
      </c>
      <c r="B7638" t="s">
        <v>312</v>
      </c>
      <c r="C7638" t="s">
        <v>322</v>
      </c>
      <c r="D7638" t="s">
        <v>35</v>
      </c>
      <c r="E7638" t="s">
        <v>351</v>
      </c>
      <c r="F7638" t="s">
        <v>351</v>
      </c>
      <c r="G7638" t="s">
        <v>37</v>
      </c>
      <c r="H7638" t="s">
        <v>43</v>
      </c>
      <c r="I7638" s="187">
        <v>738.71196964679075</v>
      </c>
      <c r="J7638" s="187">
        <v>0</v>
      </c>
      <c r="K7638" s="187">
        <v>58.735719484689803</v>
      </c>
      <c r="L7638" s="187">
        <v>101</v>
      </c>
      <c r="M7638" s="187">
        <v>898.44769287109375</v>
      </c>
      <c r="N7638" s="187">
        <v>839.71197509765625</v>
      </c>
      <c r="O7638" t="s">
        <v>7531</v>
      </c>
    </row>
    <row r="7639" spans="1:15" hidden="1" x14ac:dyDescent="0.45">
      <c r="A7639" s="187">
        <v>2026</v>
      </c>
      <c r="B7639" t="s">
        <v>313</v>
      </c>
      <c r="C7639" t="s">
        <v>322</v>
      </c>
      <c r="D7639" t="s">
        <v>35</v>
      </c>
      <c r="E7639" t="s">
        <v>351</v>
      </c>
      <c r="F7639" t="s">
        <v>351</v>
      </c>
      <c r="G7639" t="s">
        <v>37</v>
      </c>
      <c r="H7639" t="s">
        <v>43</v>
      </c>
      <c r="I7639" s="187">
        <v>46.972118656426268</v>
      </c>
      <c r="J7639" s="187">
        <v>0</v>
      </c>
      <c r="K7639" s="187">
        <v>216.44473152063921</v>
      </c>
      <c r="L7639" s="187">
        <v>401</v>
      </c>
      <c r="M7639" s="187">
        <v>664.4168701171875</v>
      </c>
      <c r="N7639" s="187">
        <v>447.97210693359375</v>
      </c>
      <c r="O7639" t="s">
        <v>7530</v>
      </c>
    </row>
    <row r="7640" spans="1:15" hidden="1" x14ac:dyDescent="0.45">
      <c r="A7640" s="187">
        <v>2026</v>
      </c>
      <c r="B7640" t="s">
        <v>315</v>
      </c>
      <c r="C7640" t="s">
        <v>322</v>
      </c>
      <c r="D7640" t="s">
        <v>35</v>
      </c>
      <c r="E7640" t="s">
        <v>351</v>
      </c>
      <c r="F7640" t="s">
        <v>351</v>
      </c>
      <c r="G7640" t="s">
        <v>37</v>
      </c>
      <c r="H7640" t="s">
        <v>43</v>
      </c>
      <c r="I7640" s="187">
        <v>84.844170684420916</v>
      </c>
      <c r="J7640" s="187">
        <v>0</v>
      </c>
      <c r="K7640" s="187">
        <v>73.089936256008741</v>
      </c>
      <c r="L7640" s="187">
        <v>102</v>
      </c>
      <c r="M7640" s="187">
        <v>259.93411254882813</v>
      </c>
      <c r="N7640" s="187">
        <v>186.84417724609375</v>
      </c>
      <c r="O7640" t="s">
        <v>7526</v>
      </c>
    </row>
    <row r="7641" spans="1:15" hidden="1" x14ac:dyDescent="0.45">
      <c r="A7641" s="187">
        <v>2026</v>
      </c>
      <c r="B7641" t="s">
        <v>316</v>
      </c>
      <c r="C7641" t="s">
        <v>322</v>
      </c>
      <c r="D7641" t="s">
        <v>35</v>
      </c>
      <c r="E7641" t="s">
        <v>351</v>
      </c>
      <c r="F7641" t="s">
        <v>351</v>
      </c>
      <c r="G7641" t="s">
        <v>37</v>
      </c>
      <c r="H7641" t="s">
        <v>43</v>
      </c>
      <c r="I7641" s="187">
        <v>85</v>
      </c>
      <c r="J7641" s="187"/>
      <c r="K7641" s="187">
        <v>41.065621997946451</v>
      </c>
      <c r="L7641" s="187">
        <v>240</v>
      </c>
      <c r="M7641" s="187">
        <v>366.06561279296875</v>
      </c>
      <c r="N7641" s="187">
        <v>325</v>
      </c>
      <c r="O7641" t="s">
        <v>7527</v>
      </c>
    </row>
    <row r="7642" spans="1:15" hidden="1" x14ac:dyDescent="0.45">
      <c r="A7642" s="187">
        <v>2026</v>
      </c>
      <c r="B7642" t="s">
        <v>317</v>
      </c>
      <c r="C7642" t="s">
        <v>322</v>
      </c>
      <c r="D7642" t="s">
        <v>35</v>
      </c>
      <c r="E7642" t="s">
        <v>351</v>
      </c>
      <c r="F7642" t="s">
        <v>351</v>
      </c>
      <c r="G7642" t="s">
        <v>37</v>
      </c>
      <c r="H7642" t="s">
        <v>43</v>
      </c>
      <c r="I7642" s="187">
        <v>63.964862875198058</v>
      </c>
      <c r="J7642" s="187"/>
      <c r="K7642" s="187">
        <v>57.6</v>
      </c>
      <c r="L7642" s="187">
        <v>254</v>
      </c>
      <c r="M7642" s="187">
        <v>375.56488037109375</v>
      </c>
      <c r="N7642" s="187">
        <v>317.96487426757813</v>
      </c>
      <c r="O7642" t="s">
        <v>7528</v>
      </c>
    </row>
    <row r="7643" spans="1:15" hidden="1" x14ac:dyDescent="0.45">
      <c r="A7643" s="187">
        <v>2026</v>
      </c>
      <c r="B7643" t="s">
        <v>314</v>
      </c>
      <c r="C7643" t="s">
        <v>322</v>
      </c>
      <c r="D7643" t="s">
        <v>35</v>
      </c>
      <c r="E7643" t="s">
        <v>351</v>
      </c>
      <c r="F7643" t="s">
        <v>351</v>
      </c>
      <c r="G7643" t="s">
        <v>37</v>
      </c>
      <c r="H7643" t="s">
        <v>43</v>
      </c>
      <c r="I7643" s="187">
        <v>86.065963515574268</v>
      </c>
      <c r="J7643" s="187">
        <v>0</v>
      </c>
      <c r="K7643" s="187">
        <v>69.267813817603979</v>
      </c>
      <c r="L7643" s="187">
        <v>373</v>
      </c>
      <c r="M7643" s="187">
        <v>528.333740234375</v>
      </c>
      <c r="N7643" s="187">
        <v>459.06597900390625</v>
      </c>
      <c r="O7643" t="s">
        <v>7529</v>
      </c>
    </row>
    <row r="7644" spans="1:15" hidden="1" x14ac:dyDescent="0.45">
      <c r="A7644" s="187">
        <v>2026</v>
      </c>
      <c r="B7644" t="s">
        <v>312</v>
      </c>
      <c r="C7644" t="s">
        <v>322</v>
      </c>
      <c r="D7644" t="s">
        <v>35</v>
      </c>
      <c r="E7644" t="s">
        <v>352</v>
      </c>
      <c r="F7644" t="s">
        <v>361</v>
      </c>
      <c r="G7644" t="s">
        <v>36</v>
      </c>
      <c r="H7644" t="s">
        <v>43</v>
      </c>
      <c r="I7644" s="187"/>
      <c r="J7644" s="187">
        <v>0</v>
      </c>
      <c r="K7644" s="187">
        <v>0</v>
      </c>
      <c r="L7644" s="187"/>
      <c r="M7644" s="187">
        <v>0</v>
      </c>
      <c r="N7644" s="187">
        <v>0</v>
      </c>
      <c r="O7644" t="s">
        <v>7533</v>
      </c>
    </row>
    <row r="7645" spans="1:15" hidden="1" x14ac:dyDescent="0.45">
      <c r="A7645" s="187">
        <v>2026</v>
      </c>
      <c r="B7645" t="s">
        <v>313</v>
      </c>
      <c r="C7645" t="s">
        <v>322</v>
      </c>
      <c r="D7645" t="s">
        <v>35</v>
      </c>
      <c r="E7645" t="s">
        <v>352</v>
      </c>
      <c r="F7645" t="s">
        <v>361</v>
      </c>
      <c r="G7645" t="s">
        <v>36</v>
      </c>
      <c r="H7645" t="s">
        <v>43</v>
      </c>
      <c r="I7645" s="187"/>
      <c r="J7645" s="187">
        <v>0</v>
      </c>
      <c r="K7645" s="187">
        <v>0</v>
      </c>
      <c r="L7645" s="187"/>
      <c r="M7645" s="187">
        <v>0</v>
      </c>
      <c r="N7645" s="187">
        <v>0</v>
      </c>
      <c r="O7645" t="s">
        <v>7537</v>
      </c>
    </row>
    <row r="7646" spans="1:15" hidden="1" x14ac:dyDescent="0.45">
      <c r="A7646" s="187">
        <v>2026</v>
      </c>
      <c r="B7646" t="s">
        <v>315</v>
      </c>
      <c r="C7646" t="s">
        <v>322</v>
      </c>
      <c r="D7646" t="s">
        <v>35</v>
      </c>
      <c r="E7646" t="s">
        <v>352</v>
      </c>
      <c r="F7646" t="s">
        <v>361</v>
      </c>
      <c r="G7646" t="s">
        <v>36</v>
      </c>
      <c r="H7646" t="s">
        <v>43</v>
      </c>
      <c r="I7646" s="187">
        <v>0</v>
      </c>
      <c r="J7646" s="187">
        <v>0</v>
      </c>
      <c r="K7646" s="187">
        <v>0</v>
      </c>
      <c r="L7646" s="187"/>
      <c r="M7646" s="187">
        <v>0</v>
      </c>
      <c r="N7646" s="187">
        <v>0</v>
      </c>
      <c r="O7646" t="s">
        <v>7535</v>
      </c>
    </row>
    <row r="7647" spans="1:15" hidden="1" x14ac:dyDescent="0.45">
      <c r="A7647" s="187">
        <v>2026</v>
      </c>
      <c r="B7647" t="s">
        <v>316</v>
      </c>
      <c r="C7647" t="s">
        <v>322</v>
      </c>
      <c r="D7647" t="s">
        <v>35</v>
      </c>
      <c r="E7647" t="s">
        <v>352</v>
      </c>
      <c r="F7647" t="s">
        <v>361</v>
      </c>
      <c r="G7647" t="s">
        <v>36</v>
      </c>
      <c r="H7647" t="s">
        <v>43</v>
      </c>
      <c r="I7647" s="187">
        <v>0</v>
      </c>
      <c r="J7647" s="187"/>
      <c r="K7647" s="187">
        <v>0</v>
      </c>
      <c r="L7647" s="187"/>
      <c r="M7647" s="187">
        <v>0</v>
      </c>
      <c r="N7647" s="187">
        <v>0</v>
      </c>
      <c r="O7647" t="s">
        <v>7536</v>
      </c>
    </row>
    <row r="7648" spans="1:15" hidden="1" x14ac:dyDescent="0.45">
      <c r="A7648" s="187">
        <v>2026</v>
      </c>
      <c r="B7648" t="s">
        <v>317</v>
      </c>
      <c r="C7648" t="s">
        <v>322</v>
      </c>
      <c r="D7648" t="s">
        <v>35</v>
      </c>
      <c r="E7648" t="s">
        <v>352</v>
      </c>
      <c r="F7648" t="s">
        <v>361</v>
      </c>
      <c r="G7648" t="s">
        <v>36</v>
      </c>
      <c r="H7648" t="s">
        <v>43</v>
      </c>
      <c r="I7648" s="187">
        <v>0</v>
      </c>
      <c r="J7648" s="187"/>
      <c r="K7648" s="187">
        <v>0</v>
      </c>
      <c r="L7648" s="187"/>
      <c r="M7648" s="187">
        <v>0</v>
      </c>
      <c r="N7648" s="187">
        <v>0</v>
      </c>
      <c r="O7648" t="s">
        <v>7534</v>
      </c>
    </row>
    <row r="7649" spans="1:15" hidden="1" x14ac:dyDescent="0.45">
      <c r="A7649" s="187">
        <v>2026</v>
      </c>
      <c r="B7649" t="s">
        <v>314</v>
      </c>
      <c r="C7649" t="s">
        <v>322</v>
      </c>
      <c r="D7649" t="s">
        <v>35</v>
      </c>
      <c r="E7649" t="s">
        <v>352</v>
      </c>
      <c r="F7649" t="s">
        <v>361</v>
      </c>
      <c r="G7649" t="s">
        <v>36</v>
      </c>
      <c r="H7649" t="s">
        <v>43</v>
      </c>
      <c r="I7649" s="187">
        <v>0</v>
      </c>
      <c r="J7649" s="187">
        <v>0</v>
      </c>
      <c r="K7649" s="187">
        <v>0</v>
      </c>
      <c r="L7649" s="187"/>
      <c r="M7649" s="187">
        <v>0</v>
      </c>
      <c r="N7649" s="187">
        <v>0</v>
      </c>
      <c r="O7649" t="s">
        <v>7532</v>
      </c>
    </row>
    <row r="7650" spans="1:15" hidden="1" x14ac:dyDescent="0.45">
      <c r="A7650" s="187">
        <v>2026</v>
      </c>
      <c r="B7650" t="s">
        <v>8570</v>
      </c>
      <c r="C7650" t="s">
        <v>322</v>
      </c>
      <c r="D7650" t="s">
        <v>35</v>
      </c>
      <c r="E7650" t="s">
        <v>352</v>
      </c>
      <c r="F7650" t="s">
        <v>361</v>
      </c>
      <c r="G7650" t="s">
        <v>36</v>
      </c>
      <c r="H7650" t="s">
        <v>43</v>
      </c>
      <c r="I7650" s="187">
        <v>0</v>
      </c>
      <c r="J7650" s="187"/>
      <c r="K7650" s="187">
        <v>0</v>
      </c>
      <c r="L7650" s="187"/>
      <c r="M7650" s="187">
        <v>0</v>
      </c>
      <c r="N7650" s="187">
        <v>0</v>
      </c>
      <c r="O7650" t="s">
        <v>9142</v>
      </c>
    </row>
    <row r="7651" spans="1:15" hidden="1" x14ac:dyDescent="0.45">
      <c r="A7651" s="187">
        <v>2026</v>
      </c>
      <c r="B7651" t="s">
        <v>312</v>
      </c>
      <c r="C7651" t="s">
        <v>322</v>
      </c>
      <c r="D7651" t="s">
        <v>35</v>
      </c>
      <c r="E7651" t="s">
        <v>353</v>
      </c>
      <c r="F7651" t="s">
        <v>383</v>
      </c>
      <c r="G7651" t="s">
        <v>36</v>
      </c>
      <c r="H7651" t="s">
        <v>43</v>
      </c>
      <c r="I7651" s="187">
        <v>14148.359965021435</v>
      </c>
      <c r="J7651" s="187">
        <v>1057.270971740106</v>
      </c>
      <c r="K7651" s="187">
        <v>14780.172923801334</v>
      </c>
      <c r="L7651" s="187">
        <v>23225.337299675637</v>
      </c>
      <c r="M7651" s="187">
        <v>53211.140625</v>
      </c>
      <c r="N7651" s="187">
        <v>37373.69921875</v>
      </c>
      <c r="O7651" t="s">
        <v>7543</v>
      </c>
    </row>
    <row r="7652" spans="1:15" hidden="1" x14ac:dyDescent="0.45">
      <c r="A7652" s="187">
        <v>2026</v>
      </c>
      <c r="B7652" t="s">
        <v>314</v>
      </c>
      <c r="C7652" t="s">
        <v>322</v>
      </c>
      <c r="D7652" t="s">
        <v>35</v>
      </c>
      <c r="E7652" t="s">
        <v>353</v>
      </c>
      <c r="F7652" t="s">
        <v>383</v>
      </c>
      <c r="G7652" t="s">
        <v>36</v>
      </c>
      <c r="H7652" t="s">
        <v>43</v>
      </c>
      <c r="I7652" s="187">
        <v>22097.617764678722</v>
      </c>
      <c r="J7652" s="187">
        <v>850.31908260219677</v>
      </c>
      <c r="K7652" s="187">
        <v>17097.198702843401</v>
      </c>
      <c r="L7652" s="187">
        <v>22818.836750927447</v>
      </c>
      <c r="M7652" s="187">
        <v>62863.96875</v>
      </c>
      <c r="N7652" s="187">
        <v>44916.453125</v>
      </c>
      <c r="O7652" t="s">
        <v>7541</v>
      </c>
    </row>
    <row r="7653" spans="1:15" hidden="1" x14ac:dyDescent="0.45">
      <c r="A7653" s="187">
        <v>2026</v>
      </c>
      <c r="B7653" t="s">
        <v>8570</v>
      </c>
      <c r="C7653" t="s">
        <v>322</v>
      </c>
      <c r="D7653" t="s">
        <v>35</v>
      </c>
      <c r="E7653" t="s">
        <v>353</v>
      </c>
      <c r="F7653" t="s">
        <v>383</v>
      </c>
      <c r="G7653" t="s">
        <v>36</v>
      </c>
      <c r="H7653" t="s">
        <v>43</v>
      </c>
      <c r="I7653" s="187">
        <v>13323.110462067159</v>
      </c>
      <c r="J7653" s="187">
        <v>945</v>
      </c>
      <c r="K7653" s="187">
        <v>15858.97296490563</v>
      </c>
      <c r="L7653" s="187">
        <v>18883</v>
      </c>
      <c r="M7653" s="187">
        <v>49010.0859375</v>
      </c>
      <c r="N7653" s="187">
        <v>32206.109375</v>
      </c>
      <c r="O7653" t="s">
        <v>9143</v>
      </c>
    </row>
    <row r="7654" spans="1:15" hidden="1" x14ac:dyDescent="0.45">
      <c r="A7654" s="187">
        <v>2026</v>
      </c>
      <c r="B7654" t="s">
        <v>317</v>
      </c>
      <c r="C7654" t="s">
        <v>322</v>
      </c>
      <c r="D7654" t="s">
        <v>35</v>
      </c>
      <c r="E7654" t="s">
        <v>353</v>
      </c>
      <c r="F7654" t="s">
        <v>383</v>
      </c>
      <c r="G7654" t="s">
        <v>36</v>
      </c>
      <c r="H7654" t="s">
        <v>43</v>
      </c>
      <c r="I7654" s="187">
        <v>16341.968168905731</v>
      </c>
      <c r="J7654" s="187">
        <v>1021.0810954238837</v>
      </c>
      <c r="K7654" s="187">
        <v>18029.53748174298</v>
      </c>
      <c r="L7654" s="187">
        <v>26186.137933965947</v>
      </c>
      <c r="M7654" s="187">
        <v>61578.72265625</v>
      </c>
      <c r="N7654" s="187">
        <v>42528.10546875</v>
      </c>
      <c r="O7654" t="s">
        <v>7539</v>
      </c>
    </row>
    <row r="7655" spans="1:15" hidden="1" x14ac:dyDescent="0.45">
      <c r="A7655" s="187">
        <v>2026</v>
      </c>
      <c r="B7655" t="s">
        <v>313</v>
      </c>
      <c r="C7655" t="s">
        <v>322</v>
      </c>
      <c r="D7655" t="s">
        <v>35</v>
      </c>
      <c r="E7655" t="s">
        <v>353</v>
      </c>
      <c r="F7655" t="s">
        <v>383</v>
      </c>
      <c r="G7655" t="s">
        <v>36</v>
      </c>
      <c r="H7655" t="s">
        <v>43</v>
      </c>
      <c r="I7655" s="187">
        <v>14107.066506596742</v>
      </c>
      <c r="J7655" s="187">
        <v>862.48214966308524</v>
      </c>
      <c r="K7655" s="187">
        <v>16992.315723919219</v>
      </c>
      <c r="L7655" s="187">
        <v>26875.902097001359</v>
      </c>
      <c r="M7655" s="187">
        <v>58837.765625</v>
      </c>
      <c r="N7655" s="187">
        <v>40982.96875</v>
      </c>
      <c r="O7655" t="s">
        <v>7542</v>
      </c>
    </row>
    <row r="7656" spans="1:15" hidden="1" x14ac:dyDescent="0.45">
      <c r="A7656" s="187">
        <v>2026</v>
      </c>
      <c r="B7656" t="s">
        <v>315</v>
      </c>
      <c r="C7656" t="s">
        <v>322</v>
      </c>
      <c r="D7656" t="s">
        <v>35</v>
      </c>
      <c r="E7656" t="s">
        <v>353</v>
      </c>
      <c r="F7656" t="s">
        <v>383</v>
      </c>
      <c r="G7656" t="s">
        <v>36</v>
      </c>
      <c r="H7656" t="s">
        <v>43</v>
      </c>
      <c r="I7656" s="187">
        <v>21603.390269309839</v>
      </c>
      <c r="J7656" s="187">
        <v>894.90997458615141</v>
      </c>
      <c r="K7656" s="187">
        <v>17549.042306676973</v>
      </c>
      <c r="L7656" s="187">
        <v>23945.072206078567</v>
      </c>
      <c r="M7656" s="187">
        <v>63992.4140625</v>
      </c>
      <c r="N7656" s="187">
        <v>45548.4609375</v>
      </c>
      <c r="O7656" t="s">
        <v>7540</v>
      </c>
    </row>
    <row r="7657" spans="1:15" hidden="1" x14ac:dyDescent="0.45">
      <c r="A7657" s="187">
        <v>2026</v>
      </c>
      <c r="B7657" t="s">
        <v>316</v>
      </c>
      <c r="C7657" t="s">
        <v>322</v>
      </c>
      <c r="D7657" t="s">
        <v>35</v>
      </c>
      <c r="E7657" t="s">
        <v>353</v>
      </c>
      <c r="F7657" t="s">
        <v>383</v>
      </c>
      <c r="G7657" t="s">
        <v>36</v>
      </c>
      <c r="H7657" t="s">
        <v>43</v>
      </c>
      <c r="I7657" s="187">
        <v>21427.855167055615</v>
      </c>
      <c r="J7657" s="187">
        <v>929.62703980853848</v>
      </c>
      <c r="K7657" s="187">
        <v>17937.657844835376</v>
      </c>
      <c r="L7657" s="187">
        <v>28844.873126191949</v>
      </c>
      <c r="M7657" s="187">
        <v>69140.015625</v>
      </c>
      <c r="N7657" s="187">
        <v>50272.73046875</v>
      </c>
      <c r="O7657" t="s">
        <v>7538</v>
      </c>
    </row>
    <row r="7658" spans="1:15" hidden="1" x14ac:dyDescent="0.45">
      <c r="A7658" s="187">
        <v>2026</v>
      </c>
      <c r="B7658" t="s">
        <v>313</v>
      </c>
      <c r="C7658" t="s">
        <v>322</v>
      </c>
      <c r="D7658" t="s">
        <v>35</v>
      </c>
      <c r="E7658" t="s">
        <v>353</v>
      </c>
      <c r="F7658" t="s">
        <v>383</v>
      </c>
      <c r="G7658" t="s">
        <v>37</v>
      </c>
      <c r="H7658" t="s">
        <v>43</v>
      </c>
      <c r="I7658" s="187">
        <v>14045.107533499469</v>
      </c>
      <c r="J7658" s="187">
        <v>861</v>
      </c>
      <c r="K7658" s="187">
        <v>16876.782184845149</v>
      </c>
      <c r="L7658" s="187">
        <v>27120</v>
      </c>
      <c r="M7658" s="187">
        <v>58902.890625</v>
      </c>
      <c r="N7658" s="187">
        <v>41165.109375</v>
      </c>
      <c r="O7658" t="s">
        <v>7549</v>
      </c>
    </row>
    <row r="7659" spans="1:15" hidden="1" x14ac:dyDescent="0.45">
      <c r="A7659" s="187">
        <v>2026</v>
      </c>
      <c r="B7659" t="s">
        <v>315</v>
      </c>
      <c r="C7659" t="s">
        <v>322</v>
      </c>
      <c r="D7659" t="s">
        <v>35</v>
      </c>
      <c r="E7659" t="s">
        <v>353</v>
      </c>
      <c r="F7659" t="s">
        <v>383</v>
      </c>
      <c r="G7659" t="s">
        <v>37</v>
      </c>
      <c r="H7659" t="s">
        <v>43</v>
      </c>
      <c r="I7659" s="187">
        <v>21910.687653344499</v>
      </c>
      <c r="J7659" s="187">
        <v>890</v>
      </c>
      <c r="K7659" s="187">
        <v>17750.879106396798</v>
      </c>
      <c r="L7659" s="187">
        <v>24281.731654717762</v>
      </c>
      <c r="M7659" s="187">
        <v>64833.296875</v>
      </c>
      <c r="N7659" s="187">
        <v>46192.41796875</v>
      </c>
      <c r="O7659" t="s">
        <v>7548</v>
      </c>
    </row>
    <row r="7660" spans="1:15" hidden="1" x14ac:dyDescent="0.45">
      <c r="A7660" s="187">
        <v>2026</v>
      </c>
      <c r="B7660" t="s">
        <v>316</v>
      </c>
      <c r="C7660" t="s">
        <v>322</v>
      </c>
      <c r="D7660" t="s">
        <v>35</v>
      </c>
      <c r="E7660" t="s">
        <v>353</v>
      </c>
      <c r="F7660" t="s">
        <v>383</v>
      </c>
      <c r="G7660" t="s">
        <v>37</v>
      </c>
      <c r="H7660" t="s">
        <v>43</v>
      </c>
      <c r="I7660" s="187">
        <v>21911</v>
      </c>
      <c r="J7660" s="187">
        <v>844</v>
      </c>
      <c r="K7660" s="187">
        <v>18012.298427932841</v>
      </c>
      <c r="L7660" s="187">
        <v>29606.447270159511</v>
      </c>
      <c r="M7660" s="187">
        <v>70373.7421875</v>
      </c>
      <c r="N7660" s="187">
        <v>51517.44921875</v>
      </c>
      <c r="O7660" t="s">
        <v>7546</v>
      </c>
    </row>
    <row r="7661" spans="1:15" hidden="1" x14ac:dyDescent="0.45">
      <c r="A7661" s="187">
        <v>2026</v>
      </c>
      <c r="B7661" t="s">
        <v>312</v>
      </c>
      <c r="C7661" t="s">
        <v>322</v>
      </c>
      <c r="D7661" t="s">
        <v>35</v>
      </c>
      <c r="E7661" t="s">
        <v>353</v>
      </c>
      <c r="F7661" t="s">
        <v>383</v>
      </c>
      <c r="G7661" t="s">
        <v>37</v>
      </c>
      <c r="H7661" t="s">
        <v>43</v>
      </c>
      <c r="I7661" s="187">
        <v>13713.804140062841</v>
      </c>
      <c r="J7661" s="187">
        <v>1042</v>
      </c>
      <c r="K7661" s="187">
        <v>14525.116609769249</v>
      </c>
      <c r="L7661" s="187">
        <v>23042</v>
      </c>
      <c r="M7661" s="187">
        <v>52322.921875</v>
      </c>
      <c r="N7661" s="187">
        <v>36755.8046875</v>
      </c>
      <c r="O7661" t="s">
        <v>7545</v>
      </c>
    </row>
    <row r="7662" spans="1:15" hidden="1" x14ac:dyDescent="0.45">
      <c r="A7662" s="187">
        <v>2026</v>
      </c>
      <c r="B7662" t="s">
        <v>314</v>
      </c>
      <c r="C7662" t="s">
        <v>322</v>
      </c>
      <c r="D7662" t="s">
        <v>35</v>
      </c>
      <c r="E7662" t="s">
        <v>353</v>
      </c>
      <c r="F7662" t="s">
        <v>383</v>
      </c>
      <c r="G7662" t="s">
        <v>37</v>
      </c>
      <c r="H7662" t="s">
        <v>43</v>
      </c>
      <c r="I7662" s="187">
        <v>22238.251232440311</v>
      </c>
      <c r="J7662" s="187">
        <v>856</v>
      </c>
      <c r="K7662" s="187">
        <v>17229.29049826667</v>
      </c>
      <c r="L7662" s="187">
        <v>24892.26149953889</v>
      </c>
      <c r="M7662" s="187">
        <v>65215.8046875</v>
      </c>
      <c r="N7662" s="187">
        <v>47130.51171875</v>
      </c>
      <c r="O7662" t="s">
        <v>7547</v>
      </c>
    </row>
    <row r="7663" spans="1:15" hidden="1" x14ac:dyDescent="0.45">
      <c r="A7663" s="187">
        <v>2026</v>
      </c>
      <c r="B7663" t="s">
        <v>8570</v>
      </c>
      <c r="C7663" t="s">
        <v>322</v>
      </c>
      <c r="D7663" t="s">
        <v>35</v>
      </c>
      <c r="E7663" t="s">
        <v>353</v>
      </c>
      <c r="F7663" t="s">
        <v>383</v>
      </c>
      <c r="G7663" t="s">
        <v>37</v>
      </c>
      <c r="H7663" t="s">
        <v>43</v>
      </c>
      <c r="I7663" s="187">
        <v>14421.36323537395</v>
      </c>
      <c r="J7663" s="187">
        <v>945</v>
      </c>
      <c r="K7663" s="187">
        <v>17241.93331726313</v>
      </c>
      <c r="L7663" s="187">
        <v>22225</v>
      </c>
      <c r="M7663" s="187">
        <v>54833.296875</v>
      </c>
      <c r="N7663" s="187">
        <v>36646.36328125</v>
      </c>
      <c r="O7663" t="s">
        <v>9144</v>
      </c>
    </row>
    <row r="7664" spans="1:15" hidden="1" x14ac:dyDescent="0.45">
      <c r="A7664" s="187">
        <v>2026</v>
      </c>
      <c r="B7664" t="s">
        <v>317</v>
      </c>
      <c r="C7664" t="s">
        <v>322</v>
      </c>
      <c r="D7664" t="s">
        <v>35</v>
      </c>
      <c r="E7664" t="s">
        <v>353</v>
      </c>
      <c r="F7664" t="s">
        <v>383</v>
      </c>
      <c r="G7664" t="s">
        <v>37</v>
      </c>
      <c r="H7664" t="s">
        <v>43</v>
      </c>
      <c r="I7664" s="187">
        <v>16698.934679996379</v>
      </c>
      <c r="J7664" s="187">
        <v>945</v>
      </c>
      <c r="K7664" s="187">
        <v>18310.567997640472</v>
      </c>
      <c r="L7664" s="187">
        <v>26452</v>
      </c>
      <c r="M7664" s="187">
        <v>62406.50390625</v>
      </c>
      <c r="N7664" s="187">
        <v>43150.9375</v>
      </c>
      <c r="O7664" t="s">
        <v>7544</v>
      </c>
    </row>
    <row r="7665" spans="1:15" hidden="1" x14ac:dyDescent="0.45">
      <c r="A7665" s="187">
        <v>2026</v>
      </c>
      <c r="B7665" t="s">
        <v>316</v>
      </c>
      <c r="C7665" t="s">
        <v>322</v>
      </c>
      <c r="D7665" t="s">
        <v>35</v>
      </c>
      <c r="E7665" t="s">
        <v>38</v>
      </c>
      <c r="F7665" t="s">
        <v>38</v>
      </c>
      <c r="G7665" t="s">
        <v>36</v>
      </c>
      <c r="H7665" t="s">
        <v>43</v>
      </c>
      <c r="I7665" s="187">
        <v>294.08817491573433</v>
      </c>
      <c r="J7665" s="187">
        <v>60.579961124964001</v>
      </c>
      <c r="K7665" s="187">
        <v>1458.9170436381949</v>
      </c>
      <c r="L7665" s="187">
        <v>1826.2104644580056</v>
      </c>
      <c r="M7665" s="187">
        <v>3639.795654296875</v>
      </c>
      <c r="N7665" s="187">
        <v>2120.298583984375</v>
      </c>
      <c r="O7665" t="s">
        <v>7551</v>
      </c>
    </row>
    <row r="7666" spans="1:15" hidden="1" x14ac:dyDescent="0.45">
      <c r="A7666" s="187">
        <v>2026</v>
      </c>
      <c r="B7666" t="s">
        <v>312</v>
      </c>
      <c r="C7666" t="s">
        <v>322</v>
      </c>
      <c r="D7666" t="s">
        <v>35</v>
      </c>
      <c r="E7666" t="s">
        <v>38</v>
      </c>
      <c r="F7666" t="s">
        <v>38</v>
      </c>
      <c r="G7666" t="s">
        <v>36</v>
      </c>
      <c r="H7666" t="s">
        <v>43</v>
      </c>
      <c r="I7666" s="187">
        <v>323.69556459703392</v>
      </c>
      <c r="J7666" s="187">
        <v>123.65742359533402</v>
      </c>
      <c r="K7666" s="187">
        <v>1288.8979707904164</v>
      </c>
      <c r="L7666" s="187">
        <v>1778.1937513009034</v>
      </c>
      <c r="M7666" s="187">
        <v>3514.44482421875</v>
      </c>
      <c r="N7666" s="187">
        <v>2101.889404296875</v>
      </c>
      <c r="O7666" t="s">
        <v>7555</v>
      </c>
    </row>
    <row r="7667" spans="1:15" hidden="1" x14ac:dyDescent="0.45">
      <c r="A7667" s="187">
        <v>2026</v>
      </c>
      <c r="B7667" t="s">
        <v>317</v>
      </c>
      <c r="C7667" t="s">
        <v>322</v>
      </c>
      <c r="D7667" t="s">
        <v>35</v>
      </c>
      <c r="E7667" t="s">
        <v>38</v>
      </c>
      <c r="F7667" t="s">
        <v>38</v>
      </c>
      <c r="G7667" t="s">
        <v>36</v>
      </c>
      <c r="H7667" t="s">
        <v>43</v>
      </c>
      <c r="I7667" s="187">
        <v>536.93021033917137</v>
      </c>
      <c r="J7667" s="187">
        <v>59.428000262765714</v>
      </c>
      <c r="K7667" s="187">
        <v>3214.9729026256941</v>
      </c>
      <c r="L7667" s="187">
        <v>3029.7475043053646</v>
      </c>
      <c r="M7667" s="187">
        <v>6841.07861328125</v>
      </c>
      <c r="N7667" s="187">
        <v>3566.677734375</v>
      </c>
      <c r="O7667" t="s">
        <v>7553</v>
      </c>
    </row>
    <row r="7668" spans="1:15" hidden="1" x14ac:dyDescent="0.45">
      <c r="A7668" s="187">
        <v>2026</v>
      </c>
      <c r="B7668" t="s">
        <v>8570</v>
      </c>
      <c r="C7668" t="s">
        <v>322</v>
      </c>
      <c r="D7668" t="s">
        <v>35</v>
      </c>
      <c r="E7668" t="s">
        <v>38</v>
      </c>
      <c r="F7668" t="s">
        <v>38</v>
      </c>
      <c r="G7668" t="s">
        <v>36</v>
      </c>
      <c r="H7668" t="s">
        <v>43</v>
      </c>
      <c r="I7668" s="187">
        <v>468.94848000000007</v>
      </c>
      <c r="J7668" s="187">
        <v>55</v>
      </c>
      <c r="K7668" s="187">
        <v>2613.0956753134142</v>
      </c>
      <c r="L7668" s="187">
        <v>1860</v>
      </c>
      <c r="M7668" s="187">
        <v>4997.0439453125</v>
      </c>
      <c r="N7668" s="187">
        <v>2328.948486328125</v>
      </c>
      <c r="O7668" t="s">
        <v>9145</v>
      </c>
    </row>
    <row r="7669" spans="1:15" hidden="1" x14ac:dyDescent="0.45">
      <c r="A7669" s="187">
        <v>2026</v>
      </c>
      <c r="B7669" t="s">
        <v>315</v>
      </c>
      <c r="C7669" t="s">
        <v>322</v>
      </c>
      <c r="D7669" t="s">
        <v>35</v>
      </c>
      <c r="E7669" t="s">
        <v>38</v>
      </c>
      <c r="F7669" t="s">
        <v>38</v>
      </c>
      <c r="G7669" t="s">
        <v>36</v>
      </c>
      <c r="H7669" t="s">
        <v>43</v>
      </c>
      <c r="I7669" s="187">
        <v>171.10225595112743</v>
      </c>
      <c r="J7669" s="187">
        <v>67.967846171100106</v>
      </c>
      <c r="K7669" s="187">
        <v>1457.9657827976107</v>
      </c>
      <c r="L7669" s="187">
        <v>1745.6408491610878</v>
      </c>
      <c r="M7669" s="187">
        <v>3442.6767578125</v>
      </c>
      <c r="N7669" s="187">
        <v>1916.7430419921875</v>
      </c>
      <c r="O7669" t="s">
        <v>7552</v>
      </c>
    </row>
    <row r="7670" spans="1:15" hidden="1" x14ac:dyDescent="0.45">
      <c r="A7670" s="187">
        <v>2026</v>
      </c>
      <c r="B7670" t="s">
        <v>313</v>
      </c>
      <c r="C7670" t="s">
        <v>322</v>
      </c>
      <c r="D7670" t="s">
        <v>35</v>
      </c>
      <c r="E7670" t="s">
        <v>38</v>
      </c>
      <c r="F7670" t="s">
        <v>38</v>
      </c>
      <c r="G7670" t="s">
        <v>36</v>
      </c>
      <c r="H7670" t="s">
        <v>43</v>
      </c>
      <c r="I7670" s="187">
        <v>313.56976021250898</v>
      </c>
      <c r="J7670" s="187">
        <v>59.894593726603141</v>
      </c>
      <c r="K7670" s="187">
        <v>850.36754045178009</v>
      </c>
      <c r="L7670" s="187">
        <v>1792.046244299966</v>
      </c>
      <c r="M7670" s="187">
        <v>3015.878173828125</v>
      </c>
      <c r="N7670" s="187">
        <v>2105.615966796875</v>
      </c>
      <c r="O7670" t="s">
        <v>7554</v>
      </c>
    </row>
    <row r="7671" spans="1:15" hidden="1" x14ac:dyDescent="0.45">
      <c r="A7671" s="187">
        <v>2026</v>
      </c>
      <c r="B7671" t="s">
        <v>314</v>
      </c>
      <c r="C7671" t="s">
        <v>322</v>
      </c>
      <c r="D7671" t="s">
        <v>35</v>
      </c>
      <c r="E7671" t="s">
        <v>38</v>
      </c>
      <c r="F7671" t="s">
        <v>38</v>
      </c>
      <c r="G7671" t="s">
        <v>36</v>
      </c>
      <c r="H7671" t="s">
        <v>43</v>
      </c>
      <c r="I7671" s="187">
        <v>175.93917193502222</v>
      </c>
      <c r="J7671" s="187">
        <v>58.241033054944985</v>
      </c>
      <c r="K7671" s="187">
        <v>846.47858436372917</v>
      </c>
      <c r="L7671" s="187">
        <v>1720.4401164430749</v>
      </c>
      <c r="M7671" s="187">
        <v>2801.098876953125</v>
      </c>
      <c r="N7671" s="187">
        <v>1896.3792724609375</v>
      </c>
      <c r="O7671" t="s">
        <v>7550</v>
      </c>
    </row>
    <row r="7672" spans="1:15" hidden="1" x14ac:dyDescent="0.45">
      <c r="A7672" s="187">
        <v>2026</v>
      </c>
      <c r="B7672" t="s">
        <v>316</v>
      </c>
      <c r="C7672" t="s">
        <v>322</v>
      </c>
      <c r="D7672" t="s">
        <v>35</v>
      </c>
      <c r="E7672" t="s">
        <v>38</v>
      </c>
      <c r="F7672" t="s">
        <v>38</v>
      </c>
      <c r="G7672" t="s">
        <v>37</v>
      </c>
      <c r="H7672" t="s">
        <v>43</v>
      </c>
      <c r="I7672" s="187">
        <v>301</v>
      </c>
      <c r="J7672" s="187">
        <v>55</v>
      </c>
      <c r="K7672" s="187">
        <v>1464.9877592115411</v>
      </c>
      <c r="L7672" s="187">
        <v>1874.461882761801</v>
      </c>
      <c r="M7672" s="187">
        <v>3695.44970703125</v>
      </c>
      <c r="N7672" s="187">
        <v>2175.4619140625</v>
      </c>
      <c r="O7672" t="s">
        <v>7559</v>
      </c>
    </row>
    <row r="7673" spans="1:15" hidden="1" x14ac:dyDescent="0.45">
      <c r="A7673" s="187">
        <v>2026</v>
      </c>
      <c r="B7673" t="s">
        <v>314</v>
      </c>
      <c r="C7673" t="s">
        <v>322</v>
      </c>
      <c r="D7673" t="s">
        <v>35</v>
      </c>
      <c r="E7673" t="s">
        <v>38</v>
      </c>
      <c r="F7673" t="s">
        <v>38</v>
      </c>
      <c r="G7673" t="s">
        <v>37</v>
      </c>
      <c r="H7673" t="s">
        <v>43</v>
      </c>
      <c r="I7673" s="187">
        <v>177.05888249060411</v>
      </c>
      <c r="J7673" s="187">
        <v>59</v>
      </c>
      <c r="K7673" s="187">
        <v>853.01842038829113</v>
      </c>
      <c r="L7673" s="187">
        <v>1876.739486100739</v>
      </c>
      <c r="M7673" s="187">
        <v>2965.816650390625</v>
      </c>
      <c r="N7673" s="187">
        <v>2053.79833984375</v>
      </c>
      <c r="O7673" t="s">
        <v>7558</v>
      </c>
    </row>
    <row r="7674" spans="1:15" hidden="1" x14ac:dyDescent="0.45">
      <c r="A7674" s="187">
        <v>2026</v>
      </c>
      <c r="B7674" t="s">
        <v>315</v>
      </c>
      <c r="C7674" t="s">
        <v>322</v>
      </c>
      <c r="D7674" t="s">
        <v>35</v>
      </c>
      <c r="E7674" t="s">
        <v>38</v>
      </c>
      <c r="F7674" t="s">
        <v>38</v>
      </c>
      <c r="G7674" t="s">
        <v>37</v>
      </c>
      <c r="H7674" t="s">
        <v>43</v>
      </c>
      <c r="I7674" s="187">
        <v>173.53609966735669</v>
      </c>
      <c r="J7674" s="187">
        <v>68</v>
      </c>
      <c r="K7674" s="187">
        <v>1474.7342846086131</v>
      </c>
      <c r="L7674" s="187">
        <v>1770.124613847541</v>
      </c>
      <c r="M7674" s="187">
        <v>3486.39501953125</v>
      </c>
      <c r="N7674" s="187">
        <v>1943.6607666015625</v>
      </c>
      <c r="O7674" t="s">
        <v>7557</v>
      </c>
    </row>
    <row r="7675" spans="1:15" hidden="1" x14ac:dyDescent="0.45">
      <c r="A7675" s="187">
        <v>2026</v>
      </c>
      <c r="B7675" t="s">
        <v>313</v>
      </c>
      <c r="C7675" t="s">
        <v>322</v>
      </c>
      <c r="D7675" t="s">
        <v>35</v>
      </c>
      <c r="E7675" t="s">
        <v>38</v>
      </c>
      <c r="F7675" t="s">
        <v>38</v>
      </c>
      <c r="G7675" t="s">
        <v>37</v>
      </c>
      <c r="H7675" t="s">
        <v>43</v>
      </c>
      <c r="I7675" s="187">
        <v>312.19254544372336</v>
      </c>
      <c r="J7675" s="187">
        <v>60</v>
      </c>
      <c r="K7675" s="187">
        <v>844.58575219770444</v>
      </c>
      <c r="L7675" s="187">
        <v>1808.2870995011931</v>
      </c>
      <c r="M7675" s="187">
        <v>3025.0654296875</v>
      </c>
      <c r="N7675" s="187">
        <v>2120.479736328125</v>
      </c>
      <c r="O7675" t="s">
        <v>7561</v>
      </c>
    </row>
    <row r="7676" spans="1:15" hidden="1" x14ac:dyDescent="0.45">
      <c r="A7676" s="187">
        <v>2026</v>
      </c>
      <c r="B7676" t="s">
        <v>8570</v>
      </c>
      <c r="C7676" t="s">
        <v>322</v>
      </c>
      <c r="D7676" t="s">
        <v>35</v>
      </c>
      <c r="E7676" t="s">
        <v>38</v>
      </c>
      <c r="F7676" t="s">
        <v>38</v>
      </c>
      <c r="G7676" t="s">
        <v>37</v>
      </c>
      <c r="H7676" t="s">
        <v>43</v>
      </c>
      <c r="I7676" s="187">
        <v>507.60491613511681</v>
      </c>
      <c r="J7676" s="187">
        <v>55</v>
      </c>
      <c r="K7676" s="187">
        <v>2840.9671600477841</v>
      </c>
      <c r="L7676" s="187">
        <v>2189</v>
      </c>
      <c r="M7676" s="187">
        <v>5592.572265625</v>
      </c>
      <c r="N7676" s="187">
        <v>2696.60498046875</v>
      </c>
      <c r="O7676" t="s">
        <v>9146</v>
      </c>
    </row>
    <row r="7677" spans="1:15" hidden="1" x14ac:dyDescent="0.45">
      <c r="A7677" s="187">
        <v>2026</v>
      </c>
      <c r="B7677" t="s">
        <v>312</v>
      </c>
      <c r="C7677" t="s">
        <v>322</v>
      </c>
      <c r="D7677" t="s">
        <v>35</v>
      </c>
      <c r="E7677" t="s">
        <v>38</v>
      </c>
      <c r="F7677" t="s">
        <v>38</v>
      </c>
      <c r="G7677" t="s">
        <v>37</v>
      </c>
      <c r="H7677" t="s">
        <v>43</v>
      </c>
      <c r="I7677" s="187">
        <v>313.7535081709421</v>
      </c>
      <c r="J7677" s="187">
        <v>122</v>
      </c>
      <c r="K7677" s="187">
        <v>1266.6559058776411</v>
      </c>
      <c r="L7677" s="187">
        <v>1764</v>
      </c>
      <c r="M7677" s="187">
        <v>3466.409423828125</v>
      </c>
      <c r="N7677" s="187">
        <v>2077.75341796875</v>
      </c>
      <c r="O7677" t="s">
        <v>7560</v>
      </c>
    </row>
    <row r="7678" spans="1:15" hidden="1" x14ac:dyDescent="0.45">
      <c r="A7678" s="187">
        <v>2026</v>
      </c>
      <c r="B7678" t="s">
        <v>317</v>
      </c>
      <c r="C7678" t="s">
        <v>322</v>
      </c>
      <c r="D7678" t="s">
        <v>35</v>
      </c>
      <c r="E7678" t="s">
        <v>38</v>
      </c>
      <c r="F7678" t="s">
        <v>38</v>
      </c>
      <c r="G7678" t="s">
        <v>37</v>
      </c>
      <c r="H7678" t="s">
        <v>43</v>
      </c>
      <c r="I7678" s="187">
        <v>549.52680708020284</v>
      </c>
      <c r="J7678" s="187">
        <v>55</v>
      </c>
      <c r="K7678" s="187">
        <v>3265.0854190635828</v>
      </c>
      <c r="L7678" s="187">
        <v>3060</v>
      </c>
      <c r="M7678" s="187">
        <v>6929.6123046875</v>
      </c>
      <c r="N7678" s="187">
        <v>3609.52685546875</v>
      </c>
      <c r="O7678" t="s">
        <v>7556</v>
      </c>
    </row>
    <row r="7679" spans="1:15" hidden="1" x14ac:dyDescent="0.45">
      <c r="A7679" s="187">
        <v>2026</v>
      </c>
      <c r="B7679" t="s">
        <v>313</v>
      </c>
      <c r="C7679" t="s">
        <v>322</v>
      </c>
      <c r="D7679" t="s">
        <v>35</v>
      </c>
      <c r="E7679" t="s">
        <v>354</v>
      </c>
      <c r="F7679" t="s">
        <v>384</v>
      </c>
      <c r="G7679" t="s">
        <v>36</v>
      </c>
      <c r="H7679" t="s">
        <v>43</v>
      </c>
      <c r="I7679" s="187"/>
      <c r="J7679" s="187">
        <v>0</v>
      </c>
      <c r="K7679" s="187">
        <v>0</v>
      </c>
      <c r="L7679" s="187">
        <v>0</v>
      </c>
      <c r="M7679" s="187">
        <v>0</v>
      </c>
      <c r="N7679" s="187">
        <v>0</v>
      </c>
      <c r="O7679" t="s">
        <v>7566</v>
      </c>
    </row>
    <row r="7680" spans="1:15" hidden="1" x14ac:dyDescent="0.45">
      <c r="A7680" s="187">
        <v>2026</v>
      </c>
      <c r="B7680" t="s">
        <v>312</v>
      </c>
      <c r="C7680" t="s">
        <v>322</v>
      </c>
      <c r="D7680" t="s">
        <v>35</v>
      </c>
      <c r="E7680" t="s">
        <v>354</v>
      </c>
      <c r="F7680" t="s">
        <v>384</v>
      </c>
      <c r="G7680" t="s">
        <v>36</v>
      </c>
      <c r="H7680" t="s">
        <v>43</v>
      </c>
      <c r="I7680" s="187"/>
      <c r="J7680" s="187">
        <v>0</v>
      </c>
      <c r="K7680" s="187">
        <v>0</v>
      </c>
      <c r="L7680" s="187">
        <v>0</v>
      </c>
      <c r="M7680" s="187">
        <v>0</v>
      </c>
      <c r="N7680" s="187">
        <v>0</v>
      </c>
      <c r="O7680" t="s">
        <v>7565</v>
      </c>
    </row>
    <row r="7681" spans="1:15" hidden="1" x14ac:dyDescent="0.45">
      <c r="A7681" s="187">
        <v>2026</v>
      </c>
      <c r="B7681" t="s">
        <v>317</v>
      </c>
      <c r="C7681" t="s">
        <v>322</v>
      </c>
      <c r="D7681" t="s">
        <v>35</v>
      </c>
      <c r="E7681" t="s">
        <v>354</v>
      </c>
      <c r="F7681" t="s">
        <v>384</v>
      </c>
      <c r="G7681" t="s">
        <v>36</v>
      </c>
      <c r="H7681" t="s">
        <v>43</v>
      </c>
      <c r="I7681" s="187">
        <v>0</v>
      </c>
      <c r="J7681" s="187">
        <v>43.220363827465974</v>
      </c>
      <c r="K7681" s="187">
        <v>0</v>
      </c>
      <c r="L7681" s="187">
        <v>0</v>
      </c>
      <c r="M7681" s="187">
        <v>43.220363616943359</v>
      </c>
      <c r="N7681" s="187">
        <v>0</v>
      </c>
      <c r="O7681" t="s">
        <v>7563</v>
      </c>
    </row>
    <row r="7682" spans="1:15" hidden="1" x14ac:dyDescent="0.45">
      <c r="A7682" s="187">
        <v>2026</v>
      </c>
      <c r="B7682" t="s">
        <v>315</v>
      </c>
      <c r="C7682" t="s">
        <v>322</v>
      </c>
      <c r="D7682" t="s">
        <v>35</v>
      </c>
      <c r="E7682" t="s">
        <v>354</v>
      </c>
      <c r="F7682" t="s">
        <v>384</v>
      </c>
      <c r="G7682" t="s">
        <v>36</v>
      </c>
      <c r="H7682" t="s">
        <v>43</v>
      </c>
      <c r="I7682" s="187">
        <v>0</v>
      </c>
      <c r="J7682" s="187">
        <v>0</v>
      </c>
      <c r="K7682" s="187">
        <v>0</v>
      </c>
      <c r="L7682" s="187">
        <v>0</v>
      </c>
      <c r="M7682" s="187">
        <v>0</v>
      </c>
      <c r="N7682" s="187">
        <v>0</v>
      </c>
      <c r="O7682" t="s">
        <v>7564</v>
      </c>
    </row>
    <row r="7683" spans="1:15" hidden="1" x14ac:dyDescent="0.45">
      <c r="A7683" s="187">
        <v>2026</v>
      </c>
      <c r="B7683" t="s">
        <v>8570</v>
      </c>
      <c r="C7683" t="s">
        <v>322</v>
      </c>
      <c r="D7683" t="s">
        <v>35</v>
      </c>
      <c r="E7683" t="s">
        <v>354</v>
      </c>
      <c r="F7683" t="s">
        <v>384</v>
      </c>
      <c r="G7683" t="s">
        <v>36</v>
      </c>
      <c r="H7683" t="s">
        <v>43</v>
      </c>
      <c r="I7683" s="187">
        <v>0</v>
      </c>
      <c r="J7683" s="187">
        <v>40</v>
      </c>
      <c r="K7683" s="187">
        <v>0</v>
      </c>
      <c r="L7683" s="187">
        <v>0</v>
      </c>
      <c r="M7683" s="187">
        <v>40</v>
      </c>
      <c r="N7683" s="187">
        <v>0</v>
      </c>
      <c r="O7683" t="s">
        <v>9147</v>
      </c>
    </row>
    <row r="7684" spans="1:15" hidden="1" x14ac:dyDescent="0.45">
      <c r="A7684" s="187">
        <v>2026</v>
      </c>
      <c r="B7684" t="s">
        <v>316</v>
      </c>
      <c r="C7684" t="s">
        <v>322</v>
      </c>
      <c r="D7684" t="s">
        <v>35</v>
      </c>
      <c r="E7684" t="s">
        <v>354</v>
      </c>
      <c r="F7684" t="s">
        <v>384</v>
      </c>
      <c r="G7684" t="s">
        <v>36</v>
      </c>
      <c r="H7684" t="s">
        <v>43</v>
      </c>
      <c r="I7684" s="187">
        <v>0</v>
      </c>
      <c r="J7684" s="187">
        <v>44.058153545428361</v>
      </c>
      <c r="K7684" s="187">
        <v>0</v>
      </c>
      <c r="L7684" s="187">
        <v>0</v>
      </c>
      <c r="M7684" s="187">
        <v>44.058155059814453</v>
      </c>
      <c r="N7684" s="187">
        <v>0</v>
      </c>
      <c r="O7684" t="s">
        <v>7567</v>
      </c>
    </row>
    <row r="7685" spans="1:15" hidden="1" x14ac:dyDescent="0.45">
      <c r="A7685" s="187">
        <v>2026</v>
      </c>
      <c r="B7685" t="s">
        <v>314</v>
      </c>
      <c r="C7685" t="s">
        <v>322</v>
      </c>
      <c r="D7685" t="s">
        <v>35</v>
      </c>
      <c r="E7685" t="s">
        <v>354</v>
      </c>
      <c r="F7685" t="s">
        <v>384</v>
      </c>
      <c r="G7685" t="s">
        <v>36</v>
      </c>
      <c r="H7685" t="s">
        <v>43</v>
      </c>
      <c r="I7685" s="187">
        <v>0</v>
      </c>
      <c r="J7685" s="187">
        <v>0</v>
      </c>
      <c r="K7685" s="187">
        <v>0</v>
      </c>
      <c r="L7685" s="187">
        <v>0</v>
      </c>
      <c r="M7685" s="187">
        <v>0</v>
      </c>
      <c r="N7685" s="187">
        <v>0</v>
      </c>
      <c r="O7685" t="s">
        <v>7562</v>
      </c>
    </row>
    <row r="7686" spans="1:15" hidden="1" x14ac:dyDescent="0.45">
      <c r="A7686" s="187">
        <v>2026</v>
      </c>
      <c r="B7686" t="s">
        <v>314</v>
      </c>
      <c r="C7686" t="s">
        <v>322</v>
      </c>
      <c r="D7686" t="s">
        <v>35</v>
      </c>
      <c r="E7686" t="s">
        <v>354</v>
      </c>
      <c r="F7686" t="s">
        <v>384</v>
      </c>
      <c r="G7686" t="s">
        <v>37</v>
      </c>
      <c r="H7686" t="s">
        <v>43</v>
      </c>
      <c r="I7686" s="187">
        <v>0</v>
      </c>
      <c r="J7686" s="187">
        <v>0</v>
      </c>
      <c r="K7686" s="187">
        <v>0</v>
      </c>
      <c r="L7686" s="187">
        <v>0</v>
      </c>
      <c r="M7686" s="187">
        <v>0</v>
      </c>
      <c r="N7686" s="187">
        <v>0</v>
      </c>
      <c r="O7686" t="s">
        <v>7569</v>
      </c>
    </row>
    <row r="7687" spans="1:15" hidden="1" x14ac:dyDescent="0.45">
      <c r="A7687" s="187">
        <v>2026</v>
      </c>
      <c r="B7687" t="s">
        <v>313</v>
      </c>
      <c r="C7687" t="s">
        <v>322</v>
      </c>
      <c r="D7687" t="s">
        <v>35</v>
      </c>
      <c r="E7687" t="s">
        <v>354</v>
      </c>
      <c r="F7687" t="s">
        <v>384</v>
      </c>
      <c r="G7687" t="s">
        <v>37</v>
      </c>
      <c r="H7687" t="s">
        <v>43</v>
      </c>
      <c r="I7687" s="187"/>
      <c r="J7687" s="187">
        <v>0</v>
      </c>
      <c r="K7687" s="187">
        <v>0</v>
      </c>
      <c r="L7687" s="187">
        <v>0</v>
      </c>
      <c r="M7687" s="187">
        <v>0</v>
      </c>
      <c r="N7687" s="187">
        <v>0</v>
      </c>
      <c r="O7687" t="s">
        <v>7571</v>
      </c>
    </row>
    <row r="7688" spans="1:15" hidden="1" x14ac:dyDescent="0.45">
      <c r="A7688" s="187">
        <v>2026</v>
      </c>
      <c r="B7688" t="s">
        <v>315</v>
      </c>
      <c r="C7688" t="s">
        <v>322</v>
      </c>
      <c r="D7688" t="s">
        <v>35</v>
      </c>
      <c r="E7688" t="s">
        <v>354</v>
      </c>
      <c r="F7688" t="s">
        <v>384</v>
      </c>
      <c r="G7688" t="s">
        <v>37</v>
      </c>
      <c r="H7688" t="s">
        <v>43</v>
      </c>
      <c r="I7688" s="187">
        <v>0</v>
      </c>
      <c r="J7688" s="187">
        <v>0</v>
      </c>
      <c r="K7688" s="187">
        <v>0</v>
      </c>
      <c r="L7688" s="187">
        <v>0</v>
      </c>
      <c r="M7688" s="187">
        <v>0</v>
      </c>
      <c r="N7688" s="187">
        <v>0</v>
      </c>
      <c r="O7688" t="s">
        <v>7573</v>
      </c>
    </row>
    <row r="7689" spans="1:15" hidden="1" x14ac:dyDescent="0.45">
      <c r="A7689" s="187">
        <v>2026</v>
      </c>
      <c r="B7689" t="s">
        <v>316</v>
      </c>
      <c r="C7689" t="s">
        <v>322</v>
      </c>
      <c r="D7689" t="s">
        <v>35</v>
      </c>
      <c r="E7689" t="s">
        <v>354</v>
      </c>
      <c r="F7689" t="s">
        <v>384</v>
      </c>
      <c r="G7689" t="s">
        <v>37</v>
      </c>
      <c r="H7689" t="s">
        <v>43</v>
      </c>
      <c r="I7689" s="187">
        <v>0</v>
      </c>
      <c r="J7689" s="187">
        <v>40</v>
      </c>
      <c r="K7689" s="187">
        <v>0</v>
      </c>
      <c r="L7689" s="187">
        <v>0</v>
      </c>
      <c r="M7689" s="187">
        <v>40</v>
      </c>
      <c r="N7689" s="187">
        <v>0</v>
      </c>
      <c r="O7689" t="s">
        <v>7568</v>
      </c>
    </row>
    <row r="7690" spans="1:15" hidden="1" x14ac:dyDescent="0.45">
      <c r="A7690" s="187">
        <v>2026</v>
      </c>
      <c r="B7690" t="s">
        <v>312</v>
      </c>
      <c r="C7690" t="s">
        <v>322</v>
      </c>
      <c r="D7690" t="s">
        <v>35</v>
      </c>
      <c r="E7690" t="s">
        <v>354</v>
      </c>
      <c r="F7690" t="s">
        <v>384</v>
      </c>
      <c r="G7690" t="s">
        <v>37</v>
      </c>
      <c r="H7690" t="s">
        <v>43</v>
      </c>
      <c r="I7690" s="187"/>
      <c r="J7690" s="187">
        <v>0</v>
      </c>
      <c r="K7690" s="187">
        <v>0</v>
      </c>
      <c r="L7690" s="187">
        <v>0</v>
      </c>
      <c r="M7690" s="187">
        <v>0</v>
      </c>
      <c r="N7690" s="187">
        <v>0</v>
      </c>
      <c r="O7690" t="s">
        <v>7572</v>
      </c>
    </row>
    <row r="7691" spans="1:15" hidden="1" x14ac:dyDescent="0.45">
      <c r="A7691" s="187">
        <v>2026</v>
      </c>
      <c r="B7691" t="s">
        <v>317</v>
      </c>
      <c r="C7691" t="s">
        <v>322</v>
      </c>
      <c r="D7691" t="s">
        <v>35</v>
      </c>
      <c r="E7691" t="s">
        <v>354</v>
      </c>
      <c r="F7691" t="s">
        <v>384</v>
      </c>
      <c r="G7691" t="s">
        <v>37</v>
      </c>
      <c r="H7691" t="s">
        <v>43</v>
      </c>
      <c r="I7691" s="187">
        <v>0</v>
      </c>
      <c r="J7691" s="187">
        <v>40</v>
      </c>
      <c r="K7691" s="187">
        <v>0</v>
      </c>
      <c r="L7691" s="187">
        <v>0</v>
      </c>
      <c r="M7691" s="187">
        <v>40</v>
      </c>
      <c r="N7691" s="187">
        <v>0</v>
      </c>
      <c r="O7691" t="s">
        <v>7570</v>
      </c>
    </row>
    <row r="7692" spans="1:15" hidden="1" x14ac:dyDescent="0.45">
      <c r="A7692" s="187">
        <v>2026</v>
      </c>
      <c r="B7692" t="s">
        <v>8570</v>
      </c>
      <c r="C7692" t="s">
        <v>322</v>
      </c>
      <c r="D7692" t="s">
        <v>35</v>
      </c>
      <c r="E7692" t="s">
        <v>354</v>
      </c>
      <c r="F7692" t="s">
        <v>384</v>
      </c>
      <c r="G7692" t="s">
        <v>37</v>
      </c>
      <c r="H7692" t="s">
        <v>43</v>
      </c>
      <c r="I7692" s="187">
        <v>0</v>
      </c>
      <c r="J7692" s="187">
        <v>40</v>
      </c>
      <c r="K7692" s="187">
        <v>0</v>
      </c>
      <c r="L7692" s="187">
        <v>0</v>
      </c>
      <c r="M7692" s="187">
        <v>40</v>
      </c>
      <c r="N7692" s="187">
        <v>0</v>
      </c>
      <c r="O7692" t="s">
        <v>9148</v>
      </c>
    </row>
    <row r="7693" spans="1:15" hidden="1" x14ac:dyDescent="0.45">
      <c r="A7693" s="187">
        <v>2026</v>
      </c>
      <c r="B7693" t="s">
        <v>8570</v>
      </c>
      <c r="C7693" t="s">
        <v>322</v>
      </c>
      <c r="D7693" t="s">
        <v>35</v>
      </c>
      <c r="E7693" t="s">
        <v>354</v>
      </c>
      <c r="F7693" t="s">
        <v>385</v>
      </c>
      <c r="G7693" t="s">
        <v>36</v>
      </c>
      <c r="H7693" t="s">
        <v>43</v>
      </c>
      <c r="I7693" s="187">
        <v>68.520587520000007</v>
      </c>
      <c r="J7693" s="187">
        <v>20</v>
      </c>
      <c r="K7693" s="187">
        <v>2191.885895237956</v>
      </c>
      <c r="L7693" s="187">
        <v>468</v>
      </c>
      <c r="M7693" s="187">
        <v>2748.406494140625</v>
      </c>
      <c r="N7693" s="187">
        <v>536.52056884765625</v>
      </c>
      <c r="O7693" t="s">
        <v>9149</v>
      </c>
    </row>
    <row r="7694" spans="1:15" hidden="1" x14ac:dyDescent="0.45">
      <c r="A7694" s="187">
        <v>2026</v>
      </c>
      <c r="B7694" t="s">
        <v>316</v>
      </c>
      <c r="C7694" t="s">
        <v>322</v>
      </c>
      <c r="D7694" t="s">
        <v>35</v>
      </c>
      <c r="E7694" t="s">
        <v>354</v>
      </c>
      <c r="F7694" t="s">
        <v>385</v>
      </c>
      <c r="G7694" t="s">
        <v>36</v>
      </c>
      <c r="H7694" t="s">
        <v>43</v>
      </c>
      <c r="I7694" s="187">
        <v>0</v>
      </c>
      <c r="J7694" s="187">
        <v>22.029076772714181</v>
      </c>
      <c r="K7694" s="187">
        <v>990.24493960957602</v>
      </c>
      <c r="L7694" s="187">
        <v>58.377053447692582</v>
      </c>
      <c r="M7694" s="187">
        <v>1070.6510009765625</v>
      </c>
      <c r="N7694" s="187">
        <v>58.377052307128906</v>
      </c>
      <c r="O7694" t="s">
        <v>7578</v>
      </c>
    </row>
    <row r="7695" spans="1:15" hidden="1" x14ac:dyDescent="0.45">
      <c r="A7695" s="187">
        <v>2026</v>
      </c>
      <c r="B7695" t="s">
        <v>313</v>
      </c>
      <c r="C7695" t="s">
        <v>322</v>
      </c>
      <c r="D7695" t="s">
        <v>35</v>
      </c>
      <c r="E7695" t="s">
        <v>354</v>
      </c>
      <c r="F7695" t="s">
        <v>385</v>
      </c>
      <c r="G7695" t="s">
        <v>36</v>
      </c>
      <c r="H7695" t="s">
        <v>43</v>
      </c>
      <c r="I7695" s="187"/>
      <c r="J7695" s="187">
        <v>47.915674981282514</v>
      </c>
      <c r="K7695" s="187">
        <v>4083.0954456579461</v>
      </c>
      <c r="L7695" s="187">
        <v>0</v>
      </c>
      <c r="M7695" s="187">
        <v>4131.01123046875</v>
      </c>
      <c r="N7695" s="187">
        <v>0</v>
      </c>
      <c r="O7695" t="s">
        <v>7575</v>
      </c>
    </row>
    <row r="7696" spans="1:15" hidden="1" x14ac:dyDescent="0.45">
      <c r="A7696" s="187">
        <v>2026</v>
      </c>
      <c r="B7696" t="s">
        <v>315</v>
      </c>
      <c r="C7696" t="s">
        <v>322</v>
      </c>
      <c r="D7696" t="s">
        <v>35</v>
      </c>
      <c r="E7696" t="s">
        <v>354</v>
      </c>
      <c r="F7696" t="s">
        <v>385</v>
      </c>
      <c r="G7696" t="s">
        <v>36</v>
      </c>
      <c r="H7696" t="s">
        <v>43</v>
      </c>
      <c r="I7696" s="187">
        <v>0</v>
      </c>
      <c r="J7696" s="187">
        <v>45.311897447400071</v>
      </c>
      <c r="K7696" s="187">
        <v>1312.7263078337821</v>
      </c>
      <c r="L7696" s="187">
        <v>58.905466681620091</v>
      </c>
      <c r="M7696" s="187">
        <v>1416.9437255859375</v>
      </c>
      <c r="N7696" s="187">
        <v>58.905467987060547</v>
      </c>
      <c r="O7696" t="s">
        <v>7574</v>
      </c>
    </row>
    <row r="7697" spans="1:15" hidden="1" x14ac:dyDescent="0.45">
      <c r="A7697" s="187">
        <v>2026</v>
      </c>
      <c r="B7697" t="s">
        <v>314</v>
      </c>
      <c r="C7697" t="s">
        <v>322</v>
      </c>
      <c r="D7697" t="s">
        <v>35</v>
      </c>
      <c r="E7697" t="s">
        <v>354</v>
      </c>
      <c r="F7697" t="s">
        <v>385</v>
      </c>
      <c r="G7697" t="s">
        <v>36</v>
      </c>
      <c r="H7697" t="s">
        <v>43</v>
      </c>
      <c r="I7697" s="187">
        <v>0</v>
      </c>
      <c r="J7697" s="187">
        <v>46.592826443955992</v>
      </c>
      <c r="K7697" s="187">
        <v>1348.6849743357054</v>
      </c>
      <c r="L7697" s="187">
        <v>0</v>
      </c>
      <c r="M7697" s="187">
        <v>1395.27783203125</v>
      </c>
      <c r="N7697" s="187">
        <v>0</v>
      </c>
      <c r="O7697" t="s">
        <v>7576</v>
      </c>
    </row>
    <row r="7698" spans="1:15" hidden="1" x14ac:dyDescent="0.45">
      <c r="A7698" s="187">
        <v>2026</v>
      </c>
      <c r="B7698" t="s">
        <v>317</v>
      </c>
      <c r="C7698" t="s">
        <v>322</v>
      </c>
      <c r="D7698" t="s">
        <v>35</v>
      </c>
      <c r="E7698" t="s">
        <v>354</v>
      </c>
      <c r="F7698" t="s">
        <v>385</v>
      </c>
      <c r="G7698" t="s">
        <v>36</v>
      </c>
      <c r="H7698" t="s">
        <v>43</v>
      </c>
      <c r="I7698" s="187">
        <v>54.025454784332467</v>
      </c>
      <c r="J7698" s="187">
        <v>21.610181913732987</v>
      </c>
      <c r="K7698" s="187">
        <v>1166.0121104704021</v>
      </c>
      <c r="L7698" s="187">
        <v>387.90276535150713</v>
      </c>
      <c r="M7698" s="187">
        <v>1629.5504150390625</v>
      </c>
      <c r="N7698" s="187">
        <v>441.92822265625</v>
      </c>
      <c r="O7698" t="s">
        <v>7579</v>
      </c>
    </row>
    <row r="7699" spans="1:15" hidden="1" x14ac:dyDescent="0.45">
      <c r="A7699" s="187">
        <v>2026</v>
      </c>
      <c r="B7699" t="s">
        <v>312</v>
      </c>
      <c r="C7699" t="s">
        <v>322</v>
      </c>
      <c r="D7699" t="s">
        <v>35</v>
      </c>
      <c r="E7699" t="s">
        <v>354</v>
      </c>
      <c r="F7699" t="s">
        <v>385</v>
      </c>
      <c r="G7699" t="s">
        <v>36</v>
      </c>
      <c r="H7699" t="s">
        <v>43</v>
      </c>
      <c r="I7699" s="187"/>
      <c r="J7699" s="187">
        <v>43.280098258366905</v>
      </c>
      <c r="K7699" s="187">
        <v>3524.6676730835206</v>
      </c>
      <c r="L7699" s="187">
        <v>0</v>
      </c>
      <c r="M7699" s="187">
        <v>3567.94775390625</v>
      </c>
      <c r="N7699" s="187">
        <v>0</v>
      </c>
      <c r="O7699" t="s">
        <v>7577</v>
      </c>
    </row>
    <row r="7700" spans="1:15" hidden="1" x14ac:dyDescent="0.45">
      <c r="A7700" s="187">
        <v>2026</v>
      </c>
      <c r="B7700" t="s">
        <v>315</v>
      </c>
      <c r="C7700" t="s">
        <v>322</v>
      </c>
      <c r="D7700" t="s">
        <v>35</v>
      </c>
      <c r="E7700" t="s">
        <v>354</v>
      </c>
      <c r="F7700" t="s">
        <v>385</v>
      </c>
      <c r="G7700" t="s">
        <v>37</v>
      </c>
      <c r="H7700" t="s">
        <v>43</v>
      </c>
      <c r="I7700" s="187">
        <v>0</v>
      </c>
      <c r="J7700" s="187">
        <v>45</v>
      </c>
      <c r="K7700" s="187">
        <v>1327.824366876034</v>
      </c>
      <c r="L7700" s="187">
        <v>59.731654717762559</v>
      </c>
      <c r="M7700" s="187">
        <v>1432.5560302734375</v>
      </c>
      <c r="N7700" s="187">
        <v>59.731655120849609</v>
      </c>
      <c r="O7700" t="s">
        <v>7580</v>
      </c>
    </row>
    <row r="7701" spans="1:15" hidden="1" x14ac:dyDescent="0.45">
      <c r="A7701" s="187">
        <v>2026</v>
      </c>
      <c r="B7701" t="s">
        <v>312</v>
      </c>
      <c r="C7701" t="s">
        <v>322</v>
      </c>
      <c r="D7701" t="s">
        <v>35</v>
      </c>
      <c r="E7701" t="s">
        <v>354</v>
      </c>
      <c r="F7701" t="s">
        <v>385</v>
      </c>
      <c r="G7701" t="s">
        <v>37</v>
      </c>
      <c r="H7701" t="s">
        <v>43</v>
      </c>
      <c r="I7701" s="187"/>
      <c r="J7701" s="187">
        <v>43</v>
      </c>
      <c r="K7701" s="187">
        <v>3463.8437064412201</v>
      </c>
      <c r="L7701" s="187">
        <v>0</v>
      </c>
      <c r="M7701" s="187">
        <v>3506.84375</v>
      </c>
      <c r="N7701" s="187">
        <v>0</v>
      </c>
      <c r="O7701" t="s">
        <v>7583</v>
      </c>
    </row>
    <row r="7702" spans="1:15" hidden="1" x14ac:dyDescent="0.45">
      <c r="A7702" s="187">
        <v>2026</v>
      </c>
      <c r="B7702" t="s">
        <v>316</v>
      </c>
      <c r="C7702" t="s">
        <v>322</v>
      </c>
      <c r="D7702" t="s">
        <v>35</v>
      </c>
      <c r="E7702" t="s">
        <v>354</v>
      </c>
      <c r="F7702" t="s">
        <v>385</v>
      </c>
      <c r="G7702" t="s">
        <v>37</v>
      </c>
      <c r="H7702" t="s">
        <v>43</v>
      </c>
      <c r="I7702" s="187">
        <v>0</v>
      </c>
      <c r="J7702" s="187">
        <v>20</v>
      </c>
      <c r="K7702" s="187">
        <v>994.36545859489411</v>
      </c>
      <c r="L7702" s="187">
        <v>59.919469111203519</v>
      </c>
      <c r="M7702" s="187">
        <v>1074.284912109375</v>
      </c>
      <c r="N7702" s="187">
        <v>59.919467926025391</v>
      </c>
      <c r="O7702" t="s">
        <v>7581</v>
      </c>
    </row>
    <row r="7703" spans="1:15" hidden="1" x14ac:dyDescent="0.45">
      <c r="A7703" s="187">
        <v>2026</v>
      </c>
      <c r="B7703" t="s">
        <v>8570</v>
      </c>
      <c r="C7703" t="s">
        <v>322</v>
      </c>
      <c r="D7703" t="s">
        <v>35</v>
      </c>
      <c r="E7703" t="s">
        <v>354</v>
      </c>
      <c r="F7703" t="s">
        <v>385</v>
      </c>
      <c r="G7703" t="s">
        <v>37</v>
      </c>
      <c r="H7703" t="s">
        <v>43</v>
      </c>
      <c r="I7703" s="187">
        <v>74.168887553742636</v>
      </c>
      <c r="J7703" s="187">
        <v>20</v>
      </c>
      <c r="K7703" s="187">
        <v>2383.0263490815719</v>
      </c>
      <c r="L7703" s="187">
        <v>551</v>
      </c>
      <c r="M7703" s="187">
        <v>3028.1953125</v>
      </c>
      <c r="N7703" s="187">
        <v>625.16888427734375</v>
      </c>
      <c r="O7703" t="s">
        <v>9150</v>
      </c>
    </row>
    <row r="7704" spans="1:15" hidden="1" x14ac:dyDescent="0.45">
      <c r="A7704" s="187">
        <v>2026</v>
      </c>
      <c r="B7704" t="s">
        <v>314</v>
      </c>
      <c r="C7704" t="s">
        <v>322</v>
      </c>
      <c r="D7704" t="s">
        <v>35</v>
      </c>
      <c r="E7704" t="s">
        <v>354</v>
      </c>
      <c r="F7704" t="s">
        <v>385</v>
      </c>
      <c r="G7704" t="s">
        <v>37</v>
      </c>
      <c r="H7704" t="s">
        <v>43</v>
      </c>
      <c r="I7704" s="187">
        <v>0</v>
      </c>
      <c r="J7704" s="187">
        <v>47</v>
      </c>
      <c r="K7704" s="187">
        <v>1359.1048228042589</v>
      </c>
      <c r="L7704" s="187">
        <v>0</v>
      </c>
      <c r="M7704" s="187">
        <v>1406.1048583984375</v>
      </c>
      <c r="N7704" s="187">
        <v>0</v>
      </c>
      <c r="O7704" t="s">
        <v>7584</v>
      </c>
    </row>
    <row r="7705" spans="1:15" hidden="1" x14ac:dyDescent="0.45">
      <c r="A7705" s="187">
        <v>2026</v>
      </c>
      <c r="B7705" t="s">
        <v>313</v>
      </c>
      <c r="C7705" t="s">
        <v>322</v>
      </c>
      <c r="D7705" t="s">
        <v>35</v>
      </c>
      <c r="E7705" t="s">
        <v>354</v>
      </c>
      <c r="F7705" t="s">
        <v>385</v>
      </c>
      <c r="G7705" t="s">
        <v>37</v>
      </c>
      <c r="H7705" t="s">
        <v>43</v>
      </c>
      <c r="I7705" s="187"/>
      <c r="J7705" s="187">
        <v>48</v>
      </c>
      <c r="K7705" s="187">
        <v>4055.3338106413589</v>
      </c>
      <c r="L7705" s="187">
        <v>0</v>
      </c>
      <c r="M7705" s="187">
        <v>4103.333984375</v>
      </c>
      <c r="N7705" s="187">
        <v>0</v>
      </c>
      <c r="O7705" t="s">
        <v>7585</v>
      </c>
    </row>
    <row r="7706" spans="1:15" hidden="1" x14ac:dyDescent="0.45">
      <c r="A7706" s="187">
        <v>2026</v>
      </c>
      <c r="B7706" t="s">
        <v>317</v>
      </c>
      <c r="C7706" t="s">
        <v>322</v>
      </c>
      <c r="D7706" t="s">
        <v>35</v>
      </c>
      <c r="E7706" t="s">
        <v>354</v>
      </c>
      <c r="F7706" t="s">
        <v>385</v>
      </c>
      <c r="G7706" t="s">
        <v>37</v>
      </c>
      <c r="H7706" t="s">
        <v>43</v>
      </c>
      <c r="I7706" s="187">
        <v>55.204040160000012</v>
      </c>
      <c r="J7706" s="187">
        <v>20</v>
      </c>
      <c r="K7706" s="187">
        <v>1184.187007373888</v>
      </c>
      <c r="L7706" s="187">
        <v>392</v>
      </c>
      <c r="M7706" s="187">
        <v>1651.3909912109375</v>
      </c>
      <c r="N7706" s="187">
        <v>447.20404052734375</v>
      </c>
      <c r="O7706" t="s">
        <v>7582</v>
      </c>
    </row>
    <row r="7707" spans="1:15" hidden="1" x14ac:dyDescent="0.45">
      <c r="A7707" s="187">
        <v>2026</v>
      </c>
      <c r="B7707" t="s">
        <v>317</v>
      </c>
      <c r="C7707" t="s">
        <v>322</v>
      </c>
      <c r="D7707" t="s">
        <v>35</v>
      </c>
      <c r="E7707" t="s">
        <v>354</v>
      </c>
      <c r="F7707" t="s">
        <v>386</v>
      </c>
      <c r="G7707" t="s">
        <v>36</v>
      </c>
      <c r="H7707" t="s">
        <v>43</v>
      </c>
      <c r="I7707" s="187">
        <v>54.025454784332467</v>
      </c>
      <c r="J7707" s="187">
        <v>21.610181913732987</v>
      </c>
      <c r="K7707" s="187">
        <v>1250.4682513112152</v>
      </c>
      <c r="L7707" s="187">
        <v>54.025454784332467</v>
      </c>
      <c r="M7707" s="187">
        <v>1380.12939453125</v>
      </c>
      <c r="N7707" s="187">
        <v>108.05091094970703</v>
      </c>
      <c r="O7707" t="s">
        <v>7591</v>
      </c>
    </row>
    <row r="7708" spans="1:15" hidden="1" x14ac:dyDescent="0.45">
      <c r="A7708" s="187">
        <v>2026</v>
      </c>
      <c r="B7708" t="s">
        <v>315</v>
      </c>
      <c r="C7708" t="s">
        <v>322</v>
      </c>
      <c r="D7708" t="s">
        <v>35</v>
      </c>
      <c r="E7708" t="s">
        <v>354</v>
      </c>
      <c r="F7708" t="s">
        <v>386</v>
      </c>
      <c r="G7708" t="s">
        <v>36</v>
      </c>
      <c r="H7708" t="s">
        <v>43</v>
      </c>
      <c r="I7708" s="187">
        <v>0</v>
      </c>
      <c r="J7708" s="187">
        <v>56.639871809250089</v>
      </c>
      <c r="K7708" s="187">
        <v>2145.8026185744525</v>
      </c>
      <c r="L7708" s="187">
        <v>0</v>
      </c>
      <c r="M7708" s="187">
        <v>2202.4423828125</v>
      </c>
      <c r="N7708" s="187">
        <v>0</v>
      </c>
      <c r="O7708" t="s">
        <v>7589</v>
      </c>
    </row>
    <row r="7709" spans="1:15" hidden="1" x14ac:dyDescent="0.45">
      <c r="A7709" s="187">
        <v>2026</v>
      </c>
      <c r="B7709" t="s">
        <v>314</v>
      </c>
      <c r="C7709" t="s">
        <v>322</v>
      </c>
      <c r="D7709" t="s">
        <v>35</v>
      </c>
      <c r="E7709" t="s">
        <v>354</v>
      </c>
      <c r="F7709" t="s">
        <v>386</v>
      </c>
      <c r="G7709" t="s">
        <v>36</v>
      </c>
      <c r="H7709" t="s">
        <v>43</v>
      </c>
      <c r="I7709" s="187">
        <v>0</v>
      </c>
      <c r="J7709" s="187">
        <v>58.241033054944985</v>
      </c>
      <c r="K7709" s="187">
        <v>2074.899960516469</v>
      </c>
      <c r="L7709" s="187">
        <v>57.076212393846085</v>
      </c>
      <c r="M7709" s="187">
        <v>2190.21728515625</v>
      </c>
      <c r="N7709" s="187">
        <v>57.076213836669922</v>
      </c>
      <c r="O7709" t="s">
        <v>7586</v>
      </c>
    </row>
    <row r="7710" spans="1:15" hidden="1" x14ac:dyDescent="0.45">
      <c r="A7710" s="187">
        <v>2026</v>
      </c>
      <c r="B7710" t="s">
        <v>313</v>
      </c>
      <c r="C7710" t="s">
        <v>322</v>
      </c>
      <c r="D7710" t="s">
        <v>35</v>
      </c>
      <c r="E7710" t="s">
        <v>354</v>
      </c>
      <c r="F7710" t="s">
        <v>386</v>
      </c>
      <c r="G7710" t="s">
        <v>36</v>
      </c>
      <c r="H7710" t="s">
        <v>43</v>
      </c>
      <c r="I7710" s="187"/>
      <c r="J7710" s="187">
        <v>59.894593726603141</v>
      </c>
      <c r="K7710" s="187">
        <v>994.75306586065312</v>
      </c>
      <c r="L7710" s="187">
        <v>0</v>
      </c>
      <c r="M7710" s="187">
        <v>1054.647705078125</v>
      </c>
      <c r="N7710" s="187">
        <v>0</v>
      </c>
      <c r="O7710" t="s">
        <v>7587</v>
      </c>
    </row>
    <row r="7711" spans="1:15" hidden="1" x14ac:dyDescent="0.45">
      <c r="A7711" s="187">
        <v>2026</v>
      </c>
      <c r="B7711" t="s">
        <v>312</v>
      </c>
      <c r="C7711" t="s">
        <v>322</v>
      </c>
      <c r="D7711" t="s">
        <v>35</v>
      </c>
      <c r="E7711" t="s">
        <v>354</v>
      </c>
      <c r="F7711" t="s">
        <v>386</v>
      </c>
      <c r="G7711" t="s">
        <v>36</v>
      </c>
      <c r="H7711" t="s">
        <v>43</v>
      </c>
      <c r="I7711" s="187"/>
      <c r="J7711" s="187">
        <v>61.828711797667012</v>
      </c>
      <c r="K7711" s="187">
        <v>697.32633819997727</v>
      </c>
      <c r="L7711" s="187">
        <v>0</v>
      </c>
      <c r="M7711" s="187">
        <v>759.155029296875</v>
      </c>
      <c r="N7711" s="187">
        <v>0</v>
      </c>
      <c r="O7711" t="s">
        <v>7590</v>
      </c>
    </row>
    <row r="7712" spans="1:15" hidden="1" x14ac:dyDescent="0.45">
      <c r="A7712" s="187">
        <v>2026</v>
      </c>
      <c r="B7712" t="s">
        <v>8570</v>
      </c>
      <c r="C7712" t="s">
        <v>322</v>
      </c>
      <c r="D7712" t="s">
        <v>35</v>
      </c>
      <c r="E7712" t="s">
        <v>354</v>
      </c>
      <c r="F7712" t="s">
        <v>386</v>
      </c>
      <c r="G7712" t="s">
        <v>36</v>
      </c>
      <c r="H7712" t="s">
        <v>43</v>
      </c>
      <c r="I7712" s="187">
        <v>68.520587520000007</v>
      </c>
      <c r="J7712" s="187">
        <v>20</v>
      </c>
      <c r="K7712" s="187">
        <v>0</v>
      </c>
      <c r="L7712" s="187">
        <v>0</v>
      </c>
      <c r="M7712" s="187">
        <v>88.520584106445313</v>
      </c>
      <c r="N7712" s="187">
        <v>68.520584106445313</v>
      </c>
      <c r="O7712" t="s">
        <v>9151</v>
      </c>
    </row>
    <row r="7713" spans="1:15" hidden="1" x14ac:dyDescent="0.45">
      <c r="A7713" s="187">
        <v>2026</v>
      </c>
      <c r="B7713" t="s">
        <v>316</v>
      </c>
      <c r="C7713" t="s">
        <v>322</v>
      </c>
      <c r="D7713" t="s">
        <v>35</v>
      </c>
      <c r="E7713" t="s">
        <v>354</v>
      </c>
      <c r="F7713" t="s">
        <v>386</v>
      </c>
      <c r="G7713" t="s">
        <v>36</v>
      </c>
      <c r="H7713" t="s">
        <v>43</v>
      </c>
      <c r="I7713" s="187">
        <v>0</v>
      </c>
      <c r="J7713" s="187">
        <v>22.029076772714181</v>
      </c>
      <c r="K7713" s="187">
        <v>2401.3439785532223</v>
      </c>
      <c r="L7713" s="187">
        <v>55.07269193178545</v>
      </c>
      <c r="M7713" s="187">
        <v>2478.44580078125</v>
      </c>
      <c r="N7713" s="187">
        <v>55.07269287109375</v>
      </c>
      <c r="O7713" t="s">
        <v>7588</v>
      </c>
    </row>
    <row r="7714" spans="1:15" hidden="1" x14ac:dyDescent="0.45">
      <c r="A7714" s="187">
        <v>2026</v>
      </c>
      <c r="B7714" t="s">
        <v>317</v>
      </c>
      <c r="C7714" t="s">
        <v>322</v>
      </c>
      <c r="D7714" t="s">
        <v>35</v>
      </c>
      <c r="E7714" t="s">
        <v>354</v>
      </c>
      <c r="F7714" t="s">
        <v>386</v>
      </c>
      <c r="G7714" t="s">
        <v>37</v>
      </c>
      <c r="H7714" t="s">
        <v>43</v>
      </c>
      <c r="I7714" s="187">
        <v>55.204040160000012</v>
      </c>
      <c r="J7714" s="187">
        <v>20</v>
      </c>
      <c r="K7714" s="187">
        <v>1269.959585358763</v>
      </c>
      <c r="L7714" s="187">
        <v>55</v>
      </c>
      <c r="M7714" s="187">
        <v>1400.16357421875</v>
      </c>
      <c r="N7714" s="187">
        <v>110.20404052734375</v>
      </c>
      <c r="O7714" t="s">
        <v>7593</v>
      </c>
    </row>
    <row r="7715" spans="1:15" hidden="1" x14ac:dyDescent="0.45">
      <c r="A7715" s="187">
        <v>2026</v>
      </c>
      <c r="B7715" t="s">
        <v>316</v>
      </c>
      <c r="C7715" t="s">
        <v>322</v>
      </c>
      <c r="D7715" t="s">
        <v>35</v>
      </c>
      <c r="E7715" t="s">
        <v>354</v>
      </c>
      <c r="F7715" t="s">
        <v>386</v>
      </c>
      <c r="G7715" t="s">
        <v>37</v>
      </c>
      <c r="H7715" t="s">
        <v>43</v>
      </c>
      <c r="I7715" s="187">
        <v>0</v>
      </c>
      <c r="J7715" s="187">
        <v>20</v>
      </c>
      <c r="K7715" s="187">
        <v>2411.3362370926179</v>
      </c>
      <c r="L7715" s="187">
        <v>56.527801048305207</v>
      </c>
      <c r="M7715" s="187">
        <v>2487.864013671875</v>
      </c>
      <c r="N7715" s="187">
        <v>56.527801513671875</v>
      </c>
      <c r="O7715" t="s">
        <v>7594</v>
      </c>
    </row>
    <row r="7716" spans="1:15" hidden="1" x14ac:dyDescent="0.45">
      <c r="A7716" s="187">
        <v>2026</v>
      </c>
      <c r="B7716" t="s">
        <v>315</v>
      </c>
      <c r="C7716" t="s">
        <v>322</v>
      </c>
      <c r="D7716" t="s">
        <v>35</v>
      </c>
      <c r="E7716" t="s">
        <v>354</v>
      </c>
      <c r="F7716" t="s">
        <v>386</v>
      </c>
      <c r="G7716" t="s">
        <v>37</v>
      </c>
      <c r="H7716" t="s">
        <v>43</v>
      </c>
      <c r="I7716" s="187">
        <v>0</v>
      </c>
      <c r="J7716" s="187">
        <v>56</v>
      </c>
      <c r="K7716" s="187">
        <v>2170.482138162748</v>
      </c>
      <c r="L7716" s="187">
        <v>0</v>
      </c>
      <c r="M7716" s="187">
        <v>2226.482177734375</v>
      </c>
      <c r="N7716" s="187">
        <v>0</v>
      </c>
      <c r="O7716" t="s">
        <v>7596</v>
      </c>
    </row>
    <row r="7717" spans="1:15" hidden="1" x14ac:dyDescent="0.45">
      <c r="A7717" s="187">
        <v>2026</v>
      </c>
      <c r="B7717" t="s">
        <v>314</v>
      </c>
      <c r="C7717" t="s">
        <v>322</v>
      </c>
      <c r="D7717" t="s">
        <v>35</v>
      </c>
      <c r="E7717" t="s">
        <v>354</v>
      </c>
      <c r="F7717" t="s">
        <v>386</v>
      </c>
      <c r="G7717" t="s">
        <v>37</v>
      </c>
      <c r="H7717" t="s">
        <v>43</v>
      </c>
      <c r="I7717" s="187">
        <v>0</v>
      </c>
      <c r="J7717" s="187">
        <v>59</v>
      </c>
      <c r="K7717" s="187">
        <v>2090.930496621937</v>
      </c>
      <c r="L7717" s="187">
        <v>62.26149953888708</v>
      </c>
      <c r="M7717" s="187">
        <v>2212.19189453125</v>
      </c>
      <c r="N7717" s="187">
        <v>62.261501312255859</v>
      </c>
      <c r="O7717" t="s">
        <v>7595</v>
      </c>
    </row>
    <row r="7718" spans="1:15" hidden="1" x14ac:dyDescent="0.45">
      <c r="A7718" s="187">
        <v>2026</v>
      </c>
      <c r="B7718" t="s">
        <v>8570</v>
      </c>
      <c r="C7718" t="s">
        <v>322</v>
      </c>
      <c r="D7718" t="s">
        <v>35</v>
      </c>
      <c r="E7718" t="s">
        <v>354</v>
      </c>
      <c r="F7718" t="s">
        <v>386</v>
      </c>
      <c r="G7718" t="s">
        <v>37</v>
      </c>
      <c r="H7718" t="s">
        <v>43</v>
      </c>
      <c r="I7718" s="187">
        <v>74.168887553742636</v>
      </c>
      <c r="J7718" s="187">
        <v>20</v>
      </c>
      <c r="K7718" s="187">
        <v>0</v>
      </c>
      <c r="L7718" s="187">
        <v>0</v>
      </c>
      <c r="M7718" s="187">
        <v>94.16888427734375</v>
      </c>
      <c r="N7718" s="187">
        <v>74.16888427734375</v>
      </c>
      <c r="O7718" t="s">
        <v>9152</v>
      </c>
    </row>
    <row r="7719" spans="1:15" hidden="1" x14ac:dyDescent="0.45">
      <c r="A7719" s="187">
        <v>2026</v>
      </c>
      <c r="B7719" t="s">
        <v>313</v>
      </c>
      <c r="C7719" t="s">
        <v>322</v>
      </c>
      <c r="D7719" t="s">
        <v>35</v>
      </c>
      <c r="E7719" t="s">
        <v>354</v>
      </c>
      <c r="F7719" t="s">
        <v>386</v>
      </c>
      <c r="G7719" t="s">
        <v>37</v>
      </c>
      <c r="H7719" t="s">
        <v>43</v>
      </c>
      <c r="I7719" s="187"/>
      <c r="J7719" s="187">
        <v>60</v>
      </c>
      <c r="K7719" s="187">
        <v>987.98957675940744</v>
      </c>
      <c r="L7719" s="187">
        <v>0</v>
      </c>
      <c r="M7719" s="187">
        <v>1047.9896240234375</v>
      </c>
      <c r="N7719" s="187">
        <v>0</v>
      </c>
      <c r="O7719" t="s">
        <v>7597</v>
      </c>
    </row>
    <row r="7720" spans="1:15" hidden="1" x14ac:dyDescent="0.45">
      <c r="A7720" s="187">
        <v>2026</v>
      </c>
      <c r="B7720" t="s">
        <v>312</v>
      </c>
      <c r="C7720" t="s">
        <v>322</v>
      </c>
      <c r="D7720" t="s">
        <v>35</v>
      </c>
      <c r="E7720" t="s">
        <v>354</v>
      </c>
      <c r="F7720" t="s">
        <v>386</v>
      </c>
      <c r="G7720" t="s">
        <v>37</v>
      </c>
      <c r="H7720" t="s">
        <v>43</v>
      </c>
      <c r="I7720" s="187"/>
      <c r="J7720" s="187">
        <v>61</v>
      </c>
      <c r="K7720" s="187">
        <v>685.29281961966592</v>
      </c>
      <c r="L7720" s="187">
        <v>0</v>
      </c>
      <c r="M7720" s="187">
        <v>746.2928466796875</v>
      </c>
      <c r="N7720" s="187">
        <v>0</v>
      </c>
      <c r="O7720" t="s">
        <v>7592</v>
      </c>
    </row>
    <row r="7721" spans="1:15" hidden="1" x14ac:dyDescent="0.45">
      <c r="A7721" s="187">
        <v>2026</v>
      </c>
      <c r="B7721" t="s">
        <v>8570</v>
      </c>
      <c r="C7721" t="s">
        <v>322</v>
      </c>
      <c r="D7721" t="s">
        <v>35</v>
      </c>
      <c r="E7721" t="s">
        <v>354</v>
      </c>
      <c r="F7721" t="s">
        <v>387</v>
      </c>
      <c r="G7721" t="s">
        <v>36</v>
      </c>
      <c r="H7721" t="s">
        <v>43</v>
      </c>
      <c r="I7721" s="187">
        <v>137.04117504000001</v>
      </c>
      <c r="J7721" s="187">
        <v>80</v>
      </c>
      <c r="K7721" s="187">
        <v>2191.885895237956</v>
      </c>
      <c r="L7721" s="187">
        <v>468</v>
      </c>
      <c r="M7721" s="187">
        <v>2876.927001953125</v>
      </c>
      <c r="N7721" s="187">
        <v>605.0411376953125</v>
      </c>
      <c r="O7721" t="s">
        <v>9153</v>
      </c>
    </row>
    <row r="7722" spans="1:15" hidden="1" x14ac:dyDescent="0.45">
      <c r="A7722" s="187">
        <v>2026</v>
      </c>
      <c r="B7722" t="s">
        <v>316</v>
      </c>
      <c r="C7722" t="s">
        <v>322</v>
      </c>
      <c r="D7722" t="s">
        <v>35</v>
      </c>
      <c r="E7722" t="s">
        <v>354</v>
      </c>
      <c r="F7722" t="s">
        <v>387</v>
      </c>
      <c r="G7722" t="s">
        <v>36</v>
      </c>
      <c r="H7722" t="s">
        <v>43</v>
      </c>
      <c r="I7722" s="187">
        <v>0</v>
      </c>
      <c r="J7722" s="187">
        <v>88.116307090856722</v>
      </c>
      <c r="K7722" s="187">
        <v>3391.5889181627977</v>
      </c>
      <c r="L7722" s="187">
        <v>113.44974537947803</v>
      </c>
      <c r="M7722" s="187">
        <v>3593.155029296875</v>
      </c>
      <c r="N7722" s="187">
        <v>113.44974517822266</v>
      </c>
      <c r="O7722" t="s">
        <v>7600</v>
      </c>
    </row>
    <row r="7723" spans="1:15" hidden="1" x14ac:dyDescent="0.45">
      <c r="A7723" s="187">
        <v>2026</v>
      </c>
      <c r="B7723" t="s">
        <v>312</v>
      </c>
      <c r="C7723" t="s">
        <v>322</v>
      </c>
      <c r="D7723" t="s">
        <v>35</v>
      </c>
      <c r="E7723" t="s">
        <v>354</v>
      </c>
      <c r="F7723" t="s">
        <v>387</v>
      </c>
      <c r="G7723" t="s">
        <v>36</v>
      </c>
      <c r="H7723" t="s">
        <v>43</v>
      </c>
      <c r="I7723" s="187">
        <v>0</v>
      </c>
      <c r="J7723" s="187">
        <v>105.10881005603392</v>
      </c>
      <c r="K7723" s="187">
        <v>4221.9940112834993</v>
      </c>
      <c r="L7723" s="187">
        <v>0</v>
      </c>
      <c r="M7723" s="187">
        <v>4327.10302734375</v>
      </c>
      <c r="N7723" s="187">
        <v>0</v>
      </c>
      <c r="O7723" t="s">
        <v>7603</v>
      </c>
    </row>
    <row r="7724" spans="1:15" hidden="1" x14ac:dyDescent="0.45">
      <c r="A7724" s="187">
        <v>2026</v>
      </c>
      <c r="B7724" t="s">
        <v>314</v>
      </c>
      <c r="C7724" t="s">
        <v>322</v>
      </c>
      <c r="D7724" t="s">
        <v>35</v>
      </c>
      <c r="E7724" t="s">
        <v>354</v>
      </c>
      <c r="F7724" t="s">
        <v>387</v>
      </c>
      <c r="G7724" t="s">
        <v>36</v>
      </c>
      <c r="H7724" t="s">
        <v>43</v>
      </c>
      <c r="I7724" s="187">
        <v>0</v>
      </c>
      <c r="J7724" s="187">
        <v>104.83385949890098</v>
      </c>
      <c r="K7724" s="187">
        <v>3423.5849348521733</v>
      </c>
      <c r="L7724" s="187">
        <v>57.076212393846085</v>
      </c>
      <c r="M7724" s="187">
        <v>3585.494873046875</v>
      </c>
      <c r="N7724" s="187">
        <v>57.076213836669922</v>
      </c>
      <c r="O7724" t="s">
        <v>7598</v>
      </c>
    </row>
    <row r="7725" spans="1:15" hidden="1" x14ac:dyDescent="0.45">
      <c r="A7725" s="187">
        <v>2026</v>
      </c>
      <c r="B7725" t="s">
        <v>313</v>
      </c>
      <c r="C7725" t="s">
        <v>322</v>
      </c>
      <c r="D7725" t="s">
        <v>35</v>
      </c>
      <c r="E7725" t="s">
        <v>354</v>
      </c>
      <c r="F7725" t="s">
        <v>387</v>
      </c>
      <c r="G7725" t="s">
        <v>36</v>
      </c>
      <c r="H7725" t="s">
        <v>43</v>
      </c>
      <c r="I7725" s="187">
        <v>0</v>
      </c>
      <c r="J7725" s="187">
        <v>107.81026870788565</v>
      </c>
      <c r="K7725" s="187">
        <v>5077.8485115185995</v>
      </c>
      <c r="L7725" s="187">
        <v>0</v>
      </c>
      <c r="M7725" s="187">
        <v>5185.65869140625</v>
      </c>
      <c r="N7725" s="187">
        <v>0</v>
      </c>
      <c r="O7725" t="s">
        <v>7602</v>
      </c>
    </row>
    <row r="7726" spans="1:15" hidden="1" x14ac:dyDescent="0.45">
      <c r="A7726" s="187">
        <v>2026</v>
      </c>
      <c r="B7726" t="s">
        <v>315</v>
      </c>
      <c r="C7726" t="s">
        <v>322</v>
      </c>
      <c r="D7726" t="s">
        <v>35</v>
      </c>
      <c r="E7726" t="s">
        <v>354</v>
      </c>
      <c r="F7726" t="s">
        <v>387</v>
      </c>
      <c r="G7726" t="s">
        <v>36</v>
      </c>
      <c r="H7726" t="s">
        <v>43</v>
      </c>
      <c r="I7726" s="187">
        <v>0</v>
      </c>
      <c r="J7726" s="187">
        <v>101.95176925665017</v>
      </c>
      <c r="K7726" s="187">
        <v>3458.5289264082335</v>
      </c>
      <c r="L7726" s="187">
        <v>58.905466681620091</v>
      </c>
      <c r="M7726" s="187">
        <v>3619.38623046875</v>
      </c>
      <c r="N7726" s="187">
        <v>58.905467987060547</v>
      </c>
      <c r="O7726" t="s">
        <v>7601</v>
      </c>
    </row>
    <row r="7727" spans="1:15" hidden="1" x14ac:dyDescent="0.45">
      <c r="A7727" s="187">
        <v>2026</v>
      </c>
      <c r="B7727" t="s">
        <v>317</v>
      </c>
      <c r="C7727" t="s">
        <v>322</v>
      </c>
      <c r="D7727" t="s">
        <v>35</v>
      </c>
      <c r="E7727" t="s">
        <v>354</v>
      </c>
      <c r="F7727" t="s">
        <v>387</v>
      </c>
      <c r="G7727" t="s">
        <v>36</v>
      </c>
      <c r="H7727" t="s">
        <v>43</v>
      </c>
      <c r="I7727" s="187">
        <v>108.05090956866493</v>
      </c>
      <c r="J7727" s="187">
        <v>86.440727654931948</v>
      </c>
      <c r="K7727" s="187">
        <v>2416.4803617816174</v>
      </c>
      <c r="L7727" s="187">
        <v>441.92822013583958</v>
      </c>
      <c r="M7727" s="187">
        <v>3052.900146484375</v>
      </c>
      <c r="N7727" s="187">
        <v>549.9791259765625</v>
      </c>
      <c r="O7727" t="s">
        <v>7599</v>
      </c>
    </row>
    <row r="7728" spans="1:15" hidden="1" x14ac:dyDescent="0.45">
      <c r="A7728" s="187">
        <v>2026</v>
      </c>
      <c r="B7728" t="s">
        <v>312</v>
      </c>
      <c r="C7728" t="s">
        <v>322</v>
      </c>
      <c r="D7728" t="s">
        <v>35</v>
      </c>
      <c r="E7728" t="s">
        <v>354</v>
      </c>
      <c r="F7728" t="s">
        <v>387</v>
      </c>
      <c r="G7728" t="s">
        <v>37</v>
      </c>
      <c r="H7728" t="s">
        <v>43</v>
      </c>
      <c r="I7728" s="187">
        <v>0</v>
      </c>
      <c r="J7728" s="187">
        <v>104</v>
      </c>
      <c r="K7728" s="187">
        <v>4149.1365260608864</v>
      </c>
      <c r="L7728" s="187">
        <v>0</v>
      </c>
      <c r="M7728" s="187">
        <v>4253.13671875</v>
      </c>
      <c r="N7728" s="187">
        <v>0</v>
      </c>
      <c r="O7728" t="s">
        <v>7608</v>
      </c>
    </row>
    <row r="7729" spans="1:15" hidden="1" x14ac:dyDescent="0.45">
      <c r="A7729" s="187">
        <v>2026</v>
      </c>
      <c r="B7729" t="s">
        <v>314</v>
      </c>
      <c r="C7729" t="s">
        <v>322</v>
      </c>
      <c r="D7729" t="s">
        <v>35</v>
      </c>
      <c r="E7729" t="s">
        <v>354</v>
      </c>
      <c r="F7729" t="s">
        <v>387</v>
      </c>
      <c r="G7729" t="s">
        <v>37</v>
      </c>
      <c r="H7729" t="s">
        <v>43</v>
      </c>
      <c r="I7729" s="187">
        <v>0</v>
      </c>
      <c r="J7729" s="187">
        <v>106</v>
      </c>
      <c r="K7729" s="187">
        <v>3450.0353194261961</v>
      </c>
      <c r="L7729" s="187">
        <v>62.26149953888708</v>
      </c>
      <c r="M7729" s="187">
        <v>3618.296875</v>
      </c>
      <c r="N7729" s="187">
        <v>62.261501312255859</v>
      </c>
      <c r="O7729" t="s">
        <v>7609</v>
      </c>
    </row>
    <row r="7730" spans="1:15" hidden="1" x14ac:dyDescent="0.45">
      <c r="A7730" s="187">
        <v>2026</v>
      </c>
      <c r="B7730" t="s">
        <v>316</v>
      </c>
      <c r="C7730" t="s">
        <v>322</v>
      </c>
      <c r="D7730" t="s">
        <v>35</v>
      </c>
      <c r="E7730" t="s">
        <v>354</v>
      </c>
      <c r="F7730" t="s">
        <v>387</v>
      </c>
      <c r="G7730" t="s">
        <v>37</v>
      </c>
      <c r="H7730" t="s">
        <v>43</v>
      </c>
      <c r="I7730" s="187">
        <v>0</v>
      </c>
      <c r="J7730" s="187">
        <v>80</v>
      </c>
      <c r="K7730" s="187">
        <v>3405.7016956875118</v>
      </c>
      <c r="L7730" s="187">
        <v>116.4472701595087</v>
      </c>
      <c r="M7730" s="187">
        <v>3602.14892578125</v>
      </c>
      <c r="N7730" s="187">
        <v>116.44727325439453</v>
      </c>
      <c r="O7730" t="s">
        <v>7604</v>
      </c>
    </row>
    <row r="7731" spans="1:15" hidden="1" x14ac:dyDescent="0.45">
      <c r="A7731" s="187">
        <v>2026</v>
      </c>
      <c r="B7731" t="s">
        <v>8570</v>
      </c>
      <c r="C7731" t="s">
        <v>322</v>
      </c>
      <c r="D7731" t="s">
        <v>35</v>
      </c>
      <c r="E7731" t="s">
        <v>354</v>
      </c>
      <c r="F7731" t="s">
        <v>387</v>
      </c>
      <c r="G7731" t="s">
        <v>37</v>
      </c>
      <c r="H7731" t="s">
        <v>43</v>
      </c>
      <c r="I7731" s="187">
        <v>148.3377751074853</v>
      </c>
      <c r="J7731" s="187">
        <v>80</v>
      </c>
      <c r="K7731" s="187">
        <v>2383.0263490815719</v>
      </c>
      <c r="L7731" s="187">
        <v>551</v>
      </c>
      <c r="M7731" s="187">
        <v>3162.364013671875</v>
      </c>
      <c r="N7731" s="187">
        <v>699.3377685546875</v>
      </c>
      <c r="O7731" t="s">
        <v>9154</v>
      </c>
    </row>
    <row r="7732" spans="1:15" hidden="1" x14ac:dyDescent="0.45">
      <c r="A7732" s="187">
        <v>2026</v>
      </c>
      <c r="B7732" t="s">
        <v>315</v>
      </c>
      <c r="C7732" t="s">
        <v>322</v>
      </c>
      <c r="D7732" t="s">
        <v>35</v>
      </c>
      <c r="E7732" t="s">
        <v>354</v>
      </c>
      <c r="F7732" t="s">
        <v>387</v>
      </c>
      <c r="G7732" t="s">
        <v>37</v>
      </c>
      <c r="H7732" t="s">
        <v>43</v>
      </c>
      <c r="I7732" s="187">
        <v>0</v>
      </c>
      <c r="J7732" s="187">
        <v>101</v>
      </c>
      <c r="K7732" s="187">
        <v>3498.3065050387818</v>
      </c>
      <c r="L7732" s="187">
        <v>59.731654717762559</v>
      </c>
      <c r="M7732" s="187">
        <v>3659.0380859375</v>
      </c>
      <c r="N7732" s="187">
        <v>59.731655120849609</v>
      </c>
      <c r="O7732" t="s">
        <v>7606</v>
      </c>
    </row>
    <row r="7733" spans="1:15" hidden="1" x14ac:dyDescent="0.45">
      <c r="A7733" s="187">
        <v>2026</v>
      </c>
      <c r="B7733" t="s">
        <v>313</v>
      </c>
      <c r="C7733" t="s">
        <v>322</v>
      </c>
      <c r="D7733" t="s">
        <v>35</v>
      </c>
      <c r="E7733" t="s">
        <v>354</v>
      </c>
      <c r="F7733" t="s">
        <v>387</v>
      </c>
      <c r="G7733" t="s">
        <v>37</v>
      </c>
      <c r="H7733" t="s">
        <v>43</v>
      </c>
      <c r="I7733" s="187">
        <v>0</v>
      </c>
      <c r="J7733" s="187">
        <v>108</v>
      </c>
      <c r="K7733" s="187">
        <v>5043.3233874007656</v>
      </c>
      <c r="L7733" s="187">
        <v>0</v>
      </c>
      <c r="M7733" s="187">
        <v>5151.3232421875</v>
      </c>
      <c r="N7733" s="187">
        <v>0</v>
      </c>
      <c r="O7733" t="s">
        <v>7607</v>
      </c>
    </row>
    <row r="7734" spans="1:15" hidden="1" x14ac:dyDescent="0.45">
      <c r="A7734" s="187">
        <v>2026</v>
      </c>
      <c r="B7734" t="s">
        <v>317</v>
      </c>
      <c r="C7734" t="s">
        <v>322</v>
      </c>
      <c r="D7734" t="s">
        <v>35</v>
      </c>
      <c r="E7734" t="s">
        <v>354</v>
      </c>
      <c r="F7734" t="s">
        <v>387</v>
      </c>
      <c r="G7734" t="s">
        <v>37</v>
      </c>
      <c r="H7734" t="s">
        <v>43</v>
      </c>
      <c r="I7734" s="187">
        <v>110.40808032</v>
      </c>
      <c r="J7734" s="187">
        <v>80</v>
      </c>
      <c r="K7734" s="187">
        <v>2454.1465927326508</v>
      </c>
      <c r="L7734" s="187">
        <v>447</v>
      </c>
      <c r="M7734" s="187">
        <v>3091.5546875</v>
      </c>
      <c r="N7734" s="187">
        <v>557.4080810546875</v>
      </c>
      <c r="O7734" t="s">
        <v>7605</v>
      </c>
    </row>
    <row r="7735" spans="1:15" hidden="1" x14ac:dyDescent="0.45">
      <c r="A7735" s="187">
        <v>2026</v>
      </c>
      <c r="B7735" t="s">
        <v>312</v>
      </c>
      <c r="C7735" t="s">
        <v>322</v>
      </c>
      <c r="D7735" t="s">
        <v>35</v>
      </c>
      <c r="E7735" t="s">
        <v>17</v>
      </c>
      <c r="F7735" t="s">
        <v>17</v>
      </c>
      <c r="G7735" t="s">
        <v>36</v>
      </c>
      <c r="H7735" t="s">
        <v>43</v>
      </c>
      <c r="I7735" s="187">
        <v>2300.028078873213</v>
      </c>
      <c r="J7735" s="187">
        <v>80.377325336967118</v>
      </c>
      <c r="K7735" s="187">
        <v>1349.5822393704341</v>
      </c>
      <c r="L7735" s="187">
        <v>555.22183194304978</v>
      </c>
      <c r="M7735" s="187">
        <v>4285.20947265625</v>
      </c>
      <c r="N7735" s="187">
        <v>2855.25</v>
      </c>
      <c r="O7735" t="s">
        <v>7613</v>
      </c>
    </row>
    <row r="7736" spans="1:15" hidden="1" x14ac:dyDescent="0.45">
      <c r="A7736" s="187">
        <v>2026</v>
      </c>
      <c r="B7736" t="s">
        <v>316</v>
      </c>
      <c r="C7736" t="s">
        <v>322</v>
      </c>
      <c r="D7736" t="s">
        <v>35</v>
      </c>
      <c r="E7736" t="s">
        <v>17</v>
      </c>
      <c r="F7736" t="s">
        <v>17</v>
      </c>
      <c r="G7736" t="s">
        <v>36</v>
      </c>
      <c r="H7736" t="s">
        <v>43</v>
      </c>
      <c r="I7736" s="187">
        <v>3044.9371947470972</v>
      </c>
      <c r="J7736" s="187">
        <v>165.21807579535636</v>
      </c>
      <c r="K7736" s="187">
        <v>1519.9492059313322</v>
      </c>
      <c r="L7736" s="187">
        <v>1970.5009173192834</v>
      </c>
      <c r="M7736" s="187">
        <v>6700.60546875</v>
      </c>
      <c r="N7736" s="187">
        <v>5015.43798828125</v>
      </c>
      <c r="O7736" t="s">
        <v>7612</v>
      </c>
    </row>
    <row r="7737" spans="1:15" hidden="1" x14ac:dyDescent="0.45">
      <c r="A7737" s="187">
        <v>2026</v>
      </c>
      <c r="B7737" t="s">
        <v>8570</v>
      </c>
      <c r="C7737" t="s">
        <v>322</v>
      </c>
      <c r="D7737" t="s">
        <v>35</v>
      </c>
      <c r="E7737" t="s">
        <v>17</v>
      </c>
      <c r="F7737" t="s">
        <v>17</v>
      </c>
      <c r="G7737" t="s">
        <v>36</v>
      </c>
      <c r="H7737" t="s">
        <v>43</v>
      </c>
      <c r="I7737" s="187">
        <v>3625.504434067157</v>
      </c>
      <c r="J7737" s="187">
        <v>150</v>
      </c>
      <c r="K7737" s="187">
        <v>1261.8799472796709</v>
      </c>
      <c r="L7737" s="187">
        <v>878</v>
      </c>
      <c r="M7737" s="187">
        <v>5915.38427734375</v>
      </c>
      <c r="N7737" s="187">
        <v>4503.50439453125</v>
      </c>
      <c r="O7737" t="s">
        <v>9155</v>
      </c>
    </row>
    <row r="7738" spans="1:15" hidden="1" x14ac:dyDescent="0.45">
      <c r="A7738" s="187">
        <v>2026</v>
      </c>
      <c r="B7738" t="s">
        <v>314</v>
      </c>
      <c r="C7738" t="s">
        <v>322</v>
      </c>
      <c r="D7738" t="s">
        <v>35</v>
      </c>
      <c r="E7738" t="s">
        <v>17</v>
      </c>
      <c r="F7738" t="s">
        <v>17</v>
      </c>
      <c r="G7738" t="s">
        <v>36</v>
      </c>
      <c r="H7738" t="s">
        <v>43</v>
      </c>
      <c r="I7738" s="187">
        <v>3156.6639915780183</v>
      </c>
      <c r="J7738" s="187">
        <v>81.537446276922978</v>
      </c>
      <c r="K7738" s="187">
        <v>1339.7240490268521</v>
      </c>
      <c r="L7738" s="187">
        <v>343.62209502417545</v>
      </c>
      <c r="M7738" s="187">
        <v>4921.54736328125</v>
      </c>
      <c r="N7738" s="187">
        <v>3500.2861328125</v>
      </c>
      <c r="O7738" t="s">
        <v>7611</v>
      </c>
    </row>
    <row r="7739" spans="1:15" hidden="1" x14ac:dyDescent="0.45">
      <c r="A7739" s="187">
        <v>2026</v>
      </c>
      <c r="B7739" t="s">
        <v>315</v>
      </c>
      <c r="C7739" t="s">
        <v>322</v>
      </c>
      <c r="D7739" t="s">
        <v>35</v>
      </c>
      <c r="E7739" t="s">
        <v>17</v>
      </c>
      <c r="F7739" t="s">
        <v>17</v>
      </c>
      <c r="G7739" t="s">
        <v>36</v>
      </c>
      <c r="H7739" t="s">
        <v>43</v>
      </c>
      <c r="I7739" s="187">
        <v>3069.8810520613547</v>
      </c>
      <c r="J7739" s="187">
        <v>79.295820532950131</v>
      </c>
      <c r="K7739" s="187">
        <v>1351.7237843044084</v>
      </c>
      <c r="L7739" s="187">
        <v>713.66238479655112</v>
      </c>
      <c r="M7739" s="187">
        <v>5214.5634765625</v>
      </c>
      <c r="N7739" s="187">
        <v>3783.54345703125</v>
      </c>
      <c r="O7739" t="s">
        <v>7615</v>
      </c>
    </row>
    <row r="7740" spans="1:15" hidden="1" x14ac:dyDescent="0.45">
      <c r="A7740" s="187">
        <v>2026</v>
      </c>
      <c r="B7740" t="s">
        <v>313</v>
      </c>
      <c r="C7740" t="s">
        <v>322</v>
      </c>
      <c r="D7740" t="s">
        <v>35</v>
      </c>
      <c r="E7740" t="s">
        <v>17</v>
      </c>
      <c r="F7740" t="s">
        <v>17</v>
      </c>
      <c r="G7740" t="s">
        <v>36</v>
      </c>
      <c r="H7740" t="s">
        <v>43</v>
      </c>
      <c r="I7740" s="187">
        <v>2689.2672583244807</v>
      </c>
      <c r="J7740" s="187">
        <v>77.862971844584081</v>
      </c>
      <c r="K7740" s="187">
        <v>1385.5509910443786</v>
      </c>
      <c r="L7740" s="187">
        <v>498.32301980533811</v>
      </c>
      <c r="M7740" s="187">
        <v>4651.00439453125</v>
      </c>
      <c r="N7740" s="187">
        <v>3187.59033203125</v>
      </c>
      <c r="O7740" t="s">
        <v>7614</v>
      </c>
    </row>
    <row r="7741" spans="1:15" hidden="1" x14ac:dyDescent="0.45">
      <c r="A7741" s="187">
        <v>2026</v>
      </c>
      <c r="B7741" t="s">
        <v>317</v>
      </c>
      <c r="C7741" t="s">
        <v>322</v>
      </c>
      <c r="D7741" t="s">
        <v>35</v>
      </c>
      <c r="E7741" t="s">
        <v>17</v>
      </c>
      <c r="F7741" t="s">
        <v>17</v>
      </c>
      <c r="G7741" t="s">
        <v>36</v>
      </c>
      <c r="H7741" t="s">
        <v>43</v>
      </c>
      <c r="I7741" s="187">
        <v>4314.8214248176355</v>
      </c>
      <c r="J7741" s="187">
        <v>162.07636435299739</v>
      </c>
      <c r="K7741" s="187">
        <v>1484.7551464767944</v>
      </c>
      <c r="L7741" s="187">
        <v>2689.38713916407</v>
      </c>
      <c r="M7741" s="187">
        <v>8651.0400390625</v>
      </c>
      <c r="N7741" s="187">
        <v>7004.20849609375</v>
      </c>
      <c r="O7741" t="s">
        <v>7610</v>
      </c>
    </row>
    <row r="7742" spans="1:15" hidden="1" x14ac:dyDescent="0.45">
      <c r="A7742" s="187">
        <v>2026</v>
      </c>
      <c r="B7742" t="s">
        <v>312</v>
      </c>
      <c r="C7742" t="s">
        <v>322</v>
      </c>
      <c r="D7742" t="s">
        <v>35</v>
      </c>
      <c r="E7742" t="s">
        <v>17</v>
      </c>
      <c r="F7742" t="s">
        <v>17</v>
      </c>
      <c r="G7742" t="s">
        <v>37</v>
      </c>
      <c r="H7742" t="s">
        <v>43</v>
      </c>
      <c r="I7742" s="187">
        <v>2229.3845129960582</v>
      </c>
      <c r="J7742" s="187">
        <v>79</v>
      </c>
      <c r="K7742" s="187">
        <v>1326.2929670979379</v>
      </c>
      <c r="L7742" s="187">
        <v>551</v>
      </c>
      <c r="M7742" s="187">
        <v>4185.677734375</v>
      </c>
      <c r="N7742" s="187">
        <v>2780.384521484375</v>
      </c>
      <c r="O7742" t="s">
        <v>7619</v>
      </c>
    </row>
    <row r="7743" spans="1:15" hidden="1" x14ac:dyDescent="0.45">
      <c r="A7743" s="187">
        <v>2026</v>
      </c>
      <c r="B7743" t="s">
        <v>315</v>
      </c>
      <c r="C7743" t="s">
        <v>322</v>
      </c>
      <c r="D7743" t="s">
        <v>35</v>
      </c>
      <c r="E7743" t="s">
        <v>17</v>
      </c>
      <c r="F7743" t="s">
        <v>17</v>
      </c>
      <c r="G7743" t="s">
        <v>37</v>
      </c>
      <c r="H7743" t="s">
        <v>43</v>
      </c>
      <c r="I7743" s="187">
        <v>3113.54856928138</v>
      </c>
      <c r="J7743" s="187">
        <v>79</v>
      </c>
      <c r="K7743" s="187">
        <v>1367.2703650215431</v>
      </c>
      <c r="L7743" s="187">
        <v>724</v>
      </c>
      <c r="M7743" s="187">
        <v>5283.81884765625</v>
      </c>
      <c r="N7743" s="187">
        <v>3837.548583984375</v>
      </c>
      <c r="O7743" t="s">
        <v>7617</v>
      </c>
    </row>
    <row r="7744" spans="1:15" hidden="1" x14ac:dyDescent="0.45">
      <c r="A7744" s="187">
        <v>2026</v>
      </c>
      <c r="B7744" t="s">
        <v>313</v>
      </c>
      <c r="C7744" t="s">
        <v>322</v>
      </c>
      <c r="D7744" t="s">
        <v>35</v>
      </c>
      <c r="E7744" t="s">
        <v>17</v>
      </c>
      <c r="F7744" t="s">
        <v>17</v>
      </c>
      <c r="G7744" t="s">
        <v>37</v>
      </c>
      <c r="H7744" t="s">
        <v>43</v>
      </c>
      <c r="I7744" s="187">
        <v>2677.4558560296109</v>
      </c>
      <c r="J7744" s="187">
        <v>78</v>
      </c>
      <c r="K7744" s="187">
        <v>1376.130402811217</v>
      </c>
      <c r="L7744" s="187">
        <v>503</v>
      </c>
      <c r="M7744" s="187">
        <v>4634.58642578125</v>
      </c>
      <c r="N7744" s="187">
        <v>3180.455810546875</v>
      </c>
      <c r="O7744" t="s">
        <v>7616</v>
      </c>
    </row>
    <row r="7745" spans="1:15" hidden="1" x14ac:dyDescent="0.45">
      <c r="A7745" s="187">
        <v>2026</v>
      </c>
      <c r="B7745" t="s">
        <v>8570</v>
      </c>
      <c r="C7745" t="s">
        <v>322</v>
      </c>
      <c r="D7745" t="s">
        <v>35</v>
      </c>
      <c r="E7745" t="s">
        <v>17</v>
      </c>
      <c r="F7745" t="s">
        <v>17</v>
      </c>
      <c r="G7745" t="s">
        <v>37</v>
      </c>
      <c r="H7745" t="s">
        <v>43</v>
      </c>
      <c r="I7745" s="187">
        <v>3924.3625956568899</v>
      </c>
      <c r="J7745" s="187">
        <v>150</v>
      </c>
      <c r="K7745" s="187">
        <v>1371.9204864989861</v>
      </c>
      <c r="L7745" s="187">
        <v>1033</v>
      </c>
      <c r="M7745" s="187">
        <v>6479.283203125</v>
      </c>
      <c r="N7745" s="187">
        <v>4957.3623046875</v>
      </c>
      <c r="O7745" t="s">
        <v>9156</v>
      </c>
    </row>
    <row r="7746" spans="1:15" hidden="1" x14ac:dyDescent="0.45">
      <c r="A7746" s="187">
        <v>2026</v>
      </c>
      <c r="B7746" t="s">
        <v>314</v>
      </c>
      <c r="C7746" t="s">
        <v>322</v>
      </c>
      <c r="D7746" t="s">
        <v>35</v>
      </c>
      <c r="E7746" t="s">
        <v>17</v>
      </c>
      <c r="F7746" t="s">
        <v>17</v>
      </c>
      <c r="G7746" t="s">
        <v>37</v>
      </c>
      <c r="H7746" t="s">
        <v>43</v>
      </c>
      <c r="I7746" s="187">
        <v>3176.7536052377932</v>
      </c>
      <c r="J7746" s="187">
        <v>82</v>
      </c>
      <c r="K7746" s="187">
        <v>1350.074665995365</v>
      </c>
      <c r="L7746" s="187">
        <v>375</v>
      </c>
      <c r="M7746" s="187">
        <v>4983.828125</v>
      </c>
      <c r="N7746" s="187">
        <v>3551.753662109375</v>
      </c>
      <c r="O7746" t="s">
        <v>7621</v>
      </c>
    </row>
    <row r="7747" spans="1:15" hidden="1" x14ac:dyDescent="0.45">
      <c r="A7747" s="187">
        <v>2026</v>
      </c>
      <c r="B7747" t="s">
        <v>316</v>
      </c>
      <c r="C7747" t="s">
        <v>322</v>
      </c>
      <c r="D7747" t="s">
        <v>35</v>
      </c>
      <c r="E7747" t="s">
        <v>17</v>
      </c>
      <c r="F7747" t="s">
        <v>17</v>
      </c>
      <c r="G7747" t="s">
        <v>37</v>
      </c>
      <c r="H7747" t="s">
        <v>43</v>
      </c>
      <c r="I7747" s="187">
        <v>3114</v>
      </c>
      <c r="J7747" s="187">
        <v>150</v>
      </c>
      <c r="K7747" s="187">
        <v>1526.2738830988101</v>
      </c>
      <c r="L7747" s="187">
        <v>2023</v>
      </c>
      <c r="M7747" s="187">
        <v>6813.27392578125</v>
      </c>
      <c r="N7747" s="187">
        <v>5137</v>
      </c>
      <c r="O7747" t="s">
        <v>7618</v>
      </c>
    </row>
    <row r="7748" spans="1:15" hidden="1" x14ac:dyDescent="0.45">
      <c r="A7748" s="187">
        <v>2026</v>
      </c>
      <c r="B7748" t="s">
        <v>317</v>
      </c>
      <c r="C7748" t="s">
        <v>322</v>
      </c>
      <c r="D7748" t="s">
        <v>35</v>
      </c>
      <c r="E7748" t="s">
        <v>17</v>
      </c>
      <c r="F7748" t="s">
        <v>17</v>
      </c>
      <c r="G7748" t="s">
        <v>37</v>
      </c>
      <c r="H7748" t="s">
        <v>43</v>
      </c>
      <c r="I7748" s="187">
        <v>4408.950857882247</v>
      </c>
      <c r="J7748" s="187">
        <v>150</v>
      </c>
      <c r="K7748" s="187">
        <v>1507.898363834332</v>
      </c>
      <c r="L7748" s="187">
        <v>2717</v>
      </c>
      <c r="M7748" s="187">
        <v>8783.849609375</v>
      </c>
      <c r="N7748" s="187">
        <v>7125.95068359375</v>
      </c>
      <c r="O7748" t="s">
        <v>7620</v>
      </c>
    </row>
    <row r="7749" spans="1:15" hidden="1" x14ac:dyDescent="0.45">
      <c r="A7749" s="187">
        <v>2026</v>
      </c>
      <c r="B7749" t="s">
        <v>8570</v>
      </c>
      <c r="C7749" t="s">
        <v>322</v>
      </c>
      <c r="D7749" t="s">
        <v>35</v>
      </c>
      <c r="E7749" t="s">
        <v>45</v>
      </c>
      <c r="F7749" t="s">
        <v>45</v>
      </c>
      <c r="G7749" t="s">
        <v>37</v>
      </c>
      <c r="H7749" t="s">
        <v>43</v>
      </c>
      <c r="I7749" s="187">
        <v>1708.8443672191761</v>
      </c>
      <c r="J7749" s="187"/>
      <c r="K7749" s="187">
        <v>656.04767655728506</v>
      </c>
      <c r="L7749" s="187">
        <v>18212</v>
      </c>
      <c r="M7749" s="187">
        <v>20576.892578125</v>
      </c>
      <c r="N7749" s="187">
        <v>19920.84375</v>
      </c>
      <c r="O7749" t="s">
        <v>9157</v>
      </c>
    </row>
    <row r="7750" spans="1:15" hidden="1" x14ac:dyDescent="0.45">
      <c r="A7750" s="187">
        <v>2026</v>
      </c>
      <c r="B7750" t="s">
        <v>312</v>
      </c>
      <c r="C7750" t="s">
        <v>322</v>
      </c>
      <c r="D7750" t="s">
        <v>35</v>
      </c>
      <c r="E7750" t="s">
        <v>45</v>
      </c>
      <c r="F7750" t="s">
        <v>45</v>
      </c>
      <c r="G7750" t="s">
        <v>37</v>
      </c>
      <c r="H7750" t="s">
        <v>43</v>
      </c>
      <c r="I7750" s="187">
        <v>1244.627591967464</v>
      </c>
      <c r="J7750" s="187">
        <v>0</v>
      </c>
      <c r="K7750" s="187">
        <v>840.8719281216521</v>
      </c>
      <c r="L7750" s="187">
        <v>4270</v>
      </c>
      <c r="M7750" s="187">
        <v>6355.49951171875</v>
      </c>
      <c r="N7750" s="187">
        <v>5514.62744140625</v>
      </c>
      <c r="O7750" t="s">
        <v>7624</v>
      </c>
    </row>
    <row r="7751" spans="1:15" hidden="1" x14ac:dyDescent="0.45">
      <c r="A7751" s="187">
        <v>2026</v>
      </c>
      <c r="B7751" t="s">
        <v>315</v>
      </c>
      <c r="C7751" t="s">
        <v>322</v>
      </c>
      <c r="D7751" t="s">
        <v>35</v>
      </c>
      <c r="E7751" t="s">
        <v>45</v>
      </c>
      <c r="F7751" t="s">
        <v>45</v>
      </c>
      <c r="G7751" t="s">
        <v>37</v>
      </c>
      <c r="H7751" t="s">
        <v>43</v>
      </c>
      <c r="I7751" s="187">
        <v>2214.3945529132789</v>
      </c>
      <c r="J7751" s="187">
        <v>0</v>
      </c>
      <c r="K7751" s="187">
        <v>897.90672585144364</v>
      </c>
      <c r="L7751" s="187">
        <v>7751</v>
      </c>
      <c r="M7751" s="187">
        <v>10863.30078125</v>
      </c>
      <c r="N7751" s="187">
        <v>9965.39453125</v>
      </c>
      <c r="O7751" t="s">
        <v>7622</v>
      </c>
    </row>
    <row r="7752" spans="1:15" hidden="1" x14ac:dyDescent="0.45">
      <c r="A7752" s="187">
        <v>2026</v>
      </c>
      <c r="B7752" t="s">
        <v>313</v>
      </c>
      <c r="C7752" t="s">
        <v>322</v>
      </c>
      <c r="D7752" t="s">
        <v>35</v>
      </c>
      <c r="E7752" t="s">
        <v>45</v>
      </c>
      <c r="F7752" t="s">
        <v>45</v>
      </c>
      <c r="G7752" t="s">
        <v>37</v>
      </c>
      <c r="H7752" t="s">
        <v>43</v>
      </c>
      <c r="I7752" s="187">
        <v>1237.7709492335332</v>
      </c>
      <c r="J7752" s="187">
        <v>0</v>
      </c>
      <c r="K7752" s="187">
        <v>342.4836628576204</v>
      </c>
      <c r="L7752" s="187">
        <v>5378</v>
      </c>
      <c r="M7752" s="187">
        <v>6958.2548828125</v>
      </c>
      <c r="N7752" s="187">
        <v>6615.77099609375</v>
      </c>
      <c r="O7752" t="s">
        <v>7627</v>
      </c>
    </row>
    <row r="7753" spans="1:15" hidden="1" x14ac:dyDescent="0.45">
      <c r="A7753" s="187">
        <v>2026</v>
      </c>
      <c r="B7753" t="s">
        <v>316</v>
      </c>
      <c r="C7753" t="s">
        <v>322</v>
      </c>
      <c r="D7753" t="s">
        <v>35</v>
      </c>
      <c r="E7753" t="s">
        <v>45</v>
      </c>
      <c r="F7753" t="s">
        <v>45</v>
      </c>
      <c r="G7753" t="s">
        <v>37</v>
      </c>
      <c r="H7753" t="s">
        <v>43</v>
      </c>
      <c r="I7753" s="187">
        <v>2231</v>
      </c>
      <c r="J7753" s="187"/>
      <c r="K7753" s="187">
        <v>959.14565440877743</v>
      </c>
      <c r="L7753" s="187">
        <v>8096</v>
      </c>
      <c r="M7753" s="187">
        <v>11286.1455078125</v>
      </c>
      <c r="N7753" s="187">
        <v>10327</v>
      </c>
      <c r="O7753" t="s">
        <v>7623</v>
      </c>
    </row>
    <row r="7754" spans="1:15" hidden="1" x14ac:dyDescent="0.45">
      <c r="A7754" s="187">
        <v>2026</v>
      </c>
      <c r="B7754" t="s">
        <v>317</v>
      </c>
      <c r="C7754" t="s">
        <v>322</v>
      </c>
      <c r="D7754" t="s">
        <v>35</v>
      </c>
      <c r="E7754" t="s">
        <v>45</v>
      </c>
      <c r="F7754" t="s">
        <v>45</v>
      </c>
      <c r="G7754" t="s">
        <v>37</v>
      </c>
      <c r="H7754" t="s">
        <v>43</v>
      </c>
      <c r="I7754" s="187">
        <v>2157.9918434783508</v>
      </c>
      <c r="J7754" s="187"/>
      <c r="K7754" s="187">
        <v>976.76159207938531</v>
      </c>
      <c r="L7754" s="187">
        <v>22918</v>
      </c>
      <c r="M7754" s="187">
        <v>26052.75390625</v>
      </c>
      <c r="N7754" s="187">
        <v>25075.9921875</v>
      </c>
      <c r="O7754" t="s">
        <v>7625</v>
      </c>
    </row>
    <row r="7755" spans="1:15" hidden="1" x14ac:dyDescent="0.45">
      <c r="A7755" s="187">
        <v>2026</v>
      </c>
      <c r="B7755" t="s">
        <v>314</v>
      </c>
      <c r="C7755" t="s">
        <v>322</v>
      </c>
      <c r="D7755" t="s">
        <v>35</v>
      </c>
      <c r="E7755" t="s">
        <v>45</v>
      </c>
      <c r="F7755" t="s">
        <v>45</v>
      </c>
      <c r="G7755" t="s">
        <v>37</v>
      </c>
      <c r="H7755" t="s">
        <v>43</v>
      </c>
      <c r="I7755" s="187">
        <v>1927.3857802</v>
      </c>
      <c r="J7755" s="187">
        <v>0</v>
      </c>
      <c r="K7755" s="187">
        <v>364.60399445346309</v>
      </c>
      <c r="L7755" s="187">
        <v>9018</v>
      </c>
      <c r="M7755" s="187">
        <v>11309.990234375</v>
      </c>
      <c r="N7755" s="187">
        <v>10945.3857421875</v>
      </c>
      <c r="O7755" t="s">
        <v>7626</v>
      </c>
    </row>
    <row r="7756" spans="1:15" hidden="1" x14ac:dyDescent="0.45">
      <c r="A7756" s="187">
        <v>2026</v>
      </c>
      <c r="B7756" t="s">
        <v>8570</v>
      </c>
      <c r="C7756" t="s">
        <v>322</v>
      </c>
      <c r="D7756" t="s">
        <v>35</v>
      </c>
      <c r="E7756" t="s">
        <v>355</v>
      </c>
      <c r="F7756" t="s">
        <v>355</v>
      </c>
      <c r="G7756" t="s">
        <v>37</v>
      </c>
      <c r="H7756" t="s">
        <v>43</v>
      </c>
      <c r="I7756" s="187">
        <v>13154.40835470648</v>
      </c>
      <c r="J7756" s="187"/>
      <c r="K7756" s="187"/>
      <c r="L7756" s="187"/>
      <c r="M7756" s="187">
        <v>13154.408203125</v>
      </c>
      <c r="N7756" s="187">
        <v>13154.408203125</v>
      </c>
      <c r="O7756" t="s">
        <v>9158</v>
      </c>
    </row>
    <row r="7757" spans="1:15" hidden="1" x14ac:dyDescent="0.45">
      <c r="A7757" s="187">
        <v>2026</v>
      </c>
      <c r="B7757" t="s">
        <v>313</v>
      </c>
      <c r="C7757" t="s">
        <v>322</v>
      </c>
      <c r="D7757" t="s">
        <v>35</v>
      </c>
      <c r="E7757" t="s">
        <v>355</v>
      </c>
      <c r="F7757" t="s">
        <v>355</v>
      </c>
      <c r="G7757" t="s">
        <v>37</v>
      </c>
      <c r="H7757" t="s">
        <v>43</v>
      </c>
      <c r="I7757" s="187"/>
      <c r="J7757" s="187"/>
      <c r="K7757" s="187"/>
      <c r="L7757" s="187">
        <v>23951</v>
      </c>
      <c r="M7757" s="187">
        <v>23951</v>
      </c>
      <c r="N7757" s="187">
        <v>23951</v>
      </c>
      <c r="O7757" t="s">
        <v>7628</v>
      </c>
    </row>
    <row r="7758" spans="1:15" hidden="1" x14ac:dyDescent="0.45">
      <c r="A7758" s="187">
        <v>2026</v>
      </c>
      <c r="B7758" t="s">
        <v>317</v>
      </c>
      <c r="C7758" t="s">
        <v>322</v>
      </c>
      <c r="D7758" t="s">
        <v>35</v>
      </c>
      <c r="E7758" t="s">
        <v>356</v>
      </c>
      <c r="F7758" t="s">
        <v>356</v>
      </c>
      <c r="G7758" t="s">
        <v>37</v>
      </c>
      <c r="H7758" t="s">
        <v>43</v>
      </c>
      <c r="I7758" s="187"/>
      <c r="J7758" s="187"/>
      <c r="K7758" s="187">
        <v>0</v>
      </c>
      <c r="L7758" s="187">
        <v>0</v>
      </c>
      <c r="M7758" s="187">
        <v>0</v>
      </c>
      <c r="N7758" s="187">
        <v>0</v>
      </c>
      <c r="O7758" t="s">
        <v>7629</v>
      </c>
    </row>
    <row r="7759" spans="1:15" hidden="1" x14ac:dyDescent="0.45">
      <c r="A7759" s="187">
        <v>2026</v>
      </c>
      <c r="B7759" t="s">
        <v>312</v>
      </c>
      <c r="C7759" t="s">
        <v>322</v>
      </c>
      <c r="D7759" t="s">
        <v>35</v>
      </c>
      <c r="E7759" t="s">
        <v>356</v>
      </c>
      <c r="F7759" t="s">
        <v>356</v>
      </c>
      <c r="G7759" t="s">
        <v>37</v>
      </c>
      <c r="H7759" t="s">
        <v>43</v>
      </c>
      <c r="I7759" s="187">
        <v>0</v>
      </c>
      <c r="J7759" s="187">
        <v>0</v>
      </c>
      <c r="K7759" s="187">
        <v>0</v>
      </c>
      <c r="L7759" s="187">
        <v>0</v>
      </c>
      <c r="M7759" s="187">
        <v>0</v>
      </c>
      <c r="N7759" s="187">
        <v>0</v>
      </c>
      <c r="O7759" t="s">
        <v>7632</v>
      </c>
    </row>
    <row r="7760" spans="1:15" hidden="1" x14ac:dyDescent="0.45">
      <c r="A7760" s="187">
        <v>2026</v>
      </c>
      <c r="B7760" t="s">
        <v>316</v>
      </c>
      <c r="C7760" t="s">
        <v>322</v>
      </c>
      <c r="D7760" t="s">
        <v>35</v>
      </c>
      <c r="E7760" t="s">
        <v>356</v>
      </c>
      <c r="F7760" t="s">
        <v>356</v>
      </c>
      <c r="G7760" t="s">
        <v>37</v>
      </c>
      <c r="H7760" t="s">
        <v>43</v>
      </c>
      <c r="I7760" s="187"/>
      <c r="J7760" s="187"/>
      <c r="K7760" s="187">
        <v>0</v>
      </c>
      <c r="L7760" s="187">
        <v>0</v>
      </c>
      <c r="M7760" s="187">
        <v>0</v>
      </c>
      <c r="N7760" s="187">
        <v>0</v>
      </c>
      <c r="O7760" t="s">
        <v>7630</v>
      </c>
    </row>
    <row r="7761" spans="1:15" hidden="1" x14ac:dyDescent="0.45">
      <c r="A7761" s="187">
        <v>2026</v>
      </c>
      <c r="B7761" t="s">
        <v>8570</v>
      </c>
      <c r="C7761" t="s">
        <v>322</v>
      </c>
      <c r="D7761" t="s">
        <v>35</v>
      </c>
      <c r="E7761" t="s">
        <v>356</v>
      </c>
      <c r="F7761" t="s">
        <v>356</v>
      </c>
      <c r="G7761" t="s">
        <v>37</v>
      </c>
      <c r="H7761" t="s">
        <v>43</v>
      </c>
      <c r="I7761" s="187">
        <v>0</v>
      </c>
      <c r="J7761" s="187"/>
      <c r="K7761" s="187">
        <v>0</v>
      </c>
      <c r="L7761" s="187">
        <v>0</v>
      </c>
      <c r="M7761" s="187">
        <v>0</v>
      </c>
      <c r="N7761" s="187">
        <v>0</v>
      </c>
      <c r="O7761" t="s">
        <v>9159</v>
      </c>
    </row>
    <row r="7762" spans="1:15" hidden="1" x14ac:dyDescent="0.45">
      <c r="A7762" s="187">
        <v>2026</v>
      </c>
      <c r="B7762" t="s">
        <v>313</v>
      </c>
      <c r="C7762" t="s">
        <v>322</v>
      </c>
      <c r="D7762" t="s">
        <v>35</v>
      </c>
      <c r="E7762" t="s">
        <v>356</v>
      </c>
      <c r="F7762" t="s">
        <v>356</v>
      </c>
      <c r="G7762" t="s">
        <v>37</v>
      </c>
      <c r="H7762" t="s">
        <v>43</v>
      </c>
      <c r="I7762" s="187"/>
      <c r="J7762" s="187">
        <v>0</v>
      </c>
      <c r="K7762" s="187">
        <v>0</v>
      </c>
      <c r="L7762" s="187">
        <v>0</v>
      </c>
      <c r="M7762" s="187">
        <v>0</v>
      </c>
      <c r="N7762" s="187">
        <v>0</v>
      </c>
      <c r="O7762" t="s">
        <v>7634</v>
      </c>
    </row>
    <row r="7763" spans="1:15" hidden="1" x14ac:dyDescent="0.45">
      <c r="A7763" s="187">
        <v>2026</v>
      </c>
      <c r="B7763" t="s">
        <v>314</v>
      </c>
      <c r="C7763" t="s">
        <v>322</v>
      </c>
      <c r="D7763" t="s">
        <v>35</v>
      </c>
      <c r="E7763" t="s">
        <v>356</v>
      </c>
      <c r="F7763" t="s">
        <v>356</v>
      </c>
      <c r="G7763" t="s">
        <v>37</v>
      </c>
      <c r="H7763" t="s">
        <v>43</v>
      </c>
      <c r="I7763" s="187"/>
      <c r="J7763" s="187">
        <v>0</v>
      </c>
      <c r="K7763" s="187">
        <v>0</v>
      </c>
      <c r="L7763" s="187">
        <v>0</v>
      </c>
      <c r="M7763" s="187">
        <v>0</v>
      </c>
      <c r="N7763" s="187">
        <v>0</v>
      </c>
      <c r="O7763" t="s">
        <v>7631</v>
      </c>
    </row>
    <row r="7764" spans="1:15" hidden="1" x14ac:dyDescent="0.45">
      <c r="A7764" s="187">
        <v>2026</v>
      </c>
      <c r="B7764" t="s">
        <v>315</v>
      </c>
      <c r="C7764" t="s">
        <v>322</v>
      </c>
      <c r="D7764" t="s">
        <v>35</v>
      </c>
      <c r="E7764" t="s">
        <v>356</v>
      </c>
      <c r="F7764" t="s">
        <v>356</v>
      </c>
      <c r="G7764" t="s">
        <v>37</v>
      </c>
      <c r="H7764" t="s">
        <v>43</v>
      </c>
      <c r="I7764" s="187"/>
      <c r="J7764" s="187">
        <v>0</v>
      </c>
      <c r="K7764" s="187">
        <v>0</v>
      </c>
      <c r="L7764" s="187">
        <v>0</v>
      </c>
      <c r="M7764" s="187">
        <v>0</v>
      </c>
      <c r="N7764" s="187">
        <v>0</v>
      </c>
      <c r="O7764" t="s">
        <v>7633</v>
      </c>
    </row>
    <row r="7765" spans="1:15" hidden="1" x14ac:dyDescent="0.45">
      <c r="A7765" s="187">
        <v>2026</v>
      </c>
      <c r="B7765" t="s">
        <v>317</v>
      </c>
      <c r="C7765" t="s">
        <v>323</v>
      </c>
      <c r="D7765" t="s">
        <v>35</v>
      </c>
      <c r="E7765" t="s">
        <v>349</v>
      </c>
      <c r="F7765" t="s">
        <v>388</v>
      </c>
      <c r="G7765" t="s">
        <v>36</v>
      </c>
      <c r="H7765" t="s">
        <v>43</v>
      </c>
      <c r="I7765" s="187">
        <v>5316.1047507783151</v>
      </c>
      <c r="J7765" s="187">
        <v>534.8520023648914</v>
      </c>
      <c r="K7765" s="187">
        <v>6009.759057320055</v>
      </c>
      <c r="L7765" s="187">
        <v>2802.8405942111685</v>
      </c>
      <c r="M7765" s="187">
        <v>14663.556640625</v>
      </c>
      <c r="N7765" s="187">
        <v>8118.94580078125</v>
      </c>
      <c r="O7765" t="s">
        <v>7635</v>
      </c>
    </row>
    <row r="7766" spans="1:15" hidden="1" x14ac:dyDescent="0.45">
      <c r="A7766" s="187">
        <v>2026</v>
      </c>
      <c r="B7766" t="s">
        <v>8570</v>
      </c>
      <c r="C7766" t="s">
        <v>323</v>
      </c>
      <c r="D7766" t="s">
        <v>35</v>
      </c>
      <c r="E7766" t="s">
        <v>349</v>
      </c>
      <c r="F7766" t="s">
        <v>388</v>
      </c>
      <c r="G7766" t="s">
        <v>36</v>
      </c>
      <c r="H7766" t="s">
        <v>43</v>
      </c>
      <c r="I7766" s="187">
        <v>3745.7921177600001</v>
      </c>
      <c r="J7766" s="187">
        <v>495</v>
      </c>
      <c r="K7766" s="187">
        <v>4014.8469243311461</v>
      </c>
      <c r="L7766" s="187">
        <v>3026</v>
      </c>
      <c r="M7766" s="187">
        <v>11281.638671875</v>
      </c>
      <c r="N7766" s="187">
        <v>6771.7919921875</v>
      </c>
      <c r="O7766" t="s">
        <v>9160</v>
      </c>
    </row>
    <row r="7767" spans="1:15" hidden="1" x14ac:dyDescent="0.45">
      <c r="A7767" s="187">
        <v>2026</v>
      </c>
      <c r="B7767" t="s">
        <v>8570</v>
      </c>
      <c r="C7767" t="s">
        <v>323</v>
      </c>
      <c r="D7767" t="s">
        <v>35</v>
      </c>
      <c r="E7767" t="s">
        <v>349</v>
      </c>
      <c r="F7767" t="s">
        <v>389</v>
      </c>
      <c r="G7767" t="s">
        <v>36</v>
      </c>
      <c r="H7767" t="s">
        <v>43</v>
      </c>
      <c r="I7767" s="187">
        <v>0</v>
      </c>
      <c r="J7767" s="187"/>
      <c r="K7767" s="187">
        <v>0</v>
      </c>
      <c r="L7767" s="187">
        <v>0</v>
      </c>
      <c r="M7767" s="187">
        <v>0</v>
      </c>
      <c r="N7767" s="187">
        <v>0</v>
      </c>
      <c r="O7767" t="s">
        <v>9161</v>
      </c>
    </row>
    <row r="7768" spans="1:15" hidden="1" x14ac:dyDescent="0.45">
      <c r="A7768" s="187">
        <v>2026</v>
      </c>
      <c r="B7768" t="s">
        <v>317</v>
      </c>
      <c r="C7768" t="s">
        <v>323</v>
      </c>
      <c r="D7768" t="s">
        <v>35</v>
      </c>
      <c r="E7768" t="s">
        <v>349</v>
      </c>
      <c r="F7768" t="s">
        <v>389</v>
      </c>
      <c r="G7768" t="s">
        <v>36</v>
      </c>
      <c r="H7768" t="s">
        <v>43</v>
      </c>
      <c r="I7768" s="187">
        <v>0</v>
      </c>
      <c r="J7768" s="187"/>
      <c r="K7768" s="187">
        <v>0</v>
      </c>
      <c r="L7768" s="187">
        <v>0</v>
      </c>
      <c r="M7768" s="187">
        <v>0</v>
      </c>
      <c r="N7768" s="187">
        <v>0</v>
      </c>
      <c r="O7768" t="s">
        <v>7636</v>
      </c>
    </row>
    <row r="7769" spans="1:15" hidden="1" x14ac:dyDescent="0.45">
      <c r="A7769" s="187">
        <v>2026</v>
      </c>
      <c r="B7769" t="s">
        <v>8570</v>
      </c>
      <c r="C7769" t="s">
        <v>323</v>
      </c>
      <c r="D7769" t="s">
        <v>35</v>
      </c>
      <c r="E7769" t="s">
        <v>349</v>
      </c>
      <c r="F7769" t="s">
        <v>390</v>
      </c>
      <c r="G7769" t="s">
        <v>36</v>
      </c>
      <c r="H7769" t="s">
        <v>43</v>
      </c>
      <c r="I7769" s="187">
        <v>3745.7921177600001</v>
      </c>
      <c r="J7769" s="187">
        <v>495</v>
      </c>
      <c r="K7769" s="187">
        <v>4014.8469243311461</v>
      </c>
      <c r="L7769" s="187">
        <v>3026</v>
      </c>
      <c r="M7769" s="187">
        <v>11281.638671875</v>
      </c>
      <c r="N7769" s="187">
        <v>6771.7919921875</v>
      </c>
      <c r="O7769" t="s">
        <v>9162</v>
      </c>
    </row>
    <row r="7770" spans="1:15" hidden="1" x14ac:dyDescent="0.45">
      <c r="A7770" s="187">
        <v>2026</v>
      </c>
      <c r="B7770" t="s">
        <v>317</v>
      </c>
      <c r="C7770" t="s">
        <v>323</v>
      </c>
      <c r="D7770" t="s">
        <v>35</v>
      </c>
      <c r="E7770" t="s">
        <v>349</v>
      </c>
      <c r="F7770" t="s">
        <v>390</v>
      </c>
      <c r="G7770" t="s">
        <v>36</v>
      </c>
      <c r="H7770" t="s">
        <v>43</v>
      </c>
      <c r="I7770" s="187">
        <v>5316.1047507783151</v>
      </c>
      <c r="J7770" s="187">
        <v>534.8520023648914</v>
      </c>
      <c r="K7770" s="187">
        <v>6009.759057320055</v>
      </c>
      <c r="L7770" s="187">
        <v>2802.8405942111685</v>
      </c>
      <c r="M7770" s="187">
        <v>14663.556640625</v>
      </c>
      <c r="N7770" s="187">
        <v>8118.94580078125</v>
      </c>
      <c r="O7770" t="s">
        <v>7637</v>
      </c>
    </row>
    <row r="7771" spans="1:15" hidden="1" x14ac:dyDescent="0.45">
      <c r="A7771" s="187">
        <v>2026</v>
      </c>
      <c r="B7771" t="s">
        <v>8570</v>
      </c>
      <c r="C7771" t="s">
        <v>323</v>
      </c>
      <c r="D7771" t="s">
        <v>35</v>
      </c>
      <c r="E7771" t="s">
        <v>349</v>
      </c>
      <c r="F7771" t="s">
        <v>391</v>
      </c>
      <c r="G7771" t="s">
        <v>36</v>
      </c>
      <c r="H7771" t="s">
        <v>43</v>
      </c>
      <c r="I7771" s="187">
        <v>545.88289648639989</v>
      </c>
      <c r="J7771" s="187">
        <v>10</v>
      </c>
      <c r="K7771" s="187">
        <v>1047.0587633010141</v>
      </c>
      <c r="L7771" s="187">
        <v>1117</v>
      </c>
      <c r="M7771" s="187">
        <v>2719.941650390625</v>
      </c>
      <c r="N7771" s="187">
        <v>1662.8828125</v>
      </c>
      <c r="O7771" t="s">
        <v>9163</v>
      </c>
    </row>
    <row r="7772" spans="1:15" hidden="1" x14ac:dyDescent="0.45">
      <c r="A7772" s="187">
        <v>2026</v>
      </c>
      <c r="B7772" t="s">
        <v>317</v>
      </c>
      <c r="C7772" t="s">
        <v>323</v>
      </c>
      <c r="D7772" t="s">
        <v>35</v>
      </c>
      <c r="E7772" t="s">
        <v>349</v>
      </c>
      <c r="F7772" t="s">
        <v>391</v>
      </c>
      <c r="G7772" t="s">
        <v>36</v>
      </c>
      <c r="H7772" t="s">
        <v>43</v>
      </c>
      <c r="I7772" s="187">
        <v>324.15272870599478</v>
      </c>
      <c r="J7772" s="187">
        <v>10.805090956866493</v>
      </c>
      <c r="K7772" s="187">
        <v>1281.0409702905106</v>
      </c>
      <c r="L7772" s="187">
        <v>838.47505825283986</v>
      </c>
      <c r="M7772" s="187">
        <v>2454.473876953125</v>
      </c>
      <c r="N7772" s="187">
        <v>1162.6278076171875</v>
      </c>
      <c r="O7772" t="s">
        <v>7638</v>
      </c>
    </row>
    <row r="7773" spans="1:15" hidden="1" x14ac:dyDescent="0.45">
      <c r="A7773" s="187">
        <v>2026</v>
      </c>
      <c r="B7773" t="s">
        <v>8570</v>
      </c>
      <c r="C7773" t="s">
        <v>323</v>
      </c>
      <c r="D7773" t="s">
        <v>35</v>
      </c>
      <c r="E7773" t="s">
        <v>349</v>
      </c>
      <c r="F7773" t="s">
        <v>392</v>
      </c>
      <c r="G7773" t="s">
        <v>36</v>
      </c>
      <c r="H7773" t="s">
        <v>43</v>
      </c>
      <c r="I7773" s="187">
        <v>149.8316847104</v>
      </c>
      <c r="J7773" s="187"/>
      <c r="K7773" s="187">
        <v>90.670029195022181</v>
      </c>
      <c r="L7773" s="187">
        <v>248</v>
      </c>
      <c r="M7773" s="187">
        <v>488.501708984375</v>
      </c>
      <c r="N7773" s="187">
        <v>397.8316650390625</v>
      </c>
      <c r="O7773" t="s">
        <v>9164</v>
      </c>
    </row>
    <row r="7774" spans="1:15" hidden="1" x14ac:dyDescent="0.45">
      <c r="A7774" s="187">
        <v>2026</v>
      </c>
      <c r="B7774" t="s">
        <v>317</v>
      </c>
      <c r="C7774" t="s">
        <v>323</v>
      </c>
      <c r="D7774" t="s">
        <v>35</v>
      </c>
      <c r="E7774" t="s">
        <v>349</v>
      </c>
      <c r="F7774" t="s">
        <v>392</v>
      </c>
      <c r="G7774" t="s">
        <v>36</v>
      </c>
      <c r="H7774" t="s">
        <v>43</v>
      </c>
      <c r="I7774" s="187">
        <v>86.440727654931948</v>
      </c>
      <c r="J7774" s="187"/>
      <c r="K7774" s="187">
        <v>0.38575335804757815</v>
      </c>
      <c r="L7774" s="187">
        <v>267.96625573028905</v>
      </c>
      <c r="M7774" s="187">
        <v>354.792724609375</v>
      </c>
      <c r="N7774" s="187">
        <v>354.406982421875</v>
      </c>
      <c r="O7774" t="s">
        <v>7639</v>
      </c>
    </row>
    <row r="7775" spans="1:15" hidden="1" x14ac:dyDescent="0.45">
      <c r="A7775" s="187">
        <v>2026</v>
      </c>
      <c r="B7775" t="s">
        <v>317</v>
      </c>
      <c r="C7775" t="s">
        <v>323</v>
      </c>
      <c r="D7775" t="s">
        <v>35</v>
      </c>
      <c r="E7775" t="s">
        <v>349</v>
      </c>
      <c r="F7775" t="s">
        <v>393</v>
      </c>
      <c r="G7775" t="s">
        <v>36</v>
      </c>
      <c r="H7775" t="s">
        <v>43</v>
      </c>
      <c r="I7775" s="187">
        <v>21.610181913732987</v>
      </c>
      <c r="J7775" s="187"/>
      <c r="K7775" s="187">
        <v>24.078303152221967</v>
      </c>
      <c r="L7775" s="187">
        <v>0</v>
      </c>
      <c r="M7775" s="187">
        <v>45.688484191894531</v>
      </c>
      <c r="N7775" s="187">
        <v>21.61018180847168</v>
      </c>
      <c r="O7775" t="s">
        <v>7640</v>
      </c>
    </row>
    <row r="7776" spans="1:15" hidden="1" x14ac:dyDescent="0.45">
      <c r="A7776" s="187">
        <v>2026</v>
      </c>
      <c r="B7776" t="s">
        <v>8570</v>
      </c>
      <c r="C7776" t="s">
        <v>323</v>
      </c>
      <c r="D7776" t="s">
        <v>35</v>
      </c>
      <c r="E7776" t="s">
        <v>349</v>
      </c>
      <c r="F7776" t="s">
        <v>393</v>
      </c>
      <c r="G7776" t="s">
        <v>36</v>
      </c>
      <c r="H7776" t="s">
        <v>43</v>
      </c>
      <c r="I7776" s="187">
        <v>21.472000000000001</v>
      </c>
      <c r="J7776" s="187"/>
      <c r="K7776" s="187">
        <v>35.905146586203657</v>
      </c>
      <c r="L7776" s="187">
        <v>0</v>
      </c>
      <c r="M7776" s="187">
        <v>57.377147674560547</v>
      </c>
      <c r="N7776" s="187">
        <v>21.472000122070313</v>
      </c>
      <c r="O7776" t="s">
        <v>9165</v>
      </c>
    </row>
    <row r="7777" spans="1:15" hidden="1" x14ac:dyDescent="0.45">
      <c r="A7777" s="187">
        <v>2026</v>
      </c>
      <c r="B7777" t="s">
        <v>317</v>
      </c>
      <c r="C7777" t="s">
        <v>323</v>
      </c>
      <c r="D7777" t="s">
        <v>35</v>
      </c>
      <c r="E7777" t="s">
        <v>349</v>
      </c>
      <c r="F7777" t="s">
        <v>394</v>
      </c>
      <c r="G7777" t="s">
        <v>36</v>
      </c>
      <c r="H7777" t="s">
        <v>43</v>
      </c>
      <c r="I7777" s="187">
        <v>0</v>
      </c>
      <c r="J7777" s="187"/>
      <c r="K7777" s="187">
        <v>11.349315822885799</v>
      </c>
      <c r="L7777" s="187">
        <v>0</v>
      </c>
      <c r="M7777" s="187">
        <v>11.349315643310547</v>
      </c>
      <c r="N7777" s="187">
        <v>0</v>
      </c>
      <c r="O7777" t="s">
        <v>7641</v>
      </c>
    </row>
    <row r="7778" spans="1:15" hidden="1" x14ac:dyDescent="0.45">
      <c r="A7778" s="187">
        <v>2026</v>
      </c>
      <c r="B7778" t="s">
        <v>8570</v>
      </c>
      <c r="C7778" t="s">
        <v>323</v>
      </c>
      <c r="D7778" t="s">
        <v>35</v>
      </c>
      <c r="E7778" t="s">
        <v>349</v>
      </c>
      <c r="F7778" t="s">
        <v>394</v>
      </c>
      <c r="G7778" t="s">
        <v>36</v>
      </c>
      <c r="H7778" t="s">
        <v>43</v>
      </c>
      <c r="I7778" s="187">
        <v>0</v>
      </c>
      <c r="J7778" s="187"/>
      <c r="K7778" s="187">
        <v>17.405920268212931</v>
      </c>
      <c r="L7778" s="187">
        <v>0</v>
      </c>
      <c r="M7778" s="187">
        <v>17.405920028686523</v>
      </c>
      <c r="N7778" s="187">
        <v>0</v>
      </c>
      <c r="O7778" t="s">
        <v>9166</v>
      </c>
    </row>
    <row r="7779" spans="1:15" hidden="1" x14ac:dyDescent="0.45">
      <c r="A7779" s="187">
        <v>2026</v>
      </c>
      <c r="B7779" t="s">
        <v>317</v>
      </c>
      <c r="C7779" t="s">
        <v>323</v>
      </c>
      <c r="D7779" t="s">
        <v>35</v>
      </c>
      <c r="E7779" t="s">
        <v>349</v>
      </c>
      <c r="F7779" t="s">
        <v>395</v>
      </c>
      <c r="G7779" t="s">
        <v>36</v>
      </c>
      <c r="H7779" t="s">
        <v>43</v>
      </c>
      <c r="I7779" s="187">
        <v>0</v>
      </c>
      <c r="J7779" s="187"/>
      <c r="K7779" s="187">
        <v>9.4554884820040444E-2</v>
      </c>
      <c r="L7779" s="187">
        <v>124.25854600396467</v>
      </c>
      <c r="M7779" s="187">
        <v>124.35310363769531</v>
      </c>
      <c r="N7779" s="187">
        <v>124.258544921875</v>
      </c>
      <c r="O7779" t="s">
        <v>7642</v>
      </c>
    </row>
    <row r="7780" spans="1:15" hidden="1" x14ac:dyDescent="0.45">
      <c r="A7780" s="187">
        <v>2026</v>
      </c>
      <c r="B7780" t="s">
        <v>8570</v>
      </c>
      <c r="C7780" t="s">
        <v>323</v>
      </c>
      <c r="D7780" t="s">
        <v>35</v>
      </c>
      <c r="E7780" t="s">
        <v>349</v>
      </c>
      <c r="F7780" t="s">
        <v>395</v>
      </c>
      <c r="G7780" t="s">
        <v>36</v>
      </c>
      <c r="H7780" t="s">
        <v>43</v>
      </c>
      <c r="I7780" s="187">
        <v>0</v>
      </c>
      <c r="J7780" s="187"/>
      <c r="K7780" s="187">
        <v>0.13941592867764999</v>
      </c>
      <c r="L7780" s="187">
        <v>523</v>
      </c>
      <c r="M7780" s="187">
        <v>523.139404296875</v>
      </c>
      <c r="N7780" s="187">
        <v>523</v>
      </c>
      <c r="O7780" t="s">
        <v>9167</v>
      </c>
    </row>
    <row r="7781" spans="1:15" hidden="1" x14ac:dyDescent="0.45">
      <c r="A7781" s="187">
        <v>2026</v>
      </c>
      <c r="B7781" t="s">
        <v>8570</v>
      </c>
      <c r="C7781" t="s">
        <v>323</v>
      </c>
      <c r="D7781" t="s">
        <v>35</v>
      </c>
      <c r="E7781" t="s">
        <v>349</v>
      </c>
      <c r="F7781" t="s">
        <v>396</v>
      </c>
      <c r="G7781" t="s">
        <v>36</v>
      </c>
      <c r="H7781" t="s">
        <v>43</v>
      </c>
      <c r="I7781" s="187">
        <v>374.57921177600002</v>
      </c>
      <c r="J7781" s="187">
        <v>10</v>
      </c>
      <c r="K7781" s="187">
        <v>902.93825132289749</v>
      </c>
      <c r="L7781" s="187">
        <v>346</v>
      </c>
      <c r="M7781" s="187">
        <v>1633.5174560546875</v>
      </c>
      <c r="N7781" s="187">
        <v>720.5792236328125</v>
      </c>
      <c r="O7781" t="s">
        <v>9168</v>
      </c>
    </row>
    <row r="7782" spans="1:15" hidden="1" x14ac:dyDescent="0.45">
      <c r="A7782" s="187">
        <v>2026</v>
      </c>
      <c r="B7782" t="s">
        <v>317</v>
      </c>
      <c r="C7782" t="s">
        <v>323</v>
      </c>
      <c r="D7782" t="s">
        <v>35</v>
      </c>
      <c r="E7782" t="s">
        <v>349</v>
      </c>
      <c r="F7782" t="s">
        <v>396</v>
      </c>
      <c r="G7782" t="s">
        <v>36</v>
      </c>
      <c r="H7782" t="s">
        <v>43</v>
      </c>
      <c r="I7782" s="187">
        <v>216.10181913732987</v>
      </c>
      <c r="J7782" s="187">
        <v>10.805090956866493</v>
      </c>
      <c r="K7782" s="187">
        <v>1245.1330430725361</v>
      </c>
      <c r="L7782" s="187">
        <v>446.25025651858618</v>
      </c>
      <c r="M7782" s="187">
        <v>1918.2901611328125</v>
      </c>
      <c r="N7782" s="187">
        <v>662.35205078125</v>
      </c>
      <c r="O7782" t="s">
        <v>7643</v>
      </c>
    </row>
    <row r="7783" spans="1:15" hidden="1" x14ac:dyDescent="0.45">
      <c r="A7783" s="187">
        <v>2026</v>
      </c>
      <c r="B7783" t="s">
        <v>317</v>
      </c>
      <c r="C7783" t="s">
        <v>323</v>
      </c>
      <c r="D7783" t="s">
        <v>35</v>
      </c>
      <c r="E7783" t="s">
        <v>349</v>
      </c>
      <c r="F7783" t="s">
        <v>397</v>
      </c>
      <c r="G7783" t="s">
        <v>36</v>
      </c>
      <c r="H7783" t="s">
        <v>43</v>
      </c>
      <c r="I7783" s="187">
        <v>0</v>
      </c>
      <c r="J7783" s="187"/>
      <c r="K7783" s="187">
        <v>2.819776064095544E-2</v>
      </c>
      <c r="L7783" s="187">
        <v>0</v>
      </c>
      <c r="M7783" s="187">
        <v>2.8197759762406349E-2</v>
      </c>
      <c r="N7783" s="187">
        <v>0</v>
      </c>
      <c r="O7783" t="s">
        <v>7644</v>
      </c>
    </row>
    <row r="7784" spans="1:15" hidden="1" x14ac:dyDescent="0.45">
      <c r="A7784" s="187">
        <v>2026</v>
      </c>
      <c r="B7784" t="s">
        <v>8570</v>
      </c>
      <c r="C7784" t="s">
        <v>323</v>
      </c>
      <c r="D7784" t="s">
        <v>35</v>
      </c>
      <c r="E7784" t="s">
        <v>349</v>
      </c>
      <c r="F7784" t="s">
        <v>397</v>
      </c>
      <c r="G7784" t="s">
        <v>36</v>
      </c>
      <c r="H7784" t="s">
        <v>43</v>
      </c>
      <c r="I7784" s="187">
        <v>0</v>
      </c>
      <c r="J7784" s="187"/>
      <c r="K7784" s="187">
        <v>4.09994701643311E-2</v>
      </c>
      <c r="L7784" s="187">
        <v>0</v>
      </c>
      <c r="M7784" s="187">
        <v>4.0999468415975571E-2</v>
      </c>
      <c r="N7784" s="187">
        <v>0</v>
      </c>
      <c r="O7784" t="s">
        <v>9169</v>
      </c>
    </row>
    <row r="7785" spans="1:15" hidden="1" x14ac:dyDescent="0.45">
      <c r="A7785" s="187">
        <v>2026</v>
      </c>
      <c r="B7785" t="s">
        <v>317</v>
      </c>
      <c r="C7785" t="s">
        <v>323</v>
      </c>
      <c r="D7785" t="s">
        <v>35</v>
      </c>
      <c r="E7785" t="s">
        <v>349</v>
      </c>
      <c r="F7785" t="s">
        <v>398</v>
      </c>
      <c r="G7785" t="s">
        <v>36</v>
      </c>
      <c r="H7785" t="s">
        <v>43</v>
      </c>
      <c r="I7785" s="187">
        <v>0</v>
      </c>
      <c r="J7785" s="187">
        <v>513.24182045115845</v>
      </c>
      <c r="K7785" s="187">
        <v>2.6247940962329519</v>
      </c>
      <c r="L7785" s="187">
        <v>0</v>
      </c>
      <c r="M7785" s="187">
        <v>515.86663818359375</v>
      </c>
      <c r="N7785" s="187">
        <v>0</v>
      </c>
      <c r="O7785" t="s">
        <v>7645</v>
      </c>
    </row>
    <row r="7786" spans="1:15" hidden="1" x14ac:dyDescent="0.45">
      <c r="A7786" s="187">
        <v>2026</v>
      </c>
      <c r="B7786" t="s">
        <v>8570</v>
      </c>
      <c r="C7786" t="s">
        <v>323</v>
      </c>
      <c r="D7786" t="s">
        <v>35</v>
      </c>
      <c r="E7786" t="s">
        <v>349</v>
      </c>
      <c r="F7786" t="s">
        <v>398</v>
      </c>
      <c r="G7786" t="s">
        <v>36</v>
      </c>
      <c r="H7786" t="s">
        <v>43</v>
      </c>
      <c r="I7786" s="187">
        <v>0</v>
      </c>
      <c r="J7786" s="187">
        <v>475</v>
      </c>
      <c r="K7786" s="187">
        <v>2.9354299457831532</v>
      </c>
      <c r="L7786" s="187">
        <v>0</v>
      </c>
      <c r="M7786" s="187">
        <v>477.9354248046875</v>
      </c>
      <c r="N7786" s="187">
        <v>0</v>
      </c>
      <c r="O7786" t="s">
        <v>9170</v>
      </c>
    </row>
    <row r="7787" spans="1:15" hidden="1" x14ac:dyDescent="0.45">
      <c r="A7787" s="187">
        <v>2026</v>
      </c>
      <c r="B7787" t="s">
        <v>317</v>
      </c>
      <c r="C7787" t="s">
        <v>323</v>
      </c>
      <c r="D7787" t="s">
        <v>35</v>
      </c>
      <c r="E7787" t="s">
        <v>349</v>
      </c>
      <c r="F7787" t="s">
        <v>399</v>
      </c>
      <c r="G7787" t="s">
        <v>36</v>
      </c>
      <c r="H7787" t="s">
        <v>43</v>
      </c>
      <c r="I7787" s="187">
        <v>0</v>
      </c>
      <c r="J7787" s="187">
        <v>459.21636566682594</v>
      </c>
      <c r="K7787" s="187">
        <v>1.7600734115786418</v>
      </c>
      <c r="L7787" s="187">
        <v>0</v>
      </c>
      <c r="M7787" s="187">
        <v>460.9764404296875</v>
      </c>
      <c r="N7787" s="187">
        <v>0</v>
      </c>
      <c r="O7787" t="s">
        <v>7646</v>
      </c>
    </row>
    <row r="7788" spans="1:15" hidden="1" x14ac:dyDescent="0.45">
      <c r="A7788" s="187">
        <v>2026</v>
      </c>
      <c r="B7788" t="s">
        <v>8570</v>
      </c>
      <c r="C7788" t="s">
        <v>323</v>
      </c>
      <c r="D7788" t="s">
        <v>35</v>
      </c>
      <c r="E7788" t="s">
        <v>349</v>
      </c>
      <c r="F7788" t="s">
        <v>399</v>
      </c>
      <c r="G7788" t="s">
        <v>36</v>
      </c>
      <c r="H7788" t="s">
        <v>43</v>
      </c>
      <c r="I7788" s="187">
        <v>0</v>
      </c>
      <c r="J7788" s="187">
        <v>425</v>
      </c>
      <c r="K7788" s="187">
        <v>1.944322017303447</v>
      </c>
      <c r="L7788" s="187">
        <v>0</v>
      </c>
      <c r="M7788" s="187">
        <v>426.9443359375</v>
      </c>
      <c r="N7788" s="187">
        <v>0</v>
      </c>
      <c r="O7788" t="s">
        <v>9171</v>
      </c>
    </row>
    <row r="7789" spans="1:15" hidden="1" x14ac:dyDescent="0.45">
      <c r="A7789" s="187">
        <v>2026</v>
      </c>
      <c r="B7789" t="s">
        <v>317</v>
      </c>
      <c r="C7789" t="s">
        <v>323</v>
      </c>
      <c r="D7789" t="s">
        <v>35</v>
      </c>
      <c r="E7789" t="s">
        <v>349</v>
      </c>
      <c r="F7789" t="s">
        <v>400</v>
      </c>
      <c r="G7789" t="s">
        <v>36</v>
      </c>
      <c r="H7789" t="s">
        <v>43</v>
      </c>
      <c r="I7789" s="187">
        <v>0</v>
      </c>
      <c r="J7789" s="187">
        <v>54.025454784332467</v>
      </c>
      <c r="K7789" s="187">
        <v>0.82961116043705452</v>
      </c>
      <c r="L7789" s="187">
        <v>0</v>
      </c>
      <c r="M7789" s="187">
        <v>54.855068206787109</v>
      </c>
      <c r="N7789" s="187">
        <v>0</v>
      </c>
      <c r="O7789" t="s">
        <v>7647</v>
      </c>
    </row>
    <row r="7790" spans="1:15" hidden="1" x14ac:dyDescent="0.45">
      <c r="A7790" s="187">
        <v>2026</v>
      </c>
      <c r="B7790" t="s">
        <v>8570</v>
      </c>
      <c r="C7790" t="s">
        <v>323</v>
      </c>
      <c r="D7790" t="s">
        <v>35</v>
      </c>
      <c r="E7790" t="s">
        <v>349</v>
      </c>
      <c r="F7790" t="s">
        <v>400</v>
      </c>
      <c r="G7790" t="s">
        <v>36</v>
      </c>
      <c r="H7790" t="s">
        <v>43</v>
      </c>
      <c r="I7790" s="187">
        <v>0</v>
      </c>
      <c r="J7790" s="187">
        <v>50</v>
      </c>
      <c r="K7790" s="187">
        <v>0.94255885928950889</v>
      </c>
      <c r="L7790" s="187">
        <v>0</v>
      </c>
      <c r="M7790" s="187">
        <v>50.942558288574219</v>
      </c>
      <c r="N7790" s="187">
        <v>0</v>
      </c>
      <c r="O7790" t="s">
        <v>9172</v>
      </c>
    </row>
    <row r="7791" spans="1:15" hidden="1" x14ac:dyDescent="0.45">
      <c r="A7791" s="187">
        <v>2026</v>
      </c>
      <c r="B7791" t="s">
        <v>8570</v>
      </c>
      <c r="C7791" t="s">
        <v>323</v>
      </c>
      <c r="D7791" t="s">
        <v>35</v>
      </c>
      <c r="E7791" t="s">
        <v>349</v>
      </c>
      <c r="F7791" t="s">
        <v>401</v>
      </c>
      <c r="G7791" t="s">
        <v>36</v>
      </c>
      <c r="H7791" t="s">
        <v>43</v>
      </c>
      <c r="I7791" s="187">
        <v>0</v>
      </c>
      <c r="J7791" s="187"/>
      <c r="K7791" s="187">
        <v>7.5495990258655004E-3</v>
      </c>
      <c r="L7791" s="187">
        <v>0</v>
      </c>
      <c r="M7791" s="187">
        <v>7.5495988130569458E-3</v>
      </c>
      <c r="N7791" s="187">
        <v>0</v>
      </c>
      <c r="O7791" t="s">
        <v>9173</v>
      </c>
    </row>
    <row r="7792" spans="1:15" hidden="1" x14ac:dyDescent="0.45">
      <c r="A7792" s="187">
        <v>2026</v>
      </c>
      <c r="B7792" t="s">
        <v>317</v>
      </c>
      <c r="C7792" t="s">
        <v>323</v>
      </c>
      <c r="D7792" t="s">
        <v>35</v>
      </c>
      <c r="E7792" t="s">
        <v>349</v>
      </c>
      <c r="F7792" t="s">
        <v>401</v>
      </c>
      <c r="G7792" t="s">
        <v>36</v>
      </c>
      <c r="H7792" t="s">
        <v>43</v>
      </c>
      <c r="I7792" s="187">
        <v>0</v>
      </c>
      <c r="J7792" s="187"/>
      <c r="K7792" s="187">
        <v>6.911763576299918E-3</v>
      </c>
      <c r="L7792" s="187">
        <v>0</v>
      </c>
      <c r="M7792" s="187">
        <v>6.9117634557187557E-3</v>
      </c>
      <c r="N7792" s="187">
        <v>0</v>
      </c>
      <c r="O7792" t="s">
        <v>7648</v>
      </c>
    </row>
    <row r="7793" spans="1:15" hidden="1" x14ac:dyDescent="0.45">
      <c r="A7793" s="187">
        <v>2026</v>
      </c>
      <c r="B7793" t="s">
        <v>8570</v>
      </c>
      <c r="C7793" t="s">
        <v>323</v>
      </c>
      <c r="D7793" t="s">
        <v>35</v>
      </c>
      <c r="E7793" t="s">
        <v>349</v>
      </c>
      <c r="F7793" t="s">
        <v>402</v>
      </c>
      <c r="G7793" t="s">
        <v>36</v>
      </c>
      <c r="H7793" t="s">
        <v>43</v>
      </c>
      <c r="I7793" s="187">
        <v>0</v>
      </c>
      <c r="J7793" s="187"/>
      <c r="K7793" s="187">
        <v>16.01712634419868</v>
      </c>
      <c r="L7793" s="187">
        <v>0</v>
      </c>
      <c r="M7793" s="187">
        <v>16.017126083374023</v>
      </c>
      <c r="N7793" s="187">
        <v>0</v>
      </c>
      <c r="O7793" t="s">
        <v>9174</v>
      </c>
    </row>
    <row r="7794" spans="1:15" hidden="1" x14ac:dyDescent="0.45">
      <c r="A7794" s="187">
        <v>2026</v>
      </c>
      <c r="B7794" t="s">
        <v>317</v>
      </c>
      <c r="C7794" t="s">
        <v>323</v>
      </c>
      <c r="D7794" t="s">
        <v>35</v>
      </c>
      <c r="E7794" t="s">
        <v>349</v>
      </c>
      <c r="F7794" t="s">
        <v>402</v>
      </c>
      <c r="G7794" t="s">
        <v>36</v>
      </c>
      <c r="H7794" t="s">
        <v>43</v>
      </c>
      <c r="I7794" s="187">
        <v>0</v>
      </c>
      <c r="J7794" s="187"/>
      <c r="K7794" s="187">
        <v>8.0611900515546218</v>
      </c>
      <c r="L7794" s="187">
        <v>0</v>
      </c>
      <c r="M7794" s="187">
        <v>8.0611896514892578</v>
      </c>
      <c r="N7794" s="187">
        <v>0</v>
      </c>
      <c r="O7794" t="s">
        <v>7649</v>
      </c>
    </row>
    <row r="7795" spans="1:15" hidden="1" x14ac:dyDescent="0.45">
      <c r="A7795" s="187">
        <v>2026</v>
      </c>
      <c r="B7795" t="s">
        <v>8570</v>
      </c>
      <c r="C7795" t="s">
        <v>323</v>
      </c>
      <c r="D7795" t="s">
        <v>35</v>
      </c>
      <c r="E7795" t="s">
        <v>349</v>
      </c>
      <c r="F7795" t="s">
        <v>403</v>
      </c>
      <c r="G7795" t="s">
        <v>36</v>
      </c>
      <c r="H7795" t="s">
        <v>43</v>
      </c>
      <c r="I7795" s="187">
        <v>2750.4141671423999</v>
      </c>
      <c r="J7795" s="187"/>
      <c r="K7795" s="187">
        <v>1919.872301625802</v>
      </c>
      <c r="L7795" s="187">
        <v>1199</v>
      </c>
      <c r="M7795" s="187">
        <v>5869.2861328125</v>
      </c>
      <c r="N7795" s="187">
        <v>3949.4140625</v>
      </c>
      <c r="O7795" t="s">
        <v>9175</v>
      </c>
    </row>
    <row r="7796" spans="1:15" hidden="1" x14ac:dyDescent="0.45">
      <c r="A7796" s="187">
        <v>2026</v>
      </c>
      <c r="B7796" t="s">
        <v>317</v>
      </c>
      <c r="C7796" t="s">
        <v>323</v>
      </c>
      <c r="D7796" t="s">
        <v>35</v>
      </c>
      <c r="E7796" t="s">
        <v>349</v>
      </c>
      <c r="F7796" t="s">
        <v>403</v>
      </c>
      <c r="G7796" t="s">
        <v>36</v>
      </c>
      <c r="H7796" t="s">
        <v>43</v>
      </c>
      <c r="I7796" s="187">
        <v>4740.1934027773304</v>
      </c>
      <c r="J7796" s="187"/>
      <c r="K7796" s="187">
        <v>2966.9940884843422</v>
      </c>
      <c r="L7796" s="187">
        <v>1526.7593522052355</v>
      </c>
      <c r="M7796" s="187">
        <v>9233.947265625</v>
      </c>
      <c r="N7796" s="187">
        <v>6266.95263671875</v>
      </c>
      <c r="O7796" t="s">
        <v>7650</v>
      </c>
    </row>
    <row r="7797" spans="1:15" hidden="1" x14ac:dyDescent="0.45">
      <c r="A7797" s="187">
        <v>2026</v>
      </c>
      <c r="B7797" t="s">
        <v>8570</v>
      </c>
      <c r="C7797" t="s">
        <v>323</v>
      </c>
      <c r="D7797" t="s">
        <v>35</v>
      </c>
      <c r="E7797" t="s">
        <v>349</v>
      </c>
      <c r="F7797" t="s">
        <v>404</v>
      </c>
      <c r="G7797" t="s">
        <v>36</v>
      </c>
      <c r="H7797" t="s">
        <v>43</v>
      </c>
      <c r="I7797" s="187">
        <v>2750.4141671423999</v>
      </c>
      <c r="J7797" s="187">
        <v>10</v>
      </c>
      <c r="K7797" s="187">
        <v>2869.545051099602</v>
      </c>
      <c r="L7797" s="187">
        <v>1632</v>
      </c>
      <c r="M7797" s="187">
        <v>7261.958984375</v>
      </c>
      <c r="N7797" s="187">
        <v>4382.4140625</v>
      </c>
      <c r="O7797" t="s">
        <v>9176</v>
      </c>
    </row>
    <row r="7798" spans="1:15" hidden="1" x14ac:dyDescent="0.45">
      <c r="A7798" s="187">
        <v>2026</v>
      </c>
      <c r="B7798" t="s">
        <v>317</v>
      </c>
      <c r="C7798" t="s">
        <v>323</v>
      </c>
      <c r="D7798" t="s">
        <v>35</v>
      </c>
      <c r="E7798" t="s">
        <v>349</v>
      </c>
      <c r="F7798" t="s">
        <v>404</v>
      </c>
      <c r="G7798" t="s">
        <v>36</v>
      </c>
      <c r="H7798" t="s">
        <v>43</v>
      </c>
      <c r="I7798" s="187">
        <v>4740.1934027773304</v>
      </c>
      <c r="J7798" s="187">
        <v>10.805090956866493</v>
      </c>
      <c r="K7798" s="187">
        <v>4625.9741518624451</v>
      </c>
      <c r="L7798" s="187">
        <v>1836.8654626673037</v>
      </c>
      <c r="M7798" s="187">
        <v>11213.837890625</v>
      </c>
      <c r="N7798" s="187">
        <v>6577.05859375</v>
      </c>
      <c r="O7798" t="s">
        <v>7651</v>
      </c>
    </row>
    <row r="7799" spans="1:15" hidden="1" x14ac:dyDescent="0.45">
      <c r="A7799" s="187">
        <v>2026</v>
      </c>
      <c r="B7799" t="s">
        <v>317</v>
      </c>
      <c r="C7799" t="s">
        <v>323</v>
      </c>
      <c r="D7799" t="s">
        <v>35</v>
      </c>
      <c r="E7799" t="s">
        <v>349</v>
      </c>
      <c r="F7799" t="s">
        <v>405</v>
      </c>
      <c r="G7799" t="s">
        <v>36</v>
      </c>
      <c r="H7799" t="s">
        <v>43</v>
      </c>
      <c r="I7799" s="187">
        <v>0</v>
      </c>
      <c r="J7799" s="187"/>
      <c r="K7799" s="187">
        <v>1648.9429348650006</v>
      </c>
      <c r="L7799" s="187">
        <v>89.6822549419919</v>
      </c>
      <c r="M7799" s="187">
        <v>1738.625244140625</v>
      </c>
      <c r="N7799" s="187">
        <v>89.682258605957031</v>
      </c>
      <c r="O7799" t="s">
        <v>7652</v>
      </c>
    </row>
    <row r="7800" spans="1:15" hidden="1" x14ac:dyDescent="0.45">
      <c r="A7800" s="187">
        <v>2026</v>
      </c>
      <c r="B7800" t="s">
        <v>8570</v>
      </c>
      <c r="C7800" t="s">
        <v>323</v>
      </c>
      <c r="D7800" t="s">
        <v>35</v>
      </c>
      <c r="E7800" t="s">
        <v>349</v>
      </c>
      <c r="F7800" t="s">
        <v>405</v>
      </c>
      <c r="G7800" t="s">
        <v>36</v>
      </c>
      <c r="H7800" t="s">
        <v>43</v>
      </c>
      <c r="I7800" s="187">
        <v>0</v>
      </c>
      <c r="J7800" s="187"/>
      <c r="K7800" s="187">
        <v>930.70624644349732</v>
      </c>
      <c r="L7800" s="187">
        <v>433</v>
      </c>
      <c r="M7800" s="187">
        <v>1363.706298828125</v>
      </c>
      <c r="N7800" s="187">
        <v>433</v>
      </c>
      <c r="O7800" t="s">
        <v>9177</v>
      </c>
    </row>
    <row r="7801" spans="1:15" hidden="1" x14ac:dyDescent="0.45">
      <c r="A7801" s="187">
        <v>2026</v>
      </c>
      <c r="B7801" t="s">
        <v>317</v>
      </c>
      <c r="C7801" t="s">
        <v>323</v>
      </c>
      <c r="D7801" t="s">
        <v>35</v>
      </c>
      <c r="E7801" t="s">
        <v>349</v>
      </c>
      <c r="F7801" t="s">
        <v>406</v>
      </c>
      <c r="G7801" t="s">
        <v>36</v>
      </c>
      <c r="H7801" t="s">
        <v>43</v>
      </c>
      <c r="I7801" s="187">
        <v>0</v>
      </c>
      <c r="J7801" s="187"/>
      <c r="K7801" s="187">
        <v>1.9759384615472133</v>
      </c>
      <c r="L7801" s="187">
        <v>0</v>
      </c>
      <c r="M7801" s="187">
        <v>1.9759384393692017</v>
      </c>
      <c r="N7801" s="187">
        <v>0</v>
      </c>
      <c r="O7801" t="s">
        <v>7653</v>
      </c>
    </row>
    <row r="7802" spans="1:15" hidden="1" x14ac:dyDescent="0.45">
      <c r="A7802" s="187">
        <v>2026</v>
      </c>
      <c r="B7802" t="s">
        <v>8570</v>
      </c>
      <c r="C7802" t="s">
        <v>323</v>
      </c>
      <c r="D7802" t="s">
        <v>35</v>
      </c>
      <c r="E7802" t="s">
        <v>349</v>
      </c>
      <c r="F7802" t="s">
        <v>406</v>
      </c>
      <c r="G7802" t="s">
        <v>36</v>
      </c>
      <c r="H7802" t="s">
        <v>43</v>
      </c>
      <c r="I7802" s="187">
        <v>0</v>
      </c>
      <c r="J7802" s="187"/>
      <c r="K7802" s="187">
        <v>2.9493766861047992</v>
      </c>
      <c r="L7802" s="187">
        <v>0</v>
      </c>
      <c r="M7802" s="187">
        <v>2.9493765830993652</v>
      </c>
      <c r="N7802" s="187">
        <v>0</v>
      </c>
      <c r="O7802" t="s">
        <v>9178</v>
      </c>
    </row>
    <row r="7803" spans="1:15" hidden="1" x14ac:dyDescent="0.45">
      <c r="A7803" s="187">
        <v>2026</v>
      </c>
      <c r="B7803" t="s">
        <v>317</v>
      </c>
      <c r="C7803" t="s">
        <v>323</v>
      </c>
      <c r="D7803" t="s">
        <v>35</v>
      </c>
      <c r="E7803" t="s">
        <v>349</v>
      </c>
      <c r="F7803" t="s">
        <v>407</v>
      </c>
      <c r="G7803" t="s">
        <v>36</v>
      </c>
      <c r="H7803" t="s">
        <v>43</v>
      </c>
      <c r="I7803" s="187">
        <v>0</v>
      </c>
      <c r="J7803" s="187">
        <v>10.805090956866493</v>
      </c>
      <c r="K7803" s="187">
        <v>0</v>
      </c>
      <c r="L7803" s="187">
        <v>220.42385552007647</v>
      </c>
      <c r="M7803" s="187">
        <v>231.22894287109375</v>
      </c>
      <c r="N7803" s="187">
        <v>220.42385864257813</v>
      </c>
      <c r="O7803" t="s">
        <v>7654</v>
      </c>
    </row>
    <row r="7804" spans="1:15" hidden="1" x14ac:dyDescent="0.45">
      <c r="A7804" s="187">
        <v>2026</v>
      </c>
      <c r="B7804" t="s">
        <v>8570</v>
      </c>
      <c r="C7804" t="s">
        <v>323</v>
      </c>
      <c r="D7804" t="s">
        <v>35</v>
      </c>
      <c r="E7804" t="s">
        <v>349</v>
      </c>
      <c r="F7804" t="s">
        <v>407</v>
      </c>
      <c r="G7804" t="s">
        <v>36</v>
      </c>
      <c r="H7804" t="s">
        <v>43</v>
      </c>
      <c r="I7804" s="187">
        <v>0</v>
      </c>
      <c r="J7804" s="187">
        <v>10</v>
      </c>
      <c r="K7804" s="187">
        <v>0</v>
      </c>
      <c r="L7804" s="187">
        <v>0</v>
      </c>
      <c r="M7804" s="187">
        <v>10</v>
      </c>
      <c r="N7804" s="187">
        <v>0</v>
      </c>
      <c r="O7804" t="s">
        <v>9179</v>
      </c>
    </row>
    <row r="7805" spans="1:15" hidden="1" x14ac:dyDescent="0.45">
      <c r="A7805" s="187">
        <v>2026</v>
      </c>
      <c r="B7805" t="s">
        <v>8570</v>
      </c>
      <c r="C7805" t="s">
        <v>323</v>
      </c>
      <c r="D7805" t="s">
        <v>35</v>
      </c>
      <c r="E7805" t="s">
        <v>349</v>
      </c>
      <c r="F7805" t="s">
        <v>408</v>
      </c>
      <c r="G7805" t="s">
        <v>36</v>
      </c>
      <c r="H7805" t="s">
        <v>43</v>
      </c>
      <c r="I7805" s="187">
        <v>149.8316847104</v>
      </c>
      <c r="J7805" s="187"/>
      <c r="K7805" s="187"/>
      <c r="L7805" s="187"/>
      <c r="M7805" s="187">
        <v>149.83168029785156</v>
      </c>
      <c r="N7805" s="187">
        <v>149.83168029785156</v>
      </c>
      <c r="O7805" t="s">
        <v>9180</v>
      </c>
    </row>
    <row r="7806" spans="1:15" hidden="1" x14ac:dyDescent="0.45">
      <c r="A7806" s="187">
        <v>2026</v>
      </c>
      <c r="B7806" t="s">
        <v>8570</v>
      </c>
      <c r="C7806" t="s">
        <v>323</v>
      </c>
      <c r="D7806" t="s">
        <v>35</v>
      </c>
      <c r="E7806" t="s">
        <v>349</v>
      </c>
      <c r="F7806" t="s">
        <v>409</v>
      </c>
      <c r="G7806" t="s">
        <v>36</v>
      </c>
      <c r="H7806" t="s">
        <v>43</v>
      </c>
      <c r="I7806" s="187">
        <v>149.8316847104</v>
      </c>
      <c r="J7806" s="187"/>
      <c r="K7806" s="187"/>
      <c r="L7806" s="187"/>
      <c r="M7806" s="187">
        <v>149.83168029785156</v>
      </c>
      <c r="N7806" s="187">
        <v>149.83168029785156</v>
      </c>
      <c r="O7806" t="s">
        <v>9181</v>
      </c>
    </row>
    <row r="7807" spans="1:15" hidden="1" x14ac:dyDescent="0.45">
      <c r="A7807" s="187">
        <v>2026</v>
      </c>
      <c r="B7807" t="s">
        <v>8570</v>
      </c>
      <c r="C7807" t="s">
        <v>323</v>
      </c>
      <c r="D7807" t="s">
        <v>35</v>
      </c>
      <c r="E7807" t="s">
        <v>349</v>
      </c>
      <c r="F7807" t="s">
        <v>410</v>
      </c>
      <c r="G7807" t="s">
        <v>36</v>
      </c>
      <c r="H7807" t="s">
        <v>43</v>
      </c>
      <c r="I7807" s="187">
        <v>149.8316847104</v>
      </c>
      <c r="J7807" s="187"/>
      <c r="K7807" s="187"/>
      <c r="L7807" s="187"/>
      <c r="M7807" s="187">
        <v>149.83168029785156</v>
      </c>
      <c r="N7807" s="187">
        <v>149.83168029785156</v>
      </c>
      <c r="O7807" t="s">
        <v>9182</v>
      </c>
    </row>
    <row r="7808" spans="1:15" hidden="1" x14ac:dyDescent="0.45">
      <c r="A7808" s="187">
        <v>2026</v>
      </c>
      <c r="B7808" t="s">
        <v>8570</v>
      </c>
      <c r="C7808" t="s">
        <v>323</v>
      </c>
      <c r="D7808" t="s">
        <v>35</v>
      </c>
      <c r="E7808" t="s">
        <v>349</v>
      </c>
      <c r="F7808" t="s">
        <v>411</v>
      </c>
      <c r="G7808" t="s">
        <v>36</v>
      </c>
      <c r="H7808" t="s">
        <v>43</v>
      </c>
      <c r="I7808" s="187">
        <v>449.49505413119999</v>
      </c>
      <c r="J7808" s="187"/>
      <c r="K7808" s="187"/>
      <c r="L7808" s="187"/>
      <c r="M7808" s="187">
        <v>449.49505615234375</v>
      </c>
      <c r="N7808" s="187">
        <v>449.49505615234375</v>
      </c>
      <c r="O7808" t="s">
        <v>9183</v>
      </c>
    </row>
    <row r="7809" spans="1:15" hidden="1" x14ac:dyDescent="0.45">
      <c r="A7809" s="187">
        <v>2026</v>
      </c>
      <c r="B7809" t="s">
        <v>317</v>
      </c>
      <c r="C7809" t="s">
        <v>323</v>
      </c>
      <c r="D7809" t="s">
        <v>35</v>
      </c>
      <c r="E7809" t="s">
        <v>349</v>
      </c>
      <c r="F7809" t="s">
        <v>423</v>
      </c>
      <c r="G7809" t="s">
        <v>36</v>
      </c>
      <c r="H7809" t="s">
        <v>43</v>
      </c>
      <c r="I7809" s="187">
        <v>55.105963880019118</v>
      </c>
      <c r="J7809" s="187"/>
      <c r="K7809" s="187">
        <v>100.1191410708666</v>
      </c>
      <c r="L7809" s="187">
        <v>32.41527287059948</v>
      </c>
      <c r="M7809" s="187">
        <v>187.640380859375</v>
      </c>
      <c r="N7809" s="187">
        <v>87.521240234375</v>
      </c>
      <c r="O7809" t="s">
        <v>7655</v>
      </c>
    </row>
    <row r="7810" spans="1:15" hidden="1" x14ac:dyDescent="0.45">
      <c r="A7810" s="187">
        <v>2026</v>
      </c>
      <c r="B7810" t="s">
        <v>8570</v>
      </c>
      <c r="C7810" t="s">
        <v>323</v>
      </c>
      <c r="D7810" t="s">
        <v>35</v>
      </c>
      <c r="E7810" t="s">
        <v>349</v>
      </c>
      <c r="F7810" t="s">
        <v>423</v>
      </c>
      <c r="G7810" t="s">
        <v>36</v>
      </c>
      <c r="H7810" t="s">
        <v>43</v>
      </c>
      <c r="I7810" s="187"/>
      <c r="J7810" s="187"/>
      <c r="K7810" s="187">
        <v>95.307679984746784</v>
      </c>
      <c r="L7810" s="187">
        <v>55</v>
      </c>
      <c r="M7810" s="187">
        <v>150.30767822265625</v>
      </c>
      <c r="N7810" s="187">
        <v>55</v>
      </c>
      <c r="O7810" t="s">
        <v>9184</v>
      </c>
    </row>
    <row r="7811" spans="1:15" hidden="1" x14ac:dyDescent="0.45">
      <c r="A7811" s="187">
        <v>2026</v>
      </c>
      <c r="B7811" t="s">
        <v>8570</v>
      </c>
      <c r="C7811" t="s">
        <v>323</v>
      </c>
      <c r="D7811" t="s">
        <v>35</v>
      </c>
      <c r="E7811" t="s">
        <v>349</v>
      </c>
      <c r="F7811" t="s">
        <v>424</v>
      </c>
      <c r="G7811" t="s">
        <v>36</v>
      </c>
      <c r="H7811" t="s">
        <v>43</v>
      </c>
      <c r="I7811" s="187"/>
      <c r="J7811" s="187"/>
      <c r="K7811" s="187">
        <v>0</v>
      </c>
      <c r="L7811" s="187">
        <v>222</v>
      </c>
      <c r="M7811" s="187">
        <v>222</v>
      </c>
      <c r="N7811" s="187">
        <v>222</v>
      </c>
      <c r="O7811" t="s">
        <v>9185</v>
      </c>
    </row>
    <row r="7812" spans="1:15" hidden="1" x14ac:dyDescent="0.45">
      <c r="A7812" s="187">
        <v>2026</v>
      </c>
      <c r="B7812" t="s">
        <v>317</v>
      </c>
      <c r="C7812" t="s">
        <v>323</v>
      </c>
      <c r="D7812" t="s">
        <v>35</v>
      </c>
      <c r="E7812" t="s">
        <v>349</v>
      </c>
      <c r="F7812" t="s">
        <v>424</v>
      </c>
      <c r="G7812" t="s">
        <v>36</v>
      </c>
      <c r="H7812" t="s">
        <v>43</v>
      </c>
      <c r="I7812" s="187">
        <v>110.21192776003824</v>
      </c>
      <c r="J7812" s="187"/>
      <c r="K7812" s="187">
        <v>0</v>
      </c>
      <c r="L7812" s="187">
        <v>71.313600315318851</v>
      </c>
      <c r="M7812" s="187">
        <v>181.52552795410156</v>
      </c>
      <c r="N7812" s="187">
        <v>181.52552795410156</v>
      </c>
      <c r="O7812" t="s">
        <v>7656</v>
      </c>
    </row>
    <row r="7813" spans="1:15" hidden="1" x14ac:dyDescent="0.45">
      <c r="A7813" s="187">
        <v>2026</v>
      </c>
      <c r="B7813" t="s">
        <v>8570</v>
      </c>
      <c r="C7813" t="s">
        <v>323</v>
      </c>
      <c r="D7813" t="s">
        <v>35</v>
      </c>
      <c r="E7813" t="s">
        <v>349</v>
      </c>
      <c r="F7813" t="s">
        <v>446</v>
      </c>
      <c r="G7813" t="s">
        <v>36</v>
      </c>
      <c r="H7813" t="s">
        <v>43</v>
      </c>
      <c r="I7813" s="187"/>
      <c r="J7813" s="187"/>
      <c r="K7813" s="187">
        <v>0</v>
      </c>
      <c r="L7813" s="187">
        <v>0</v>
      </c>
      <c r="M7813" s="187">
        <v>0</v>
      </c>
      <c r="N7813" s="187">
        <v>0</v>
      </c>
      <c r="O7813" t="s">
        <v>9186</v>
      </c>
    </row>
    <row r="7814" spans="1:15" hidden="1" x14ac:dyDescent="0.45">
      <c r="A7814" s="187">
        <v>2026</v>
      </c>
      <c r="B7814" t="s">
        <v>317</v>
      </c>
      <c r="C7814" t="s">
        <v>323</v>
      </c>
      <c r="D7814" t="s">
        <v>35</v>
      </c>
      <c r="E7814" t="s">
        <v>349</v>
      </c>
      <c r="F7814" t="s">
        <v>446</v>
      </c>
      <c r="G7814" t="s">
        <v>36</v>
      </c>
      <c r="H7814" t="s">
        <v>43</v>
      </c>
      <c r="I7814" s="187">
        <v>86.440727654931948</v>
      </c>
      <c r="J7814" s="187"/>
      <c r="K7814" s="187">
        <v>0</v>
      </c>
      <c r="L7814" s="187">
        <v>23.771200105106285</v>
      </c>
      <c r="M7814" s="187">
        <v>110.21192932128906</v>
      </c>
      <c r="N7814" s="187">
        <v>110.21192932128906</v>
      </c>
      <c r="O7814" t="s">
        <v>7657</v>
      </c>
    </row>
    <row r="7815" spans="1:15" hidden="1" x14ac:dyDescent="0.45">
      <c r="A7815" s="187">
        <v>2026</v>
      </c>
      <c r="B7815" t="s">
        <v>317</v>
      </c>
      <c r="C7815" t="s">
        <v>323</v>
      </c>
      <c r="D7815" t="s">
        <v>35</v>
      </c>
      <c r="E7815" t="s">
        <v>349</v>
      </c>
      <c r="F7815" t="s">
        <v>447</v>
      </c>
      <c r="G7815" t="s">
        <v>36</v>
      </c>
      <c r="H7815" t="s">
        <v>43</v>
      </c>
      <c r="I7815" s="187">
        <v>251.7586192949893</v>
      </c>
      <c r="J7815" s="187">
        <v>0</v>
      </c>
      <c r="K7815" s="187">
        <v>100.1191410708666</v>
      </c>
      <c r="L7815" s="187">
        <v>127.50007329102462</v>
      </c>
      <c r="M7815" s="187">
        <v>479.37783813476563</v>
      </c>
      <c r="N7815" s="187">
        <v>379.25869750976563</v>
      </c>
      <c r="O7815" t="s">
        <v>7658</v>
      </c>
    </row>
    <row r="7816" spans="1:15" hidden="1" x14ac:dyDescent="0.45">
      <c r="A7816" s="187">
        <v>2026</v>
      </c>
      <c r="B7816" t="s">
        <v>8570</v>
      </c>
      <c r="C7816" t="s">
        <v>323</v>
      </c>
      <c r="D7816" t="s">
        <v>35</v>
      </c>
      <c r="E7816" t="s">
        <v>349</v>
      </c>
      <c r="F7816" t="s">
        <v>447</v>
      </c>
      <c r="G7816" t="s">
        <v>36</v>
      </c>
      <c r="H7816" t="s">
        <v>43</v>
      </c>
      <c r="I7816" s="187"/>
      <c r="J7816" s="187">
        <v>0</v>
      </c>
      <c r="K7816" s="187">
        <v>95.307679984746784</v>
      </c>
      <c r="L7816" s="187">
        <v>277</v>
      </c>
      <c r="M7816" s="187">
        <v>372.30767822265625</v>
      </c>
      <c r="N7816" s="187">
        <v>277</v>
      </c>
      <c r="O7816" t="s">
        <v>9187</v>
      </c>
    </row>
    <row r="7817" spans="1:15" hidden="1" x14ac:dyDescent="0.45">
      <c r="A7817" s="187">
        <v>2026</v>
      </c>
      <c r="B7817" t="s">
        <v>8570</v>
      </c>
      <c r="C7817" t="s">
        <v>328</v>
      </c>
      <c r="D7817" t="s">
        <v>39</v>
      </c>
      <c r="E7817" t="s">
        <v>349</v>
      </c>
      <c r="F7817" t="s">
        <v>349</v>
      </c>
      <c r="G7817" t="s">
        <v>36</v>
      </c>
      <c r="H7817" t="s">
        <v>43</v>
      </c>
      <c r="I7817" s="187">
        <v>0</v>
      </c>
      <c r="J7817" s="187"/>
      <c r="K7817" s="187">
        <v>2516.5912586327472</v>
      </c>
      <c r="L7817" s="187">
        <v>0</v>
      </c>
      <c r="M7817" s="187">
        <v>2516.59130859375</v>
      </c>
      <c r="N7817" s="187">
        <v>0</v>
      </c>
      <c r="O7817" t="s">
        <v>9188</v>
      </c>
    </row>
    <row r="7818" spans="1:15" hidden="1" x14ac:dyDescent="0.45">
      <c r="A7818" s="187">
        <v>2026</v>
      </c>
      <c r="B7818" t="s">
        <v>315</v>
      </c>
      <c r="C7818" t="s">
        <v>328</v>
      </c>
      <c r="D7818" t="s">
        <v>39</v>
      </c>
      <c r="E7818" t="s">
        <v>349</v>
      </c>
      <c r="F7818" t="s">
        <v>349</v>
      </c>
      <c r="G7818" t="s">
        <v>36</v>
      </c>
      <c r="H7818" t="s">
        <v>43</v>
      </c>
      <c r="I7818" s="187">
        <v>0</v>
      </c>
      <c r="J7818" s="187">
        <v>21.603009729083823</v>
      </c>
      <c r="K7818" s="187">
        <v>2306.3503786520992</v>
      </c>
      <c r="L7818" s="187">
        <v>0</v>
      </c>
      <c r="M7818" s="187">
        <v>2327.953369140625</v>
      </c>
      <c r="N7818" s="187">
        <v>0</v>
      </c>
      <c r="O7818" t="s">
        <v>7660</v>
      </c>
    </row>
    <row r="7819" spans="1:15" hidden="1" x14ac:dyDescent="0.45">
      <c r="A7819" s="187">
        <v>2026</v>
      </c>
      <c r="B7819" t="s">
        <v>317</v>
      </c>
      <c r="C7819" t="s">
        <v>328</v>
      </c>
      <c r="D7819" t="s">
        <v>39</v>
      </c>
      <c r="E7819" t="s">
        <v>349</v>
      </c>
      <c r="F7819" t="s">
        <v>349</v>
      </c>
      <c r="G7819" t="s">
        <v>36</v>
      </c>
      <c r="H7819" t="s">
        <v>43</v>
      </c>
      <c r="I7819" s="187">
        <v>0</v>
      </c>
      <c r="J7819" s="187">
        <v>26.131645976874857</v>
      </c>
      <c r="K7819" s="187">
        <v>2360.1850162598394</v>
      </c>
      <c r="L7819" s="187">
        <v>0</v>
      </c>
      <c r="M7819" s="187">
        <v>2386.316650390625</v>
      </c>
      <c r="N7819" s="187">
        <v>0</v>
      </c>
      <c r="O7819" t="s">
        <v>7663</v>
      </c>
    </row>
    <row r="7820" spans="1:15" hidden="1" x14ac:dyDescent="0.45">
      <c r="A7820" s="187">
        <v>2026</v>
      </c>
      <c r="B7820" t="s">
        <v>312</v>
      </c>
      <c r="C7820" t="s">
        <v>328</v>
      </c>
      <c r="D7820" t="s">
        <v>39</v>
      </c>
      <c r="E7820" t="s">
        <v>349</v>
      </c>
      <c r="F7820" t="s">
        <v>349</v>
      </c>
      <c r="G7820" t="s">
        <v>36</v>
      </c>
      <c r="H7820" t="s">
        <v>43</v>
      </c>
      <c r="I7820" s="187">
        <v>0</v>
      </c>
      <c r="J7820" s="187">
        <v>0</v>
      </c>
      <c r="K7820" s="187">
        <v>3595.515626597396</v>
      </c>
      <c r="L7820" s="187">
        <v>0</v>
      </c>
      <c r="M7820" s="187">
        <v>3595.515625</v>
      </c>
      <c r="N7820" s="187">
        <v>0</v>
      </c>
      <c r="O7820" t="s">
        <v>7664</v>
      </c>
    </row>
    <row r="7821" spans="1:15" hidden="1" x14ac:dyDescent="0.45">
      <c r="A7821" s="187">
        <v>2026</v>
      </c>
      <c r="B7821" t="s">
        <v>316</v>
      </c>
      <c r="C7821" t="s">
        <v>328</v>
      </c>
      <c r="D7821" t="s">
        <v>39</v>
      </c>
      <c r="E7821" t="s">
        <v>349</v>
      </c>
      <c r="F7821" t="s">
        <v>349</v>
      </c>
      <c r="G7821" t="s">
        <v>36</v>
      </c>
      <c r="H7821" t="s">
        <v>43</v>
      </c>
      <c r="I7821" s="187">
        <v>0</v>
      </c>
      <c r="J7821" s="187">
        <v>26.440360977435727</v>
      </c>
      <c r="K7821" s="187">
        <v>2386.3952320378335</v>
      </c>
      <c r="L7821" s="187">
        <v>0</v>
      </c>
      <c r="M7821" s="187">
        <v>2412.835693359375</v>
      </c>
      <c r="N7821" s="187">
        <v>0</v>
      </c>
      <c r="O7821" t="s">
        <v>7662</v>
      </c>
    </row>
    <row r="7822" spans="1:15" hidden="1" x14ac:dyDescent="0.45">
      <c r="A7822" s="187">
        <v>2026</v>
      </c>
      <c r="B7822" t="s">
        <v>314</v>
      </c>
      <c r="C7822" t="s">
        <v>328</v>
      </c>
      <c r="D7822" t="s">
        <v>39</v>
      </c>
      <c r="E7822" t="s">
        <v>349</v>
      </c>
      <c r="F7822" t="s">
        <v>349</v>
      </c>
      <c r="G7822" t="s">
        <v>36</v>
      </c>
      <c r="H7822" t="s">
        <v>43</v>
      </c>
      <c r="I7822" s="187">
        <v>0</v>
      </c>
      <c r="J7822" s="187">
        <v>22.192551404189587</v>
      </c>
      <c r="K7822" s="187">
        <v>2940.9355228348295</v>
      </c>
      <c r="L7822" s="187">
        <v>0</v>
      </c>
      <c r="M7822" s="187">
        <v>2963.128173828125</v>
      </c>
      <c r="N7822" s="187">
        <v>0</v>
      </c>
      <c r="O7822" t="s">
        <v>7661</v>
      </c>
    </row>
    <row r="7823" spans="1:15" hidden="1" x14ac:dyDescent="0.45">
      <c r="A7823" s="187">
        <v>2026</v>
      </c>
      <c r="B7823" t="s">
        <v>313</v>
      </c>
      <c r="C7823" t="s">
        <v>328</v>
      </c>
      <c r="D7823" t="s">
        <v>39</v>
      </c>
      <c r="E7823" t="s">
        <v>349</v>
      </c>
      <c r="F7823" t="s">
        <v>349</v>
      </c>
      <c r="G7823" t="s">
        <v>36</v>
      </c>
      <c r="H7823" t="s">
        <v>43</v>
      </c>
      <c r="I7823" s="187">
        <v>0</v>
      </c>
      <c r="J7823" s="187">
        <v>0</v>
      </c>
      <c r="K7823" s="187">
        <v>3140.2795593042438</v>
      </c>
      <c r="L7823" s="187">
        <v>0</v>
      </c>
      <c r="M7823" s="187">
        <v>3140.279541015625</v>
      </c>
      <c r="N7823" s="187">
        <v>0</v>
      </c>
      <c r="O7823" t="s">
        <v>7659</v>
      </c>
    </row>
    <row r="7824" spans="1:15" hidden="1" x14ac:dyDescent="0.45">
      <c r="A7824" s="187">
        <v>2026</v>
      </c>
      <c r="B7824" t="s">
        <v>317</v>
      </c>
      <c r="C7824" t="s">
        <v>328</v>
      </c>
      <c r="D7824" t="s">
        <v>39</v>
      </c>
      <c r="E7824" t="s">
        <v>349</v>
      </c>
      <c r="F7824" t="s">
        <v>349</v>
      </c>
      <c r="G7824" t="s">
        <v>37</v>
      </c>
      <c r="H7824" t="s">
        <v>43</v>
      </c>
      <c r="I7824" s="187">
        <v>0</v>
      </c>
      <c r="J7824" s="187">
        <v>25</v>
      </c>
      <c r="K7824" s="187">
        <v>2477.7925879693112</v>
      </c>
      <c r="L7824" s="187">
        <v>0</v>
      </c>
      <c r="M7824" s="187">
        <v>2502.79248046875</v>
      </c>
      <c r="N7824" s="187">
        <v>0</v>
      </c>
      <c r="O7824" t="s">
        <v>7668</v>
      </c>
    </row>
    <row r="7825" spans="1:15" hidden="1" x14ac:dyDescent="0.45">
      <c r="A7825" s="187">
        <v>2026</v>
      </c>
      <c r="B7825" t="s">
        <v>315</v>
      </c>
      <c r="C7825" t="s">
        <v>328</v>
      </c>
      <c r="D7825" t="s">
        <v>39</v>
      </c>
      <c r="E7825" t="s">
        <v>349</v>
      </c>
      <c r="F7825" t="s">
        <v>349</v>
      </c>
      <c r="G7825" t="s">
        <v>37</v>
      </c>
      <c r="H7825" t="s">
        <v>43</v>
      </c>
      <c r="I7825" s="187">
        <v>0</v>
      </c>
      <c r="J7825" s="187">
        <v>23</v>
      </c>
      <c r="K7825" s="187">
        <v>2446.581698575746</v>
      </c>
      <c r="L7825" s="187">
        <v>0</v>
      </c>
      <c r="M7825" s="187">
        <v>2469.581787109375</v>
      </c>
      <c r="N7825" s="187">
        <v>0</v>
      </c>
      <c r="O7825" t="s">
        <v>7667</v>
      </c>
    </row>
    <row r="7826" spans="1:15" hidden="1" x14ac:dyDescent="0.45">
      <c r="A7826" s="187">
        <v>2026</v>
      </c>
      <c r="B7826" t="s">
        <v>312</v>
      </c>
      <c r="C7826" t="s">
        <v>328</v>
      </c>
      <c r="D7826" t="s">
        <v>39</v>
      </c>
      <c r="E7826" t="s">
        <v>349</v>
      </c>
      <c r="F7826" t="s">
        <v>349</v>
      </c>
      <c r="G7826" t="s">
        <v>37</v>
      </c>
      <c r="H7826" t="s">
        <v>43</v>
      </c>
      <c r="I7826" s="187">
        <v>0</v>
      </c>
      <c r="J7826" s="187">
        <v>0</v>
      </c>
      <c r="K7826" s="187">
        <v>3767.499504450986</v>
      </c>
      <c r="L7826" s="187">
        <v>0</v>
      </c>
      <c r="M7826" s="187">
        <v>3767.49951171875</v>
      </c>
      <c r="N7826" s="187">
        <v>0</v>
      </c>
      <c r="O7826" t="s">
        <v>7665</v>
      </c>
    </row>
    <row r="7827" spans="1:15" hidden="1" x14ac:dyDescent="0.45">
      <c r="A7827" s="187">
        <v>2026</v>
      </c>
      <c r="B7827" t="s">
        <v>314</v>
      </c>
      <c r="C7827" t="s">
        <v>328</v>
      </c>
      <c r="D7827" t="s">
        <v>39</v>
      </c>
      <c r="E7827" t="s">
        <v>349</v>
      </c>
      <c r="F7827" t="s">
        <v>349</v>
      </c>
      <c r="G7827" t="s">
        <v>37</v>
      </c>
      <c r="H7827" t="s">
        <v>43</v>
      </c>
      <c r="I7827" s="187">
        <v>0</v>
      </c>
      <c r="J7827" s="187">
        <v>23</v>
      </c>
      <c r="K7827" s="187">
        <v>3111.0698652682349</v>
      </c>
      <c r="L7827" s="187">
        <v>0</v>
      </c>
      <c r="M7827" s="187">
        <v>3134.06982421875</v>
      </c>
      <c r="N7827" s="187">
        <v>0</v>
      </c>
      <c r="O7827" t="s">
        <v>7669</v>
      </c>
    </row>
    <row r="7828" spans="1:15" hidden="1" x14ac:dyDescent="0.45">
      <c r="A7828" s="187">
        <v>2026</v>
      </c>
      <c r="B7828" t="s">
        <v>316</v>
      </c>
      <c r="C7828" t="s">
        <v>328</v>
      </c>
      <c r="D7828" t="s">
        <v>39</v>
      </c>
      <c r="E7828" t="s">
        <v>349</v>
      </c>
      <c r="F7828" t="s">
        <v>349</v>
      </c>
      <c r="G7828" t="s">
        <v>37</v>
      </c>
      <c r="H7828" t="s">
        <v>43</v>
      </c>
      <c r="I7828" s="187">
        <v>0</v>
      </c>
      <c r="J7828" s="187">
        <v>25</v>
      </c>
      <c r="K7828" s="187">
        <v>2495.6558728934001</v>
      </c>
      <c r="L7828" s="187">
        <v>0</v>
      </c>
      <c r="M7828" s="187">
        <v>2520.65576171875</v>
      </c>
      <c r="N7828" s="187">
        <v>0</v>
      </c>
      <c r="O7828" t="s">
        <v>7670</v>
      </c>
    </row>
    <row r="7829" spans="1:15" hidden="1" x14ac:dyDescent="0.45">
      <c r="A7829" s="187">
        <v>2026</v>
      </c>
      <c r="B7829" t="s">
        <v>313</v>
      </c>
      <c r="C7829" t="s">
        <v>328</v>
      </c>
      <c r="D7829" t="s">
        <v>39</v>
      </c>
      <c r="E7829" t="s">
        <v>349</v>
      </c>
      <c r="F7829" t="s">
        <v>349</v>
      </c>
      <c r="G7829" t="s">
        <v>37</v>
      </c>
      <c r="H7829" t="s">
        <v>43</v>
      </c>
      <c r="I7829" s="187">
        <v>0</v>
      </c>
      <c r="J7829" s="187">
        <v>0</v>
      </c>
      <c r="K7829" s="187">
        <v>3274.236710092729</v>
      </c>
      <c r="L7829" s="187">
        <v>0</v>
      </c>
      <c r="M7829" s="187">
        <v>3274.23681640625</v>
      </c>
      <c r="N7829" s="187">
        <v>0</v>
      </c>
      <c r="O7829" t="s">
        <v>7666</v>
      </c>
    </row>
    <row r="7830" spans="1:15" hidden="1" x14ac:dyDescent="0.45">
      <c r="A7830" s="187">
        <v>2026</v>
      </c>
      <c r="B7830" t="s">
        <v>8570</v>
      </c>
      <c r="C7830" t="s">
        <v>328</v>
      </c>
      <c r="D7830" t="s">
        <v>39</v>
      </c>
      <c r="E7830" t="s">
        <v>349</v>
      </c>
      <c r="F7830" t="s">
        <v>349</v>
      </c>
      <c r="G7830" t="s">
        <v>37</v>
      </c>
      <c r="H7830" t="s">
        <v>43</v>
      </c>
      <c r="I7830" s="187">
        <v>0</v>
      </c>
      <c r="J7830" s="187">
        <v>5</v>
      </c>
      <c r="K7830" s="187">
        <v>2736.0472058419509</v>
      </c>
      <c r="L7830" s="187">
        <v>0</v>
      </c>
      <c r="M7830" s="187">
        <v>2741.047119140625</v>
      </c>
      <c r="N7830" s="187">
        <v>0</v>
      </c>
      <c r="O7830" t="s">
        <v>9189</v>
      </c>
    </row>
    <row r="7831" spans="1:15" hidden="1" x14ac:dyDescent="0.45">
      <c r="A7831" s="187">
        <v>2026</v>
      </c>
      <c r="B7831" t="s">
        <v>317</v>
      </c>
      <c r="C7831" t="s">
        <v>328</v>
      </c>
      <c r="D7831" t="s">
        <v>39</v>
      </c>
      <c r="E7831" t="s">
        <v>21</v>
      </c>
      <c r="F7831" t="s">
        <v>21</v>
      </c>
      <c r="G7831" t="s">
        <v>36</v>
      </c>
      <c r="H7831" t="s">
        <v>43</v>
      </c>
      <c r="I7831" s="187">
        <v>3081.448554774689</v>
      </c>
      <c r="J7831" s="187">
        <v>1311.8086280391178</v>
      </c>
      <c r="K7831" s="187">
        <v>7713.9269704430199</v>
      </c>
      <c r="L7831" s="187">
        <v>5351.7610960639713</v>
      </c>
      <c r="M7831" s="187">
        <v>17458.9453125</v>
      </c>
      <c r="N7831" s="187">
        <v>8433.2099609375</v>
      </c>
      <c r="O7831" t="s">
        <v>7675</v>
      </c>
    </row>
    <row r="7832" spans="1:15" hidden="1" x14ac:dyDescent="0.45">
      <c r="A7832" s="187">
        <v>2026</v>
      </c>
      <c r="B7832" t="s">
        <v>313</v>
      </c>
      <c r="C7832" t="s">
        <v>328</v>
      </c>
      <c r="D7832" t="s">
        <v>39</v>
      </c>
      <c r="E7832" t="s">
        <v>21</v>
      </c>
      <c r="F7832" t="s">
        <v>21</v>
      </c>
      <c r="G7832" t="s">
        <v>36</v>
      </c>
      <c r="H7832" t="s">
        <v>43</v>
      </c>
      <c r="I7832" s="187">
        <v>1940.0044612941792</v>
      </c>
      <c r="J7832" s="187">
        <v>912.85735991632748</v>
      </c>
      <c r="K7832" s="187">
        <v>7402.6859766330972</v>
      </c>
      <c r="L7832" s="187">
        <v>5323.0994800120843</v>
      </c>
      <c r="M7832" s="187">
        <v>15578.6474609375</v>
      </c>
      <c r="N7832" s="187">
        <v>7263.10400390625</v>
      </c>
      <c r="O7832" t="s">
        <v>7673</v>
      </c>
    </row>
    <row r="7833" spans="1:15" hidden="1" x14ac:dyDescent="0.45">
      <c r="A7833" s="187">
        <v>2026</v>
      </c>
      <c r="B7833" t="s">
        <v>315</v>
      </c>
      <c r="C7833" t="s">
        <v>328</v>
      </c>
      <c r="D7833" t="s">
        <v>39</v>
      </c>
      <c r="E7833" t="s">
        <v>21</v>
      </c>
      <c r="F7833" t="s">
        <v>21</v>
      </c>
      <c r="G7833" t="s">
        <v>36</v>
      </c>
      <c r="H7833" t="s">
        <v>43</v>
      </c>
      <c r="I7833" s="187">
        <v>1906.4656085916472</v>
      </c>
      <c r="J7833" s="187">
        <v>1069.3489815896492</v>
      </c>
      <c r="K7833" s="187">
        <v>5775.4499416385624</v>
      </c>
      <c r="L7833" s="187">
        <v>5191.2032378988424</v>
      </c>
      <c r="M7833" s="187">
        <v>13942.4677734375</v>
      </c>
      <c r="N7833" s="187">
        <v>7097.6689453125</v>
      </c>
      <c r="O7833" t="s">
        <v>7671</v>
      </c>
    </row>
    <row r="7834" spans="1:15" hidden="1" x14ac:dyDescent="0.45">
      <c r="A7834" s="187">
        <v>2026</v>
      </c>
      <c r="B7834" t="s">
        <v>316</v>
      </c>
      <c r="C7834" t="s">
        <v>328</v>
      </c>
      <c r="D7834" t="s">
        <v>39</v>
      </c>
      <c r="E7834" t="s">
        <v>21</v>
      </c>
      <c r="F7834" t="s">
        <v>21</v>
      </c>
      <c r="G7834" t="s">
        <v>36</v>
      </c>
      <c r="H7834" t="s">
        <v>43</v>
      </c>
      <c r="I7834" s="187">
        <v>3117.8522850700328</v>
      </c>
      <c r="J7834" s="187">
        <v>1327.3061210672736</v>
      </c>
      <c r="K7834" s="187">
        <v>5930.334557875155</v>
      </c>
      <c r="L7834" s="187">
        <v>5255.2861478751247</v>
      </c>
      <c r="M7834" s="187">
        <v>15630.779296875</v>
      </c>
      <c r="N7834" s="187">
        <v>8373.138671875</v>
      </c>
      <c r="O7834" t="s">
        <v>7676</v>
      </c>
    </row>
    <row r="7835" spans="1:15" hidden="1" x14ac:dyDescent="0.45">
      <c r="A7835" s="187">
        <v>2026</v>
      </c>
      <c r="B7835" t="s">
        <v>312</v>
      </c>
      <c r="C7835" t="s">
        <v>328</v>
      </c>
      <c r="D7835" t="s">
        <v>39</v>
      </c>
      <c r="E7835" t="s">
        <v>21</v>
      </c>
      <c r="F7835" t="s">
        <v>21</v>
      </c>
      <c r="G7835" t="s">
        <v>36</v>
      </c>
      <c r="H7835" t="s">
        <v>43</v>
      </c>
      <c r="I7835" s="187">
        <v>1901.6232069035862</v>
      </c>
      <c r="J7835" s="187">
        <v>887.21672074134676</v>
      </c>
      <c r="K7835" s="187">
        <v>7740.5961187863813</v>
      </c>
      <c r="L7835" s="187">
        <v>5028.7211779535683</v>
      </c>
      <c r="M7835" s="187">
        <v>15558.15625</v>
      </c>
      <c r="N7835" s="187">
        <v>6930.34423828125</v>
      </c>
      <c r="O7835" t="s">
        <v>7674</v>
      </c>
    </row>
    <row r="7836" spans="1:15" hidden="1" x14ac:dyDescent="0.45">
      <c r="A7836" s="187">
        <v>2026</v>
      </c>
      <c r="B7836" t="s">
        <v>314</v>
      </c>
      <c r="C7836" t="s">
        <v>328</v>
      </c>
      <c r="D7836" t="s">
        <v>39</v>
      </c>
      <c r="E7836" t="s">
        <v>21</v>
      </c>
      <c r="F7836" t="s">
        <v>21</v>
      </c>
      <c r="G7836" t="s">
        <v>36</v>
      </c>
      <c r="H7836" t="s">
        <v>43</v>
      </c>
      <c r="I7836" s="187">
        <v>1958.4926614197309</v>
      </c>
      <c r="J7836" s="187">
        <v>909.89460757177301</v>
      </c>
      <c r="K7836" s="187">
        <v>5662.1004754888727</v>
      </c>
      <c r="L7836" s="187">
        <v>5066.5594855764821</v>
      </c>
      <c r="M7836" s="187">
        <v>13597.046875</v>
      </c>
      <c r="N7836" s="187">
        <v>7025.05224609375</v>
      </c>
      <c r="O7836" t="s">
        <v>7672</v>
      </c>
    </row>
    <row r="7837" spans="1:15" hidden="1" x14ac:dyDescent="0.45">
      <c r="A7837" s="187">
        <v>2026</v>
      </c>
      <c r="B7837" t="s">
        <v>8570</v>
      </c>
      <c r="C7837" t="s">
        <v>328</v>
      </c>
      <c r="D7837" t="s">
        <v>39</v>
      </c>
      <c r="E7837" t="s">
        <v>21</v>
      </c>
      <c r="F7837" t="s">
        <v>21</v>
      </c>
      <c r="G7837" t="s">
        <v>36</v>
      </c>
      <c r="H7837" t="s">
        <v>43</v>
      </c>
      <c r="I7837" s="187">
        <v>3279.6798972285469</v>
      </c>
      <c r="J7837" s="187">
        <v>1531</v>
      </c>
      <c r="K7837" s="187">
        <v>6842.7984852199706</v>
      </c>
      <c r="L7837" s="187">
        <v>5400</v>
      </c>
      <c r="M7837" s="187">
        <v>17053.478515625</v>
      </c>
      <c r="N7837" s="187">
        <v>8679.6796875</v>
      </c>
      <c r="O7837" t="s">
        <v>9190</v>
      </c>
    </row>
    <row r="7838" spans="1:15" hidden="1" x14ac:dyDescent="0.45">
      <c r="A7838" s="187">
        <v>2026</v>
      </c>
      <c r="B7838" t="s">
        <v>313</v>
      </c>
      <c r="C7838" t="s">
        <v>328</v>
      </c>
      <c r="D7838" t="s">
        <v>39</v>
      </c>
      <c r="E7838" t="s">
        <v>21</v>
      </c>
      <c r="F7838" t="s">
        <v>21</v>
      </c>
      <c r="G7838" t="s">
        <v>37</v>
      </c>
      <c r="H7838" t="s">
        <v>43</v>
      </c>
      <c r="I7838" s="187">
        <v>2027.662961330647</v>
      </c>
      <c r="J7838" s="187">
        <v>956</v>
      </c>
      <c r="K7838" s="187">
        <v>7718.4676460305009</v>
      </c>
      <c r="L7838" s="187">
        <v>5639</v>
      </c>
      <c r="M7838" s="187">
        <v>16341.130859375</v>
      </c>
      <c r="N7838" s="187">
        <v>7666.6630859375</v>
      </c>
      <c r="O7838" t="s">
        <v>7679</v>
      </c>
    </row>
    <row r="7839" spans="1:15" hidden="1" x14ac:dyDescent="0.45">
      <c r="A7839" s="187">
        <v>2026</v>
      </c>
      <c r="B7839" t="s">
        <v>314</v>
      </c>
      <c r="C7839" t="s">
        <v>328</v>
      </c>
      <c r="D7839" t="s">
        <v>39</v>
      </c>
      <c r="E7839" t="s">
        <v>21</v>
      </c>
      <c r="F7839" t="s">
        <v>21</v>
      </c>
      <c r="G7839" t="s">
        <v>37</v>
      </c>
      <c r="H7839" t="s">
        <v>43</v>
      </c>
      <c r="I7839" s="187">
        <v>2068.9926617139131</v>
      </c>
      <c r="J7839" s="187">
        <v>961</v>
      </c>
      <c r="K7839" s="187">
        <v>5989.6553415202807</v>
      </c>
      <c r="L7839" s="187">
        <v>5798</v>
      </c>
      <c r="M7839" s="187">
        <v>14817.6484375</v>
      </c>
      <c r="N7839" s="187">
        <v>7866.99267578125</v>
      </c>
      <c r="O7839" t="s">
        <v>7682</v>
      </c>
    </row>
    <row r="7840" spans="1:15" hidden="1" x14ac:dyDescent="0.45">
      <c r="A7840" s="187">
        <v>2026</v>
      </c>
      <c r="B7840" t="s">
        <v>315</v>
      </c>
      <c r="C7840" t="s">
        <v>328</v>
      </c>
      <c r="D7840" t="s">
        <v>39</v>
      </c>
      <c r="E7840" t="s">
        <v>21</v>
      </c>
      <c r="F7840" t="s">
        <v>21</v>
      </c>
      <c r="G7840" t="s">
        <v>37</v>
      </c>
      <c r="H7840" t="s">
        <v>43</v>
      </c>
      <c r="I7840" s="187">
        <v>2027.827758222006</v>
      </c>
      <c r="J7840" s="187">
        <v>1115</v>
      </c>
      <c r="K7840" s="187">
        <v>6126.6103620003014</v>
      </c>
      <c r="L7840" s="187">
        <v>5647</v>
      </c>
      <c r="M7840" s="187">
        <v>14916.4384765625</v>
      </c>
      <c r="N7840" s="187">
        <v>7674.82763671875</v>
      </c>
      <c r="O7840" t="s">
        <v>7680</v>
      </c>
    </row>
    <row r="7841" spans="1:15" hidden="1" x14ac:dyDescent="0.45">
      <c r="A7841" s="187">
        <v>2026</v>
      </c>
      <c r="B7841" t="s">
        <v>8570</v>
      </c>
      <c r="C7841" t="s">
        <v>328</v>
      </c>
      <c r="D7841" t="s">
        <v>39</v>
      </c>
      <c r="E7841" t="s">
        <v>21</v>
      </c>
      <c r="F7841" t="s">
        <v>21</v>
      </c>
      <c r="G7841" t="s">
        <v>37</v>
      </c>
      <c r="H7841" t="s">
        <v>43</v>
      </c>
      <c r="I7841" s="187">
        <v>3550.0309952656739</v>
      </c>
      <c r="J7841" s="187">
        <v>1625</v>
      </c>
      <c r="K7841" s="187">
        <v>7439.5154999454844</v>
      </c>
      <c r="L7841" s="187">
        <v>6075</v>
      </c>
      <c r="M7841" s="187">
        <v>18689.546875</v>
      </c>
      <c r="N7841" s="187">
        <v>9625.03125</v>
      </c>
      <c r="O7841" t="s">
        <v>9191</v>
      </c>
    </row>
    <row r="7842" spans="1:15" hidden="1" x14ac:dyDescent="0.45">
      <c r="A7842" s="187">
        <v>2026</v>
      </c>
      <c r="B7842" t="s">
        <v>317</v>
      </c>
      <c r="C7842" t="s">
        <v>328</v>
      </c>
      <c r="D7842" t="s">
        <v>39</v>
      </c>
      <c r="E7842" t="s">
        <v>21</v>
      </c>
      <c r="F7842" t="s">
        <v>21</v>
      </c>
      <c r="G7842" t="s">
        <v>37</v>
      </c>
      <c r="H7842" t="s">
        <v>43</v>
      </c>
      <c r="I7842" s="187">
        <v>3255</v>
      </c>
      <c r="J7842" s="187">
        <v>1255</v>
      </c>
      <c r="K7842" s="187">
        <v>8098.3104882977614</v>
      </c>
      <c r="L7842" s="187">
        <v>5627</v>
      </c>
      <c r="M7842" s="187">
        <v>18235.310546875</v>
      </c>
      <c r="N7842" s="187">
        <v>8882</v>
      </c>
      <c r="O7842" t="s">
        <v>7681</v>
      </c>
    </row>
    <row r="7843" spans="1:15" hidden="1" x14ac:dyDescent="0.45">
      <c r="A7843" s="187">
        <v>2026</v>
      </c>
      <c r="B7843" t="s">
        <v>312</v>
      </c>
      <c r="C7843" t="s">
        <v>328</v>
      </c>
      <c r="D7843" t="s">
        <v>39</v>
      </c>
      <c r="E7843" t="s">
        <v>21</v>
      </c>
      <c r="F7843" t="s">
        <v>21</v>
      </c>
      <c r="G7843" t="s">
        <v>37</v>
      </c>
      <c r="H7843" t="s">
        <v>43</v>
      </c>
      <c r="I7843" s="187">
        <v>1965.297137118137</v>
      </c>
      <c r="J7843" s="187">
        <v>933</v>
      </c>
      <c r="K7843" s="187">
        <v>8110.8511463433497</v>
      </c>
      <c r="L7843" s="187">
        <v>5319</v>
      </c>
      <c r="M7843" s="187">
        <v>16328.1484375</v>
      </c>
      <c r="N7843" s="187">
        <v>7284.296875</v>
      </c>
      <c r="O7843" t="s">
        <v>7678</v>
      </c>
    </row>
    <row r="7844" spans="1:15" hidden="1" x14ac:dyDescent="0.45">
      <c r="A7844" s="187">
        <v>2026</v>
      </c>
      <c r="B7844" t="s">
        <v>316</v>
      </c>
      <c r="C7844" t="s">
        <v>328</v>
      </c>
      <c r="D7844" t="s">
        <v>39</v>
      </c>
      <c r="E7844" t="s">
        <v>21</v>
      </c>
      <c r="F7844" t="s">
        <v>21</v>
      </c>
      <c r="G7844" t="s">
        <v>37</v>
      </c>
      <c r="H7844" t="s">
        <v>43</v>
      </c>
      <c r="I7844" s="187">
        <v>3320.2575329290498</v>
      </c>
      <c r="J7844" s="187">
        <v>1255</v>
      </c>
      <c r="K7844" s="187">
        <v>6201.8537704441642</v>
      </c>
      <c r="L7844" s="187">
        <v>5654</v>
      </c>
      <c r="M7844" s="187">
        <v>16431.111328125</v>
      </c>
      <c r="N7844" s="187">
        <v>8974.2578125</v>
      </c>
      <c r="O7844" t="s">
        <v>7677</v>
      </c>
    </row>
    <row r="7845" spans="1:15" hidden="1" x14ac:dyDescent="0.45">
      <c r="A7845" s="187">
        <v>2026</v>
      </c>
      <c r="B7845" t="s">
        <v>314</v>
      </c>
      <c r="C7845" t="s">
        <v>328</v>
      </c>
      <c r="D7845" t="s">
        <v>39</v>
      </c>
      <c r="E7845" t="s">
        <v>352</v>
      </c>
      <c r="F7845" t="s">
        <v>433</v>
      </c>
      <c r="G7845" t="s">
        <v>36</v>
      </c>
      <c r="H7845" t="s">
        <v>43</v>
      </c>
      <c r="I7845" s="187">
        <v>0</v>
      </c>
      <c r="J7845" s="187">
        <v>210.82923833980107</v>
      </c>
      <c r="K7845" s="187">
        <v>118.29628563246237</v>
      </c>
      <c r="L7845" s="187">
        <v>102.0857364592721</v>
      </c>
      <c r="M7845" s="187">
        <v>431.21124267578125</v>
      </c>
      <c r="N7845" s="187">
        <v>102.08573913574219</v>
      </c>
      <c r="O7845" t="s">
        <v>7684</v>
      </c>
    </row>
    <row r="7846" spans="1:15" hidden="1" x14ac:dyDescent="0.45">
      <c r="A7846" s="187">
        <v>2026</v>
      </c>
      <c r="B7846" t="s">
        <v>8570</v>
      </c>
      <c r="C7846" t="s">
        <v>328</v>
      </c>
      <c r="D7846" t="s">
        <v>39</v>
      </c>
      <c r="E7846" t="s">
        <v>352</v>
      </c>
      <c r="F7846" t="s">
        <v>433</v>
      </c>
      <c r="G7846" t="s">
        <v>36</v>
      </c>
      <c r="H7846" t="s">
        <v>43</v>
      </c>
      <c r="I7846" s="187">
        <v>0</v>
      </c>
      <c r="J7846" s="187">
        <v>397</v>
      </c>
      <c r="K7846" s="187">
        <v>83.688828576184235</v>
      </c>
      <c r="L7846" s="187">
        <v>383</v>
      </c>
      <c r="M7846" s="187">
        <v>863.6888427734375</v>
      </c>
      <c r="N7846" s="187">
        <v>383</v>
      </c>
      <c r="O7846" t="s">
        <v>9192</v>
      </c>
    </row>
    <row r="7847" spans="1:15" hidden="1" x14ac:dyDescent="0.45">
      <c r="A7847" s="187">
        <v>2026</v>
      </c>
      <c r="B7847" t="s">
        <v>316</v>
      </c>
      <c r="C7847" t="s">
        <v>328</v>
      </c>
      <c r="D7847" t="s">
        <v>39</v>
      </c>
      <c r="E7847" t="s">
        <v>352</v>
      </c>
      <c r="F7847" t="s">
        <v>433</v>
      </c>
      <c r="G7847" t="s">
        <v>36</v>
      </c>
      <c r="H7847" t="s">
        <v>43</v>
      </c>
      <c r="I7847" s="187"/>
      <c r="J7847" s="187">
        <v>301.42011514276726</v>
      </c>
      <c r="K7847" s="187">
        <v>120.55015701534674</v>
      </c>
      <c r="L7847" s="187">
        <v>297.18965738637758</v>
      </c>
      <c r="M7847" s="187">
        <v>719.159912109375</v>
      </c>
      <c r="N7847" s="187">
        <v>297.18966674804688</v>
      </c>
      <c r="O7847" t="s">
        <v>7687</v>
      </c>
    </row>
    <row r="7848" spans="1:15" hidden="1" x14ac:dyDescent="0.45">
      <c r="A7848" s="187">
        <v>2026</v>
      </c>
      <c r="B7848" t="s">
        <v>313</v>
      </c>
      <c r="C7848" t="s">
        <v>328</v>
      </c>
      <c r="D7848" t="s">
        <v>39</v>
      </c>
      <c r="E7848" t="s">
        <v>352</v>
      </c>
      <c r="F7848" t="s">
        <v>433</v>
      </c>
      <c r="G7848" t="s">
        <v>36</v>
      </c>
      <c r="H7848" t="s">
        <v>43</v>
      </c>
      <c r="I7848" s="187"/>
      <c r="J7848" s="187">
        <v>182.5714719832655</v>
      </c>
      <c r="K7848" s="187">
        <v>161.92149743025826</v>
      </c>
      <c r="L7848" s="187">
        <v>302.3840004722835</v>
      </c>
      <c r="M7848" s="187">
        <v>646.876953125</v>
      </c>
      <c r="N7848" s="187">
        <v>302.38400268554688</v>
      </c>
      <c r="O7848" t="s">
        <v>7686</v>
      </c>
    </row>
    <row r="7849" spans="1:15" hidden="1" x14ac:dyDescent="0.45">
      <c r="A7849" s="187">
        <v>2026</v>
      </c>
      <c r="B7849" t="s">
        <v>312</v>
      </c>
      <c r="C7849" t="s">
        <v>328</v>
      </c>
      <c r="D7849" t="s">
        <v>39</v>
      </c>
      <c r="E7849" t="s">
        <v>352</v>
      </c>
      <c r="F7849" t="s">
        <v>433</v>
      </c>
      <c r="G7849" t="s">
        <v>36</v>
      </c>
      <c r="H7849" t="s">
        <v>43</v>
      </c>
      <c r="I7849" s="187"/>
      <c r="J7849" s="187">
        <v>197.15927127585482</v>
      </c>
      <c r="K7849" s="187">
        <v>166.25513538357424</v>
      </c>
      <c r="L7849" s="187">
        <v>252.82777140080208</v>
      </c>
      <c r="M7849" s="187">
        <v>616.2421875</v>
      </c>
      <c r="N7849" s="187">
        <v>252.82777404785156</v>
      </c>
      <c r="O7849" t="s">
        <v>7688</v>
      </c>
    </row>
    <row r="7850" spans="1:15" hidden="1" x14ac:dyDescent="0.45">
      <c r="A7850" s="187">
        <v>2026</v>
      </c>
      <c r="B7850" t="s">
        <v>315</v>
      </c>
      <c r="C7850" t="s">
        <v>328</v>
      </c>
      <c r="D7850" t="s">
        <v>39</v>
      </c>
      <c r="E7850" t="s">
        <v>352</v>
      </c>
      <c r="F7850" t="s">
        <v>433</v>
      </c>
      <c r="G7850" t="s">
        <v>36</v>
      </c>
      <c r="H7850" t="s">
        <v>43</v>
      </c>
      <c r="I7850" s="187">
        <v>0</v>
      </c>
      <c r="J7850" s="187">
        <v>194.4270875617544</v>
      </c>
      <c r="K7850" s="187">
        <v>116.40365458537651</v>
      </c>
      <c r="L7850" s="187">
        <v>270.0376216135478</v>
      </c>
      <c r="M7850" s="187">
        <v>580.86834716796875</v>
      </c>
      <c r="N7850" s="187">
        <v>270.03762817382813</v>
      </c>
      <c r="O7850" t="s">
        <v>7683</v>
      </c>
    </row>
    <row r="7851" spans="1:15" hidden="1" x14ac:dyDescent="0.45">
      <c r="A7851" s="187">
        <v>2026</v>
      </c>
      <c r="B7851" t="s">
        <v>317</v>
      </c>
      <c r="C7851" t="s">
        <v>328</v>
      </c>
      <c r="D7851" t="s">
        <v>39</v>
      </c>
      <c r="E7851" t="s">
        <v>352</v>
      </c>
      <c r="F7851" t="s">
        <v>433</v>
      </c>
      <c r="G7851" t="s">
        <v>36</v>
      </c>
      <c r="H7851" t="s">
        <v>43</v>
      </c>
      <c r="I7851" s="187"/>
      <c r="J7851" s="187">
        <v>414.97053811277277</v>
      </c>
      <c r="K7851" s="187">
        <v>82.925037533717415</v>
      </c>
      <c r="L7851" s="187">
        <v>319.85134675694826</v>
      </c>
      <c r="M7851" s="187">
        <v>817.7469482421875</v>
      </c>
      <c r="N7851" s="187">
        <v>319.85134887695313</v>
      </c>
      <c r="O7851" t="s">
        <v>7685</v>
      </c>
    </row>
    <row r="7852" spans="1:15" hidden="1" x14ac:dyDescent="0.45">
      <c r="A7852" s="187">
        <v>2026</v>
      </c>
      <c r="B7852" t="s">
        <v>8570</v>
      </c>
      <c r="C7852" t="s">
        <v>328</v>
      </c>
      <c r="D7852" t="s">
        <v>39</v>
      </c>
      <c r="E7852" t="s">
        <v>352</v>
      </c>
      <c r="F7852" t="s">
        <v>361</v>
      </c>
      <c r="G7852" t="s">
        <v>36</v>
      </c>
      <c r="H7852" t="s">
        <v>43</v>
      </c>
      <c r="I7852" s="187">
        <v>0</v>
      </c>
      <c r="J7852" s="187"/>
      <c r="K7852" s="187">
        <v>45</v>
      </c>
      <c r="L7852" s="187"/>
      <c r="M7852" s="187">
        <v>45</v>
      </c>
      <c r="N7852" s="187">
        <v>0</v>
      </c>
      <c r="O7852" t="s">
        <v>9193</v>
      </c>
    </row>
    <row r="7853" spans="1:15" hidden="1" x14ac:dyDescent="0.45">
      <c r="A7853" s="187">
        <v>2026</v>
      </c>
      <c r="B7853" t="s">
        <v>316</v>
      </c>
      <c r="C7853" t="s">
        <v>328</v>
      </c>
      <c r="D7853" t="s">
        <v>39</v>
      </c>
      <c r="E7853" t="s">
        <v>352</v>
      </c>
      <c r="F7853" t="s">
        <v>361</v>
      </c>
      <c r="G7853" t="s">
        <v>36</v>
      </c>
      <c r="H7853" t="s">
        <v>43</v>
      </c>
      <c r="I7853" s="187"/>
      <c r="J7853" s="187"/>
      <c r="K7853" s="187">
        <v>0</v>
      </c>
      <c r="L7853" s="187"/>
      <c r="M7853" s="187">
        <v>0</v>
      </c>
      <c r="N7853" s="187">
        <v>0</v>
      </c>
      <c r="O7853" t="s">
        <v>7694</v>
      </c>
    </row>
    <row r="7854" spans="1:15" hidden="1" x14ac:dyDescent="0.45">
      <c r="A7854" s="187">
        <v>2026</v>
      </c>
      <c r="B7854" t="s">
        <v>313</v>
      </c>
      <c r="C7854" t="s">
        <v>328</v>
      </c>
      <c r="D7854" t="s">
        <v>39</v>
      </c>
      <c r="E7854" t="s">
        <v>352</v>
      </c>
      <c r="F7854" t="s">
        <v>361</v>
      </c>
      <c r="G7854" t="s">
        <v>36</v>
      </c>
      <c r="H7854" t="s">
        <v>43</v>
      </c>
      <c r="I7854" s="187"/>
      <c r="J7854" s="187">
        <v>0</v>
      </c>
      <c r="K7854" s="187">
        <v>0</v>
      </c>
      <c r="L7854" s="187">
        <v>0</v>
      </c>
      <c r="M7854" s="187">
        <v>0</v>
      </c>
      <c r="N7854" s="187">
        <v>0</v>
      </c>
      <c r="O7854" t="s">
        <v>7693</v>
      </c>
    </row>
    <row r="7855" spans="1:15" hidden="1" x14ac:dyDescent="0.45">
      <c r="A7855" s="187">
        <v>2026</v>
      </c>
      <c r="B7855" t="s">
        <v>312</v>
      </c>
      <c r="C7855" t="s">
        <v>328</v>
      </c>
      <c r="D7855" t="s">
        <v>39</v>
      </c>
      <c r="E7855" t="s">
        <v>352</v>
      </c>
      <c r="F7855" t="s">
        <v>361</v>
      </c>
      <c r="G7855" t="s">
        <v>36</v>
      </c>
      <c r="H7855" t="s">
        <v>43</v>
      </c>
      <c r="I7855" s="187"/>
      <c r="J7855" s="187"/>
      <c r="K7855" s="187">
        <v>0</v>
      </c>
      <c r="L7855" s="187"/>
      <c r="M7855" s="187">
        <v>0</v>
      </c>
      <c r="N7855" s="187">
        <v>0</v>
      </c>
      <c r="O7855" t="s">
        <v>7690</v>
      </c>
    </row>
    <row r="7856" spans="1:15" hidden="1" x14ac:dyDescent="0.45">
      <c r="A7856" s="187">
        <v>2026</v>
      </c>
      <c r="B7856" t="s">
        <v>317</v>
      </c>
      <c r="C7856" t="s">
        <v>328</v>
      </c>
      <c r="D7856" t="s">
        <v>39</v>
      </c>
      <c r="E7856" t="s">
        <v>352</v>
      </c>
      <c r="F7856" t="s">
        <v>361</v>
      </c>
      <c r="G7856" t="s">
        <v>36</v>
      </c>
      <c r="H7856" t="s">
        <v>43</v>
      </c>
      <c r="I7856" s="187"/>
      <c r="J7856" s="187"/>
      <c r="K7856" s="187"/>
      <c r="L7856" s="187">
        <v>0</v>
      </c>
      <c r="M7856" s="187">
        <v>0</v>
      </c>
      <c r="N7856" s="187">
        <v>0</v>
      </c>
      <c r="O7856" t="s">
        <v>7691</v>
      </c>
    </row>
    <row r="7857" spans="1:15" hidden="1" x14ac:dyDescent="0.45">
      <c r="A7857" s="187">
        <v>2026</v>
      </c>
      <c r="B7857" t="s">
        <v>314</v>
      </c>
      <c r="C7857" t="s">
        <v>328</v>
      </c>
      <c r="D7857" t="s">
        <v>39</v>
      </c>
      <c r="E7857" t="s">
        <v>352</v>
      </c>
      <c r="F7857" t="s">
        <v>361</v>
      </c>
      <c r="G7857" t="s">
        <v>36</v>
      </c>
      <c r="H7857" t="s">
        <v>43</v>
      </c>
      <c r="I7857" s="187"/>
      <c r="J7857" s="187">
        <v>0</v>
      </c>
      <c r="K7857" s="187"/>
      <c r="L7857" s="187">
        <v>0</v>
      </c>
      <c r="M7857" s="187">
        <v>0</v>
      </c>
      <c r="N7857" s="187">
        <v>0</v>
      </c>
      <c r="O7857" t="s">
        <v>7692</v>
      </c>
    </row>
    <row r="7858" spans="1:15" hidden="1" x14ac:dyDescent="0.45">
      <c r="A7858" s="187">
        <v>2026</v>
      </c>
      <c r="B7858" t="s">
        <v>315</v>
      </c>
      <c r="C7858" t="s">
        <v>328</v>
      </c>
      <c r="D7858" t="s">
        <v>39</v>
      </c>
      <c r="E7858" t="s">
        <v>352</v>
      </c>
      <c r="F7858" t="s">
        <v>361</v>
      </c>
      <c r="G7858" t="s">
        <v>36</v>
      </c>
      <c r="H7858" t="s">
        <v>43</v>
      </c>
      <c r="I7858" s="187"/>
      <c r="J7858" s="187">
        <v>0</v>
      </c>
      <c r="K7858" s="187">
        <v>0</v>
      </c>
      <c r="L7858" s="187">
        <v>0</v>
      </c>
      <c r="M7858" s="187">
        <v>0</v>
      </c>
      <c r="N7858" s="187">
        <v>0</v>
      </c>
      <c r="O7858" t="s">
        <v>7689</v>
      </c>
    </row>
    <row r="7859" spans="1:15" hidden="1" x14ac:dyDescent="0.45">
      <c r="A7859" s="187">
        <v>2026</v>
      </c>
      <c r="B7859" t="s">
        <v>316</v>
      </c>
      <c r="C7859" t="s">
        <v>328</v>
      </c>
      <c r="D7859" t="s">
        <v>39</v>
      </c>
      <c r="E7859" t="s">
        <v>40</v>
      </c>
      <c r="F7859" t="s">
        <v>40</v>
      </c>
      <c r="G7859" t="s">
        <v>36</v>
      </c>
      <c r="H7859" t="s">
        <v>43</v>
      </c>
      <c r="I7859" s="187">
        <v>4373.6888723027332</v>
      </c>
      <c r="J7859" s="187">
        <v>269.69168196984441</v>
      </c>
      <c r="K7859" s="187">
        <v>6465.7576699347273</v>
      </c>
      <c r="L7859" s="187">
        <v>5288.0721954871451</v>
      </c>
      <c r="M7859" s="187">
        <v>16397.2109375</v>
      </c>
      <c r="N7859" s="187">
        <v>9661.7607421875</v>
      </c>
      <c r="O7859" t="s">
        <v>7696</v>
      </c>
    </row>
    <row r="7860" spans="1:15" hidden="1" x14ac:dyDescent="0.45">
      <c r="A7860" s="187">
        <v>2026</v>
      </c>
      <c r="B7860" t="s">
        <v>315</v>
      </c>
      <c r="C7860" t="s">
        <v>328</v>
      </c>
      <c r="D7860" t="s">
        <v>39</v>
      </c>
      <c r="E7860" t="s">
        <v>40</v>
      </c>
      <c r="F7860" t="s">
        <v>40</v>
      </c>
      <c r="G7860" t="s">
        <v>36</v>
      </c>
      <c r="H7860" t="s">
        <v>43</v>
      </c>
      <c r="I7860" s="187">
        <v>5343.5044564888831</v>
      </c>
      <c r="J7860" s="187">
        <v>172.82407783267058</v>
      </c>
      <c r="K7860" s="187">
        <v>6410.9407731494357</v>
      </c>
      <c r="L7860" s="187">
        <v>5163.1193252510338</v>
      </c>
      <c r="M7860" s="187">
        <v>17090.388671875</v>
      </c>
      <c r="N7860" s="187">
        <v>10506.6240234375</v>
      </c>
      <c r="O7860" t="s">
        <v>7697</v>
      </c>
    </row>
    <row r="7861" spans="1:15" hidden="1" x14ac:dyDescent="0.45">
      <c r="A7861" s="187">
        <v>2026</v>
      </c>
      <c r="B7861" t="s">
        <v>8570</v>
      </c>
      <c r="C7861" t="s">
        <v>328</v>
      </c>
      <c r="D7861" t="s">
        <v>39</v>
      </c>
      <c r="E7861" t="s">
        <v>40</v>
      </c>
      <c r="F7861" t="s">
        <v>40</v>
      </c>
      <c r="G7861" t="s">
        <v>36</v>
      </c>
      <c r="H7861" t="s">
        <v>43</v>
      </c>
      <c r="I7861" s="187">
        <v>4501.4144442620418</v>
      </c>
      <c r="J7861" s="187">
        <v>230</v>
      </c>
      <c r="K7861" s="187">
        <v>6778.1257637619156</v>
      </c>
      <c r="L7861" s="187">
        <v>5619</v>
      </c>
      <c r="M7861" s="187">
        <v>17128.5390625</v>
      </c>
      <c r="N7861" s="187">
        <v>10120.4140625</v>
      </c>
      <c r="O7861" t="s">
        <v>9194</v>
      </c>
    </row>
    <row r="7862" spans="1:15" hidden="1" x14ac:dyDescent="0.45">
      <c r="A7862" s="187">
        <v>2026</v>
      </c>
      <c r="B7862" t="s">
        <v>312</v>
      </c>
      <c r="C7862" t="s">
        <v>328</v>
      </c>
      <c r="D7862" t="s">
        <v>39</v>
      </c>
      <c r="E7862" t="s">
        <v>40</v>
      </c>
      <c r="F7862" t="s">
        <v>40</v>
      </c>
      <c r="G7862" t="s">
        <v>36</v>
      </c>
      <c r="H7862" t="s">
        <v>43</v>
      </c>
      <c r="I7862" s="187">
        <v>4783.7545683061235</v>
      </c>
      <c r="J7862" s="187">
        <v>168.16526079411148</v>
      </c>
      <c r="K7862" s="187">
        <v>6560.963414261284</v>
      </c>
      <c r="L7862" s="187">
        <v>5143.5374594612713</v>
      </c>
      <c r="M7862" s="187">
        <v>16656.419921875</v>
      </c>
      <c r="N7862" s="187">
        <v>9927.2919921875</v>
      </c>
      <c r="O7862" t="s">
        <v>7699</v>
      </c>
    </row>
    <row r="7863" spans="1:15" hidden="1" x14ac:dyDescent="0.45">
      <c r="A7863" s="187">
        <v>2026</v>
      </c>
      <c r="B7863" t="s">
        <v>314</v>
      </c>
      <c r="C7863" t="s">
        <v>328</v>
      </c>
      <c r="D7863" t="s">
        <v>39</v>
      </c>
      <c r="E7863" t="s">
        <v>40</v>
      </c>
      <c r="F7863" t="s">
        <v>40</v>
      </c>
      <c r="G7863" t="s">
        <v>36</v>
      </c>
      <c r="H7863" t="s">
        <v>43</v>
      </c>
      <c r="I7863" s="187">
        <v>5489.3275898262937</v>
      </c>
      <c r="J7863" s="187">
        <v>160.89599768037451</v>
      </c>
      <c r="K7863" s="187">
        <v>6508.4383701535253</v>
      </c>
      <c r="L7863" s="187">
        <v>5196.3859112909913</v>
      </c>
      <c r="M7863" s="187">
        <v>17355.048828125</v>
      </c>
      <c r="N7863" s="187">
        <v>10685.7138671875</v>
      </c>
      <c r="O7863" t="s">
        <v>7698</v>
      </c>
    </row>
    <row r="7864" spans="1:15" hidden="1" x14ac:dyDescent="0.45">
      <c r="A7864" s="187">
        <v>2026</v>
      </c>
      <c r="B7864" t="s">
        <v>317</v>
      </c>
      <c r="C7864" t="s">
        <v>328</v>
      </c>
      <c r="D7864" t="s">
        <v>39</v>
      </c>
      <c r="E7864" t="s">
        <v>40</v>
      </c>
      <c r="F7864" t="s">
        <v>40</v>
      </c>
      <c r="G7864" t="s">
        <v>36</v>
      </c>
      <c r="H7864" t="s">
        <v>43</v>
      </c>
      <c r="I7864" s="187">
        <v>4322.6221200818281</v>
      </c>
      <c r="J7864" s="187">
        <v>215.32476284944883</v>
      </c>
      <c r="K7864" s="187">
        <v>6402.9348827031345</v>
      </c>
      <c r="L7864" s="187">
        <v>5463.6045408449954</v>
      </c>
      <c r="M7864" s="187">
        <v>16404.486328125</v>
      </c>
      <c r="N7864" s="187">
        <v>9786.2265625</v>
      </c>
      <c r="O7864" t="s">
        <v>7695</v>
      </c>
    </row>
    <row r="7865" spans="1:15" hidden="1" x14ac:dyDescent="0.45">
      <c r="A7865" s="187">
        <v>2026</v>
      </c>
      <c r="B7865" t="s">
        <v>313</v>
      </c>
      <c r="C7865" t="s">
        <v>328</v>
      </c>
      <c r="D7865" t="s">
        <v>39</v>
      </c>
      <c r="E7865" t="s">
        <v>40</v>
      </c>
      <c r="F7865" t="s">
        <v>40</v>
      </c>
      <c r="G7865" t="s">
        <v>36</v>
      </c>
      <c r="H7865" t="s">
        <v>43</v>
      </c>
      <c r="I7865" s="187">
        <v>5438.3522859883205</v>
      </c>
      <c r="J7865" s="187">
        <v>136.92860398744912</v>
      </c>
      <c r="K7865" s="187">
        <v>6486.7770587289733</v>
      </c>
      <c r="L7865" s="187">
        <v>5163.349442026727</v>
      </c>
      <c r="M7865" s="187">
        <v>17225.40625</v>
      </c>
      <c r="N7865" s="187">
        <v>10601.701171875</v>
      </c>
      <c r="O7865" t="s">
        <v>7700</v>
      </c>
    </row>
    <row r="7866" spans="1:15" hidden="1" x14ac:dyDescent="0.45">
      <c r="A7866" s="187">
        <v>2026</v>
      </c>
      <c r="B7866" t="s">
        <v>314</v>
      </c>
      <c r="C7866" t="s">
        <v>328</v>
      </c>
      <c r="D7866" t="s">
        <v>39</v>
      </c>
      <c r="E7866" t="s">
        <v>40</v>
      </c>
      <c r="F7866" t="s">
        <v>40</v>
      </c>
      <c r="G7866" t="s">
        <v>37</v>
      </c>
      <c r="H7866" t="s">
        <v>43</v>
      </c>
      <c r="I7866" s="187">
        <v>5799.0406218123098</v>
      </c>
      <c r="J7866" s="187">
        <v>170</v>
      </c>
      <c r="K7866" s="187">
        <v>6884.9542351824384</v>
      </c>
      <c r="L7866" s="187">
        <v>5947</v>
      </c>
      <c r="M7866" s="187">
        <v>18800.99609375</v>
      </c>
      <c r="N7866" s="187">
        <v>11746.041015625</v>
      </c>
      <c r="O7866" t="s">
        <v>7701</v>
      </c>
    </row>
    <row r="7867" spans="1:15" hidden="1" x14ac:dyDescent="0.45">
      <c r="A7867" s="187">
        <v>2026</v>
      </c>
      <c r="B7867" t="s">
        <v>316</v>
      </c>
      <c r="C7867" t="s">
        <v>328</v>
      </c>
      <c r="D7867" t="s">
        <v>39</v>
      </c>
      <c r="E7867" t="s">
        <v>40</v>
      </c>
      <c r="F7867" t="s">
        <v>40</v>
      </c>
      <c r="G7867" t="s">
        <v>37</v>
      </c>
      <c r="H7867" t="s">
        <v>43</v>
      </c>
      <c r="I7867" s="187">
        <v>4657.6207264498207</v>
      </c>
      <c r="J7867" s="187">
        <v>255</v>
      </c>
      <c r="K7867" s="187">
        <v>6761.7911253949096</v>
      </c>
      <c r="L7867" s="187">
        <v>5689</v>
      </c>
      <c r="M7867" s="187">
        <v>17363.412109375</v>
      </c>
      <c r="N7867" s="187">
        <v>10346.62109375</v>
      </c>
      <c r="O7867" t="s">
        <v>7706</v>
      </c>
    </row>
    <row r="7868" spans="1:15" hidden="1" x14ac:dyDescent="0.45">
      <c r="A7868" s="187">
        <v>2026</v>
      </c>
      <c r="B7868" t="s">
        <v>313</v>
      </c>
      <c r="C7868" t="s">
        <v>328</v>
      </c>
      <c r="D7868" t="s">
        <v>39</v>
      </c>
      <c r="E7868" t="s">
        <v>40</v>
      </c>
      <c r="F7868" t="s">
        <v>40</v>
      </c>
      <c r="G7868" t="s">
        <v>37</v>
      </c>
      <c r="H7868" t="s">
        <v>43</v>
      </c>
      <c r="I7868" s="187">
        <v>5684.0825477329845</v>
      </c>
      <c r="J7868" s="187">
        <v>144</v>
      </c>
      <c r="K7868" s="187">
        <v>6763.4881464449863</v>
      </c>
      <c r="L7868" s="187">
        <v>5470</v>
      </c>
      <c r="M7868" s="187">
        <v>18061.5703125</v>
      </c>
      <c r="N7868" s="187">
        <v>11154.08203125</v>
      </c>
      <c r="O7868" t="s">
        <v>7703</v>
      </c>
    </row>
    <row r="7869" spans="1:15" hidden="1" x14ac:dyDescent="0.45">
      <c r="A7869" s="187">
        <v>2026</v>
      </c>
      <c r="B7869" t="s">
        <v>312</v>
      </c>
      <c r="C7869" t="s">
        <v>328</v>
      </c>
      <c r="D7869" t="s">
        <v>39</v>
      </c>
      <c r="E7869" t="s">
        <v>40</v>
      </c>
      <c r="F7869" t="s">
        <v>40</v>
      </c>
      <c r="G7869" t="s">
        <v>37</v>
      </c>
      <c r="H7869" t="s">
        <v>43</v>
      </c>
      <c r="I7869" s="187">
        <v>4943.9337528259857</v>
      </c>
      <c r="J7869" s="187">
        <v>177</v>
      </c>
      <c r="K7869" s="187">
        <v>6874.7932088234666</v>
      </c>
      <c r="L7869" s="187">
        <v>5441</v>
      </c>
      <c r="M7869" s="187">
        <v>17436.7265625</v>
      </c>
      <c r="N7869" s="187">
        <v>10384.93359375</v>
      </c>
      <c r="O7869" t="s">
        <v>7705</v>
      </c>
    </row>
    <row r="7870" spans="1:15" hidden="1" x14ac:dyDescent="0.45">
      <c r="A7870" s="187">
        <v>2026</v>
      </c>
      <c r="B7870" t="s">
        <v>315</v>
      </c>
      <c r="C7870" t="s">
        <v>328</v>
      </c>
      <c r="D7870" t="s">
        <v>39</v>
      </c>
      <c r="E7870" t="s">
        <v>40</v>
      </c>
      <c r="F7870" t="s">
        <v>40</v>
      </c>
      <c r="G7870" t="s">
        <v>37</v>
      </c>
      <c r="H7870" t="s">
        <v>43</v>
      </c>
      <c r="I7870" s="187">
        <v>5683.6622775774849</v>
      </c>
      <c r="J7870" s="187">
        <v>180</v>
      </c>
      <c r="K7870" s="187">
        <v>6800.7404735299497</v>
      </c>
      <c r="L7870" s="187">
        <v>5616</v>
      </c>
      <c r="M7870" s="187">
        <v>18280.40234375</v>
      </c>
      <c r="N7870" s="187">
        <v>11299.662109375</v>
      </c>
      <c r="O7870" t="s">
        <v>7702</v>
      </c>
    </row>
    <row r="7871" spans="1:15" hidden="1" x14ac:dyDescent="0.45">
      <c r="A7871" s="187">
        <v>2026</v>
      </c>
      <c r="B7871" t="s">
        <v>317</v>
      </c>
      <c r="C7871" t="s">
        <v>328</v>
      </c>
      <c r="D7871" t="s">
        <v>39</v>
      </c>
      <c r="E7871" t="s">
        <v>40</v>
      </c>
      <c r="F7871" t="s">
        <v>40</v>
      </c>
      <c r="G7871" t="s">
        <v>37</v>
      </c>
      <c r="H7871" t="s">
        <v>43</v>
      </c>
      <c r="I7871" s="187">
        <v>4565.4855365981857</v>
      </c>
      <c r="J7871" s="187">
        <v>206</v>
      </c>
      <c r="K7871" s="187">
        <v>6721.9919134785914</v>
      </c>
      <c r="L7871" s="187">
        <v>5743</v>
      </c>
      <c r="M7871" s="187">
        <v>17236.4765625</v>
      </c>
      <c r="N7871" s="187">
        <v>10308.4853515625</v>
      </c>
      <c r="O7871" t="s">
        <v>7704</v>
      </c>
    </row>
    <row r="7872" spans="1:15" hidden="1" x14ac:dyDescent="0.45">
      <c r="A7872" s="187">
        <v>2026</v>
      </c>
      <c r="B7872" t="s">
        <v>8570</v>
      </c>
      <c r="C7872" t="s">
        <v>328</v>
      </c>
      <c r="D7872" t="s">
        <v>39</v>
      </c>
      <c r="E7872" t="s">
        <v>40</v>
      </c>
      <c r="F7872" t="s">
        <v>40</v>
      </c>
      <c r="G7872" t="s">
        <v>37</v>
      </c>
      <c r="H7872" t="s">
        <v>43</v>
      </c>
      <c r="I7872" s="187">
        <v>4872.4757599577624</v>
      </c>
      <c r="J7872" s="187">
        <v>242</v>
      </c>
      <c r="K7872" s="187">
        <v>7369.2030810206716</v>
      </c>
      <c r="L7872" s="187">
        <v>6320</v>
      </c>
      <c r="M7872" s="187">
        <v>18803.6796875</v>
      </c>
      <c r="N7872" s="187">
        <v>11192.4755859375</v>
      </c>
      <c r="O7872" t="s">
        <v>9195</v>
      </c>
    </row>
    <row r="7873" spans="1:15" hidden="1" x14ac:dyDescent="0.45">
      <c r="A7873" s="187">
        <v>2026</v>
      </c>
      <c r="B7873" t="s">
        <v>8570</v>
      </c>
      <c r="C7873" t="s">
        <v>328</v>
      </c>
      <c r="D7873" t="s">
        <v>39</v>
      </c>
      <c r="E7873" t="s">
        <v>41</v>
      </c>
      <c r="F7873" t="s">
        <v>41</v>
      </c>
      <c r="G7873" t="s">
        <v>36</v>
      </c>
      <c r="H7873" t="s">
        <v>43</v>
      </c>
      <c r="I7873" s="187">
        <v>6387.799394457099</v>
      </c>
      <c r="J7873" s="187">
        <v>2554</v>
      </c>
      <c r="K7873" s="187">
        <v>11834.26407537842</v>
      </c>
      <c r="L7873" s="187">
        <v>9319</v>
      </c>
      <c r="M7873" s="187">
        <v>30095.0625</v>
      </c>
      <c r="N7873" s="187">
        <v>15706.798828125</v>
      </c>
      <c r="O7873" t="s">
        <v>9196</v>
      </c>
    </row>
    <row r="7874" spans="1:15" hidden="1" x14ac:dyDescent="0.45">
      <c r="A7874" s="187">
        <v>2026</v>
      </c>
      <c r="B7874" t="s">
        <v>312</v>
      </c>
      <c r="C7874" t="s">
        <v>328</v>
      </c>
      <c r="D7874" t="s">
        <v>39</v>
      </c>
      <c r="E7874" t="s">
        <v>41</v>
      </c>
      <c r="F7874" t="s">
        <v>41</v>
      </c>
      <c r="G7874" t="s">
        <v>36</v>
      </c>
      <c r="H7874" t="s">
        <v>43</v>
      </c>
      <c r="I7874" s="187">
        <v>3335.0819750877085</v>
      </c>
      <c r="J7874" s="187">
        <v>1675.8538058447662</v>
      </c>
      <c r="K7874" s="187">
        <v>12537.609621396194</v>
      </c>
      <c r="L7874" s="187">
        <v>8532.3574045674359</v>
      </c>
      <c r="M7874" s="187">
        <v>26080.90234375</v>
      </c>
      <c r="N7874" s="187">
        <v>11867.439453125</v>
      </c>
      <c r="O7874" t="s">
        <v>7712</v>
      </c>
    </row>
    <row r="7875" spans="1:15" hidden="1" x14ac:dyDescent="0.45">
      <c r="A7875" s="187">
        <v>2026</v>
      </c>
      <c r="B7875" t="s">
        <v>313</v>
      </c>
      <c r="C7875" t="s">
        <v>328</v>
      </c>
      <c r="D7875" t="s">
        <v>39</v>
      </c>
      <c r="E7875" t="s">
        <v>41</v>
      </c>
      <c r="F7875" t="s">
        <v>41</v>
      </c>
      <c r="G7875" t="s">
        <v>36</v>
      </c>
      <c r="H7875" t="s">
        <v>43</v>
      </c>
      <c r="I7875" s="187">
        <v>3717.2418910284773</v>
      </c>
      <c r="J7875" s="187">
        <v>1688.7861158452058</v>
      </c>
      <c r="K7875" s="187">
        <v>12471.00640741287</v>
      </c>
      <c r="L7875" s="187">
        <v>8283.0394695407758</v>
      </c>
      <c r="M7875" s="187">
        <v>26160.07421875</v>
      </c>
      <c r="N7875" s="187">
        <v>12000.28125</v>
      </c>
      <c r="O7875" t="s">
        <v>7709</v>
      </c>
    </row>
    <row r="7876" spans="1:15" hidden="1" x14ac:dyDescent="0.45">
      <c r="A7876" s="187">
        <v>2026</v>
      </c>
      <c r="B7876" t="s">
        <v>314</v>
      </c>
      <c r="C7876" t="s">
        <v>328</v>
      </c>
      <c r="D7876" t="s">
        <v>39</v>
      </c>
      <c r="E7876" t="s">
        <v>41</v>
      </c>
      <c r="F7876" t="s">
        <v>41</v>
      </c>
      <c r="G7876" t="s">
        <v>36</v>
      </c>
      <c r="H7876" t="s">
        <v>43</v>
      </c>
      <c r="I7876" s="187">
        <v>3752.7604424484589</v>
      </c>
      <c r="J7876" s="187">
        <v>1675.5376310163138</v>
      </c>
      <c r="K7876" s="187">
        <v>10829.31912111201</v>
      </c>
      <c r="L7876" s="187">
        <v>7767.3929914663549</v>
      </c>
      <c r="M7876" s="187">
        <v>24025.009765625</v>
      </c>
      <c r="N7876" s="187">
        <v>11520.1533203125</v>
      </c>
      <c r="O7876" t="s">
        <v>7710</v>
      </c>
    </row>
    <row r="7877" spans="1:15" hidden="1" x14ac:dyDescent="0.45">
      <c r="A7877" s="187">
        <v>2026</v>
      </c>
      <c r="B7877" t="s">
        <v>316</v>
      </c>
      <c r="C7877" t="s">
        <v>328</v>
      </c>
      <c r="D7877" t="s">
        <v>39</v>
      </c>
      <c r="E7877" t="s">
        <v>41</v>
      </c>
      <c r="F7877" t="s">
        <v>41</v>
      </c>
      <c r="G7877" t="s">
        <v>36</v>
      </c>
      <c r="H7877" t="s">
        <v>43</v>
      </c>
      <c r="I7877" s="187">
        <v>6151.6769224556501</v>
      </c>
      <c r="J7877" s="187">
        <v>2247.4306830820369</v>
      </c>
      <c r="K7877" s="187">
        <v>11054.662425226184</v>
      </c>
      <c r="L7877" s="187">
        <v>8318.1375635012791</v>
      </c>
      <c r="M7877" s="187">
        <v>27771.90625</v>
      </c>
      <c r="N7877" s="187">
        <v>14469.814453125</v>
      </c>
      <c r="O7877" t="s">
        <v>7707</v>
      </c>
    </row>
    <row r="7878" spans="1:15" hidden="1" x14ac:dyDescent="0.45">
      <c r="A7878" s="187">
        <v>2026</v>
      </c>
      <c r="B7878" t="s">
        <v>317</v>
      </c>
      <c r="C7878" t="s">
        <v>328</v>
      </c>
      <c r="D7878" t="s">
        <v>39</v>
      </c>
      <c r="E7878" t="s">
        <v>41</v>
      </c>
      <c r="F7878" t="s">
        <v>41</v>
      </c>
      <c r="G7878" t="s">
        <v>36</v>
      </c>
      <c r="H7878" t="s">
        <v>43</v>
      </c>
      <c r="I7878" s="187">
        <v>6644.759800181344</v>
      </c>
      <c r="J7878" s="187">
        <v>2221.1899080343628</v>
      </c>
      <c r="K7878" s="187">
        <v>12881.544844500708</v>
      </c>
      <c r="L7878" s="187">
        <v>9174.2982695612245</v>
      </c>
      <c r="M7878" s="187">
        <v>30921.79296875</v>
      </c>
      <c r="N7878" s="187">
        <v>15819.0576171875</v>
      </c>
      <c r="O7878" t="s">
        <v>7711</v>
      </c>
    </row>
    <row r="7879" spans="1:15" hidden="1" x14ac:dyDescent="0.45">
      <c r="A7879" s="187">
        <v>2026</v>
      </c>
      <c r="B7879" t="s">
        <v>315</v>
      </c>
      <c r="C7879" t="s">
        <v>328</v>
      </c>
      <c r="D7879" t="s">
        <v>39</v>
      </c>
      <c r="E7879" t="s">
        <v>41</v>
      </c>
      <c r="F7879" t="s">
        <v>41</v>
      </c>
      <c r="G7879" t="s">
        <v>36</v>
      </c>
      <c r="H7879" t="s">
        <v>43</v>
      </c>
      <c r="I7879" s="187">
        <v>3653.0689451880744</v>
      </c>
      <c r="J7879" s="187">
        <v>1809.25206481077</v>
      </c>
      <c r="K7879" s="187">
        <v>10949.045154735255</v>
      </c>
      <c r="L7879" s="187">
        <v>7736.037783984917</v>
      </c>
      <c r="M7879" s="187">
        <v>24147.40234375</v>
      </c>
      <c r="N7879" s="187">
        <v>11389.1064453125</v>
      </c>
      <c r="O7879" t="s">
        <v>7708</v>
      </c>
    </row>
    <row r="7880" spans="1:15" hidden="1" x14ac:dyDescent="0.45">
      <c r="A7880" s="187">
        <v>2026</v>
      </c>
      <c r="B7880" t="s">
        <v>315</v>
      </c>
      <c r="C7880" t="s">
        <v>328</v>
      </c>
      <c r="D7880" t="s">
        <v>39</v>
      </c>
      <c r="E7880" t="s">
        <v>41</v>
      </c>
      <c r="F7880" t="s">
        <v>41</v>
      </c>
      <c r="G7880" t="s">
        <v>37</v>
      </c>
      <c r="H7880" t="s">
        <v>43</v>
      </c>
      <c r="I7880" s="187">
        <v>3885.6167015902679</v>
      </c>
      <c r="J7880" s="187">
        <v>1886</v>
      </c>
      <c r="K7880" s="187">
        <v>11614.77186658443</v>
      </c>
      <c r="L7880" s="187">
        <v>8415</v>
      </c>
      <c r="M7880" s="187">
        <v>25801.388671875</v>
      </c>
      <c r="N7880" s="187">
        <v>12300.6171875</v>
      </c>
      <c r="O7880" t="s">
        <v>7718</v>
      </c>
    </row>
    <row r="7881" spans="1:15" hidden="1" x14ac:dyDescent="0.45">
      <c r="A7881" s="187">
        <v>2026</v>
      </c>
      <c r="B7881" t="s">
        <v>8570</v>
      </c>
      <c r="C7881" t="s">
        <v>328</v>
      </c>
      <c r="D7881" t="s">
        <v>39</v>
      </c>
      <c r="E7881" t="s">
        <v>41</v>
      </c>
      <c r="F7881" t="s">
        <v>41</v>
      </c>
      <c r="G7881" t="s">
        <v>37</v>
      </c>
      <c r="H7881" t="s">
        <v>43</v>
      </c>
      <c r="I7881" s="187">
        <v>6914.3594961888903</v>
      </c>
      <c r="J7881" s="187">
        <v>2710</v>
      </c>
      <c r="K7881" s="187">
        <v>12866.255116147209</v>
      </c>
      <c r="L7881" s="187">
        <v>10483</v>
      </c>
      <c r="M7881" s="187">
        <v>32973.6171875</v>
      </c>
      <c r="N7881" s="187">
        <v>17397.359375</v>
      </c>
      <c r="O7881" t="s">
        <v>9197</v>
      </c>
    </row>
    <row r="7882" spans="1:15" hidden="1" x14ac:dyDescent="0.45">
      <c r="A7882" s="187">
        <v>2026</v>
      </c>
      <c r="B7882" t="s">
        <v>316</v>
      </c>
      <c r="C7882" t="s">
        <v>328</v>
      </c>
      <c r="D7882" t="s">
        <v>39</v>
      </c>
      <c r="E7882" t="s">
        <v>41</v>
      </c>
      <c r="F7882" t="s">
        <v>41</v>
      </c>
      <c r="G7882" t="s">
        <v>37</v>
      </c>
      <c r="H7882" t="s">
        <v>43</v>
      </c>
      <c r="I7882" s="187">
        <v>6551.0324975098702</v>
      </c>
      <c r="J7882" s="187">
        <v>2125</v>
      </c>
      <c r="K7882" s="187">
        <v>11560.79799103971</v>
      </c>
      <c r="L7882" s="187">
        <v>8949</v>
      </c>
      <c r="M7882" s="187">
        <v>29185.83203125</v>
      </c>
      <c r="N7882" s="187">
        <v>15500.033203125</v>
      </c>
      <c r="O7882" t="s">
        <v>7715</v>
      </c>
    </row>
    <row r="7883" spans="1:15" hidden="1" x14ac:dyDescent="0.45">
      <c r="A7883" s="187">
        <v>2026</v>
      </c>
      <c r="B7883" t="s">
        <v>317</v>
      </c>
      <c r="C7883" t="s">
        <v>328</v>
      </c>
      <c r="D7883" t="s">
        <v>39</v>
      </c>
      <c r="E7883" t="s">
        <v>41</v>
      </c>
      <c r="F7883" t="s">
        <v>41</v>
      </c>
      <c r="G7883" t="s">
        <v>37</v>
      </c>
      <c r="H7883" t="s">
        <v>43</v>
      </c>
      <c r="I7883" s="187">
        <v>7018.3195680293584</v>
      </c>
      <c r="J7883" s="187">
        <v>2125</v>
      </c>
      <c r="K7883" s="187">
        <v>13523.429780889781</v>
      </c>
      <c r="L7883" s="187">
        <v>9646</v>
      </c>
      <c r="M7883" s="187">
        <v>32312.75</v>
      </c>
      <c r="N7883" s="187">
        <v>16664.3203125</v>
      </c>
      <c r="O7883" t="s">
        <v>7717</v>
      </c>
    </row>
    <row r="7884" spans="1:15" hidden="1" x14ac:dyDescent="0.45">
      <c r="A7884" s="187">
        <v>2026</v>
      </c>
      <c r="B7884" t="s">
        <v>313</v>
      </c>
      <c r="C7884" t="s">
        <v>328</v>
      </c>
      <c r="D7884" t="s">
        <v>39</v>
      </c>
      <c r="E7884" t="s">
        <v>41</v>
      </c>
      <c r="F7884" t="s">
        <v>41</v>
      </c>
      <c r="G7884" t="s">
        <v>37</v>
      </c>
      <c r="H7884" t="s">
        <v>43</v>
      </c>
      <c r="I7884" s="187">
        <v>3885.2043132503873</v>
      </c>
      <c r="J7884" s="187">
        <v>1769</v>
      </c>
      <c r="K7884" s="187">
        <v>13002.99104580351</v>
      </c>
      <c r="L7884" s="187">
        <v>8774</v>
      </c>
      <c r="M7884" s="187">
        <v>27431.1953125</v>
      </c>
      <c r="N7884" s="187">
        <v>12659.2041015625</v>
      </c>
      <c r="O7884" t="s">
        <v>7716</v>
      </c>
    </row>
    <row r="7885" spans="1:15" hidden="1" x14ac:dyDescent="0.45">
      <c r="A7885" s="187">
        <v>2026</v>
      </c>
      <c r="B7885" t="s">
        <v>312</v>
      </c>
      <c r="C7885" t="s">
        <v>328</v>
      </c>
      <c r="D7885" t="s">
        <v>39</v>
      </c>
      <c r="E7885" t="s">
        <v>41</v>
      </c>
      <c r="F7885" t="s">
        <v>41</v>
      </c>
      <c r="G7885" t="s">
        <v>37</v>
      </c>
      <c r="H7885" t="s">
        <v>43</v>
      </c>
      <c r="I7885" s="187">
        <v>3446.7538226811771</v>
      </c>
      <c r="J7885" s="187">
        <v>1762</v>
      </c>
      <c r="K7885" s="187">
        <v>13137.319633988391</v>
      </c>
      <c r="L7885" s="187">
        <v>9025</v>
      </c>
      <c r="M7885" s="187">
        <v>27371.07421875</v>
      </c>
      <c r="N7885" s="187">
        <v>12471.75390625</v>
      </c>
      <c r="O7885" t="s">
        <v>7713</v>
      </c>
    </row>
    <row r="7886" spans="1:15" hidden="1" x14ac:dyDescent="0.45">
      <c r="A7886" s="187">
        <v>2026</v>
      </c>
      <c r="B7886" t="s">
        <v>314</v>
      </c>
      <c r="C7886" t="s">
        <v>328</v>
      </c>
      <c r="D7886" t="s">
        <v>39</v>
      </c>
      <c r="E7886" t="s">
        <v>41</v>
      </c>
      <c r="F7886" t="s">
        <v>41</v>
      </c>
      <c r="G7886" t="s">
        <v>37</v>
      </c>
      <c r="H7886" t="s">
        <v>43</v>
      </c>
      <c r="I7886" s="187">
        <v>3964.494720632551</v>
      </c>
      <c r="J7886" s="187">
        <v>1769</v>
      </c>
      <c r="K7886" s="187">
        <v>11455.799733613139</v>
      </c>
      <c r="L7886" s="187">
        <v>8889</v>
      </c>
      <c r="M7886" s="187">
        <v>26078.294921875</v>
      </c>
      <c r="N7886" s="187">
        <v>12853.494140625</v>
      </c>
      <c r="O7886" t="s">
        <v>7714</v>
      </c>
    </row>
    <row r="7887" spans="1:15" hidden="1" x14ac:dyDescent="0.45">
      <c r="A7887" s="187">
        <v>2026</v>
      </c>
      <c r="B7887" t="s">
        <v>317</v>
      </c>
      <c r="C7887" t="s">
        <v>328</v>
      </c>
      <c r="D7887" t="s">
        <v>39</v>
      </c>
      <c r="E7887" t="s">
        <v>361</v>
      </c>
      <c r="F7887" t="s">
        <v>361</v>
      </c>
      <c r="G7887" t="s">
        <v>36</v>
      </c>
      <c r="H7887" t="s">
        <v>43</v>
      </c>
      <c r="I7887" s="187"/>
      <c r="J7887" s="187"/>
      <c r="K7887" s="187">
        <v>0</v>
      </c>
      <c r="L7887" s="187"/>
      <c r="M7887" s="187">
        <v>0</v>
      </c>
      <c r="N7887" s="187">
        <v>0</v>
      </c>
      <c r="O7887" t="s">
        <v>7719</v>
      </c>
    </row>
    <row r="7888" spans="1:15" hidden="1" x14ac:dyDescent="0.45">
      <c r="A7888" s="187">
        <v>2026</v>
      </c>
      <c r="B7888" t="s">
        <v>8570</v>
      </c>
      <c r="C7888" t="s">
        <v>328</v>
      </c>
      <c r="D7888" t="s">
        <v>39</v>
      </c>
      <c r="E7888" t="s">
        <v>361</v>
      </c>
      <c r="F7888" t="s">
        <v>361</v>
      </c>
      <c r="G7888" t="s">
        <v>36</v>
      </c>
      <c r="H7888" t="s">
        <v>43</v>
      </c>
      <c r="I7888" s="187"/>
      <c r="J7888" s="187"/>
      <c r="K7888" s="187"/>
      <c r="L7888" s="187">
        <v>0</v>
      </c>
      <c r="M7888" s="187">
        <v>0</v>
      </c>
      <c r="N7888" s="187">
        <v>0</v>
      </c>
      <c r="O7888" t="s">
        <v>9198</v>
      </c>
    </row>
    <row r="7889" spans="1:15" hidden="1" x14ac:dyDescent="0.45">
      <c r="A7889" s="187">
        <v>2026</v>
      </c>
      <c r="B7889" t="s">
        <v>313</v>
      </c>
      <c r="C7889" t="s">
        <v>328</v>
      </c>
      <c r="D7889" t="s">
        <v>39</v>
      </c>
      <c r="E7889" t="s">
        <v>361</v>
      </c>
      <c r="F7889" t="s">
        <v>361</v>
      </c>
      <c r="G7889" t="s">
        <v>36</v>
      </c>
      <c r="H7889" t="s">
        <v>43</v>
      </c>
      <c r="I7889" s="187"/>
      <c r="J7889" s="187"/>
      <c r="K7889" s="187"/>
      <c r="L7889" s="187"/>
      <c r="M7889" s="187">
        <v>0</v>
      </c>
      <c r="N7889" s="187">
        <v>0</v>
      </c>
      <c r="O7889" t="s">
        <v>7724</v>
      </c>
    </row>
    <row r="7890" spans="1:15" hidden="1" x14ac:dyDescent="0.45">
      <c r="A7890" s="187">
        <v>2026</v>
      </c>
      <c r="B7890" t="s">
        <v>315</v>
      </c>
      <c r="C7890" t="s">
        <v>328</v>
      </c>
      <c r="D7890" t="s">
        <v>39</v>
      </c>
      <c r="E7890" t="s">
        <v>361</v>
      </c>
      <c r="F7890" t="s">
        <v>361</v>
      </c>
      <c r="G7890" t="s">
        <v>36</v>
      </c>
      <c r="H7890" t="s">
        <v>43</v>
      </c>
      <c r="I7890" s="187">
        <v>0</v>
      </c>
      <c r="J7890" s="187"/>
      <c r="K7890" s="187"/>
      <c r="L7890" s="187"/>
      <c r="M7890" s="187">
        <v>0</v>
      </c>
      <c r="N7890" s="187">
        <v>0</v>
      </c>
      <c r="O7890" t="s">
        <v>7720</v>
      </c>
    </row>
    <row r="7891" spans="1:15" hidden="1" x14ac:dyDescent="0.45">
      <c r="A7891" s="187">
        <v>2026</v>
      </c>
      <c r="B7891" t="s">
        <v>314</v>
      </c>
      <c r="C7891" t="s">
        <v>328</v>
      </c>
      <c r="D7891" t="s">
        <v>39</v>
      </c>
      <c r="E7891" t="s">
        <v>361</v>
      </c>
      <c r="F7891" t="s">
        <v>361</v>
      </c>
      <c r="G7891" t="s">
        <v>36</v>
      </c>
      <c r="H7891" t="s">
        <v>43</v>
      </c>
      <c r="I7891" s="187">
        <v>0</v>
      </c>
      <c r="J7891" s="187"/>
      <c r="K7891" s="187">
        <v>0</v>
      </c>
      <c r="L7891" s="187"/>
      <c r="M7891" s="187">
        <v>0</v>
      </c>
      <c r="N7891" s="187">
        <v>0</v>
      </c>
      <c r="O7891" t="s">
        <v>7722</v>
      </c>
    </row>
    <row r="7892" spans="1:15" hidden="1" x14ac:dyDescent="0.45">
      <c r="A7892" s="187">
        <v>2026</v>
      </c>
      <c r="B7892" t="s">
        <v>316</v>
      </c>
      <c r="C7892" t="s">
        <v>328</v>
      </c>
      <c r="D7892" t="s">
        <v>39</v>
      </c>
      <c r="E7892" t="s">
        <v>361</v>
      </c>
      <c r="F7892" t="s">
        <v>361</v>
      </c>
      <c r="G7892" t="s">
        <v>36</v>
      </c>
      <c r="H7892" t="s">
        <v>43</v>
      </c>
      <c r="I7892" s="187"/>
      <c r="J7892" s="187"/>
      <c r="K7892" s="187"/>
      <c r="L7892" s="187">
        <v>0</v>
      </c>
      <c r="M7892" s="187">
        <v>0</v>
      </c>
      <c r="N7892" s="187">
        <v>0</v>
      </c>
      <c r="O7892" t="s">
        <v>7721</v>
      </c>
    </row>
    <row r="7893" spans="1:15" hidden="1" x14ac:dyDescent="0.45">
      <c r="A7893" s="187">
        <v>2026</v>
      </c>
      <c r="B7893" t="s">
        <v>312</v>
      </c>
      <c r="C7893" t="s">
        <v>328</v>
      </c>
      <c r="D7893" t="s">
        <v>39</v>
      </c>
      <c r="E7893" t="s">
        <v>361</v>
      </c>
      <c r="F7893" t="s">
        <v>361</v>
      </c>
      <c r="G7893" t="s">
        <v>36</v>
      </c>
      <c r="H7893" t="s">
        <v>43</v>
      </c>
      <c r="I7893" s="187"/>
      <c r="J7893" s="187">
        <v>0</v>
      </c>
      <c r="K7893" s="187"/>
      <c r="L7893" s="187"/>
      <c r="M7893" s="187">
        <v>0</v>
      </c>
      <c r="N7893" s="187">
        <v>0</v>
      </c>
      <c r="O7893" t="s">
        <v>7723</v>
      </c>
    </row>
    <row r="7894" spans="1:15" hidden="1" x14ac:dyDescent="0.45">
      <c r="A7894" s="187">
        <v>2026</v>
      </c>
      <c r="B7894" t="s">
        <v>317</v>
      </c>
      <c r="C7894" t="s">
        <v>328</v>
      </c>
      <c r="D7894" t="s">
        <v>39</v>
      </c>
      <c r="E7894" t="s">
        <v>362</v>
      </c>
      <c r="F7894" t="s">
        <v>362</v>
      </c>
      <c r="G7894" t="s">
        <v>36</v>
      </c>
      <c r="H7894" t="s">
        <v>43</v>
      </c>
      <c r="I7894" s="187">
        <v>1092.9854858581857</v>
      </c>
      <c r="J7894" s="187">
        <v>142.15615411419924</v>
      </c>
      <c r="K7894" s="187">
        <v>3401.1398546420664</v>
      </c>
      <c r="L7894" s="187">
        <v>3155.657568167408</v>
      </c>
      <c r="M7894" s="187">
        <v>7791.93896484375</v>
      </c>
      <c r="N7894" s="187">
        <v>4248.64306640625</v>
      </c>
      <c r="O7894" t="s">
        <v>7725</v>
      </c>
    </row>
    <row r="7895" spans="1:15" hidden="1" x14ac:dyDescent="0.45">
      <c r="A7895" s="187">
        <v>2026</v>
      </c>
      <c r="B7895" t="s">
        <v>316</v>
      </c>
      <c r="C7895" t="s">
        <v>328</v>
      </c>
      <c r="D7895" t="s">
        <v>39</v>
      </c>
      <c r="E7895" t="s">
        <v>362</v>
      </c>
      <c r="F7895" t="s">
        <v>362</v>
      </c>
      <c r="G7895" t="s">
        <v>36</v>
      </c>
      <c r="H7895" t="s">
        <v>43</v>
      </c>
      <c r="I7895" s="187">
        <v>1105.8978379992766</v>
      </c>
      <c r="J7895" s="187">
        <v>195.65867123302436</v>
      </c>
      <c r="K7895" s="187">
        <v>3405.4601363052439</v>
      </c>
      <c r="L7895" s="187">
        <v>2924.3039241043912</v>
      </c>
      <c r="M7895" s="187">
        <v>7631.3203125</v>
      </c>
      <c r="N7895" s="187">
        <v>4030.20166015625</v>
      </c>
      <c r="O7895" t="s">
        <v>7728</v>
      </c>
    </row>
    <row r="7896" spans="1:15" hidden="1" x14ac:dyDescent="0.45">
      <c r="A7896" s="187">
        <v>2026</v>
      </c>
      <c r="B7896" t="s">
        <v>312</v>
      </c>
      <c r="C7896" t="s">
        <v>328</v>
      </c>
      <c r="D7896" t="s">
        <v>39</v>
      </c>
      <c r="E7896" t="s">
        <v>362</v>
      </c>
      <c r="F7896" t="s">
        <v>362</v>
      </c>
      <c r="G7896" t="s">
        <v>36</v>
      </c>
      <c r="H7896" t="s">
        <v>43</v>
      </c>
      <c r="I7896" s="187">
        <v>2150.5033330229608</v>
      </c>
      <c r="J7896" s="187">
        <v>98.57963563792741</v>
      </c>
      <c r="K7896" s="187">
        <v>2470.123851814843</v>
      </c>
      <c r="L7896" s="187">
        <v>2873.8863189504018</v>
      </c>
      <c r="M7896" s="187">
        <v>7593.09326171875</v>
      </c>
      <c r="N7896" s="187">
        <v>5024.3896484375</v>
      </c>
      <c r="O7896" t="s">
        <v>7726</v>
      </c>
    </row>
    <row r="7897" spans="1:15" hidden="1" x14ac:dyDescent="0.45">
      <c r="A7897" s="187">
        <v>2026</v>
      </c>
      <c r="B7897" t="s">
        <v>313</v>
      </c>
      <c r="C7897" t="s">
        <v>328</v>
      </c>
      <c r="D7897" t="s">
        <v>39</v>
      </c>
      <c r="E7897" t="s">
        <v>362</v>
      </c>
      <c r="F7897" t="s">
        <v>362</v>
      </c>
      <c r="G7897" t="s">
        <v>36</v>
      </c>
      <c r="H7897" t="s">
        <v>43</v>
      </c>
      <c r="I7897" s="187">
        <v>2105.2772863070304</v>
      </c>
      <c r="J7897" s="187">
        <v>79.875018992678648</v>
      </c>
      <c r="K7897" s="187">
        <v>2899.7446341801988</v>
      </c>
      <c r="L7897" s="187">
        <v>2812.7417402421838</v>
      </c>
      <c r="M7897" s="187">
        <v>7897.638671875</v>
      </c>
      <c r="N7897" s="187">
        <v>4918.01904296875</v>
      </c>
      <c r="O7897" t="s">
        <v>7730</v>
      </c>
    </row>
    <row r="7898" spans="1:15" hidden="1" x14ac:dyDescent="0.45">
      <c r="A7898" s="187">
        <v>2026</v>
      </c>
      <c r="B7898" t="s">
        <v>315</v>
      </c>
      <c r="C7898" t="s">
        <v>328</v>
      </c>
      <c r="D7898" t="s">
        <v>39</v>
      </c>
      <c r="E7898" t="s">
        <v>362</v>
      </c>
      <c r="F7898" t="s">
        <v>362</v>
      </c>
      <c r="G7898" t="s">
        <v>36</v>
      </c>
      <c r="H7898" t="s">
        <v>43</v>
      </c>
      <c r="I7898" s="187">
        <v>2068.488181559776</v>
      </c>
      <c r="J7898" s="187">
        <v>113.41580107769006</v>
      </c>
      <c r="K7898" s="187">
        <v>3452.4989094323287</v>
      </c>
      <c r="L7898" s="187">
        <v>2804.0706628350799</v>
      </c>
      <c r="M7898" s="187">
        <v>8438.4736328125</v>
      </c>
      <c r="N7898" s="187">
        <v>4872.55908203125</v>
      </c>
      <c r="O7898" t="s">
        <v>7729</v>
      </c>
    </row>
    <row r="7899" spans="1:15" hidden="1" x14ac:dyDescent="0.45">
      <c r="A7899" s="187">
        <v>2026</v>
      </c>
      <c r="B7899" t="s">
        <v>8570</v>
      </c>
      <c r="C7899" t="s">
        <v>328</v>
      </c>
      <c r="D7899" t="s">
        <v>39</v>
      </c>
      <c r="E7899" t="s">
        <v>362</v>
      </c>
      <c r="F7899" t="s">
        <v>362</v>
      </c>
      <c r="G7899" t="s">
        <v>36</v>
      </c>
      <c r="H7899" t="s">
        <v>43</v>
      </c>
      <c r="I7899" s="187">
        <v>2250.7072221310209</v>
      </c>
      <c r="J7899" s="187">
        <v>185</v>
      </c>
      <c r="K7899" s="187">
        <v>3630.9503347235191</v>
      </c>
      <c r="L7899" s="187">
        <v>3333</v>
      </c>
      <c r="M7899" s="187">
        <v>9399.658203125</v>
      </c>
      <c r="N7899" s="187">
        <v>5583.70703125</v>
      </c>
      <c r="O7899" t="s">
        <v>9199</v>
      </c>
    </row>
    <row r="7900" spans="1:15" hidden="1" x14ac:dyDescent="0.45">
      <c r="A7900" s="187">
        <v>2026</v>
      </c>
      <c r="B7900" t="s">
        <v>314</v>
      </c>
      <c r="C7900" t="s">
        <v>328</v>
      </c>
      <c r="D7900" t="s">
        <v>39</v>
      </c>
      <c r="E7900" t="s">
        <v>362</v>
      </c>
      <c r="F7900" t="s">
        <v>362</v>
      </c>
      <c r="G7900" t="s">
        <v>36</v>
      </c>
      <c r="H7900" t="s">
        <v>43</v>
      </c>
      <c r="I7900" s="187">
        <v>2124.9367969511527</v>
      </c>
      <c r="J7900" s="187">
        <v>83.222067765710946</v>
      </c>
      <c r="K7900" s="187">
        <v>3098.6117171652591</v>
      </c>
      <c r="L7900" s="187">
        <v>2860.6198760000375</v>
      </c>
      <c r="M7900" s="187">
        <v>8167.390625</v>
      </c>
      <c r="N7900" s="187">
        <v>4985.556640625</v>
      </c>
      <c r="O7900" t="s">
        <v>7727</v>
      </c>
    </row>
    <row r="7901" spans="1:15" hidden="1" x14ac:dyDescent="0.45">
      <c r="A7901" s="187">
        <v>2026</v>
      </c>
      <c r="B7901" t="s">
        <v>313</v>
      </c>
      <c r="C7901" t="s">
        <v>328</v>
      </c>
      <c r="D7901" t="s">
        <v>39</v>
      </c>
      <c r="E7901" t="s">
        <v>362</v>
      </c>
      <c r="F7901" t="s">
        <v>362</v>
      </c>
      <c r="G7901" t="s">
        <v>37</v>
      </c>
      <c r="H7901" t="s">
        <v>43</v>
      </c>
      <c r="I7901" s="187">
        <v>2200.4035876947137</v>
      </c>
      <c r="J7901" s="187">
        <v>84</v>
      </c>
      <c r="K7901" s="187">
        <v>3023.4411146601201</v>
      </c>
      <c r="L7901" s="187">
        <v>2980</v>
      </c>
      <c r="M7901" s="187">
        <v>8287.8447265625</v>
      </c>
      <c r="N7901" s="187">
        <v>5180.4033203125</v>
      </c>
      <c r="O7901" t="s">
        <v>7736</v>
      </c>
    </row>
    <row r="7902" spans="1:15" hidden="1" x14ac:dyDescent="0.45">
      <c r="A7902" s="187">
        <v>2026</v>
      </c>
      <c r="B7902" t="s">
        <v>317</v>
      </c>
      <c r="C7902" t="s">
        <v>328</v>
      </c>
      <c r="D7902" t="s">
        <v>39</v>
      </c>
      <c r="E7902" t="s">
        <v>362</v>
      </c>
      <c r="F7902" t="s">
        <v>362</v>
      </c>
      <c r="G7902" t="s">
        <v>37</v>
      </c>
      <c r="H7902" t="s">
        <v>43</v>
      </c>
      <c r="I7902" s="187">
        <v>1154.4855365981859</v>
      </c>
      <c r="J7902" s="187">
        <v>136</v>
      </c>
      <c r="K7902" s="187">
        <v>3570.618008512663</v>
      </c>
      <c r="L7902" s="187">
        <v>3317</v>
      </c>
      <c r="M7902" s="187">
        <v>8178.103515625</v>
      </c>
      <c r="N7902" s="187">
        <v>4471.4853515625</v>
      </c>
      <c r="O7902" t="s">
        <v>7734</v>
      </c>
    </row>
    <row r="7903" spans="1:15" hidden="1" x14ac:dyDescent="0.45">
      <c r="A7903" s="187">
        <v>2026</v>
      </c>
      <c r="B7903" t="s">
        <v>8570</v>
      </c>
      <c r="C7903" t="s">
        <v>328</v>
      </c>
      <c r="D7903" t="s">
        <v>39</v>
      </c>
      <c r="E7903" t="s">
        <v>362</v>
      </c>
      <c r="F7903" t="s">
        <v>362</v>
      </c>
      <c r="G7903" t="s">
        <v>37</v>
      </c>
      <c r="H7903" t="s">
        <v>43</v>
      </c>
      <c r="I7903" s="187">
        <v>2436.2378799788812</v>
      </c>
      <c r="J7903" s="187">
        <v>189</v>
      </c>
      <c r="K7903" s="187">
        <v>3947.582462504668</v>
      </c>
      <c r="L7903" s="187">
        <v>3749</v>
      </c>
      <c r="M7903" s="187">
        <v>10321.8203125</v>
      </c>
      <c r="N7903" s="187">
        <v>6185.23779296875</v>
      </c>
      <c r="O7903" t="s">
        <v>9200</v>
      </c>
    </row>
    <row r="7904" spans="1:15" hidden="1" x14ac:dyDescent="0.45">
      <c r="A7904" s="187">
        <v>2026</v>
      </c>
      <c r="B7904" t="s">
        <v>315</v>
      </c>
      <c r="C7904" t="s">
        <v>328</v>
      </c>
      <c r="D7904" t="s">
        <v>39</v>
      </c>
      <c r="E7904" t="s">
        <v>362</v>
      </c>
      <c r="F7904" t="s">
        <v>362</v>
      </c>
      <c r="G7904" t="s">
        <v>37</v>
      </c>
      <c r="H7904" t="s">
        <v>43</v>
      </c>
      <c r="I7904" s="187">
        <v>2200.1643948980968</v>
      </c>
      <c r="J7904" s="187">
        <v>118</v>
      </c>
      <c r="K7904" s="187">
        <v>3662.4186525841042</v>
      </c>
      <c r="L7904" s="187">
        <v>3050</v>
      </c>
      <c r="M7904" s="187">
        <v>9030.5830078125</v>
      </c>
      <c r="N7904" s="187">
        <v>5250.1640625</v>
      </c>
      <c r="O7904" t="s">
        <v>7732</v>
      </c>
    </row>
    <row r="7905" spans="1:15" hidden="1" x14ac:dyDescent="0.45">
      <c r="A7905" s="187">
        <v>2026</v>
      </c>
      <c r="B7905" t="s">
        <v>316</v>
      </c>
      <c r="C7905" t="s">
        <v>328</v>
      </c>
      <c r="D7905" t="s">
        <v>39</v>
      </c>
      <c r="E7905" t="s">
        <v>362</v>
      </c>
      <c r="F7905" t="s">
        <v>362</v>
      </c>
      <c r="G7905" t="s">
        <v>37</v>
      </c>
      <c r="H7905" t="s">
        <v>43</v>
      </c>
      <c r="I7905" s="187">
        <v>1177.6906958838099</v>
      </c>
      <c r="J7905" s="187">
        <v>185</v>
      </c>
      <c r="K7905" s="187">
        <v>3561.378465300169</v>
      </c>
      <c r="L7905" s="187">
        <v>3146</v>
      </c>
      <c r="M7905" s="187">
        <v>8070.0693359375</v>
      </c>
      <c r="N7905" s="187">
        <v>4323.6904296875</v>
      </c>
      <c r="O7905" t="s">
        <v>7733</v>
      </c>
    </row>
    <row r="7906" spans="1:15" hidden="1" x14ac:dyDescent="0.45">
      <c r="A7906" s="187">
        <v>2026</v>
      </c>
      <c r="B7906" t="s">
        <v>312</v>
      </c>
      <c r="C7906" t="s">
        <v>328</v>
      </c>
      <c r="D7906" t="s">
        <v>39</v>
      </c>
      <c r="E7906" t="s">
        <v>362</v>
      </c>
      <c r="F7906" t="s">
        <v>362</v>
      </c>
      <c r="G7906" t="s">
        <v>37</v>
      </c>
      <c r="H7906" t="s">
        <v>43</v>
      </c>
      <c r="I7906" s="187">
        <v>2222.5107625999422</v>
      </c>
      <c r="J7906" s="187">
        <v>104</v>
      </c>
      <c r="K7906" s="187">
        <v>2588.2769967132258</v>
      </c>
      <c r="L7906" s="187">
        <v>3040</v>
      </c>
      <c r="M7906" s="187">
        <v>7954.78759765625</v>
      </c>
      <c r="N7906" s="187">
        <v>5262.5107421875</v>
      </c>
      <c r="O7906" t="s">
        <v>7731</v>
      </c>
    </row>
    <row r="7907" spans="1:15" hidden="1" x14ac:dyDescent="0.45">
      <c r="A7907" s="187">
        <v>2026</v>
      </c>
      <c r="B7907" t="s">
        <v>314</v>
      </c>
      <c r="C7907" t="s">
        <v>328</v>
      </c>
      <c r="D7907" t="s">
        <v>39</v>
      </c>
      <c r="E7907" t="s">
        <v>362</v>
      </c>
      <c r="F7907" t="s">
        <v>362</v>
      </c>
      <c r="G7907" t="s">
        <v>37</v>
      </c>
      <c r="H7907" t="s">
        <v>43</v>
      </c>
      <c r="I7907" s="187">
        <v>2244.8277321145292</v>
      </c>
      <c r="J7907" s="187">
        <v>88</v>
      </c>
      <c r="K7907" s="187">
        <v>3277.867692980803</v>
      </c>
      <c r="L7907" s="187">
        <v>3274</v>
      </c>
      <c r="M7907" s="187">
        <v>8884.6953125</v>
      </c>
      <c r="N7907" s="187">
        <v>5518.82763671875</v>
      </c>
      <c r="O7907" t="s">
        <v>7735</v>
      </c>
    </row>
    <row r="7908" spans="1:15" hidden="1" x14ac:dyDescent="0.45">
      <c r="A7908" s="187">
        <v>2026</v>
      </c>
      <c r="B7908" t="s">
        <v>317</v>
      </c>
      <c r="C7908" t="s">
        <v>328</v>
      </c>
      <c r="D7908" t="s">
        <v>39</v>
      </c>
      <c r="E7908" t="s">
        <v>363</v>
      </c>
      <c r="F7908" t="s">
        <v>363</v>
      </c>
      <c r="G7908" t="s">
        <v>36</v>
      </c>
      <c r="H7908" t="s">
        <v>43</v>
      </c>
      <c r="I7908" s="187">
        <v>3229.6366342236429</v>
      </c>
      <c r="J7908" s="187">
        <v>47.036962758374742</v>
      </c>
      <c r="K7908" s="187">
        <v>641.61001180122753</v>
      </c>
      <c r="L7908" s="187">
        <v>2307.9469726775874</v>
      </c>
      <c r="M7908" s="187">
        <v>6226.23046875</v>
      </c>
      <c r="N7908" s="187">
        <v>5537.58349609375</v>
      </c>
      <c r="O7908" t="s">
        <v>7739</v>
      </c>
    </row>
    <row r="7909" spans="1:15" hidden="1" x14ac:dyDescent="0.45">
      <c r="A7909" s="187">
        <v>2026</v>
      </c>
      <c r="B7909" t="s">
        <v>313</v>
      </c>
      <c r="C7909" t="s">
        <v>328</v>
      </c>
      <c r="D7909" t="s">
        <v>39</v>
      </c>
      <c r="E7909" t="s">
        <v>363</v>
      </c>
      <c r="F7909" t="s">
        <v>363</v>
      </c>
      <c r="G7909" t="s">
        <v>36</v>
      </c>
      <c r="H7909" t="s">
        <v>43</v>
      </c>
      <c r="I7909" s="187">
        <v>3333.0749996812901</v>
      </c>
      <c r="J7909" s="187">
        <v>57.053584994770468</v>
      </c>
      <c r="K7909" s="187">
        <v>446.75286524453116</v>
      </c>
      <c r="L7909" s="187">
        <v>2350.6077017845432</v>
      </c>
      <c r="M7909" s="187">
        <v>6187.4892578125</v>
      </c>
      <c r="N7909" s="187">
        <v>5683.6826171875</v>
      </c>
      <c r="O7909" t="s">
        <v>7742</v>
      </c>
    </row>
    <row r="7910" spans="1:15" hidden="1" x14ac:dyDescent="0.45">
      <c r="A7910" s="187">
        <v>2026</v>
      </c>
      <c r="B7910" t="s">
        <v>8570</v>
      </c>
      <c r="C7910" t="s">
        <v>328</v>
      </c>
      <c r="D7910" t="s">
        <v>39</v>
      </c>
      <c r="E7910" t="s">
        <v>363</v>
      </c>
      <c r="F7910" t="s">
        <v>363</v>
      </c>
      <c r="G7910" t="s">
        <v>36</v>
      </c>
      <c r="H7910" t="s">
        <v>43</v>
      </c>
      <c r="I7910" s="187">
        <v>2250.7072221310209</v>
      </c>
      <c r="J7910" s="187">
        <v>45</v>
      </c>
      <c r="K7910" s="187">
        <v>630.58417040565087</v>
      </c>
      <c r="L7910" s="187">
        <v>2286</v>
      </c>
      <c r="M7910" s="187">
        <v>5212.29150390625</v>
      </c>
      <c r="N7910" s="187">
        <v>4536.70703125</v>
      </c>
      <c r="O7910" t="s">
        <v>9201</v>
      </c>
    </row>
    <row r="7911" spans="1:15" hidden="1" x14ac:dyDescent="0.45">
      <c r="A7911" s="187">
        <v>2026</v>
      </c>
      <c r="B7911" t="s">
        <v>314</v>
      </c>
      <c r="C7911" t="s">
        <v>328</v>
      </c>
      <c r="D7911" t="s">
        <v>39</v>
      </c>
      <c r="E7911" t="s">
        <v>363</v>
      </c>
      <c r="F7911" t="s">
        <v>363</v>
      </c>
      <c r="G7911" t="s">
        <v>36</v>
      </c>
      <c r="H7911" t="s">
        <v>43</v>
      </c>
      <c r="I7911" s="187">
        <v>3364.390792875141</v>
      </c>
      <c r="J7911" s="187">
        <v>55.481378510473967</v>
      </c>
      <c r="K7911" s="187">
        <v>468.89113015343628</v>
      </c>
      <c r="L7911" s="187">
        <v>2335.7660352909538</v>
      </c>
      <c r="M7911" s="187">
        <v>6224.529296875</v>
      </c>
      <c r="N7911" s="187">
        <v>5700.15673828125</v>
      </c>
      <c r="O7911" t="s">
        <v>7741</v>
      </c>
    </row>
    <row r="7912" spans="1:15" hidden="1" x14ac:dyDescent="0.45">
      <c r="A7912" s="187">
        <v>2026</v>
      </c>
      <c r="B7912" t="s">
        <v>316</v>
      </c>
      <c r="C7912" t="s">
        <v>328</v>
      </c>
      <c r="D7912" t="s">
        <v>39</v>
      </c>
      <c r="E7912" t="s">
        <v>363</v>
      </c>
      <c r="F7912" t="s">
        <v>363</v>
      </c>
      <c r="G7912" t="s">
        <v>36</v>
      </c>
      <c r="H7912" t="s">
        <v>43</v>
      </c>
      <c r="I7912" s="187">
        <v>3267.7910343034573</v>
      </c>
      <c r="J7912" s="187">
        <v>47.592649759384308</v>
      </c>
      <c r="K7912" s="187">
        <v>673.90230159164958</v>
      </c>
      <c r="L7912" s="187">
        <v>2363.7682713827539</v>
      </c>
      <c r="M7912" s="187">
        <v>6353.05419921875</v>
      </c>
      <c r="N7912" s="187">
        <v>5631.55908203125</v>
      </c>
      <c r="O7912" t="s">
        <v>7738</v>
      </c>
    </row>
    <row r="7913" spans="1:15" hidden="1" x14ac:dyDescent="0.45">
      <c r="A7913" s="187">
        <v>2026</v>
      </c>
      <c r="B7913" t="s">
        <v>315</v>
      </c>
      <c r="C7913" t="s">
        <v>328</v>
      </c>
      <c r="D7913" t="s">
        <v>39</v>
      </c>
      <c r="E7913" t="s">
        <v>363</v>
      </c>
      <c r="F7913" t="s">
        <v>363</v>
      </c>
      <c r="G7913" t="s">
        <v>36</v>
      </c>
      <c r="H7913" t="s">
        <v>43</v>
      </c>
      <c r="I7913" s="187">
        <v>3275.0162749291076</v>
      </c>
      <c r="J7913" s="187">
        <v>37.80526702589669</v>
      </c>
      <c r="K7913" s="187">
        <v>652.09148506500799</v>
      </c>
      <c r="L7913" s="187">
        <v>2359.0486624159535</v>
      </c>
      <c r="M7913" s="187">
        <v>6323.9619140625</v>
      </c>
      <c r="N7913" s="187">
        <v>5634.06494140625</v>
      </c>
      <c r="O7913" t="s">
        <v>7740</v>
      </c>
    </row>
    <row r="7914" spans="1:15" hidden="1" x14ac:dyDescent="0.45">
      <c r="A7914" s="187">
        <v>2026</v>
      </c>
      <c r="B7914" t="s">
        <v>312</v>
      </c>
      <c r="C7914" t="s">
        <v>328</v>
      </c>
      <c r="D7914" t="s">
        <v>39</v>
      </c>
      <c r="E7914" t="s">
        <v>363</v>
      </c>
      <c r="F7914" t="s">
        <v>363</v>
      </c>
      <c r="G7914" t="s">
        <v>36</v>
      </c>
      <c r="H7914" t="s">
        <v>43</v>
      </c>
      <c r="I7914" s="187">
        <v>2633.2512352831613</v>
      </c>
      <c r="J7914" s="187">
        <v>69.585625156184065</v>
      </c>
      <c r="K7914" s="187">
        <v>495.32393584904423</v>
      </c>
      <c r="L7914" s="187">
        <v>2269.6511405108699</v>
      </c>
      <c r="M7914" s="187">
        <v>5467.81201171875</v>
      </c>
      <c r="N7914" s="187">
        <v>4902.90234375</v>
      </c>
      <c r="O7914" t="s">
        <v>7737</v>
      </c>
    </row>
    <row r="7915" spans="1:15" hidden="1" x14ac:dyDescent="0.45">
      <c r="A7915" s="187">
        <v>2026</v>
      </c>
      <c r="B7915" t="s">
        <v>313</v>
      </c>
      <c r="C7915" t="s">
        <v>328</v>
      </c>
      <c r="D7915" t="s">
        <v>39</v>
      </c>
      <c r="E7915" t="s">
        <v>363</v>
      </c>
      <c r="F7915" t="s">
        <v>363</v>
      </c>
      <c r="G7915" t="s">
        <v>37</v>
      </c>
      <c r="H7915" t="s">
        <v>43</v>
      </c>
      <c r="I7915" s="187">
        <v>3483.6789600382708</v>
      </c>
      <c r="J7915" s="187">
        <v>60</v>
      </c>
      <c r="K7915" s="187">
        <v>465.81032169213739</v>
      </c>
      <c r="L7915" s="187">
        <v>2490</v>
      </c>
      <c r="M7915" s="187">
        <v>6499.4892578125</v>
      </c>
      <c r="N7915" s="187">
        <v>5973.6787109375</v>
      </c>
      <c r="O7915" t="s">
        <v>7748</v>
      </c>
    </row>
    <row r="7916" spans="1:15" hidden="1" x14ac:dyDescent="0.45">
      <c r="A7916" s="187">
        <v>2026</v>
      </c>
      <c r="B7916" t="s">
        <v>314</v>
      </c>
      <c r="C7916" t="s">
        <v>328</v>
      </c>
      <c r="D7916" t="s">
        <v>39</v>
      </c>
      <c r="E7916" t="s">
        <v>363</v>
      </c>
      <c r="F7916" t="s">
        <v>363</v>
      </c>
      <c r="G7916" t="s">
        <v>37</v>
      </c>
      <c r="H7916" t="s">
        <v>43</v>
      </c>
      <c r="I7916" s="187">
        <v>3554.2128896977811</v>
      </c>
      <c r="J7916" s="187">
        <v>59</v>
      </c>
      <c r="K7916" s="187">
        <v>496.01667693339931</v>
      </c>
      <c r="L7916" s="187">
        <v>2673</v>
      </c>
      <c r="M7916" s="187">
        <v>6782.2294921875</v>
      </c>
      <c r="N7916" s="187">
        <v>6227.212890625</v>
      </c>
      <c r="O7916" t="s">
        <v>7745</v>
      </c>
    </row>
    <row r="7917" spans="1:15" hidden="1" x14ac:dyDescent="0.45">
      <c r="A7917" s="187">
        <v>2026</v>
      </c>
      <c r="B7917" t="s">
        <v>316</v>
      </c>
      <c r="C7917" t="s">
        <v>328</v>
      </c>
      <c r="D7917" t="s">
        <v>39</v>
      </c>
      <c r="E7917" t="s">
        <v>363</v>
      </c>
      <c r="F7917" t="s">
        <v>363</v>
      </c>
      <c r="G7917" t="s">
        <v>37</v>
      </c>
      <c r="H7917" t="s">
        <v>43</v>
      </c>
      <c r="I7917" s="187">
        <v>3479.9300305660099</v>
      </c>
      <c r="J7917" s="187">
        <v>45</v>
      </c>
      <c r="K7917" s="187">
        <v>704.75678720133976</v>
      </c>
      <c r="L7917" s="187">
        <v>2543</v>
      </c>
      <c r="M7917" s="187">
        <v>6772.6865234375</v>
      </c>
      <c r="N7917" s="187">
        <v>6022.9296875</v>
      </c>
      <c r="O7917" t="s">
        <v>7747</v>
      </c>
    </row>
    <row r="7918" spans="1:15" hidden="1" x14ac:dyDescent="0.45">
      <c r="A7918" s="187">
        <v>2026</v>
      </c>
      <c r="B7918" t="s">
        <v>317</v>
      </c>
      <c r="C7918" t="s">
        <v>328</v>
      </c>
      <c r="D7918" t="s">
        <v>39</v>
      </c>
      <c r="E7918" t="s">
        <v>363</v>
      </c>
      <c r="F7918" t="s">
        <v>363</v>
      </c>
      <c r="G7918" t="s">
        <v>37</v>
      </c>
      <c r="H7918" t="s">
        <v>43</v>
      </c>
      <c r="I7918" s="187">
        <v>3411</v>
      </c>
      <c r="J7918" s="187">
        <v>45</v>
      </c>
      <c r="K7918" s="187">
        <v>673.58131699661692</v>
      </c>
      <c r="L7918" s="187">
        <v>2426</v>
      </c>
      <c r="M7918" s="187">
        <v>6555.58154296875</v>
      </c>
      <c r="N7918" s="187">
        <v>5837</v>
      </c>
      <c r="O7918" t="s">
        <v>7746</v>
      </c>
    </row>
    <row r="7919" spans="1:15" hidden="1" x14ac:dyDescent="0.45">
      <c r="A7919" s="187">
        <v>2026</v>
      </c>
      <c r="B7919" t="s">
        <v>8570</v>
      </c>
      <c r="C7919" t="s">
        <v>328</v>
      </c>
      <c r="D7919" t="s">
        <v>39</v>
      </c>
      <c r="E7919" t="s">
        <v>363</v>
      </c>
      <c r="F7919" t="s">
        <v>363</v>
      </c>
      <c r="G7919" t="s">
        <v>37</v>
      </c>
      <c r="H7919" t="s">
        <v>43</v>
      </c>
      <c r="I7919" s="187">
        <v>2436.2378799788812</v>
      </c>
      <c r="J7919" s="187">
        <v>48</v>
      </c>
      <c r="K7919" s="187">
        <v>685.57341267405423</v>
      </c>
      <c r="L7919" s="187">
        <v>2571</v>
      </c>
      <c r="M7919" s="187">
        <v>5740.8115234375</v>
      </c>
      <c r="N7919" s="187">
        <v>5007.23779296875</v>
      </c>
      <c r="O7919" t="s">
        <v>9202</v>
      </c>
    </row>
    <row r="7920" spans="1:15" hidden="1" x14ac:dyDescent="0.45">
      <c r="A7920" s="187">
        <v>2026</v>
      </c>
      <c r="B7920" t="s">
        <v>315</v>
      </c>
      <c r="C7920" t="s">
        <v>328</v>
      </c>
      <c r="D7920" t="s">
        <v>39</v>
      </c>
      <c r="E7920" t="s">
        <v>363</v>
      </c>
      <c r="F7920" t="s">
        <v>363</v>
      </c>
      <c r="G7920" t="s">
        <v>37</v>
      </c>
      <c r="H7920" t="s">
        <v>43</v>
      </c>
      <c r="I7920" s="187">
        <v>3483.497882679389</v>
      </c>
      <c r="J7920" s="187">
        <v>39</v>
      </c>
      <c r="K7920" s="187">
        <v>691.74012237009947</v>
      </c>
      <c r="L7920" s="187">
        <v>2566</v>
      </c>
      <c r="M7920" s="187">
        <v>6780.23779296875</v>
      </c>
      <c r="N7920" s="187">
        <v>6049.498046875</v>
      </c>
      <c r="O7920" t="s">
        <v>7743</v>
      </c>
    </row>
    <row r="7921" spans="1:15" hidden="1" x14ac:dyDescent="0.45">
      <c r="A7921" s="187">
        <v>2026</v>
      </c>
      <c r="B7921" t="s">
        <v>312</v>
      </c>
      <c r="C7921" t="s">
        <v>328</v>
      </c>
      <c r="D7921" t="s">
        <v>39</v>
      </c>
      <c r="E7921" t="s">
        <v>363</v>
      </c>
      <c r="F7921" t="s">
        <v>363</v>
      </c>
      <c r="G7921" t="s">
        <v>37</v>
      </c>
      <c r="H7921" t="s">
        <v>43</v>
      </c>
      <c r="I7921" s="187">
        <v>2721.422990226044</v>
      </c>
      <c r="J7921" s="187">
        <v>73</v>
      </c>
      <c r="K7921" s="187">
        <v>519.01670765925564</v>
      </c>
      <c r="L7921" s="187">
        <v>2401</v>
      </c>
      <c r="M7921" s="187">
        <v>5714.439453125</v>
      </c>
      <c r="N7921" s="187">
        <v>5122.4228515625</v>
      </c>
      <c r="O7921" t="s">
        <v>7744</v>
      </c>
    </row>
    <row r="7922" spans="1:15" hidden="1" x14ac:dyDescent="0.45">
      <c r="A7922" s="187">
        <v>2026</v>
      </c>
      <c r="B7922" t="s">
        <v>316</v>
      </c>
      <c r="C7922" t="s">
        <v>328</v>
      </c>
      <c r="D7922" t="s">
        <v>39</v>
      </c>
      <c r="E7922" t="s">
        <v>364</v>
      </c>
      <c r="F7922" t="s">
        <v>364</v>
      </c>
      <c r="G7922" t="s">
        <v>36</v>
      </c>
      <c r="H7922" t="s">
        <v>43</v>
      </c>
      <c r="I7922" s="187">
        <v>3033.8246373856173</v>
      </c>
      <c r="J7922" s="187">
        <v>920.12456201476334</v>
      </c>
      <c r="K7922" s="187">
        <v>5124.3278673510285</v>
      </c>
      <c r="L7922" s="187">
        <v>3062.8514156261544</v>
      </c>
      <c r="M7922" s="187">
        <v>12141.12890625</v>
      </c>
      <c r="N7922" s="187">
        <v>6096.67626953125</v>
      </c>
      <c r="O7922" t="s">
        <v>7754</v>
      </c>
    </row>
    <row r="7923" spans="1:15" hidden="1" x14ac:dyDescent="0.45">
      <c r="A7923" s="187">
        <v>2026</v>
      </c>
      <c r="B7923" t="s">
        <v>317</v>
      </c>
      <c r="C7923" t="s">
        <v>328</v>
      </c>
      <c r="D7923" t="s">
        <v>39</v>
      </c>
      <c r="E7923" t="s">
        <v>364</v>
      </c>
      <c r="F7923" t="s">
        <v>364</v>
      </c>
      <c r="G7923" t="s">
        <v>36</v>
      </c>
      <c r="H7923" t="s">
        <v>43</v>
      </c>
      <c r="I7923" s="187">
        <v>3563.3112454066554</v>
      </c>
      <c r="J7923" s="187">
        <v>909.38127999524511</v>
      </c>
      <c r="K7923" s="187">
        <v>5167.6178740576897</v>
      </c>
      <c r="L7923" s="187">
        <v>3822.5371734972541</v>
      </c>
      <c r="M7923" s="187">
        <v>13462.84765625</v>
      </c>
      <c r="N7923" s="187">
        <v>7385.8486328125</v>
      </c>
      <c r="O7923" t="s">
        <v>7749</v>
      </c>
    </row>
    <row r="7924" spans="1:15" hidden="1" x14ac:dyDescent="0.45">
      <c r="A7924" s="187">
        <v>2026</v>
      </c>
      <c r="B7924" t="s">
        <v>315</v>
      </c>
      <c r="C7924" t="s">
        <v>328</v>
      </c>
      <c r="D7924" t="s">
        <v>39</v>
      </c>
      <c r="E7924" t="s">
        <v>364</v>
      </c>
      <c r="F7924" t="s">
        <v>364</v>
      </c>
      <c r="G7924" t="s">
        <v>36</v>
      </c>
      <c r="H7924" t="s">
        <v>43</v>
      </c>
      <c r="I7924" s="187">
        <v>1746.603336596427</v>
      </c>
      <c r="J7924" s="187">
        <v>739.90308322112094</v>
      </c>
      <c r="K7924" s="187">
        <v>5173.5952130966989</v>
      </c>
      <c r="L7924" s="187">
        <v>2544.8345460860742</v>
      </c>
      <c r="M7924" s="187">
        <v>10204.9365234375</v>
      </c>
      <c r="N7924" s="187">
        <v>4291.43798828125</v>
      </c>
      <c r="O7924" t="s">
        <v>7752</v>
      </c>
    </row>
    <row r="7925" spans="1:15" hidden="1" x14ac:dyDescent="0.45">
      <c r="A7925" s="187">
        <v>2026</v>
      </c>
      <c r="B7925" t="s">
        <v>312</v>
      </c>
      <c r="C7925" t="s">
        <v>328</v>
      </c>
      <c r="D7925" t="s">
        <v>39</v>
      </c>
      <c r="E7925" t="s">
        <v>364</v>
      </c>
      <c r="F7925" t="s">
        <v>364</v>
      </c>
      <c r="G7925" t="s">
        <v>36</v>
      </c>
      <c r="H7925" t="s">
        <v>43</v>
      </c>
      <c r="I7925" s="187">
        <v>1433.4587681841222</v>
      </c>
      <c r="J7925" s="187">
        <v>788.63708510341928</v>
      </c>
      <c r="K7925" s="187">
        <v>4797.0135026098078</v>
      </c>
      <c r="L7925" s="187">
        <v>3503.6362266138672</v>
      </c>
      <c r="M7925" s="187">
        <v>10522.7451171875</v>
      </c>
      <c r="N7925" s="187">
        <v>4937.0947265625</v>
      </c>
      <c r="O7925" t="s">
        <v>7751</v>
      </c>
    </row>
    <row r="7926" spans="1:15" hidden="1" x14ac:dyDescent="0.45">
      <c r="A7926" s="187">
        <v>2026</v>
      </c>
      <c r="B7926" t="s">
        <v>314</v>
      </c>
      <c r="C7926" t="s">
        <v>328</v>
      </c>
      <c r="D7926" t="s">
        <v>39</v>
      </c>
      <c r="E7926" t="s">
        <v>364</v>
      </c>
      <c r="F7926" t="s">
        <v>364</v>
      </c>
      <c r="G7926" t="s">
        <v>36</v>
      </c>
      <c r="H7926" t="s">
        <v>43</v>
      </c>
      <c r="I7926" s="187">
        <v>1794.267781028728</v>
      </c>
      <c r="J7926" s="187">
        <v>765.64302344454075</v>
      </c>
      <c r="K7926" s="187">
        <v>5167.2186456231384</v>
      </c>
      <c r="L7926" s="187">
        <v>2700.8335058898724</v>
      </c>
      <c r="M7926" s="187">
        <v>10427.962890625</v>
      </c>
      <c r="N7926" s="187">
        <v>4495.1015625</v>
      </c>
      <c r="O7926" t="s">
        <v>7753</v>
      </c>
    </row>
    <row r="7927" spans="1:15" hidden="1" x14ac:dyDescent="0.45">
      <c r="A7927" s="187">
        <v>2026</v>
      </c>
      <c r="B7927" t="s">
        <v>313</v>
      </c>
      <c r="C7927" t="s">
        <v>328</v>
      </c>
      <c r="D7927" t="s">
        <v>39</v>
      </c>
      <c r="E7927" t="s">
        <v>364</v>
      </c>
      <c r="F7927" t="s">
        <v>364</v>
      </c>
      <c r="G7927" t="s">
        <v>36</v>
      </c>
      <c r="H7927" t="s">
        <v>43</v>
      </c>
      <c r="I7927" s="187">
        <v>1777.2374297342985</v>
      </c>
      <c r="J7927" s="187">
        <v>775.92875592887833</v>
      </c>
      <c r="K7927" s="187">
        <v>5068.3204307797778</v>
      </c>
      <c r="L7927" s="187">
        <v>2959.939989528692</v>
      </c>
      <c r="M7927" s="187">
        <v>10581.4267578125</v>
      </c>
      <c r="N7927" s="187">
        <v>4737.17724609375</v>
      </c>
      <c r="O7927" t="s">
        <v>7750</v>
      </c>
    </row>
    <row r="7928" spans="1:15" hidden="1" x14ac:dyDescent="0.45">
      <c r="A7928" s="187">
        <v>2026</v>
      </c>
      <c r="B7928" t="s">
        <v>8570</v>
      </c>
      <c r="C7928" t="s">
        <v>328</v>
      </c>
      <c r="D7928" t="s">
        <v>39</v>
      </c>
      <c r="E7928" t="s">
        <v>364</v>
      </c>
      <c r="F7928" t="s">
        <v>364</v>
      </c>
      <c r="G7928" t="s">
        <v>36</v>
      </c>
      <c r="H7928" t="s">
        <v>43</v>
      </c>
      <c r="I7928" s="187">
        <v>3108.1194972285521</v>
      </c>
      <c r="J7928" s="187">
        <v>1023</v>
      </c>
      <c r="K7928" s="187">
        <v>4991.4655901584529</v>
      </c>
      <c r="L7928" s="187">
        <v>3919</v>
      </c>
      <c r="M7928" s="187">
        <v>13041.5849609375</v>
      </c>
      <c r="N7928" s="187">
        <v>7027.119140625</v>
      </c>
      <c r="O7928" t="s">
        <v>9203</v>
      </c>
    </row>
    <row r="7929" spans="1:15" hidden="1" x14ac:dyDescent="0.45">
      <c r="A7929" s="187">
        <v>2026</v>
      </c>
      <c r="B7929" t="s">
        <v>314</v>
      </c>
      <c r="C7929" t="s">
        <v>328</v>
      </c>
      <c r="D7929" t="s">
        <v>39</v>
      </c>
      <c r="E7929" t="s">
        <v>364</v>
      </c>
      <c r="F7929" t="s">
        <v>364</v>
      </c>
      <c r="G7929" t="s">
        <v>37</v>
      </c>
      <c r="H7929" t="s">
        <v>43</v>
      </c>
      <c r="I7929" s="187">
        <v>1895.502058918639</v>
      </c>
      <c r="J7929" s="187">
        <v>808</v>
      </c>
      <c r="K7929" s="187">
        <v>5466.1443920928614</v>
      </c>
      <c r="L7929" s="187">
        <v>3091</v>
      </c>
      <c r="M7929" s="187">
        <v>11260.646484375</v>
      </c>
      <c r="N7929" s="187">
        <v>4986.501953125</v>
      </c>
      <c r="O7929" t="s">
        <v>7755</v>
      </c>
    </row>
    <row r="7930" spans="1:15" hidden="1" x14ac:dyDescent="0.45">
      <c r="A7930" s="187">
        <v>2026</v>
      </c>
      <c r="B7930" t="s">
        <v>317</v>
      </c>
      <c r="C7930" t="s">
        <v>328</v>
      </c>
      <c r="D7930" t="s">
        <v>39</v>
      </c>
      <c r="E7930" t="s">
        <v>364</v>
      </c>
      <c r="F7930" t="s">
        <v>364</v>
      </c>
      <c r="G7930" t="s">
        <v>37</v>
      </c>
      <c r="H7930" t="s">
        <v>43</v>
      </c>
      <c r="I7930" s="187">
        <v>3763.3195680293579</v>
      </c>
      <c r="J7930" s="187">
        <v>870</v>
      </c>
      <c r="K7930" s="187">
        <v>5425.1192925920232</v>
      </c>
      <c r="L7930" s="187">
        <v>4019</v>
      </c>
      <c r="M7930" s="187">
        <v>14077.4384765625</v>
      </c>
      <c r="N7930" s="187">
        <v>7782.3193359375</v>
      </c>
      <c r="O7930" t="s">
        <v>7759</v>
      </c>
    </row>
    <row r="7931" spans="1:15" hidden="1" x14ac:dyDescent="0.45">
      <c r="A7931" s="187">
        <v>2026</v>
      </c>
      <c r="B7931" t="s">
        <v>315</v>
      </c>
      <c r="C7931" t="s">
        <v>328</v>
      </c>
      <c r="D7931" t="s">
        <v>39</v>
      </c>
      <c r="E7931" t="s">
        <v>364</v>
      </c>
      <c r="F7931" t="s">
        <v>364</v>
      </c>
      <c r="G7931" t="s">
        <v>37</v>
      </c>
      <c r="H7931" t="s">
        <v>43</v>
      </c>
      <c r="I7931" s="187">
        <v>1857.7889433682619</v>
      </c>
      <c r="J7931" s="187">
        <v>771</v>
      </c>
      <c r="K7931" s="187">
        <v>5488.1615045841272</v>
      </c>
      <c r="L7931" s="187">
        <v>2768</v>
      </c>
      <c r="M7931" s="187">
        <v>10884.951171875</v>
      </c>
      <c r="N7931" s="187">
        <v>4625.7890625</v>
      </c>
      <c r="O7931" t="s">
        <v>7758</v>
      </c>
    </row>
    <row r="7932" spans="1:15" hidden="1" x14ac:dyDescent="0.45">
      <c r="A7932" s="187">
        <v>2026</v>
      </c>
      <c r="B7932" t="s">
        <v>312</v>
      </c>
      <c r="C7932" t="s">
        <v>328</v>
      </c>
      <c r="D7932" t="s">
        <v>39</v>
      </c>
      <c r="E7932" t="s">
        <v>364</v>
      </c>
      <c r="F7932" t="s">
        <v>364</v>
      </c>
      <c r="G7932" t="s">
        <v>37</v>
      </c>
      <c r="H7932" t="s">
        <v>43</v>
      </c>
      <c r="I7932" s="187">
        <v>1481.4566855630401</v>
      </c>
      <c r="J7932" s="187">
        <v>829</v>
      </c>
      <c r="K7932" s="187">
        <v>5026.4684876450438</v>
      </c>
      <c r="L7932" s="187">
        <v>3706</v>
      </c>
      <c r="M7932" s="187">
        <v>11042.9248046875</v>
      </c>
      <c r="N7932" s="187">
        <v>5187.45654296875</v>
      </c>
      <c r="O7932" t="s">
        <v>7756</v>
      </c>
    </row>
    <row r="7933" spans="1:15" hidden="1" x14ac:dyDescent="0.45">
      <c r="A7933" s="187">
        <v>2026</v>
      </c>
      <c r="B7933" t="s">
        <v>313</v>
      </c>
      <c r="C7933" t="s">
        <v>328</v>
      </c>
      <c r="D7933" t="s">
        <v>39</v>
      </c>
      <c r="E7933" t="s">
        <v>364</v>
      </c>
      <c r="F7933" t="s">
        <v>364</v>
      </c>
      <c r="G7933" t="s">
        <v>37</v>
      </c>
      <c r="H7933" t="s">
        <v>43</v>
      </c>
      <c r="I7933" s="187">
        <v>1857.54135191974</v>
      </c>
      <c r="J7933" s="187">
        <v>813</v>
      </c>
      <c r="K7933" s="187">
        <v>5284.5233997730056</v>
      </c>
      <c r="L7933" s="187">
        <v>3135</v>
      </c>
      <c r="M7933" s="187">
        <v>11090.064453125</v>
      </c>
      <c r="N7933" s="187">
        <v>4992.54150390625</v>
      </c>
      <c r="O7933" t="s">
        <v>7760</v>
      </c>
    </row>
    <row r="7934" spans="1:15" hidden="1" x14ac:dyDescent="0.45">
      <c r="A7934" s="187">
        <v>2026</v>
      </c>
      <c r="B7934" t="s">
        <v>8570</v>
      </c>
      <c r="C7934" t="s">
        <v>328</v>
      </c>
      <c r="D7934" t="s">
        <v>39</v>
      </c>
      <c r="E7934" t="s">
        <v>364</v>
      </c>
      <c r="F7934" t="s">
        <v>364</v>
      </c>
      <c r="G7934" t="s">
        <v>37</v>
      </c>
      <c r="H7934" t="s">
        <v>43</v>
      </c>
      <c r="I7934" s="187">
        <v>3364.328500923215</v>
      </c>
      <c r="J7934" s="187">
        <v>1085</v>
      </c>
      <c r="K7934" s="187">
        <v>5426.7396162017221</v>
      </c>
      <c r="L7934" s="187">
        <v>4408</v>
      </c>
      <c r="M7934" s="187">
        <v>14284.068359375</v>
      </c>
      <c r="N7934" s="187">
        <v>7772.32861328125</v>
      </c>
      <c r="O7934" t="s">
        <v>9204</v>
      </c>
    </row>
    <row r="7935" spans="1:15" hidden="1" x14ac:dyDescent="0.45">
      <c r="A7935" s="187">
        <v>2026</v>
      </c>
      <c r="B7935" t="s">
        <v>316</v>
      </c>
      <c r="C7935" t="s">
        <v>328</v>
      </c>
      <c r="D7935" t="s">
        <v>39</v>
      </c>
      <c r="E7935" t="s">
        <v>364</v>
      </c>
      <c r="F7935" t="s">
        <v>364</v>
      </c>
      <c r="G7935" t="s">
        <v>37</v>
      </c>
      <c r="H7935" t="s">
        <v>43</v>
      </c>
      <c r="I7935" s="187">
        <v>3230.7749645808199</v>
      </c>
      <c r="J7935" s="187">
        <v>870</v>
      </c>
      <c r="K7935" s="187">
        <v>5358.944220595542</v>
      </c>
      <c r="L7935" s="187">
        <v>3295</v>
      </c>
      <c r="M7935" s="187">
        <v>12754.71875</v>
      </c>
      <c r="N7935" s="187">
        <v>6525.77490234375</v>
      </c>
      <c r="O7935" t="s">
        <v>7757</v>
      </c>
    </row>
    <row r="7936" spans="1:15" hidden="1" x14ac:dyDescent="0.45">
      <c r="A7936" s="187">
        <v>2026</v>
      </c>
      <c r="B7936" t="s">
        <v>315</v>
      </c>
      <c r="C7936" t="s">
        <v>328</v>
      </c>
      <c r="D7936" t="s">
        <v>39</v>
      </c>
      <c r="E7936" t="s">
        <v>365</v>
      </c>
      <c r="F7936" t="s">
        <v>375</v>
      </c>
      <c r="G7936" t="s">
        <v>36</v>
      </c>
      <c r="H7936" t="s">
        <v>43</v>
      </c>
      <c r="I7936" s="187">
        <v>8996.5734016769584</v>
      </c>
      <c r="J7936" s="187">
        <v>1982.0761426434406</v>
      </c>
      <c r="K7936" s="187">
        <v>17359.9859278847</v>
      </c>
      <c r="L7936" s="187">
        <v>12899.15710923595</v>
      </c>
      <c r="M7936" s="187">
        <v>41237.79296875</v>
      </c>
      <c r="N7936" s="187">
        <v>21895.73046875</v>
      </c>
      <c r="O7936" t="s">
        <v>7765</v>
      </c>
    </row>
    <row r="7937" spans="1:15" hidden="1" x14ac:dyDescent="0.45">
      <c r="A7937" s="187">
        <v>2026</v>
      </c>
      <c r="B7937" t="s">
        <v>313</v>
      </c>
      <c r="C7937" t="s">
        <v>328</v>
      </c>
      <c r="D7937" t="s">
        <v>39</v>
      </c>
      <c r="E7937" t="s">
        <v>365</v>
      </c>
      <c r="F7937" t="s">
        <v>375</v>
      </c>
      <c r="G7937" t="s">
        <v>36</v>
      </c>
      <c r="H7937" t="s">
        <v>43</v>
      </c>
      <c r="I7937" s="187">
        <v>9155.5941770167992</v>
      </c>
      <c r="J7937" s="187">
        <v>1825.714719832655</v>
      </c>
      <c r="K7937" s="187">
        <v>18957.783466141849</v>
      </c>
      <c r="L7937" s="187">
        <v>13446.388911567503</v>
      </c>
      <c r="M7937" s="187">
        <v>43385.48046875</v>
      </c>
      <c r="N7937" s="187">
        <v>22601.982421875</v>
      </c>
      <c r="O7937" t="s">
        <v>7764</v>
      </c>
    </row>
    <row r="7938" spans="1:15" hidden="1" x14ac:dyDescent="0.45">
      <c r="A7938" s="187">
        <v>2026</v>
      </c>
      <c r="B7938" t="s">
        <v>314</v>
      </c>
      <c r="C7938" t="s">
        <v>328</v>
      </c>
      <c r="D7938" t="s">
        <v>39</v>
      </c>
      <c r="E7938" t="s">
        <v>365</v>
      </c>
      <c r="F7938" t="s">
        <v>375</v>
      </c>
      <c r="G7938" t="s">
        <v>36</v>
      </c>
      <c r="H7938" t="s">
        <v>43</v>
      </c>
      <c r="I7938" s="187">
        <v>9242.0880322747525</v>
      </c>
      <c r="J7938" s="187">
        <v>1836.4336286966882</v>
      </c>
      <c r="K7938" s="187">
        <v>17337.757491265533</v>
      </c>
      <c r="L7938" s="187">
        <v>12963.778902757347</v>
      </c>
      <c r="M7938" s="187">
        <v>41380.05859375</v>
      </c>
      <c r="N7938" s="187">
        <v>22205.8671875</v>
      </c>
      <c r="O7938" t="s">
        <v>7766</v>
      </c>
    </row>
    <row r="7939" spans="1:15" hidden="1" x14ac:dyDescent="0.45">
      <c r="A7939" s="187">
        <v>2026</v>
      </c>
      <c r="B7939" t="s">
        <v>312</v>
      </c>
      <c r="C7939" t="s">
        <v>328</v>
      </c>
      <c r="D7939" t="s">
        <v>39</v>
      </c>
      <c r="E7939" t="s">
        <v>365</v>
      </c>
      <c r="F7939" t="s">
        <v>375</v>
      </c>
      <c r="G7939" t="s">
        <v>36</v>
      </c>
      <c r="H7939" t="s">
        <v>43</v>
      </c>
      <c r="I7939" s="187">
        <v>8118.8365433938316</v>
      </c>
      <c r="J7939" s="187">
        <v>1844.0190666388776</v>
      </c>
      <c r="K7939" s="187">
        <v>19098.573035657479</v>
      </c>
      <c r="L7939" s="187">
        <v>13675.894864028707</v>
      </c>
      <c r="M7939" s="187">
        <v>42737.32421875</v>
      </c>
      <c r="N7939" s="187">
        <v>21794.73046875</v>
      </c>
      <c r="O7939" t="s">
        <v>7762</v>
      </c>
    </row>
    <row r="7940" spans="1:15" hidden="1" x14ac:dyDescent="0.45">
      <c r="A7940" s="187">
        <v>2026</v>
      </c>
      <c r="B7940" t="s">
        <v>8570</v>
      </c>
      <c r="C7940" t="s">
        <v>328</v>
      </c>
      <c r="D7940" t="s">
        <v>39</v>
      </c>
      <c r="E7940" t="s">
        <v>365</v>
      </c>
      <c r="F7940" t="s">
        <v>375</v>
      </c>
      <c r="G7940" t="s">
        <v>36</v>
      </c>
      <c r="H7940" t="s">
        <v>43</v>
      </c>
      <c r="I7940" s="187">
        <v>10889.213838719141</v>
      </c>
      <c r="J7940" s="187">
        <v>2784</v>
      </c>
      <c r="K7940" s="187">
        <v>18612.389839140342</v>
      </c>
      <c r="L7940" s="187">
        <v>14938</v>
      </c>
      <c r="M7940" s="187">
        <v>47223.6015625</v>
      </c>
      <c r="N7940" s="187">
        <v>25827.21484375</v>
      </c>
      <c r="O7940" t="s">
        <v>9205</v>
      </c>
    </row>
    <row r="7941" spans="1:15" hidden="1" x14ac:dyDescent="0.45">
      <c r="A7941" s="187">
        <v>2026</v>
      </c>
      <c r="B7941" t="s">
        <v>316</v>
      </c>
      <c r="C7941" t="s">
        <v>328</v>
      </c>
      <c r="D7941" t="s">
        <v>39</v>
      </c>
      <c r="E7941" t="s">
        <v>365</v>
      </c>
      <c r="F7941" t="s">
        <v>375</v>
      </c>
      <c r="G7941" t="s">
        <v>36</v>
      </c>
      <c r="H7941" t="s">
        <v>43</v>
      </c>
      <c r="I7941" s="187">
        <v>10525.365794758383</v>
      </c>
      <c r="J7941" s="187">
        <v>2517.1223650518814</v>
      </c>
      <c r="K7941" s="187">
        <v>17520.420095160916</v>
      </c>
      <c r="L7941" s="187">
        <v>13606.209758988425</v>
      </c>
      <c r="M7941" s="187">
        <v>44169.1171875</v>
      </c>
      <c r="N7941" s="187">
        <v>24131.576171875</v>
      </c>
      <c r="O7941" t="s">
        <v>7761</v>
      </c>
    </row>
    <row r="7942" spans="1:15" hidden="1" x14ac:dyDescent="0.45">
      <c r="A7942" s="187">
        <v>2026</v>
      </c>
      <c r="B7942" t="s">
        <v>317</v>
      </c>
      <c r="C7942" t="s">
        <v>328</v>
      </c>
      <c r="D7942" t="s">
        <v>39</v>
      </c>
      <c r="E7942" t="s">
        <v>365</v>
      </c>
      <c r="F7942" t="s">
        <v>375</v>
      </c>
      <c r="G7942" t="s">
        <v>36</v>
      </c>
      <c r="H7942" t="s">
        <v>43</v>
      </c>
      <c r="I7942" s="187">
        <v>10967.381920263177</v>
      </c>
      <c r="J7942" s="187">
        <v>2436.514670883812</v>
      </c>
      <c r="K7942" s="187">
        <v>19284.479727203849</v>
      </c>
      <c r="L7942" s="187">
        <v>14637.90281040622</v>
      </c>
      <c r="M7942" s="187">
        <v>47326.28125</v>
      </c>
      <c r="N7942" s="187">
        <v>25605.28515625</v>
      </c>
      <c r="O7942" t="s">
        <v>7763</v>
      </c>
    </row>
    <row r="7943" spans="1:15" hidden="1" x14ac:dyDescent="0.45">
      <c r="A7943" s="187">
        <v>2026</v>
      </c>
      <c r="B7943" t="s">
        <v>312</v>
      </c>
      <c r="C7943" t="s">
        <v>328</v>
      </c>
      <c r="D7943" t="s">
        <v>39</v>
      </c>
      <c r="E7943" t="s">
        <v>365</v>
      </c>
      <c r="F7943" t="s">
        <v>375</v>
      </c>
      <c r="G7943" t="s">
        <v>37</v>
      </c>
      <c r="H7943" t="s">
        <v>43</v>
      </c>
      <c r="I7943" s="187">
        <v>8390.6875755071633</v>
      </c>
      <c r="J7943" s="187">
        <v>1939</v>
      </c>
      <c r="K7943" s="187">
        <v>20012.112842811861</v>
      </c>
      <c r="L7943" s="187">
        <v>14466</v>
      </c>
      <c r="M7943" s="187">
        <v>44807.80078125</v>
      </c>
      <c r="N7943" s="187">
        <v>22856.6875</v>
      </c>
      <c r="O7943" t="s">
        <v>7768</v>
      </c>
    </row>
    <row r="7944" spans="1:15" hidden="1" x14ac:dyDescent="0.45">
      <c r="A7944" s="187">
        <v>2026</v>
      </c>
      <c r="B7944" t="s">
        <v>315</v>
      </c>
      <c r="C7944" t="s">
        <v>328</v>
      </c>
      <c r="D7944" t="s">
        <v>39</v>
      </c>
      <c r="E7944" t="s">
        <v>365</v>
      </c>
      <c r="F7944" t="s">
        <v>375</v>
      </c>
      <c r="G7944" t="s">
        <v>37</v>
      </c>
      <c r="H7944" t="s">
        <v>43</v>
      </c>
      <c r="I7944" s="187">
        <v>9569.2789791677533</v>
      </c>
      <c r="J7944" s="187">
        <v>2066</v>
      </c>
      <c r="K7944" s="187">
        <v>18415.512340114379</v>
      </c>
      <c r="L7944" s="187">
        <v>14031</v>
      </c>
      <c r="M7944" s="187">
        <v>44081.7890625</v>
      </c>
      <c r="N7944" s="187">
        <v>23600.279296875</v>
      </c>
      <c r="O7944" t="s">
        <v>7769</v>
      </c>
    </row>
    <row r="7945" spans="1:15" hidden="1" x14ac:dyDescent="0.45">
      <c r="A7945" s="187">
        <v>2026</v>
      </c>
      <c r="B7945" t="s">
        <v>316</v>
      </c>
      <c r="C7945" t="s">
        <v>328</v>
      </c>
      <c r="D7945" t="s">
        <v>39</v>
      </c>
      <c r="E7945" t="s">
        <v>365</v>
      </c>
      <c r="F7945" t="s">
        <v>375</v>
      </c>
      <c r="G7945" t="s">
        <v>37</v>
      </c>
      <c r="H7945" t="s">
        <v>43</v>
      </c>
      <c r="I7945" s="187">
        <v>11208.653223959691</v>
      </c>
      <c r="J7945" s="187">
        <v>2380</v>
      </c>
      <c r="K7945" s="187">
        <v>18322.589116434621</v>
      </c>
      <c r="L7945" s="187">
        <v>14638</v>
      </c>
      <c r="M7945" s="187">
        <v>46549.2421875</v>
      </c>
      <c r="N7945" s="187">
        <v>25846.65234375</v>
      </c>
      <c r="O7945" t="s">
        <v>7767</v>
      </c>
    </row>
    <row r="7946" spans="1:15" hidden="1" x14ac:dyDescent="0.45">
      <c r="A7946" s="187">
        <v>2026</v>
      </c>
      <c r="B7946" t="s">
        <v>317</v>
      </c>
      <c r="C7946" t="s">
        <v>328</v>
      </c>
      <c r="D7946" t="s">
        <v>39</v>
      </c>
      <c r="E7946" t="s">
        <v>365</v>
      </c>
      <c r="F7946" t="s">
        <v>375</v>
      </c>
      <c r="G7946" t="s">
        <v>37</v>
      </c>
      <c r="H7946" t="s">
        <v>43</v>
      </c>
      <c r="I7946" s="187">
        <v>11583.80510462754</v>
      </c>
      <c r="J7946" s="187">
        <v>2331</v>
      </c>
      <c r="K7946" s="187">
        <v>20245.421694368379</v>
      </c>
      <c r="L7946" s="187">
        <v>15389</v>
      </c>
      <c r="M7946" s="187">
        <v>49549.2265625</v>
      </c>
      <c r="N7946" s="187">
        <v>26972.8046875</v>
      </c>
      <c r="O7946" t="s">
        <v>7770</v>
      </c>
    </row>
    <row r="7947" spans="1:15" hidden="1" x14ac:dyDescent="0.45">
      <c r="A7947" s="187">
        <v>2026</v>
      </c>
      <c r="B7947" t="s">
        <v>313</v>
      </c>
      <c r="C7947" t="s">
        <v>328</v>
      </c>
      <c r="D7947" t="s">
        <v>39</v>
      </c>
      <c r="E7947" t="s">
        <v>365</v>
      </c>
      <c r="F7947" t="s">
        <v>375</v>
      </c>
      <c r="G7947" t="s">
        <v>37</v>
      </c>
      <c r="H7947" t="s">
        <v>43</v>
      </c>
      <c r="I7947" s="187">
        <v>9569.2868609833713</v>
      </c>
      <c r="J7947" s="187">
        <v>1913</v>
      </c>
      <c r="K7947" s="187">
        <v>19766.479192248491</v>
      </c>
      <c r="L7947" s="187">
        <v>14244</v>
      </c>
      <c r="M7947" s="187">
        <v>45492.765625</v>
      </c>
      <c r="N7947" s="187">
        <v>23813.287109375</v>
      </c>
      <c r="O7947" t="s">
        <v>7771</v>
      </c>
    </row>
    <row r="7948" spans="1:15" hidden="1" x14ac:dyDescent="0.45">
      <c r="A7948" s="187">
        <v>2026</v>
      </c>
      <c r="B7948" t="s">
        <v>8570</v>
      </c>
      <c r="C7948" t="s">
        <v>328</v>
      </c>
      <c r="D7948" t="s">
        <v>39</v>
      </c>
      <c r="E7948" t="s">
        <v>365</v>
      </c>
      <c r="F7948" t="s">
        <v>375</v>
      </c>
      <c r="G7948" t="s">
        <v>37</v>
      </c>
      <c r="H7948" t="s">
        <v>43</v>
      </c>
      <c r="I7948" s="187">
        <v>11786.835256146651</v>
      </c>
      <c r="J7948" s="187">
        <v>2952</v>
      </c>
      <c r="K7948" s="187">
        <v>20235.458197167882</v>
      </c>
      <c r="L7948" s="187">
        <v>16803</v>
      </c>
      <c r="M7948" s="187">
        <v>51777.29296875</v>
      </c>
      <c r="N7948" s="187">
        <v>28589.8359375</v>
      </c>
      <c r="O7948" t="s">
        <v>9206</v>
      </c>
    </row>
    <row r="7949" spans="1:15" hidden="1" x14ac:dyDescent="0.45">
      <c r="A7949" s="187">
        <v>2026</v>
      </c>
      <c r="B7949" t="s">
        <v>314</v>
      </c>
      <c r="C7949" t="s">
        <v>328</v>
      </c>
      <c r="D7949" t="s">
        <v>39</v>
      </c>
      <c r="E7949" t="s">
        <v>365</v>
      </c>
      <c r="F7949" t="s">
        <v>375</v>
      </c>
      <c r="G7949" t="s">
        <v>37</v>
      </c>
      <c r="H7949" t="s">
        <v>43</v>
      </c>
      <c r="I7949" s="187">
        <v>9763.5353424448622</v>
      </c>
      <c r="J7949" s="187">
        <v>1939</v>
      </c>
      <c r="K7949" s="187">
        <v>18340.75396879558</v>
      </c>
      <c r="L7949" s="187">
        <v>14836</v>
      </c>
      <c r="M7949" s="187">
        <v>44879.2890625</v>
      </c>
      <c r="N7949" s="187">
        <v>24599.53515625</v>
      </c>
      <c r="O7949" t="s">
        <v>7772</v>
      </c>
    </row>
    <row r="7950" spans="1:15" hidden="1" x14ac:dyDescent="0.45">
      <c r="A7950" s="187">
        <v>2027</v>
      </c>
      <c r="B7950" t="s">
        <v>8570</v>
      </c>
      <c r="C7950" t="s">
        <v>322</v>
      </c>
      <c r="D7950" t="s">
        <v>35</v>
      </c>
      <c r="E7950" t="s">
        <v>348</v>
      </c>
      <c r="F7950" t="s">
        <v>382</v>
      </c>
      <c r="G7950" t="s">
        <v>36</v>
      </c>
      <c r="H7950" t="s">
        <v>43</v>
      </c>
      <c r="I7950" s="187">
        <v>12604.69221498853</v>
      </c>
      <c r="J7950" s="187">
        <v>1000</v>
      </c>
      <c r="K7950" s="187">
        <v>19249.45814670081</v>
      </c>
      <c r="L7950" s="187">
        <v>19896</v>
      </c>
      <c r="M7950" s="187">
        <v>52750.15234375</v>
      </c>
      <c r="N7950" s="187">
        <v>32500.69140625</v>
      </c>
      <c r="O7950" t="s">
        <v>9207</v>
      </c>
    </row>
    <row r="7951" spans="1:15" hidden="1" x14ac:dyDescent="0.45">
      <c r="A7951" s="187">
        <v>2027</v>
      </c>
      <c r="B7951" t="s">
        <v>316</v>
      </c>
      <c r="C7951" t="s">
        <v>322</v>
      </c>
      <c r="D7951" t="s">
        <v>35</v>
      </c>
      <c r="E7951" t="s">
        <v>348</v>
      </c>
      <c r="F7951" t="s">
        <v>382</v>
      </c>
      <c r="G7951" t="s">
        <v>36</v>
      </c>
      <c r="H7951" t="s">
        <v>43</v>
      </c>
      <c r="I7951" s="187">
        <v>22203.816309005699</v>
      </c>
      <c r="J7951" s="187">
        <v>990.2070009335024</v>
      </c>
      <c r="K7951" s="187">
        <v>19089.309172439429</v>
      </c>
      <c r="L7951" s="187">
        <v>29015.598471180485</v>
      </c>
      <c r="M7951" s="187">
        <v>71298.9296875</v>
      </c>
      <c r="N7951" s="187">
        <v>51219.4140625</v>
      </c>
      <c r="O7951" t="s">
        <v>7777</v>
      </c>
    </row>
    <row r="7952" spans="1:15" hidden="1" x14ac:dyDescent="0.45">
      <c r="A7952" s="187">
        <v>2027</v>
      </c>
      <c r="B7952" t="s">
        <v>313</v>
      </c>
      <c r="C7952" t="s">
        <v>322</v>
      </c>
      <c r="D7952" t="s">
        <v>35</v>
      </c>
      <c r="E7952" t="s">
        <v>348</v>
      </c>
      <c r="F7952" t="s">
        <v>382</v>
      </c>
      <c r="G7952" t="s">
        <v>36</v>
      </c>
      <c r="H7952" t="s">
        <v>43</v>
      </c>
      <c r="I7952" s="187">
        <v>14554.4174207533</v>
      </c>
      <c r="J7952" s="187">
        <v>922.37674338968839</v>
      </c>
      <c r="K7952" s="187">
        <v>17662.465352747484</v>
      </c>
      <c r="L7952" s="187">
        <v>29033.305363033607</v>
      </c>
      <c r="M7952" s="187">
        <v>62172.5625</v>
      </c>
      <c r="N7952" s="187">
        <v>43587.72265625</v>
      </c>
      <c r="O7952" t="s">
        <v>7773</v>
      </c>
    </row>
    <row r="7953" spans="1:15" hidden="1" x14ac:dyDescent="0.45">
      <c r="A7953" s="187">
        <v>2027</v>
      </c>
      <c r="B7953" t="s">
        <v>317</v>
      </c>
      <c r="C7953" t="s">
        <v>322</v>
      </c>
      <c r="D7953" t="s">
        <v>35</v>
      </c>
      <c r="E7953" t="s">
        <v>348</v>
      </c>
      <c r="F7953" t="s">
        <v>382</v>
      </c>
      <c r="G7953" t="s">
        <v>36</v>
      </c>
      <c r="H7953" t="s">
        <v>43</v>
      </c>
      <c r="I7953" s="187">
        <v>16380.707387889712</v>
      </c>
      <c r="J7953" s="187">
        <v>1080.5090956866493</v>
      </c>
      <c r="K7953" s="187">
        <v>21278.484896784208</v>
      </c>
      <c r="L7953" s="187">
        <v>29685.906894895004</v>
      </c>
      <c r="M7953" s="187">
        <v>68425.609375</v>
      </c>
      <c r="N7953" s="187">
        <v>46066.61328125</v>
      </c>
      <c r="O7953" t="s">
        <v>7775</v>
      </c>
    </row>
    <row r="7954" spans="1:15" hidden="1" x14ac:dyDescent="0.45">
      <c r="A7954" s="187">
        <v>2027</v>
      </c>
      <c r="B7954" t="s">
        <v>314</v>
      </c>
      <c r="C7954" t="s">
        <v>322</v>
      </c>
      <c r="D7954" t="s">
        <v>35</v>
      </c>
      <c r="E7954" t="s">
        <v>348</v>
      </c>
      <c r="F7954" t="s">
        <v>382</v>
      </c>
      <c r="G7954" t="s">
        <v>36</v>
      </c>
      <c r="H7954" t="s">
        <v>43</v>
      </c>
      <c r="I7954" s="187">
        <v>22970.116150896079</v>
      </c>
      <c r="J7954" s="187">
        <v>908.56011565714186</v>
      </c>
      <c r="K7954" s="187">
        <v>17590.257180037832</v>
      </c>
      <c r="L7954" s="187">
        <v>24513.650812826345</v>
      </c>
      <c r="M7954" s="187">
        <v>65982.5859375</v>
      </c>
      <c r="N7954" s="187">
        <v>47483.765625</v>
      </c>
      <c r="O7954" t="s">
        <v>7776</v>
      </c>
    </row>
    <row r="7955" spans="1:15" hidden="1" x14ac:dyDescent="0.45">
      <c r="A7955" s="187">
        <v>2027</v>
      </c>
      <c r="B7955" t="s">
        <v>315</v>
      </c>
      <c r="C7955" t="s">
        <v>322</v>
      </c>
      <c r="D7955" t="s">
        <v>35</v>
      </c>
      <c r="E7955" t="s">
        <v>348</v>
      </c>
      <c r="F7955" t="s">
        <v>382</v>
      </c>
      <c r="G7955" t="s">
        <v>36</v>
      </c>
      <c r="H7955" t="s">
        <v>43</v>
      </c>
      <c r="I7955" s="187">
        <v>22335.790211186431</v>
      </c>
      <c r="J7955" s="187">
        <v>962.87782075725158</v>
      </c>
      <c r="K7955" s="187">
        <v>18629.057408687539</v>
      </c>
      <c r="L7955" s="187">
        <v>29583.00504597132</v>
      </c>
      <c r="M7955" s="187">
        <v>71510.734375</v>
      </c>
      <c r="N7955" s="187">
        <v>51918.796875</v>
      </c>
      <c r="O7955" t="s">
        <v>7774</v>
      </c>
    </row>
    <row r="7956" spans="1:15" hidden="1" x14ac:dyDescent="0.45">
      <c r="A7956" s="187">
        <v>2027</v>
      </c>
      <c r="B7956" t="s">
        <v>315</v>
      </c>
      <c r="C7956" t="s">
        <v>322</v>
      </c>
      <c r="D7956" t="s">
        <v>35</v>
      </c>
      <c r="E7956" t="s">
        <v>348</v>
      </c>
      <c r="F7956" t="s">
        <v>382</v>
      </c>
      <c r="G7956" t="s">
        <v>37</v>
      </c>
      <c r="H7956" t="s">
        <v>43</v>
      </c>
      <c r="I7956" s="187">
        <v>23106.575729145559</v>
      </c>
      <c r="J7956" s="187">
        <v>976</v>
      </c>
      <c r="K7956" s="187">
        <v>19220.182101786839</v>
      </c>
      <c r="L7956" s="187">
        <v>30597.56179747685</v>
      </c>
      <c r="M7956" s="187">
        <v>73900.3203125</v>
      </c>
      <c r="N7956" s="187">
        <v>53704.13671875</v>
      </c>
      <c r="O7956" t="s">
        <v>7782</v>
      </c>
    </row>
    <row r="7957" spans="1:15" hidden="1" x14ac:dyDescent="0.45">
      <c r="A7957" s="187">
        <v>2027</v>
      </c>
      <c r="B7957" t="s">
        <v>316</v>
      </c>
      <c r="C7957" t="s">
        <v>322</v>
      </c>
      <c r="D7957" t="s">
        <v>35</v>
      </c>
      <c r="E7957" t="s">
        <v>348</v>
      </c>
      <c r="F7957" t="s">
        <v>382</v>
      </c>
      <c r="G7957" t="s">
        <v>37</v>
      </c>
      <c r="H7957" t="s">
        <v>43</v>
      </c>
      <c r="I7957" s="187">
        <v>23159</v>
      </c>
      <c r="J7957" s="187">
        <v>899</v>
      </c>
      <c r="K7957" s="187">
        <v>19552.116742486269</v>
      </c>
      <c r="L7957" s="187">
        <v>30437.127541442249</v>
      </c>
      <c r="M7957" s="187">
        <v>74047.2421875</v>
      </c>
      <c r="N7957" s="187">
        <v>53596.12890625</v>
      </c>
      <c r="O7957" t="s">
        <v>7778</v>
      </c>
    </row>
    <row r="7958" spans="1:15" hidden="1" x14ac:dyDescent="0.45">
      <c r="A7958" s="187">
        <v>2027</v>
      </c>
      <c r="B7958" t="s">
        <v>314</v>
      </c>
      <c r="C7958" t="s">
        <v>322</v>
      </c>
      <c r="D7958" t="s">
        <v>35</v>
      </c>
      <c r="E7958" t="s">
        <v>348</v>
      </c>
      <c r="F7958" t="s">
        <v>382</v>
      </c>
      <c r="G7958" t="s">
        <v>37</v>
      </c>
      <c r="H7958" t="s">
        <v>43</v>
      </c>
      <c r="I7958" s="187">
        <v>23578.62841264403</v>
      </c>
      <c r="J7958" s="187">
        <v>933</v>
      </c>
      <c r="K7958" s="187">
        <v>18080.681477987629</v>
      </c>
      <c r="L7958" s="187">
        <v>27475.540460160792</v>
      </c>
      <c r="M7958" s="187">
        <v>70067.8515625</v>
      </c>
      <c r="N7958" s="187">
        <v>51054.16796875</v>
      </c>
      <c r="O7958" t="s">
        <v>7779</v>
      </c>
    </row>
    <row r="7959" spans="1:15" hidden="1" x14ac:dyDescent="0.45">
      <c r="A7959" s="187">
        <v>2027</v>
      </c>
      <c r="B7959" t="s">
        <v>8570</v>
      </c>
      <c r="C7959" t="s">
        <v>322</v>
      </c>
      <c r="D7959" t="s">
        <v>35</v>
      </c>
      <c r="E7959" t="s">
        <v>348</v>
      </c>
      <c r="F7959" t="s">
        <v>382</v>
      </c>
      <c r="G7959" t="s">
        <v>37</v>
      </c>
      <c r="H7959" t="s">
        <v>43</v>
      </c>
      <c r="I7959" s="187">
        <v>13916.59870481333</v>
      </c>
      <c r="J7959" s="187">
        <v>1000</v>
      </c>
      <c r="K7959" s="187">
        <v>21346.642811182479</v>
      </c>
      <c r="L7959" s="187">
        <v>23886</v>
      </c>
      <c r="M7959" s="187">
        <v>60149.2421875</v>
      </c>
      <c r="N7959" s="187">
        <v>37802.59765625</v>
      </c>
      <c r="O7959" t="s">
        <v>9208</v>
      </c>
    </row>
    <row r="7960" spans="1:15" hidden="1" x14ac:dyDescent="0.45">
      <c r="A7960" s="187">
        <v>2027</v>
      </c>
      <c r="B7960" t="s">
        <v>313</v>
      </c>
      <c r="C7960" t="s">
        <v>322</v>
      </c>
      <c r="D7960" t="s">
        <v>35</v>
      </c>
      <c r="E7960" t="s">
        <v>348</v>
      </c>
      <c r="F7960" t="s">
        <v>382</v>
      </c>
      <c r="G7960" t="s">
        <v>37</v>
      </c>
      <c r="H7960" t="s">
        <v>43</v>
      </c>
      <c r="I7960" s="187">
        <v>14780.30353225135</v>
      </c>
      <c r="J7960" s="187">
        <v>939</v>
      </c>
      <c r="K7960" s="187">
        <v>17893.222863662751</v>
      </c>
      <c r="L7960" s="187">
        <v>29940.080459095479</v>
      </c>
      <c r="M7960" s="187">
        <v>63552.609375</v>
      </c>
      <c r="N7960" s="187">
        <v>44720.3828125</v>
      </c>
      <c r="O7960" t="s">
        <v>7780</v>
      </c>
    </row>
    <row r="7961" spans="1:15" hidden="1" x14ac:dyDescent="0.45">
      <c r="A7961" s="187">
        <v>2027</v>
      </c>
      <c r="B7961" t="s">
        <v>317</v>
      </c>
      <c r="C7961" t="s">
        <v>322</v>
      </c>
      <c r="D7961" t="s">
        <v>35</v>
      </c>
      <c r="E7961" t="s">
        <v>348</v>
      </c>
      <c r="F7961" t="s">
        <v>382</v>
      </c>
      <c r="G7961" t="s">
        <v>37</v>
      </c>
      <c r="H7961" t="s">
        <v>43</v>
      </c>
      <c r="I7961" s="187">
        <v>17072.819779900619</v>
      </c>
      <c r="J7961" s="187">
        <v>1000</v>
      </c>
      <c r="K7961" s="187">
        <v>22042.36064755113</v>
      </c>
      <c r="L7961" s="187">
        <v>30586</v>
      </c>
      <c r="M7961" s="187">
        <v>70701.1796875</v>
      </c>
      <c r="N7961" s="187">
        <v>47658.8203125</v>
      </c>
      <c r="O7961" t="s">
        <v>7781</v>
      </c>
    </row>
    <row r="7962" spans="1:15" hidden="1" x14ac:dyDescent="0.45">
      <c r="A7962" s="187">
        <v>2027</v>
      </c>
      <c r="B7962" t="s">
        <v>314</v>
      </c>
      <c r="C7962" t="s">
        <v>322</v>
      </c>
      <c r="D7962" t="s">
        <v>35</v>
      </c>
      <c r="E7962" t="s">
        <v>19</v>
      </c>
      <c r="F7962" t="s">
        <v>19</v>
      </c>
      <c r="G7962" t="s">
        <v>36</v>
      </c>
      <c r="H7962" t="s">
        <v>43</v>
      </c>
      <c r="I7962" s="187">
        <v>1042.5144916835152</v>
      </c>
      <c r="J7962" s="187">
        <v>0</v>
      </c>
      <c r="K7962" s="187">
        <v>130.02421598129769</v>
      </c>
      <c r="L7962" s="187">
        <v>3312.7499601652707</v>
      </c>
      <c r="M7962" s="187">
        <v>4485.28857421875</v>
      </c>
      <c r="N7962" s="187">
        <v>4355.2646484375</v>
      </c>
      <c r="O7962" t="s">
        <v>7785</v>
      </c>
    </row>
    <row r="7963" spans="1:15" hidden="1" x14ac:dyDescent="0.45">
      <c r="A7963" s="187">
        <v>2027</v>
      </c>
      <c r="B7963" t="s">
        <v>316</v>
      </c>
      <c r="C7963" t="s">
        <v>322</v>
      </c>
      <c r="D7963" t="s">
        <v>35</v>
      </c>
      <c r="E7963" t="s">
        <v>19</v>
      </c>
      <c r="F7963" t="s">
        <v>19</v>
      </c>
      <c r="G7963" t="s">
        <v>36</v>
      </c>
      <c r="H7963" t="s">
        <v>43</v>
      </c>
      <c r="I7963" s="187">
        <v>1005.6157894090967</v>
      </c>
      <c r="J7963" s="187">
        <v>0</v>
      </c>
      <c r="K7963" s="187">
        <v>128.93052055205723</v>
      </c>
      <c r="L7963" s="187">
        <v>4410.2211698973788</v>
      </c>
      <c r="M7963" s="187">
        <v>5544.767578125</v>
      </c>
      <c r="N7963" s="187">
        <v>5415.8369140625</v>
      </c>
      <c r="O7963" t="s">
        <v>7786</v>
      </c>
    </row>
    <row r="7964" spans="1:15" hidden="1" x14ac:dyDescent="0.45">
      <c r="A7964" s="187">
        <v>2027</v>
      </c>
      <c r="B7964" t="s">
        <v>8570</v>
      </c>
      <c r="C7964" t="s">
        <v>322</v>
      </c>
      <c r="D7964" t="s">
        <v>35</v>
      </c>
      <c r="E7964" t="s">
        <v>19</v>
      </c>
      <c r="F7964" t="s">
        <v>19</v>
      </c>
      <c r="G7964" t="s">
        <v>36</v>
      </c>
      <c r="H7964" t="s">
        <v>43</v>
      </c>
      <c r="I7964" s="187">
        <v>611.79096000000004</v>
      </c>
      <c r="J7964" s="187">
        <v>0</v>
      </c>
      <c r="K7964" s="187">
        <v>127.1752340625434</v>
      </c>
      <c r="L7964" s="187">
        <v>2791</v>
      </c>
      <c r="M7964" s="187">
        <v>3529.96630859375</v>
      </c>
      <c r="N7964" s="187">
        <v>3402.791015625</v>
      </c>
      <c r="O7964" t="s">
        <v>9209</v>
      </c>
    </row>
    <row r="7965" spans="1:15" hidden="1" x14ac:dyDescent="0.45">
      <c r="A7965" s="187">
        <v>2027</v>
      </c>
      <c r="B7965" t="s">
        <v>317</v>
      </c>
      <c r="C7965" t="s">
        <v>322</v>
      </c>
      <c r="D7965" t="s">
        <v>35</v>
      </c>
      <c r="E7965" t="s">
        <v>19</v>
      </c>
      <c r="F7965" t="s">
        <v>19</v>
      </c>
      <c r="G7965" t="s">
        <v>36</v>
      </c>
      <c r="H7965" t="s">
        <v>43</v>
      </c>
      <c r="I7965" s="187">
        <v>918.43273133365187</v>
      </c>
      <c r="J7965" s="187">
        <v>0</v>
      </c>
      <c r="K7965" s="187">
        <v>130.33178644508456</v>
      </c>
      <c r="L7965" s="187">
        <v>6202.1222092413673</v>
      </c>
      <c r="M7965" s="187">
        <v>7250.88671875</v>
      </c>
      <c r="N7965" s="187">
        <v>7120.55517578125</v>
      </c>
      <c r="O7965" t="s">
        <v>7787</v>
      </c>
    </row>
    <row r="7966" spans="1:15" hidden="1" x14ac:dyDescent="0.45">
      <c r="A7966" s="187">
        <v>2027</v>
      </c>
      <c r="B7966" t="s">
        <v>313</v>
      </c>
      <c r="C7966" t="s">
        <v>322</v>
      </c>
      <c r="D7966" t="s">
        <v>35</v>
      </c>
      <c r="E7966" t="s">
        <v>19</v>
      </c>
      <c r="F7966" t="s">
        <v>19</v>
      </c>
      <c r="G7966" t="s">
        <v>36</v>
      </c>
      <c r="H7966" t="s">
        <v>43</v>
      </c>
      <c r="I7966" s="187">
        <v>916.38728401702804</v>
      </c>
      <c r="J7966" s="187">
        <v>11.978918745320629</v>
      </c>
      <c r="K7966" s="187">
        <v>131.51407217537306</v>
      </c>
      <c r="L7966" s="187">
        <v>2908.4814713638484</v>
      </c>
      <c r="M7966" s="187">
        <v>3968.36181640625</v>
      </c>
      <c r="N7966" s="187">
        <v>3824.86865234375</v>
      </c>
      <c r="O7966" t="s">
        <v>7783</v>
      </c>
    </row>
    <row r="7967" spans="1:15" hidden="1" x14ac:dyDescent="0.45">
      <c r="A7967" s="187">
        <v>2027</v>
      </c>
      <c r="B7967" t="s">
        <v>315</v>
      </c>
      <c r="C7967" t="s">
        <v>322</v>
      </c>
      <c r="D7967" t="s">
        <v>35</v>
      </c>
      <c r="E7967" t="s">
        <v>19</v>
      </c>
      <c r="F7967" t="s">
        <v>19</v>
      </c>
      <c r="G7967" t="s">
        <v>36</v>
      </c>
      <c r="H7967" t="s">
        <v>43</v>
      </c>
      <c r="I7967" s="187">
        <v>1013.8537053855766</v>
      </c>
      <c r="J7967" s="187">
        <v>0</v>
      </c>
      <c r="K7967" s="187">
        <v>128.81003852259849</v>
      </c>
      <c r="L7967" s="187">
        <v>3427.8450418958155</v>
      </c>
      <c r="M7967" s="187">
        <v>4570.5087890625</v>
      </c>
      <c r="N7967" s="187">
        <v>4441.69873046875</v>
      </c>
      <c r="O7967" t="s">
        <v>7784</v>
      </c>
    </row>
    <row r="7968" spans="1:15" hidden="1" x14ac:dyDescent="0.45">
      <c r="A7968" s="187">
        <v>2027</v>
      </c>
      <c r="B7968" t="s">
        <v>316</v>
      </c>
      <c r="C7968" t="s">
        <v>322</v>
      </c>
      <c r="D7968" t="s">
        <v>35</v>
      </c>
      <c r="E7968" t="s">
        <v>19</v>
      </c>
      <c r="F7968" t="s">
        <v>19</v>
      </c>
      <c r="G7968" t="s">
        <v>37</v>
      </c>
      <c r="H7968" t="s">
        <v>43</v>
      </c>
      <c r="I7968" s="187">
        <v>1049</v>
      </c>
      <c r="J7968" s="187">
        <v>0</v>
      </c>
      <c r="K7968" s="187">
        <v>132.0563550378709</v>
      </c>
      <c r="L7968" s="187">
        <v>4626</v>
      </c>
      <c r="M7968" s="187">
        <v>5807.056640625</v>
      </c>
      <c r="N7968" s="187">
        <v>5675</v>
      </c>
      <c r="O7968" t="s">
        <v>7792</v>
      </c>
    </row>
    <row r="7969" spans="1:15" hidden="1" x14ac:dyDescent="0.45">
      <c r="A7969" s="187">
        <v>2027</v>
      </c>
      <c r="B7969" t="s">
        <v>313</v>
      </c>
      <c r="C7969" t="s">
        <v>322</v>
      </c>
      <c r="D7969" t="s">
        <v>35</v>
      </c>
      <c r="E7969" t="s">
        <v>19</v>
      </c>
      <c r="F7969" t="s">
        <v>19</v>
      </c>
      <c r="G7969" t="s">
        <v>37</v>
      </c>
      <c r="H7969" t="s">
        <v>43</v>
      </c>
      <c r="I7969" s="187">
        <v>930.60971245430096</v>
      </c>
      <c r="J7969" s="187">
        <v>12</v>
      </c>
      <c r="K7969" s="187">
        <v>133.23228417689299</v>
      </c>
      <c r="L7969" s="187">
        <v>2999</v>
      </c>
      <c r="M7969" s="187">
        <v>4074.842041015625</v>
      </c>
      <c r="N7969" s="187">
        <v>3929.60986328125</v>
      </c>
      <c r="O7969" t="s">
        <v>7790</v>
      </c>
    </row>
    <row r="7970" spans="1:15" hidden="1" x14ac:dyDescent="0.45">
      <c r="A7970" s="187">
        <v>2027</v>
      </c>
      <c r="B7970" t="s">
        <v>314</v>
      </c>
      <c r="C7970" t="s">
        <v>322</v>
      </c>
      <c r="D7970" t="s">
        <v>35</v>
      </c>
      <c r="E7970" t="s">
        <v>19</v>
      </c>
      <c r="F7970" t="s">
        <v>19</v>
      </c>
      <c r="G7970" t="s">
        <v>37</v>
      </c>
      <c r="H7970" t="s">
        <v>43</v>
      </c>
      <c r="I7970" s="187">
        <v>1070.1322384581481</v>
      </c>
      <c r="J7970" s="187">
        <v>0</v>
      </c>
      <c r="K7970" s="187">
        <v>133.64934972359819</v>
      </c>
      <c r="L7970" s="187">
        <v>3713</v>
      </c>
      <c r="M7970" s="187">
        <v>4916.78125</v>
      </c>
      <c r="N7970" s="187">
        <v>4783.13232421875</v>
      </c>
      <c r="O7970" t="s">
        <v>7788</v>
      </c>
    </row>
    <row r="7971" spans="1:15" hidden="1" x14ac:dyDescent="0.45">
      <c r="A7971" s="187">
        <v>2027</v>
      </c>
      <c r="B7971" t="s">
        <v>315</v>
      </c>
      <c r="C7971" t="s">
        <v>322</v>
      </c>
      <c r="D7971" t="s">
        <v>35</v>
      </c>
      <c r="E7971" t="s">
        <v>19</v>
      </c>
      <c r="F7971" t="s">
        <v>19</v>
      </c>
      <c r="G7971" t="s">
        <v>37</v>
      </c>
      <c r="H7971" t="s">
        <v>43</v>
      </c>
      <c r="I7971" s="187">
        <v>1048.8407708106911</v>
      </c>
      <c r="J7971" s="187">
        <v>0</v>
      </c>
      <c r="K7971" s="187">
        <v>132.89735184282429</v>
      </c>
      <c r="L7971" s="187">
        <v>3545</v>
      </c>
      <c r="M7971" s="187">
        <v>4726.73828125</v>
      </c>
      <c r="N7971" s="187">
        <v>4593.8408203125</v>
      </c>
      <c r="O7971" t="s">
        <v>7791</v>
      </c>
    </row>
    <row r="7972" spans="1:15" hidden="1" x14ac:dyDescent="0.45">
      <c r="A7972" s="187">
        <v>2027</v>
      </c>
      <c r="B7972" t="s">
        <v>317</v>
      </c>
      <c r="C7972" t="s">
        <v>322</v>
      </c>
      <c r="D7972" t="s">
        <v>35</v>
      </c>
      <c r="E7972" t="s">
        <v>19</v>
      </c>
      <c r="F7972" t="s">
        <v>19</v>
      </c>
      <c r="G7972" t="s">
        <v>37</v>
      </c>
      <c r="H7972" t="s">
        <v>43</v>
      </c>
      <c r="I7972" s="187">
        <v>957.2380563744</v>
      </c>
      <c r="J7972" s="187">
        <v>0</v>
      </c>
      <c r="K7972" s="187">
        <v>135.0105637030735</v>
      </c>
      <c r="L7972" s="187">
        <v>6390</v>
      </c>
      <c r="M7972" s="187">
        <v>7482.24853515625</v>
      </c>
      <c r="N7972" s="187">
        <v>7347.23828125</v>
      </c>
      <c r="O7972" t="s">
        <v>7789</v>
      </c>
    </row>
    <row r="7973" spans="1:15" hidden="1" x14ac:dyDescent="0.45">
      <c r="A7973" s="187">
        <v>2027</v>
      </c>
      <c r="B7973" t="s">
        <v>8570</v>
      </c>
      <c r="C7973" t="s">
        <v>322</v>
      </c>
      <c r="D7973" t="s">
        <v>35</v>
      </c>
      <c r="E7973" t="s">
        <v>19</v>
      </c>
      <c r="F7973" t="s">
        <v>19</v>
      </c>
      <c r="G7973" t="s">
        <v>37</v>
      </c>
      <c r="H7973" t="s">
        <v>43</v>
      </c>
      <c r="I7973" s="187">
        <v>675.46665450729915</v>
      </c>
      <c r="J7973" s="187">
        <v>0</v>
      </c>
      <c r="K7973" s="187">
        <v>141.0306864365908</v>
      </c>
      <c r="L7973" s="187">
        <v>3351</v>
      </c>
      <c r="M7973" s="187">
        <v>4167.49755859375</v>
      </c>
      <c r="N7973" s="187">
        <v>4026.466796875</v>
      </c>
      <c r="O7973" t="s">
        <v>9210</v>
      </c>
    </row>
    <row r="7974" spans="1:15" hidden="1" x14ac:dyDescent="0.45">
      <c r="A7974" s="187">
        <v>2027</v>
      </c>
      <c r="B7974" t="s">
        <v>8570</v>
      </c>
      <c r="C7974" t="s">
        <v>322</v>
      </c>
      <c r="D7974" t="s">
        <v>35</v>
      </c>
      <c r="E7974" t="s">
        <v>349</v>
      </c>
      <c r="F7974" t="s">
        <v>349</v>
      </c>
      <c r="G7974" t="s">
        <v>36</v>
      </c>
      <c r="H7974" t="s">
        <v>43</v>
      </c>
      <c r="I7974" s="187">
        <v>3344.4572480000002</v>
      </c>
      <c r="J7974" s="187">
        <v>495</v>
      </c>
      <c r="K7974" s="187">
        <v>4722.2196321019637</v>
      </c>
      <c r="L7974" s="187">
        <v>2938</v>
      </c>
      <c r="M7974" s="187">
        <v>11499.6767578125</v>
      </c>
      <c r="N7974" s="187">
        <v>6282.45703125</v>
      </c>
      <c r="O7974" t="s">
        <v>9211</v>
      </c>
    </row>
    <row r="7975" spans="1:15" hidden="1" x14ac:dyDescent="0.45">
      <c r="A7975" s="187">
        <v>2027</v>
      </c>
      <c r="B7975" t="s">
        <v>315</v>
      </c>
      <c r="C7975" t="s">
        <v>322</v>
      </c>
      <c r="D7975" t="s">
        <v>35</v>
      </c>
      <c r="E7975" t="s">
        <v>349</v>
      </c>
      <c r="F7975" t="s">
        <v>349</v>
      </c>
      <c r="G7975" t="s">
        <v>36</v>
      </c>
      <c r="H7975" t="s">
        <v>43</v>
      </c>
      <c r="I7975" s="187">
        <v>4701.1093601677576</v>
      </c>
      <c r="J7975" s="187">
        <v>430.46302575030069</v>
      </c>
      <c r="K7975" s="187">
        <v>4749.0568992972057</v>
      </c>
      <c r="L7975" s="187">
        <v>2489.8887647346342</v>
      </c>
      <c r="M7975" s="187">
        <v>12370.517578125</v>
      </c>
      <c r="N7975" s="187">
        <v>7190.998046875</v>
      </c>
      <c r="O7975" t="s">
        <v>7794</v>
      </c>
    </row>
    <row r="7976" spans="1:15" hidden="1" x14ac:dyDescent="0.45">
      <c r="A7976" s="187">
        <v>2027</v>
      </c>
      <c r="B7976" t="s">
        <v>316</v>
      </c>
      <c r="C7976" t="s">
        <v>322</v>
      </c>
      <c r="D7976" t="s">
        <v>35</v>
      </c>
      <c r="E7976" t="s">
        <v>349</v>
      </c>
      <c r="F7976" t="s">
        <v>349</v>
      </c>
      <c r="G7976" t="s">
        <v>36</v>
      </c>
      <c r="H7976" t="s">
        <v>43</v>
      </c>
      <c r="I7976" s="187">
        <v>4662.9112022879899</v>
      </c>
      <c r="J7976" s="187">
        <v>545.21965012467604</v>
      </c>
      <c r="K7976" s="187">
        <v>4914.7015711015347</v>
      </c>
      <c r="L7976" s="187">
        <v>2339.4879532622463</v>
      </c>
      <c r="M7976" s="187">
        <v>12462.3203125</v>
      </c>
      <c r="N7976" s="187">
        <v>7002.39892578125</v>
      </c>
      <c r="O7976" t="s">
        <v>7795</v>
      </c>
    </row>
    <row r="7977" spans="1:15" hidden="1" x14ac:dyDescent="0.45">
      <c r="A7977" s="187">
        <v>2027</v>
      </c>
      <c r="B7977" t="s">
        <v>317</v>
      </c>
      <c r="C7977" t="s">
        <v>322</v>
      </c>
      <c r="D7977" t="s">
        <v>35</v>
      </c>
      <c r="E7977" t="s">
        <v>349</v>
      </c>
      <c r="F7977" t="s">
        <v>349</v>
      </c>
      <c r="G7977" t="s">
        <v>36</v>
      </c>
      <c r="H7977" t="s">
        <v>43</v>
      </c>
      <c r="I7977" s="187">
        <v>5316.5553230712167</v>
      </c>
      <c r="J7977" s="187">
        <v>534.8520023648914</v>
      </c>
      <c r="K7977" s="187">
        <v>6684.8386717170715</v>
      </c>
      <c r="L7977" s="187">
        <v>2695.8701937381902</v>
      </c>
      <c r="M7977" s="187">
        <v>15232.1162109375</v>
      </c>
      <c r="N7977" s="187">
        <v>8012.42529296875</v>
      </c>
      <c r="O7977" t="s">
        <v>7793</v>
      </c>
    </row>
    <row r="7978" spans="1:15" hidden="1" x14ac:dyDescent="0.45">
      <c r="A7978" s="187">
        <v>2027</v>
      </c>
      <c r="B7978" t="s">
        <v>313</v>
      </c>
      <c r="C7978" t="s">
        <v>322</v>
      </c>
      <c r="D7978" t="s">
        <v>35</v>
      </c>
      <c r="E7978" t="s">
        <v>349</v>
      </c>
      <c r="F7978" t="s">
        <v>349</v>
      </c>
      <c r="G7978" t="s">
        <v>36</v>
      </c>
      <c r="H7978" t="s">
        <v>43</v>
      </c>
      <c r="I7978" s="187">
        <v>4710.7097965973371</v>
      </c>
      <c r="J7978" s="187">
        <v>539.05134353942822</v>
      </c>
      <c r="K7978" s="187">
        <v>4649.199198843271</v>
      </c>
      <c r="L7978" s="187">
        <v>2031.6246192063784</v>
      </c>
      <c r="M7978" s="187">
        <v>11930.5849609375</v>
      </c>
      <c r="N7978" s="187">
        <v>6742.33447265625</v>
      </c>
      <c r="O7978" t="s">
        <v>7796</v>
      </c>
    </row>
    <row r="7979" spans="1:15" hidden="1" x14ac:dyDescent="0.45">
      <c r="A7979" s="187">
        <v>2027</v>
      </c>
      <c r="B7979" t="s">
        <v>314</v>
      </c>
      <c r="C7979" t="s">
        <v>322</v>
      </c>
      <c r="D7979" t="s">
        <v>35</v>
      </c>
      <c r="E7979" t="s">
        <v>349</v>
      </c>
      <c r="F7979" t="s">
        <v>349</v>
      </c>
      <c r="G7979" t="s">
        <v>36</v>
      </c>
      <c r="H7979" t="s">
        <v>43</v>
      </c>
      <c r="I7979" s="187">
        <v>4836.9177952131813</v>
      </c>
      <c r="J7979" s="187">
        <v>524.16929749450492</v>
      </c>
      <c r="K7979" s="187">
        <v>4889.3005935447354</v>
      </c>
      <c r="L7979" s="187">
        <v>2010.480461056701</v>
      </c>
      <c r="M7979" s="187">
        <v>12260.8681640625</v>
      </c>
      <c r="N7979" s="187">
        <v>6847.3984375</v>
      </c>
      <c r="O7979" t="s">
        <v>7797</v>
      </c>
    </row>
    <row r="7980" spans="1:15" hidden="1" x14ac:dyDescent="0.45">
      <c r="A7980" s="187">
        <v>2027</v>
      </c>
      <c r="B7980" t="s">
        <v>316</v>
      </c>
      <c r="C7980" t="s">
        <v>322</v>
      </c>
      <c r="D7980" t="s">
        <v>35</v>
      </c>
      <c r="E7980" t="s">
        <v>349</v>
      </c>
      <c r="F7980" t="s">
        <v>349</v>
      </c>
      <c r="G7980" t="s">
        <v>37</v>
      </c>
      <c r="H7980" t="s">
        <v>43</v>
      </c>
      <c r="I7980" s="187">
        <v>4863</v>
      </c>
      <c r="J7980" s="187">
        <v>495</v>
      </c>
      <c r="K7980" s="187">
        <v>5033.8552330324146</v>
      </c>
      <c r="L7980" s="187">
        <v>2454</v>
      </c>
      <c r="M7980" s="187">
        <v>12845.85546875</v>
      </c>
      <c r="N7980" s="187">
        <v>7317</v>
      </c>
      <c r="O7980" t="s">
        <v>7802</v>
      </c>
    </row>
    <row r="7981" spans="1:15" hidden="1" x14ac:dyDescent="0.45">
      <c r="A7981" s="187">
        <v>2027</v>
      </c>
      <c r="B7981" t="s">
        <v>313</v>
      </c>
      <c r="C7981" t="s">
        <v>322</v>
      </c>
      <c r="D7981" t="s">
        <v>35</v>
      </c>
      <c r="E7981" t="s">
        <v>349</v>
      </c>
      <c r="F7981" t="s">
        <v>349</v>
      </c>
      <c r="G7981" t="s">
        <v>37</v>
      </c>
      <c r="H7981" t="s">
        <v>43</v>
      </c>
      <c r="I7981" s="187">
        <v>4783.8205153288091</v>
      </c>
      <c r="J7981" s="187">
        <v>549</v>
      </c>
      <c r="K7981" s="187">
        <v>4709.9403022763454</v>
      </c>
      <c r="L7981" s="187">
        <v>2095</v>
      </c>
      <c r="M7981" s="187">
        <v>12137.7607421875</v>
      </c>
      <c r="N7981" s="187">
        <v>6878.8203125</v>
      </c>
      <c r="O7981" t="s">
        <v>7801</v>
      </c>
    </row>
    <row r="7982" spans="1:15" hidden="1" x14ac:dyDescent="0.45">
      <c r="A7982" s="187">
        <v>2027</v>
      </c>
      <c r="B7982" t="s">
        <v>8570</v>
      </c>
      <c r="C7982" t="s">
        <v>322</v>
      </c>
      <c r="D7982" t="s">
        <v>35</v>
      </c>
      <c r="E7982" t="s">
        <v>349</v>
      </c>
      <c r="F7982" t="s">
        <v>349</v>
      </c>
      <c r="G7982" t="s">
        <v>37</v>
      </c>
      <c r="H7982" t="s">
        <v>43</v>
      </c>
      <c r="I7982" s="187">
        <v>3692.5510446399012</v>
      </c>
      <c r="J7982" s="187">
        <v>495</v>
      </c>
      <c r="K7982" s="187">
        <v>5236.6947159866413</v>
      </c>
      <c r="L7982" s="187">
        <v>3527</v>
      </c>
      <c r="M7982" s="187">
        <v>12951.2451171875</v>
      </c>
      <c r="N7982" s="187">
        <v>7219.55078125</v>
      </c>
      <c r="O7982" t="s">
        <v>9212</v>
      </c>
    </row>
    <row r="7983" spans="1:15" hidden="1" x14ac:dyDescent="0.45">
      <c r="A7983" s="187">
        <v>2027</v>
      </c>
      <c r="B7983" t="s">
        <v>315</v>
      </c>
      <c r="C7983" t="s">
        <v>322</v>
      </c>
      <c r="D7983" t="s">
        <v>35</v>
      </c>
      <c r="E7983" t="s">
        <v>349</v>
      </c>
      <c r="F7983" t="s">
        <v>349</v>
      </c>
      <c r="G7983" t="s">
        <v>37</v>
      </c>
      <c r="H7983" t="s">
        <v>43</v>
      </c>
      <c r="I7983" s="187">
        <v>4863.3398869992916</v>
      </c>
      <c r="J7983" s="187">
        <v>437</v>
      </c>
      <c r="K7983" s="187">
        <v>4899.750771806237</v>
      </c>
      <c r="L7983" s="187">
        <v>2575</v>
      </c>
      <c r="M7983" s="187">
        <v>12775.0908203125</v>
      </c>
      <c r="N7983" s="187">
        <v>7438.33984375</v>
      </c>
      <c r="O7983" t="s">
        <v>7799</v>
      </c>
    </row>
    <row r="7984" spans="1:15" hidden="1" x14ac:dyDescent="0.45">
      <c r="A7984" s="187">
        <v>2027</v>
      </c>
      <c r="B7984" t="s">
        <v>317</v>
      </c>
      <c r="C7984" t="s">
        <v>322</v>
      </c>
      <c r="D7984" t="s">
        <v>35</v>
      </c>
      <c r="E7984" t="s">
        <v>349</v>
      </c>
      <c r="F7984" t="s">
        <v>349</v>
      </c>
      <c r="G7984" t="s">
        <v>37</v>
      </c>
      <c r="H7984" t="s">
        <v>43</v>
      </c>
      <c r="I7984" s="187">
        <v>5541.1887125077137</v>
      </c>
      <c r="J7984" s="187">
        <v>495</v>
      </c>
      <c r="K7984" s="187">
        <v>6924.8175134383364</v>
      </c>
      <c r="L7984" s="187">
        <v>2778</v>
      </c>
      <c r="M7984" s="187">
        <v>15739.005859375</v>
      </c>
      <c r="N7984" s="187">
        <v>8319.1884765625</v>
      </c>
      <c r="O7984" t="s">
        <v>7800</v>
      </c>
    </row>
    <row r="7985" spans="1:15" hidden="1" x14ac:dyDescent="0.45">
      <c r="A7985" s="187">
        <v>2027</v>
      </c>
      <c r="B7985" t="s">
        <v>314</v>
      </c>
      <c r="C7985" t="s">
        <v>322</v>
      </c>
      <c r="D7985" t="s">
        <v>35</v>
      </c>
      <c r="E7985" t="s">
        <v>349</v>
      </c>
      <c r="F7985" t="s">
        <v>349</v>
      </c>
      <c r="G7985" t="s">
        <v>37</v>
      </c>
      <c r="H7985" t="s">
        <v>43</v>
      </c>
      <c r="I7985" s="187">
        <v>4965.0548829021891</v>
      </c>
      <c r="J7985" s="187">
        <v>538</v>
      </c>
      <c r="K7985" s="187">
        <v>5025.6164976564623</v>
      </c>
      <c r="L7985" s="187">
        <v>2253</v>
      </c>
      <c r="M7985" s="187">
        <v>12781.6708984375</v>
      </c>
      <c r="N7985" s="187">
        <v>7218.0546875</v>
      </c>
      <c r="O7985" t="s">
        <v>7798</v>
      </c>
    </row>
    <row r="7986" spans="1:15" hidden="1" x14ac:dyDescent="0.45">
      <c r="A7986" s="187">
        <v>2027</v>
      </c>
      <c r="B7986" t="s">
        <v>8570</v>
      </c>
      <c r="C7986" t="s">
        <v>322</v>
      </c>
      <c r="D7986" t="s">
        <v>35</v>
      </c>
      <c r="E7986" t="s">
        <v>46</v>
      </c>
      <c r="F7986" t="s">
        <v>46</v>
      </c>
      <c r="G7986" t="s">
        <v>37</v>
      </c>
      <c r="H7986" t="s">
        <v>43</v>
      </c>
      <c r="I7986" s="187"/>
      <c r="J7986" s="187">
        <v>1000</v>
      </c>
      <c r="K7986" s="187">
        <v>20567.06807528856</v>
      </c>
      <c r="L7986" s="187">
        <v>5350</v>
      </c>
      <c r="M7986" s="187">
        <v>26917.068359375</v>
      </c>
      <c r="N7986" s="187">
        <v>5350</v>
      </c>
      <c r="O7986" t="s">
        <v>9213</v>
      </c>
    </row>
    <row r="7987" spans="1:15" hidden="1" x14ac:dyDescent="0.45">
      <c r="A7987" s="187">
        <v>2027</v>
      </c>
      <c r="B7987" t="s">
        <v>315</v>
      </c>
      <c r="C7987" t="s">
        <v>322</v>
      </c>
      <c r="D7987" t="s">
        <v>35</v>
      </c>
      <c r="E7987" t="s">
        <v>46</v>
      </c>
      <c r="F7987" t="s">
        <v>46</v>
      </c>
      <c r="G7987" t="s">
        <v>37</v>
      </c>
      <c r="H7987" t="s">
        <v>43</v>
      </c>
      <c r="I7987" s="187">
        <v>20777.676966080038</v>
      </c>
      <c r="J7987" s="187">
        <v>976</v>
      </c>
      <c r="K7987" s="187">
        <v>18387.20195692113</v>
      </c>
      <c r="L7987" s="187">
        <v>23459</v>
      </c>
      <c r="M7987" s="187">
        <v>63599.87890625</v>
      </c>
      <c r="N7987" s="187">
        <v>44236.6796875</v>
      </c>
      <c r="O7987" t="s">
        <v>7806</v>
      </c>
    </row>
    <row r="7988" spans="1:15" hidden="1" x14ac:dyDescent="0.45">
      <c r="A7988" s="187">
        <v>2027</v>
      </c>
      <c r="B7988" t="s">
        <v>317</v>
      </c>
      <c r="C7988" t="s">
        <v>322</v>
      </c>
      <c r="D7988" t="s">
        <v>35</v>
      </c>
      <c r="E7988" t="s">
        <v>46</v>
      </c>
      <c r="F7988" t="s">
        <v>46</v>
      </c>
      <c r="G7988" t="s">
        <v>37</v>
      </c>
      <c r="H7988" t="s">
        <v>43</v>
      </c>
      <c r="I7988" s="187">
        <v>14873.579785763801</v>
      </c>
      <c r="J7988" s="187">
        <v>1000</v>
      </c>
      <c r="K7988" s="187">
        <v>21057.172935596442</v>
      </c>
      <c r="L7988" s="187">
        <v>8206</v>
      </c>
      <c r="M7988" s="187">
        <v>45136.75390625</v>
      </c>
      <c r="N7988" s="187">
        <v>23079.580078125</v>
      </c>
      <c r="O7988" t="s">
        <v>7805</v>
      </c>
    </row>
    <row r="7989" spans="1:15" hidden="1" x14ac:dyDescent="0.45">
      <c r="A7989" s="187">
        <v>2027</v>
      </c>
      <c r="B7989" t="s">
        <v>316</v>
      </c>
      <c r="C7989" t="s">
        <v>322</v>
      </c>
      <c r="D7989" t="s">
        <v>35</v>
      </c>
      <c r="E7989" t="s">
        <v>46</v>
      </c>
      <c r="F7989" t="s">
        <v>46</v>
      </c>
      <c r="G7989" t="s">
        <v>37</v>
      </c>
      <c r="H7989" t="s">
        <v>43</v>
      </c>
      <c r="I7989" s="187">
        <v>20835</v>
      </c>
      <c r="J7989" s="187"/>
      <c r="K7989" s="187">
        <v>18608.51658527305</v>
      </c>
      <c r="L7989" s="187">
        <v>22606</v>
      </c>
      <c r="M7989" s="187">
        <v>62049.515625</v>
      </c>
      <c r="N7989" s="187">
        <v>43441</v>
      </c>
      <c r="O7989" t="s">
        <v>7803</v>
      </c>
    </row>
    <row r="7990" spans="1:15" hidden="1" x14ac:dyDescent="0.45">
      <c r="A7990" s="187">
        <v>2027</v>
      </c>
      <c r="B7990" t="s">
        <v>314</v>
      </c>
      <c r="C7990" t="s">
        <v>322</v>
      </c>
      <c r="D7990" t="s">
        <v>35</v>
      </c>
      <c r="E7990" t="s">
        <v>46</v>
      </c>
      <c r="F7990" t="s">
        <v>46</v>
      </c>
      <c r="G7990" t="s">
        <v>37</v>
      </c>
      <c r="H7990" t="s">
        <v>43</v>
      </c>
      <c r="I7990" s="187">
        <v>21177.941595874439</v>
      </c>
      <c r="J7990" s="187">
        <v>933</v>
      </c>
      <c r="K7990" s="187">
        <v>17784.90172300861</v>
      </c>
      <c r="L7990" s="187">
        <v>19543</v>
      </c>
      <c r="M7990" s="187">
        <v>59438.84375</v>
      </c>
      <c r="N7990" s="187">
        <v>40720.94140625</v>
      </c>
      <c r="O7990" t="s">
        <v>7807</v>
      </c>
    </row>
    <row r="7991" spans="1:15" hidden="1" x14ac:dyDescent="0.45">
      <c r="A7991" s="187">
        <v>2027</v>
      </c>
      <c r="B7991" t="s">
        <v>313</v>
      </c>
      <c r="C7991" t="s">
        <v>322</v>
      </c>
      <c r="D7991" t="s">
        <v>35</v>
      </c>
      <c r="E7991" t="s">
        <v>46</v>
      </c>
      <c r="F7991" t="s">
        <v>46</v>
      </c>
      <c r="G7991" t="s">
        <v>37</v>
      </c>
      <c r="H7991" t="s">
        <v>43</v>
      </c>
      <c r="I7991" s="187">
        <v>13538.278520328051</v>
      </c>
      <c r="J7991" s="187">
        <v>939</v>
      </c>
      <c r="K7991" s="187">
        <v>17738.32753363184</v>
      </c>
      <c r="L7991" s="187"/>
      <c r="M7991" s="187">
        <v>32215.60546875</v>
      </c>
      <c r="N7991" s="187">
        <v>13538.2783203125</v>
      </c>
      <c r="O7991" t="s">
        <v>7804</v>
      </c>
    </row>
    <row r="7992" spans="1:15" hidden="1" x14ac:dyDescent="0.45">
      <c r="A7992" s="187">
        <v>2027</v>
      </c>
      <c r="B7992" t="s">
        <v>316</v>
      </c>
      <c r="C7992" t="s">
        <v>322</v>
      </c>
      <c r="D7992" t="s">
        <v>35</v>
      </c>
      <c r="E7992" t="s">
        <v>350</v>
      </c>
      <c r="F7992" t="s">
        <v>350</v>
      </c>
      <c r="G7992" t="s">
        <v>37</v>
      </c>
      <c r="H7992" t="s">
        <v>43</v>
      </c>
      <c r="I7992" s="187">
        <v>21038</v>
      </c>
      <c r="J7992" s="187">
        <v>899</v>
      </c>
      <c r="K7992" s="187">
        <v>18617.2184259565</v>
      </c>
      <c r="L7992" s="187">
        <v>22412.127541442249</v>
      </c>
      <c r="M7992" s="187">
        <v>62966.34765625</v>
      </c>
      <c r="N7992" s="187">
        <v>43450.12890625</v>
      </c>
      <c r="O7992" t="s">
        <v>7811</v>
      </c>
    </row>
    <row r="7993" spans="1:15" hidden="1" x14ac:dyDescent="0.45">
      <c r="A7993" s="187">
        <v>2027</v>
      </c>
      <c r="B7993" t="s">
        <v>317</v>
      </c>
      <c r="C7993" t="s">
        <v>322</v>
      </c>
      <c r="D7993" t="s">
        <v>35</v>
      </c>
      <c r="E7993" t="s">
        <v>350</v>
      </c>
      <c r="F7993" t="s">
        <v>350</v>
      </c>
      <c r="G7993" t="s">
        <v>37</v>
      </c>
      <c r="H7993" t="s">
        <v>43</v>
      </c>
      <c r="I7993" s="187">
        <v>14947.75196756854</v>
      </c>
      <c r="J7993" s="187">
        <v>1000</v>
      </c>
      <c r="K7993" s="187">
        <v>21127.881366944399</v>
      </c>
      <c r="L7993" s="187">
        <v>7978</v>
      </c>
      <c r="M7993" s="187">
        <v>45053.6328125</v>
      </c>
      <c r="N7993" s="187">
        <v>22925.751953125</v>
      </c>
      <c r="O7993" t="s">
        <v>7808</v>
      </c>
    </row>
    <row r="7994" spans="1:15" hidden="1" x14ac:dyDescent="0.45">
      <c r="A7994" s="187">
        <v>2027</v>
      </c>
      <c r="B7994" t="s">
        <v>8570</v>
      </c>
      <c r="C7994" t="s">
        <v>322</v>
      </c>
      <c r="D7994" t="s">
        <v>35</v>
      </c>
      <c r="E7994" t="s">
        <v>350</v>
      </c>
      <c r="F7994" t="s">
        <v>350</v>
      </c>
      <c r="G7994" t="s">
        <v>37</v>
      </c>
      <c r="H7994" t="s">
        <v>43</v>
      </c>
      <c r="I7994" s="187">
        <v>12291.73150571619</v>
      </c>
      <c r="J7994" s="187">
        <v>1000</v>
      </c>
      <c r="K7994" s="187">
        <v>20752.796529393148</v>
      </c>
      <c r="L7994" s="187">
        <v>5511</v>
      </c>
      <c r="M7994" s="187">
        <v>39555.52734375</v>
      </c>
      <c r="N7994" s="187">
        <v>17802.73046875</v>
      </c>
      <c r="O7994" t="s">
        <v>9214</v>
      </c>
    </row>
    <row r="7995" spans="1:15" hidden="1" x14ac:dyDescent="0.45">
      <c r="A7995" s="187">
        <v>2027</v>
      </c>
      <c r="B7995" t="s">
        <v>314</v>
      </c>
      <c r="C7995" t="s">
        <v>322</v>
      </c>
      <c r="D7995" t="s">
        <v>35</v>
      </c>
      <c r="E7995" t="s">
        <v>350</v>
      </c>
      <c r="F7995" t="s">
        <v>350</v>
      </c>
      <c r="G7995" t="s">
        <v>37</v>
      </c>
      <c r="H7995" t="s">
        <v>43</v>
      </c>
      <c r="I7995" s="187">
        <v>21791.310811015541</v>
      </c>
      <c r="J7995" s="187">
        <v>933</v>
      </c>
      <c r="K7995" s="187">
        <v>17784.53624977146</v>
      </c>
      <c r="L7995" s="187">
        <v>18535.540460160792</v>
      </c>
      <c r="M7995" s="187">
        <v>59044.38671875</v>
      </c>
      <c r="N7995" s="187">
        <v>40326.8515625</v>
      </c>
      <c r="O7995" t="s">
        <v>7812</v>
      </c>
    </row>
    <row r="7996" spans="1:15" hidden="1" x14ac:dyDescent="0.45">
      <c r="A7996" s="187">
        <v>2027</v>
      </c>
      <c r="B7996" t="s">
        <v>315</v>
      </c>
      <c r="C7996" t="s">
        <v>322</v>
      </c>
      <c r="D7996" t="s">
        <v>35</v>
      </c>
      <c r="E7996" t="s">
        <v>350</v>
      </c>
      <c r="F7996" t="s">
        <v>350</v>
      </c>
      <c r="G7996" t="s">
        <v>37</v>
      </c>
      <c r="H7996" t="s">
        <v>43</v>
      </c>
      <c r="I7996" s="187">
        <v>20994.555348856829</v>
      </c>
      <c r="J7996" s="187">
        <v>976</v>
      </c>
      <c r="K7996" s="187">
        <v>18384.802902011339</v>
      </c>
      <c r="L7996" s="187">
        <v>22844.56179747685</v>
      </c>
      <c r="M7996" s="187">
        <v>63199.921875</v>
      </c>
      <c r="N7996" s="187">
        <v>43839.1171875</v>
      </c>
      <c r="O7996" t="s">
        <v>7810</v>
      </c>
    </row>
    <row r="7997" spans="1:15" hidden="1" x14ac:dyDescent="0.45">
      <c r="A7997" s="187">
        <v>2027</v>
      </c>
      <c r="B7997" t="s">
        <v>313</v>
      </c>
      <c r="C7997" t="s">
        <v>322</v>
      </c>
      <c r="D7997" t="s">
        <v>35</v>
      </c>
      <c r="E7997" t="s">
        <v>350</v>
      </c>
      <c r="F7997" t="s">
        <v>350</v>
      </c>
      <c r="G7997" t="s">
        <v>37</v>
      </c>
      <c r="H7997" t="s">
        <v>43</v>
      </c>
      <c r="I7997" s="187">
        <v>13625.0263883441</v>
      </c>
      <c r="J7997" s="187">
        <v>939</v>
      </c>
      <c r="K7997" s="187">
        <v>17763.56256797172</v>
      </c>
      <c r="L7997" s="187">
        <v>24834.080459095479</v>
      </c>
      <c r="M7997" s="187">
        <v>57161.671875</v>
      </c>
      <c r="N7997" s="187">
        <v>38459.10546875</v>
      </c>
      <c r="O7997" t="s">
        <v>7809</v>
      </c>
    </row>
    <row r="7998" spans="1:15" hidden="1" x14ac:dyDescent="0.45">
      <c r="A7998" s="187">
        <v>2027</v>
      </c>
      <c r="B7998" t="s">
        <v>315</v>
      </c>
      <c r="C7998" t="s">
        <v>322</v>
      </c>
      <c r="D7998" t="s">
        <v>35</v>
      </c>
      <c r="E7998" t="s">
        <v>16</v>
      </c>
      <c r="F7998" t="s">
        <v>16</v>
      </c>
      <c r="G7998" t="s">
        <v>36</v>
      </c>
      <c r="H7998" t="s">
        <v>43</v>
      </c>
      <c r="I7998" s="187">
        <v>12993.686785194381</v>
      </c>
      <c r="J7998" s="187">
        <v>249.2154359607004</v>
      </c>
      <c r="K7998" s="187">
        <v>7743.9742946092483</v>
      </c>
      <c r="L7998" s="187">
        <v>17254.770547969947</v>
      </c>
      <c r="M7998" s="187">
        <v>38241.6484375</v>
      </c>
      <c r="N7998" s="187">
        <v>30248.45703125</v>
      </c>
      <c r="O7998" t="s">
        <v>7813</v>
      </c>
    </row>
    <row r="7999" spans="1:15" hidden="1" x14ac:dyDescent="0.45">
      <c r="A7999" s="187">
        <v>2027</v>
      </c>
      <c r="B7999" t="s">
        <v>317</v>
      </c>
      <c r="C7999" t="s">
        <v>322</v>
      </c>
      <c r="D7999" t="s">
        <v>35</v>
      </c>
      <c r="E7999" t="s">
        <v>16</v>
      </c>
      <c r="F7999" t="s">
        <v>16</v>
      </c>
      <c r="G7999" t="s">
        <v>36</v>
      </c>
      <c r="H7999" t="s">
        <v>43</v>
      </c>
      <c r="I7999" s="187">
        <v>5351.7615509359739</v>
      </c>
      <c r="J7999" s="187">
        <v>237.71200105106286</v>
      </c>
      <c r="K7999" s="187">
        <v>7991.2049936645353</v>
      </c>
      <c r="L7999" s="187">
        <v>13255.685585883813</v>
      </c>
      <c r="M7999" s="187">
        <v>26836.365234375</v>
      </c>
      <c r="N7999" s="187">
        <v>18607.447265625</v>
      </c>
      <c r="O7999" t="s">
        <v>7817</v>
      </c>
    </row>
    <row r="8000" spans="1:15" hidden="1" x14ac:dyDescent="0.45">
      <c r="A8000" s="187">
        <v>2027</v>
      </c>
      <c r="B8000" t="s">
        <v>314</v>
      </c>
      <c r="C8000" t="s">
        <v>322</v>
      </c>
      <c r="D8000" t="s">
        <v>35</v>
      </c>
      <c r="E8000" t="s">
        <v>16</v>
      </c>
      <c r="F8000" t="s">
        <v>16</v>
      </c>
      <c r="G8000" t="s">
        <v>36</v>
      </c>
      <c r="H8000" t="s">
        <v>43</v>
      </c>
      <c r="I8000" s="187">
        <v>13361.00731496566</v>
      </c>
      <c r="J8000" s="187">
        <v>139.77847933186797</v>
      </c>
      <c r="K8000" s="187">
        <v>7087.6787493507718</v>
      </c>
      <c r="L8000" s="187">
        <v>17274.290404096682</v>
      </c>
      <c r="M8000" s="187">
        <v>37862.75390625</v>
      </c>
      <c r="N8000" s="187">
        <v>30635.296875</v>
      </c>
      <c r="O8000" t="s">
        <v>7815</v>
      </c>
    </row>
    <row r="8001" spans="1:15" hidden="1" x14ac:dyDescent="0.45">
      <c r="A8001" s="187">
        <v>2027</v>
      </c>
      <c r="B8001" t="s">
        <v>316</v>
      </c>
      <c r="C8001" t="s">
        <v>322</v>
      </c>
      <c r="D8001" t="s">
        <v>35</v>
      </c>
      <c r="E8001" t="s">
        <v>16</v>
      </c>
      <c r="F8001" t="s">
        <v>16</v>
      </c>
      <c r="G8001" t="s">
        <v>36</v>
      </c>
      <c r="H8001" t="s">
        <v>43</v>
      </c>
      <c r="I8001" s="187">
        <v>12888.108535203743</v>
      </c>
      <c r="J8001" s="187">
        <v>131.07300679764938</v>
      </c>
      <c r="K8001" s="187">
        <v>7923.9463321319317</v>
      </c>
      <c r="L8001" s="187">
        <v>17812.711478416688</v>
      </c>
      <c r="M8001" s="187">
        <v>38755.83984375</v>
      </c>
      <c r="N8001" s="187">
        <v>30700.8203125</v>
      </c>
      <c r="O8001" t="s">
        <v>7816</v>
      </c>
    </row>
    <row r="8002" spans="1:15" hidden="1" x14ac:dyDescent="0.45">
      <c r="A8002" s="187">
        <v>2027</v>
      </c>
      <c r="B8002" t="s">
        <v>313</v>
      </c>
      <c r="C8002" t="s">
        <v>322</v>
      </c>
      <c r="D8002" t="s">
        <v>35</v>
      </c>
      <c r="E8002" t="s">
        <v>16</v>
      </c>
      <c r="F8002" t="s">
        <v>16</v>
      </c>
      <c r="G8002" t="s">
        <v>36</v>
      </c>
      <c r="H8002" t="s">
        <v>43</v>
      </c>
      <c r="I8002" s="187">
        <v>6189.0018053361164</v>
      </c>
      <c r="J8002" s="187">
        <v>125.77864682586659</v>
      </c>
      <c r="K8002" s="187">
        <v>5809.0002044459115</v>
      </c>
      <c r="L8002" s="187">
        <v>21587.209470942304</v>
      </c>
      <c r="M8002" s="187">
        <v>33710.9921875</v>
      </c>
      <c r="N8002" s="187">
        <v>27776.2109375</v>
      </c>
      <c r="O8002" t="s">
        <v>7814</v>
      </c>
    </row>
    <row r="8003" spans="1:15" hidden="1" x14ac:dyDescent="0.45">
      <c r="A8003" s="187">
        <v>2027</v>
      </c>
      <c r="B8003" t="s">
        <v>8570</v>
      </c>
      <c r="C8003" t="s">
        <v>322</v>
      </c>
      <c r="D8003" t="s">
        <v>35</v>
      </c>
      <c r="E8003" t="s">
        <v>16</v>
      </c>
      <c r="F8003" t="s">
        <v>16</v>
      </c>
      <c r="G8003" t="s">
        <v>36</v>
      </c>
      <c r="H8003" t="s">
        <v>43</v>
      </c>
      <c r="I8003" s="187">
        <v>4787.5957360000002</v>
      </c>
      <c r="J8003" s="187">
        <v>220</v>
      </c>
      <c r="K8003" s="187">
        <v>8294.164305312388</v>
      </c>
      <c r="L8003" s="187">
        <v>10914</v>
      </c>
      <c r="M8003" s="187">
        <v>24215.759765625</v>
      </c>
      <c r="N8003" s="187">
        <v>15701.595703125</v>
      </c>
      <c r="O8003" t="s">
        <v>9215</v>
      </c>
    </row>
    <row r="8004" spans="1:15" hidden="1" x14ac:dyDescent="0.45">
      <c r="A8004" s="187">
        <v>2027</v>
      </c>
      <c r="B8004" t="s">
        <v>313</v>
      </c>
      <c r="C8004" t="s">
        <v>322</v>
      </c>
      <c r="D8004" t="s">
        <v>35</v>
      </c>
      <c r="E8004" t="s">
        <v>16</v>
      </c>
      <c r="F8004" t="s">
        <v>16</v>
      </c>
      <c r="G8004" t="s">
        <v>37</v>
      </c>
      <c r="H8004" t="s">
        <v>43</v>
      </c>
      <c r="I8004" s="187">
        <v>6285.0557737944018</v>
      </c>
      <c r="J8004" s="187">
        <v>128</v>
      </c>
      <c r="K8004" s="187">
        <v>5884.8939373599123</v>
      </c>
      <c r="L8004" s="187">
        <v>22262</v>
      </c>
      <c r="M8004" s="187">
        <v>34559.94921875</v>
      </c>
      <c r="N8004" s="187">
        <v>28547.0546875</v>
      </c>
      <c r="O8004" t="s">
        <v>7819</v>
      </c>
    </row>
    <row r="8005" spans="1:15" hidden="1" x14ac:dyDescent="0.45">
      <c r="A8005" s="187">
        <v>2027</v>
      </c>
      <c r="B8005" t="s">
        <v>8570</v>
      </c>
      <c r="C8005" t="s">
        <v>322</v>
      </c>
      <c r="D8005" t="s">
        <v>35</v>
      </c>
      <c r="E8005" t="s">
        <v>16</v>
      </c>
      <c r="F8005" t="s">
        <v>16</v>
      </c>
      <c r="G8005" t="s">
        <v>37</v>
      </c>
      <c r="H8005" t="s">
        <v>43</v>
      </c>
      <c r="I8005" s="187">
        <v>5285.8925455997742</v>
      </c>
      <c r="J8005" s="187">
        <v>220</v>
      </c>
      <c r="K8005" s="187">
        <v>9197.7946336691166</v>
      </c>
      <c r="L8005" s="187">
        <v>13103</v>
      </c>
      <c r="M8005" s="187">
        <v>27806.6875</v>
      </c>
      <c r="N8005" s="187">
        <v>18388.892578125</v>
      </c>
      <c r="O8005" t="s">
        <v>9216</v>
      </c>
    </row>
    <row r="8006" spans="1:15" hidden="1" x14ac:dyDescent="0.45">
      <c r="A8006" s="187">
        <v>2027</v>
      </c>
      <c r="B8006" t="s">
        <v>314</v>
      </c>
      <c r="C8006" t="s">
        <v>322</v>
      </c>
      <c r="D8006" t="s">
        <v>35</v>
      </c>
      <c r="E8006" t="s">
        <v>16</v>
      </c>
      <c r="F8006" t="s">
        <v>16</v>
      </c>
      <c r="G8006" t="s">
        <v>37</v>
      </c>
      <c r="H8006" t="s">
        <v>43</v>
      </c>
      <c r="I8006" s="187">
        <v>13714.9601085454</v>
      </c>
      <c r="J8006" s="187">
        <v>143</v>
      </c>
      <c r="K8006" s="187">
        <v>7285.2864272355891</v>
      </c>
      <c r="L8006" s="187">
        <v>19362</v>
      </c>
      <c r="M8006" s="187">
        <v>40505.24609375</v>
      </c>
      <c r="N8006" s="187">
        <v>33076.9609375</v>
      </c>
      <c r="O8006" t="s">
        <v>7818</v>
      </c>
    </row>
    <row r="8007" spans="1:15" hidden="1" x14ac:dyDescent="0.45">
      <c r="A8007" s="187">
        <v>2027</v>
      </c>
      <c r="B8007" t="s">
        <v>316</v>
      </c>
      <c r="C8007" t="s">
        <v>322</v>
      </c>
      <c r="D8007" t="s">
        <v>35</v>
      </c>
      <c r="E8007" t="s">
        <v>16</v>
      </c>
      <c r="F8007" t="s">
        <v>16</v>
      </c>
      <c r="G8007" t="s">
        <v>37</v>
      </c>
      <c r="H8007" t="s">
        <v>43</v>
      </c>
      <c r="I8007" s="187">
        <v>13442</v>
      </c>
      <c r="J8007" s="187">
        <v>119</v>
      </c>
      <c r="K8007" s="187">
        <v>8116.0571264004993</v>
      </c>
      <c r="L8007" s="187">
        <v>18686</v>
      </c>
      <c r="M8007" s="187">
        <v>40363.0546875</v>
      </c>
      <c r="N8007" s="187">
        <v>32128</v>
      </c>
      <c r="O8007" t="s">
        <v>7820</v>
      </c>
    </row>
    <row r="8008" spans="1:15" hidden="1" x14ac:dyDescent="0.45">
      <c r="A8008" s="187">
        <v>2027</v>
      </c>
      <c r="B8008" t="s">
        <v>315</v>
      </c>
      <c r="C8008" t="s">
        <v>322</v>
      </c>
      <c r="D8008" t="s">
        <v>35</v>
      </c>
      <c r="E8008" t="s">
        <v>16</v>
      </c>
      <c r="F8008" t="s">
        <v>16</v>
      </c>
      <c r="G8008" t="s">
        <v>37</v>
      </c>
      <c r="H8008" t="s">
        <v>43</v>
      </c>
      <c r="I8008" s="187">
        <v>13442.08576746584</v>
      </c>
      <c r="J8008" s="187">
        <v>253</v>
      </c>
      <c r="K8008" s="187">
        <v>7989.7008672341744</v>
      </c>
      <c r="L8008" s="187">
        <v>17847</v>
      </c>
      <c r="M8008" s="187">
        <v>39531.7890625</v>
      </c>
      <c r="N8008" s="187">
        <v>31289.0859375</v>
      </c>
      <c r="O8008" t="s">
        <v>7821</v>
      </c>
    </row>
    <row r="8009" spans="1:15" hidden="1" x14ac:dyDescent="0.45">
      <c r="A8009" s="187">
        <v>2027</v>
      </c>
      <c r="B8009" t="s">
        <v>317</v>
      </c>
      <c r="C8009" t="s">
        <v>322</v>
      </c>
      <c r="D8009" t="s">
        <v>35</v>
      </c>
      <c r="E8009" t="s">
        <v>16</v>
      </c>
      <c r="F8009" t="s">
        <v>16</v>
      </c>
      <c r="G8009" t="s">
        <v>37</v>
      </c>
      <c r="H8009" t="s">
        <v>43</v>
      </c>
      <c r="I8009" s="187">
        <v>5577.8824626145924</v>
      </c>
      <c r="J8009" s="187">
        <v>220</v>
      </c>
      <c r="K8009" s="187">
        <v>8278.0810444584768</v>
      </c>
      <c r="L8009" s="187">
        <v>13658</v>
      </c>
      <c r="M8009" s="187">
        <v>27733.962890625</v>
      </c>
      <c r="N8009" s="187">
        <v>19235.8828125</v>
      </c>
      <c r="O8009" t="s">
        <v>7822</v>
      </c>
    </row>
    <row r="8010" spans="1:15" hidden="1" x14ac:dyDescent="0.45">
      <c r="A8010" s="187">
        <v>2027</v>
      </c>
      <c r="B8010" t="s">
        <v>8570</v>
      </c>
      <c r="C8010" t="s">
        <v>322</v>
      </c>
      <c r="D8010" t="s">
        <v>35</v>
      </c>
      <c r="E8010" t="s">
        <v>351</v>
      </c>
      <c r="F8010" t="s">
        <v>351</v>
      </c>
      <c r="G8010" t="s">
        <v>37</v>
      </c>
      <c r="H8010" t="s">
        <v>43</v>
      </c>
      <c r="I8010" s="187">
        <v>51.688136662908313</v>
      </c>
      <c r="J8010" s="187"/>
      <c r="K8010" s="187">
        <v>101.1790315872102</v>
      </c>
      <c r="L8010" s="187">
        <v>190</v>
      </c>
      <c r="M8010" s="187">
        <v>342.8671875</v>
      </c>
      <c r="N8010" s="187">
        <v>241.68814086914063</v>
      </c>
      <c r="O8010" t="s">
        <v>9217</v>
      </c>
    </row>
    <row r="8011" spans="1:15" hidden="1" x14ac:dyDescent="0.45">
      <c r="A8011" s="187">
        <v>2027</v>
      </c>
      <c r="B8011" t="s">
        <v>314</v>
      </c>
      <c r="C8011" t="s">
        <v>322</v>
      </c>
      <c r="D8011" t="s">
        <v>35</v>
      </c>
      <c r="E8011" t="s">
        <v>351</v>
      </c>
      <c r="F8011" t="s">
        <v>351</v>
      </c>
      <c r="G8011" t="s">
        <v>37</v>
      </c>
      <c r="H8011" t="s">
        <v>43</v>
      </c>
      <c r="I8011" s="187">
        <v>91.090442571508348</v>
      </c>
      <c r="J8011" s="187">
        <v>0</v>
      </c>
      <c r="K8011" s="187">
        <v>69.471185134566525</v>
      </c>
      <c r="L8011" s="187">
        <v>384</v>
      </c>
      <c r="M8011" s="187">
        <v>544.5616455078125</v>
      </c>
      <c r="N8011" s="187">
        <v>475.0904541015625</v>
      </c>
      <c r="O8011" t="s">
        <v>7826</v>
      </c>
    </row>
    <row r="8012" spans="1:15" hidden="1" x14ac:dyDescent="0.45">
      <c r="A8012" s="187">
        <v>2027</v>
      </c>
      <c r="B8012" t="s">
        <v>313</v>
      </c>
      <c r="C8012" t="s">
        <v>322</v>
      </c>
      <c r="D8012" t="s">
        <v>35</v>
      </c>
      <c r="E8012" t="s">
        <v>351</v>
      </c>
      <c r="F8012" t="s">
        <v>351</v>
      </c>
      <c r="G8012" t="s">
        <v>37</v>
      </c>
      <c r="H8012" t="s">
        <v>43</v>
      </c>
      <c r="I8012" s="187">
        <v>47.658166010000002</v>
      </c>
      <c r="J8012" s="187">
        <v>0</v>
      </c>
      <c r="K8012" s="187">
        <v>218.87356658318609</v>
      </c>
      <c r="L8012" s="187">
        <v>411</v>
      </c>
      <c r="M8012" s="187">
        <v>677.53173828125</v>
      </c>
      <c r="N8012" s="187">
        <v>458.65817260742188</v>
      </c>
      <c r="O8012" t="s">
        <v>7824</v>
      </c>
    </row>
    <row r="8013" spans="1:15" hidden="1" x14ac:dyDescent="0.45">
      <c r="A8013" s="187">
        <v>2027</v>
      </c>
      <c r="B8013" t="s">
        <v>317</v>
      </c>
      <c r="C8013" t="s">
        <v>322</v>
      </c>
      <c r="D8013" t="s">
        <v>35</v>
      </c>
      <c r="E8013" t="s">
        <v>351</v>
      </c>
      <c r="F8013" t="s">
        <v>351</v>
      </c>
      <c r="G8013" t="s">
        <v>37</v>
      </c>
      <c r="H8013" t="s">
        <v>43</v>
      </c>
      <c r="I8013" s="187">
        <v>63.076692073338783</v>
      </c>
      <c r="J8013" s="187"/>
      <c r="K8013" s="187">
        <v>57.6</v>
      </c>
      <c r="L8013" s="187">
        <v>278</v>
      </c>
      <c r="M8013" s="187">
        <v>398.67669677734375</v>
      </c>
      <c r="N8013" s="187">
        <v>341.07669067382813</v>
      </c>
      <c r="O8013" t="s">
        <v>7823</v>
      </c>
    </row>
    <row r="8014" spans="1:15" hidden="1" x14ac:dyDescent="0.45">
      <c r="A8014" s="187">
        <v>2027</v>
      </c>
      <c r="B8014" t="s">
        <v>315</v>
      </c>
      <c r="C8014" t="s">
        <v>322</v>
      </c>
      <c r="D8014" t="s">
        <v>35</v>
      </c>
      <c r="E8014" t="s">
        <v>351</v>
      </c>
      <c r="F8014" t="s">
        <v>351</v>
      </c>
      <c r="G8014" t="s">
        <v>37</v>
      </c>
      <c r="H8014" t="s">
        <v>43</v>
      </c>
      <c r="I8014" s="187">
        <v>89.265587281924866</v>
      </c>
      <c r="J8014" s="187">
        <v>0</v>
      </c>
      <c r="K8014" s="187">
        <v>73.799177472796572</v>
      </c>
      <c r="L8014" s="187">
        <v>153</v>
      </c>
      <c r="M8014" s="187">
        <v>316.06475830078125</v>
      </c>
      <c r="N8014" s="187">
        <v>242.26559448242188</v>
      </c>
      <c r="O8014" t="s">
        <v>7825</v>
      </c>
    </row>
    <row r="8015" spans="1:15" hidden="1" x14ac:dyDescent="0.45">
      <c r="A8015" s="187">
        <v>2027</v>
      </c>
      <c r="B8015" t="s">
        <v>316</v>
      </c>
      <c r="C8015" t="s">
        <v>322</v>
      </c>
      <c r="D8015" t="s">
        <v>35</v>
      </c>
      <c r="E8015" t="s">
        <v>351</v>
      </c>
      <c r="F8015" t="s">
        <v>351</v>
      </c>
      <c r="G8015" t="s">
        <v>37</v>
      </c>
      <c r="H8015" t="s">
        <v>43</v>
      </c>
      <c r="I8015" s="187">
        <v>89</v>
      </c>
      <c r="J8015" s="187"/>
      <c r="K8015" s="187">
        <v>41.633295998168506</v>
      </c>
      <c r="L8015" s="187">
        <v>249</v>
      </c>
      <c r="M8015" s="187">
        <v>379.63330078125</v>
      </c>
      <c r="N8015" s="187">
        <v>338</v>
      </c>
      <c r="O8015" t="s">
        <v>7827</v>
      </c>
    </row>
    <row r="8016" spans="1:15" hidden="1" x14ac:dyDescent="0.45">
      <c r="A8016" s="187">
        <v>2027</v>
      </c>
      <c r="B8016" t="s">
        <v>313</v>
      </c>
      <c r="C8016" t="s">
        <v>322</v>
      </c>
      <c r="D8016" t="s">
        <v>35</v>
      </c>
      <c r="E8016" t="s">
        <v>352</v>
      </c>
      <c r="F8016" t="s">
        <v>361</v>
      </c>
      <c r="G8016" t="s">
        <v>36</v>
      </c>
      <c r="H8016" t="s">
        <v>43</v>
      </c>
      <c r="I8016" s="187"/>
      <c r="J8016" s="187">
        <v>0</v>
      </c>
      <c r="K8016" s="187">
        <v>0</v>
      </c>
      <c r="L8016" s="187"/>
      <c r="M8016" s="187">
        <v>0</v>
      </c>
      <c r="N8016" s="187">
        <v>0</v>
      </c>
      <c r="O8016" t="s">
        <v>7828</v>
      </c>
    </row>
    <row r="8017" spans="1:15" hidden="1" x14ac:dyDescent="0.45">
      <c r="A8017" s="187">
        <v>2027</v>
      </c>
      <c r="B8017" t="s">
        <v>317</v>
      </c>
      <c r="C8017" t="s">
        <v>322</v>
      </c>
      <c r="D8017" t="s">
        <v>35</v>
      </c>
      <c r="E8017" t="s">
        <v>352</v>
      </c>
      <c r="F8017" t="s">
        <v>361</v>
      </c>
      <c r="G8017" t="s">
        <v>36</v>
      </c>
      <c r="H8017" t="s">
        <v>43</v>
      </c>
      <c r="I8017" s="187">
        <v>0</v>
      </c>
      <c r="J8017" s="187"/>
      <c r="K8017" s="187">
        <v>0</v>
      </c>
      <c r="L8017" s="187"/>
      <c r="M8017" s="187">
        <v>0</v>
      </c>
      <c r="N8017" s="187">
        <v>0</v>
      </c>
      <c r="O8017" t="s">
        <v>7832</v>
      </c>
    </row>
    <row r="8018" spans="1:15" hidden="1" x14ac:dyDescent="0.45">
      <c r="A8018" s="187">
        <v>2027</v>
      </c>
      <c r="B8018" t="s">
        <v>316</v>
      </c>
      <c r="C8018" t="s">
        <v>322</v>
      </c>
      <c r="D8018" t="s">
        <v>35</v>
      </c>
      <c r="E8018" t="s">
        <v>352</v>
      </c>
      <c r="F8018" t="s">
        <v>361</v>
      </c>
      <c r="G8018" t="s">
        <v>36</v>
      </c>
      <c r="H8018" t="s">
        <v>43</v>
      </c>
      <c r="I8018" s="187">
        <v>0</v>
      </c>
      <c r="J8018" s="187"/>
      <c r="K8018" s="187">
        <v>0</v>
      </c>
      <c r="L8018" s="187"/>
      <c r="M8018" s="187">
        <v>0</v>
      </c>
      <c r="N8018" s="187">
        <v>0</v>
      </c>
      <c r="O8018" t="s">
        <v>7830</v>
      </c>
    </row>
    <row r="8019" spans="1:15" hidden="1" x14ac:dyDescent="0.45">
      <c r="A8019" s="187">
        <v>2027</v>
      </c>
      <c r="B8019" t="s">
        <v>315</v>
      </c>
      <c r="C8019" t="s">
        <v>322</v>
      </c>
      <c r="D8019" t="s">
        <v>35</v>
      </c>
      <c r="E8019" t="s">
        <v>352</v>
      </c>
      <c r="F8019" t="s">
        <v>361</v>
      </c>
      <c r="G8019" t="s">
        <v>36</v>
      </c>
      <c r="H8019" t="s">
        <v>43</v>
      </c>
      <c r="I8019" s="187">
        <v>0</v>
      </c>
      <c r="J8019" s="187">
        <v>0</v>
      </c>
      <c r="K8019" s="187">
        <v>0</v>
      </c>
      <c r="L8019" s="187"/>
      <c r="M8019" s="187">
        <v>0</v>
      </c>
      <c r="N8019" s="187">
        <v>0</v>
      </c>
      <c r="O8019" t="s">
        <v>7831</v>
      </c>
    </row>
    <row r="8020" spans="1:15" hidden="1" x14ac:dyDescent="0.45">
      <c r="A8020" s="187">
        <v>2027</v>
      </c>
      <c r="B8020" t="s">
        <v>8570</v>
      </c>
      <c r="C8020" t="s">
        <v>322</v>
      </c>
      <c r="D8020" t="s">
        <v>35</v>
      </c>
      <c r="E8020" t="s">
        <v>352</v>
      </c>
      <c r="F8020" t="s">
        <v>361</v>
      </c>
      <c r="G8020" t="s">
        <v>36</v>
      </c>
      <c r="H8020" t="s">
        <v>43</v>
      </c>
      <c r="I8020" s="187">
        <v>0</v>
      </c>
      <c r="J8020" s="187"/>
      <c r="K8020" s="187">
        <v>0</v>
      </c>
      <c r="L8020" s="187"/>
      <c r="M8020" s="187">
        <v>0</v>
      </c>
      <c r="N8020" s="187">
        <v>0</v>
      </c>
      <c r="O8020" t="s">
        <v>9218</v>
      </c>
    </row>
    <row r="8021" spans="1:15" hidden="1" x14ac:dyDescent="0.45">
      <c r="A8021" s="187">
        <v>2027</v>
      </c>
      <c r="B8021" t="s">
        <v>314</v>
      </c>
      <c r="C8021" t="s">
        <v>322</v>
      </c>
      <c r="D8021" t="s">
        <v>35</v>
      </c>
      <c r="E8021" t="s">
        <v>352</v>
      </c>
      <c r="F8021" t="s">
        <v>361</v>
      </c>
      <c r="G8021" t="s">
        <v>36</v>
      </c>
      <c r="H8021" t="s">
        <v>43</v>
      </c>
      <c r="I8021" s="187">
        <v>0</v>
      </c>
      <c r="J8021" s="187">
        <v>0</v>
      </c>
      <c r="K8021" s="187">
        <v>0</v>
      </c>
      <c r="L8021" s="187"/>
      <c r="M8021" s="187">
        <v>0</v>
      </c>
      <c r="N8021" s="187">
        <v>0</v>
      </c>
      <c r="O8021" t="s">
        <v>7829</v>
      </c>
    </row>
    <row r="8022" spans="1:15" hidden="1" x14ac:dyDescent="0.45">
      <c r="A8022" s="187">
        <v>2027</v>
      </c>
      <c r="B8022" t="s">
        <v>314</v>
      </c>
      <c r="C8022" t="s">
        <v>322</v>
      </c>
      <c r="D8022" t="s">
        <v>35</v>
      </c>
      <c r="E8022" t="s">
        <v>353</v>
      </c>
      <c r="F8022" t="s">
        <v>383</v>
      </c>
      <c r="G8022" t="s">
        <v>36</v>
      </c>
      <c r="H8022" t="s">
        <v>43</v>
      </c>
      <c r="I8022" s="187">
        <v>22489.334093386187</v>
      </c>
      <c r="J8022" s="187">
        <v>850.31908260219677</v>
      </c>
      <c r="K8022" s="187">
        <v>16811.17287148182</v>
      </c>
      <c r="L8022" s="187">
        <v>22998.219132736678</v>
      </c>
      <c r="M8022" s="187">
        <v>63149.04296875</v>
      </c>
      <c r="N8022" s="187">
        <v>45487.5546875</v>
      </c>
      <c r="O8022" t="s">
        <v>7836</v>
      </c>
    </row>
    <row r="8023" spans="1:15" hidden="1" x14ac:dyDescent="0.45">
      <c r="A8023" s="187">
        <v>2027</v>
      </c>
      <c r="B8023" t="s">
        <v>317</v>
      </c>
      <c r="C8023" t="s">
        <v>322</v>
      </c>
      <c r="D8023" t="s">
        <v>35</v>
      </c>
      <c r="E8023" t="s">
        <v>353</v>
      </c>
      <c r="F8023" t="s">
        <v>383</v>
      </c>
      <c r="G8023" t="s">
        <v>36</v>
      </c>
      <c r="H8023" t="s">
        <v>43</v>
      </c>
      <c r="I8023" s="187">
        <v>15755.808914737872</v>
      </c>
      <c r="J8023" s="187">
        <v>1021.0810954238837</v>
      </c>
      <c r="K8023" s="187">
        <v>17994.339135234299</v>
      </c>
      <c r="L8023" s="187">
        <v>25504.33669458767</v>
      </c>
      <c r="M8023" s="187">
        <v>60275.56640625</v>
      </c>
      <c r="N8023" s="187">
        <v>41260.14453125</v>
      </c>
      <c r="O8023" t="s">
        <v>7835</v>
      </c>
    </row>
    <row r="8024" spans="1:15" hidden="1" x14ac:dyDescent="0.45">
      <c r="A8024" s="187">
        <v>2027</v>
      </c>
      <c r="B8024" t="s">
        <v>313</v>
      </c>
      <c r="C8024" t="s">
        <v>322</v>
      </c>
      <c r="D8024" t="s">
        <v>35</v>
      </c>
      <c r="E8024" t="s">
        <v>353</v>
      </c>
      <c r="F8024" t="s">
        <v>383</v>
      </c>
      <c r="G8024" t="s">
        <v>36</v>
      </c>
      <c r="H8024" t="s">
        <v>43</v>
      </c>
      <c r="I8024" s="187">
        <v>13641.901723274759</v>
      </c>
      <c r="J8024" s="187">
        <v>862.48214966308524</v>
      </c>
      <c r="K8024" s="187">
        <v>16846.073563411606</v>
      </c>
      <c r="L8024" s="187">
        <v>26956.160852595007</v>
      </c>
      <c r="M8024" s="187">
        <v>58306.6171875</v>
      </c>
      <c r="N8024" s="187">
        <v>40598.0625</v>
      </c>
      <c r="O8024" t="s">
        <v>7837</v>
      </c>
    </row>
    <row r="8025" spans="1:15" hidden="1" x14ac:dyDescent="0.45">
      <c r="A8025" s="187">
        <v>2027</v>
      </c>
      <c r="B8025" t="s">
        <v>316</v>
      </c>
      <c r="C8025" t="s">
        <v>322</v>
      </c>
      <c r="D8025" t="s">
        <v>35</v>
      </c>
      <c r="E8025" t="s">
        <v>353</v>
      </c>
      <c r="F8025" t="s">
        <v>383</v>
      </c>
      <c r="G8025" t="s">
        <v>36</v>
      </c>
      <c r="H8025" t="s">
        <v>43</v>
      </c>
      <c r="I8025" s="187">
        <v>21690.538820201458</v>
      </c>
      <c r="J8025" s="187">
        <v>929.62703980853848</v>
      </c>
      <c r="K8025" s="187">
        <v>17829.039737319228</v>
      </c>
      <c r="L8025" s="187">
        <v>27485.679089315483</v>
      </c>
      <c r="M8025" s="187">
        <v>67934.8828125</v>
      </c>
      <c r="N8025" s="187">
        <v>49176.21875</v>
      </c>
      <c r="O8025" t="s">
        <v>7833</v>
      </c>
    </row>
    <row r="8026" spans="1:15" hidden="1" x14ac:dyDescent="0.45">
      <c r="A8026" s="187">
        <v>2027</v>
      </c>
      <c r="B8026" t="s">
        <v>8570</v>
      </c>
      <c r="C8026" t="s">
        <v>322</v>
      </c>
      <c r="D8026" t="s">
        <v>35</v>
      </c>
      <c r="E8026" t="s">
        <v>353</v>
      </c>
      <c r="F8026" t="s">
        <v>383</v>
      </c>
      <c r="G8026" t="s">
        <v>36</v>
      </c>
      <c r="H8026" t="s">
        <v>43</v>
      </c>
      <c r="I8026" s="187">
        <v>12099.02661498853</v>
      </c>
      <c r="J8026" s="187">
        <v>945</v>
      </c>
      <c r="K8026" s="187">
        <v>16197.341511647061</v>
      </c>
      <c r="L8026" s="187">
        <v>18860</v>
      </c>
      <c r="M8026" s="187">
        <v>48101.3671875</v>
      </c>
      <c r="N8026" s="187">
        <v>30959.02734375</v>
      </c>
      <c r="O8026" t="s">
        <v>9219</v>
      </c>
    </row>
    <row r="8027" spans="1:15" hidden="1" x14ac:dyDescent="0.45">
      <c r="A8027" s="187">
        <v>2027</v>
      </c>
      <c r="B8027" t="s">
        <v>315</v>
      </c>
      <c r="C8027" t="s">
        <v>322</v>
      </c>
      <c r="D8027" t="s">
        <v>35</v>
      </c>
      <c r="E8027" t="s">
        <v>353</v>
      </c>
      <c r="F8027" t="s">
        <v>383</v>
      </c>
      <c r="G8027" t="s">
        <v>36</v>
      </c>
      <c r="H8027" t="s">
        <v>43</v>
      </c>
      <c r="I8027" s="187">
        <v>21868.225803806199</v>
      </c>
      <c r="J8027" s="187">
        <v>860.92605150060137</v>
      </c>
      <c r="K8027" s="187">
        <v>17371.894671477414</v>
      </c>
      <c r="L8027" s="187">
        <v>24303.036195913028</v>
      </c>
      <c r="M8027" s="187">
        <v>64404.08203125</v>
      </c>
      <c r="N8027" s="187">
        <v>46171.26171875</v>
      </c>
      <c r="O8027" t="s">
        <v>7834</v>
      </c>
    </row>
    <row r="8028" spans="1:15" hidden="1" x14ac:dyDescent="0.45">
      <c r="A8028" s="187">
        <v>2027</v>
      </c>
      <c r="B8028" t="s">
        <v>8570</v>
      </c>
      <c r="C8028" t="s">
        <v>322</v>
      </c>
      <c r="D8028" t="s">
        <v>35</v>
      </c>
      <c r="E8028" t="s">
        <v>353</v>
      </c>
      <c r="F8028" t="s">
        <v>383</v>
      </c>
      <c r="G8028" t="s">
        <v>37</v>
      </c>
      <c r="H8028" t="s">
        <v>43</v>
      </c>
      <c r="I8028" s="187">
        <v>13358.30302301472</v>
      </c>
      <c r="J8028" s="187">
        <v>945</v>
      </c>
      <c r="K8028" s="187">
        <v>17962.005013586739</v>
      </c>
      <c r="L8028" s="187">
        <v>22642</v>
      </c>
      <c r="M8028" s="187">
        <v>54907.30859375</v>
      </c>
      <c r="N8028" s="187">
        <v>36000.3046875</v>
      </c>
      <c r="O8028" t="s">
        <v>9220</v>
      </c>
    </row>
    <row r="8029" spans="1:15" hidden="1" x14ac:dyDescent="0.45">
      <c r="A8029" s="187">
        <v>2027</v>
      </c>
      <c r="B8029" t="s">
        <v>313</v>
      </c>
      <c r="C8029" t="s">
        <v>322</v>
      </c>
      <c r="D8029" t="s">
        <v>35</v>
      </c>
      <c r="E8029" t="s">
        <v>353</v>
      </c>
      <c r="F8029" t="s">
        <v>383</v>
      </c>
      <c r="G8029" t="s">
        <v>37</v>
      </c>
      <c r="H8029" t="s">
        <v>43</v>
      </c>
      <c r="I8029" s="187">
        <v>13853.625493771751</v>
      </c>
      <c r="J8029" s="187">
        <v>878</v>
      </c>
      <c r="K8029" s="187">
        <v>17066.165035726011</v>
      </c>
      <c r="L8029" s="187">
        <v>27798</v>
      </c>
      <c r="M8029" s="187">
        <v>59595.7890625</v>
      </c>
      <c r="N8029" s="187">
        <v>41651.625</v>
      </c>
      <c r="O8029" t="s">
        <v>7840</v>
      </c>
    </row>
    <row r="8030" spans="1:15" hidden="1" x14ac:dyDescent="0.45">
      <c r="A8030" s="187">
        <v>2027</v>
      </c>
      <c r="B8030" t="s">
        <v>316</v>
      </c>
      <c r="C8030" t="s">
        <v>322</v>
      </c>
      <c r="D8030" t="s">
        <v>35</v>
      </c>
      <c r="E8030" t="s">
        <v>353</v>
      </c>
      <c r="F8030" t="s">
        <v>383</v>
      </c>
      <c r="G8030" t="s">
        <v>37</v>
      </c>
      <c r="H8030" t="s">
        <v>43</v>
      </c>
      <c r="I8030" s="187">
        <v>22623</v>
      </c>
      <c r="J8030" s="187">
        <v>844</v>
      </c>
      <c r="K8030" s="187">
        <v>18261.292915397069</v>
      </c>
      <c r="L8030" s="187">
        <v>28832.23769743165</v>
      </c>
      <c r="M8030" s="187">
        <v>70560.53125</v>
      </c>
      <c r="N8030" s="187">
        <v>51455.23828125</v>
      </c>
      <c r="O8030" t="s">
        <v>7841</v>
      </c>
    </row>
    <row r="8031" spans="1:15" hidden="1" x14ac:dyDescent="0.45">
      <c r="A8031" s="187">
        <v>2027</v>
      </c>
      <c r="B8031" t="s">
        <v>314</v>
      </c>
      <c r="C8031" t="s">
        <v>322</v>
      </c>
      <c r="D8031" t="s">
        <v>35</v>
      </c>
      <c r="E8031" t="s">
        <v>353</v>
      </c>
      <c r="F8031" t="s">
        <v>383</v>
      </c>
      <c r="G8031" t="s">
        <v>37</v>
      </c>
      <c r="H8031" t="s">
        <v>43</v>
      </c>
      <c r="I8031" s="187">
        <v>23085.10972919366</v>
      </c>
      <c r="J8031" s="187">
        <v>873</v>
      </c>
      <c r="K8031" s="187">
        <v>17279.875947782799</v>
      </c>
      <c r="L8031" s="187">
        <v>25776.973690776209</v>
      </c>
      <c r="M8031" s="187">
        <v>67014.9609375</v>
      </c>
      <c r="N8031" s="187">
        <v>48862.08203125</v>
      </c>
      <c r="O8031" t="s">
        <v>7842</v>
      </c>
    </row>
    <row r="8032" spans="1:15" hidden="1" x14ac:dyDescent="0.45">
      <c r="A8032" s="187">
        <v>2027</v>
      </c>
      <c r="B8032" t="s">
        <v>315</v>
      </c>
      <c r="C8032" t="s">
        <v>322</v>
      </c>
      <c r="D8032" t="s">
        <v>35</v>
      </c>
      <c r="E8032" t="s">
        <v>353</v>
      </c>
      <c r="F8032" t="s">
        <v>383</v>
      </c>
      <c r="G8032" t="s">
        <v>37</v>
      </c>
      <c r="H8032" t="s">
        <v>43</v>
      </c>
      <c r="I8032" s="187">
        <v>22622.87614720851</v>
      </c>
      <c r="J8032" s="187">
        <v>873</v>
      </c>
      <c r="K8032" s="187">
        <v>17923.12792396831</v>
      </c>
      <c r="L8032" s="187">
        <v>25136.457422625281</v>
      </c>
      <c r="M8032" s="187">
        <v>66555.4609375</v>
      </c>
      <c r="N8032" s="187">
        <v>47759.3359375</v>
      </c>
      <c r="O8032" t="s">
        <v>7839</v>
      </c>
    </row>
    <row r="8033" spans="1:15" hidden="1" x14ac:dyDescent="0.45">
      <c r="A8033" s="187">
        <v>2027</v>
      </c>
      <c r="B8033" t="s">
        <v>317</v>
      </c>
      <c r="C8033" t="s">
        <v>322</v>
      </c>
      <c r="D8033" t="s">
        <v>35</v>
      </c>
      <c r="E8033" t="s">
        <v>353</v>
      </c>
      <c r="F8033" t="s">
        <v>383</v>
      </c>
      <c r="G8033" t="s">
        <v>37</v>
      </c>
      <c r="H8033" t="s">
        <v>43</v>
      </c>
      <c r="I8033" s="187">
        <v>16421.51829699006</v>
      </c>
      <c r="J8033" s="187">
        <v>945</v>
      </c>
      <c r="K8033" s="187">
        <v>18640.317426600301</v>
      </c>
      <c r="L8033" s="187">
        <v>26278</v>
      </c>
      <c r="M8033" s="187">
        <v>62284.8359375</v>
      </c>
      <c r="N8033" s="187">
        <v>42699.515625</v>
      </c>
      <c r="O8033" t="s">
        <v>7838</v>
      </c>
    </row>
    <row r="8034" spans="1:15" hidden="1" x14ac:dyDescent="0.45">
      <c r="A8034" s="187">
        <v>2027</v>
      </c>
      <c r="B8034" t="s">
        <v>8570</v>
      </c>
      <c r="C8034" t="s">
        <v>322</v>
      </c>
      <c r="D8034" t="s">
        <v>35</v>
      </c>
      <c r="E8034" t="s">
        <v>38</v>
      </c>
      <c r="F8034" t="s">
        <v>38</v>
      </c>
      <c r="G8034" t="s">
        <v>36</v>
      </c>
      <c r="H8034" t="s">
        <v>43</v>
      </c>
      <c r="I8034" s="187">
        <v>505.66559999999998</v>
      </c>
      <c r="J8034" s="187">
        <v>55</v>
      </c>
      <c r="K8034" s="187">
        <v>3052.116635053756</v>
      </c>
      <c r="L8034" s="187">
        <v>1036</v>
      </c>
      <c r="M8034" s="187">
        <v>4648.7822265625</v>
      </c>
      <c r="N8034" s="187">
        <v>1541.66552734375</v>
      </c>
      <c r="O8034" t="s">
        <v>9221</v>
      </c>
    </row>
    <row r="8035" spans="1:15" hidden="1" x14ac:dyDescent="0.45">
      <c r="A8035" s="187">
        <v>2027</v>
      </c>
      <c r="B8035" t="s">
        <v>316</v>
      </c>
      <c r="C8035" t="s">
        <v>322</v>
      </c>
      <c r="D8035" t="s">
        <v>35</v>
      </c>
      <c r="E8035" t="s">
        <v>38</v>
      </c>
      <c r="F8035" t="s">
        <v>38</v>
      </c>
      <c r="G8035" t="s">
        <v>36</v>
      </c>
      <c r="H8035" t="s">
        <v>43</v>
      </c>
      <c r="I8035" s="187">
        <v>513.27748880424042</v>
      </c>
      <c r="J8035" s="187">
        <v>60.579961124964001</v>
      </c>
      <c r="K8035" s="187">
        <v>1260.2694351201912</v>
      </c>
      <c r="L8035" s="187">
        <v>1529.9193818649999</v>
      </c>
      <c r="M8035" s="187">
        <v>3364.046142578125</v>
      </c>
      <c r="N8035" s="187">
        <v>2043.1968994140625</v>
      </c>
      <c r="O8035" t="s">
        <v>7846</v>
      </c>
    </row>
    <row r="8036" spans="1:15" hidden="1" x14ac:dyDescent="0.45">
      <c r="A8036" s="187">
        <v>2027</v>
      </c>
      <c r="B8036" t="s">
        <v>317</v>
      </c>
      <c r="C8036" t="s">
        <v>322</v>
      </c>
      <c r="D8036" t="s">
        <v>35</v>
      </c>
      <c r="E8036" t="s">
        <v>38</v>
      </c>
      <c r="F8036" t="s">
        <v>38</v>
      </c>
      <c r="G8036" t="s">
        <v>36</v>
      </c>
      <c r="H8036" t="s">
        <v>43</v>
      </c>
      <c r="I8036" s="187">
        <v>624.89847315183931</v>
      </c>
      <c r="J8036" s="187">
        <v>59.428000262765714</v>
      </c>
      <c r="K8036" s="187">
        <v>3284.1457615499039</v>
      </c>
      <c r="L8036" s="187">
        <v>4181.5702003073329</v>
      </c>
      <c r="M8036" s="187">
        <v>8150.04248046875</v>
      </c>
      <c r="N8036" s="187">
        <v>4806.46875</v>
      </c>
      <c r="O8036" t="s">
        <v>7845</v>
      </c>
    </row>
    <row r="8037" spans="1:15" hidden="1" x14ac:dyDescent="0.45">
      <c r="A8037" s="187">
        <v>2027</v>
      </c>
      <c r="B8037" t="s">
        <v>313</v>
      </c>
      <c r="C8037" t="s">
        <v>322</v>
      </c>
      <c r="D8037" t="s">
        <v>35</v>
      </c>
      <c r="E8037" t="s">
        <v>38</v>
      </c>
      <c r="F8037" t="s">
        <v>38</v>
      </c>
      <c r="G8037" t="s">
        <v>36</v>
      </c>
      <c r="H8037" t="s">
        <v>43</v>
      </c>
      <c r="I8037" s="187">
        <v>912.51569747854046</v>
      </c>
      <c r="J8037" s="187">
        <v>59.894593726603141</v>
      </c>
      <c r="K8037" s="187">
        <v>816.39178933587618</v>
      </c>
      <c r="L8037" s="187">
        <v>2077.1445104385971</v>
      </c>
      <c r="M8037" s="187">
        <v>3865.946533203125</v>
      </c>
      <c r="N8037" s="187">
        <v>2989.66015625</v>
      </c>
      <c r="O8037" t="s">
        <v>7843</v>
      </c>
    </row>
    <row r="8038" spans="1:15" hidden="1" x14ac:dyDescent="0.45">
      <c r="A8038" s="187">
        <v>2027</v>
      </c>
      <c r="B8038" t="s">
        <v>315</v>
      </c>
      <c r="C8038" t="s">
        <v>322</v>
      </c>
      <c r="D8038" t="s">
        <v>35</v>
      </c>
      <c r="E8038" t="s">
        <v>38</v>
      </c>
      <c r="F8038" t="s">
        <v>38</v>
      </c>
      <c r="G8038" t="s">
        <v>36</v>
      </c>
      <c r="H8038" t="s">
        <v>43</v>
      </c>
      <c r="I8038" s="187">
        <v>467.5644073802319</v>
      </c>
      <c r="J8038" s="187">
        <v>101.95176925665017</v>
      </c>
      <c r="K8038" s="187">
        <v>1257.1627372101245</v>
      </c>
      <c r="L8038" s="187">
        <v>5279.9688500582934</v>
      </c>
      <c r="M8038" s="187">
        <v>7106.64794921875</v>
      </c>
      <c r="N8038" s="187">
        <v>5747.533203125</v>
      </c>
      <c r="O8038" t="s">
        <v>7847</v>
      </c>
    </row>
    <row r="8039" spans="1:15" hidden="1" x14ac:dyDescent="0.45">
      <c r="A8039" s="187">
        <v>2027</v>
      </c>
      <c r="B8039" t="s">
        <v>314</v>
      </c>
      <c r="C8039" t="s">
        <v>322</v>
      </c>
      <c r="D8039" t="s">
        <v>35</v>
      </c>
      <c r="E8039" t="s">
        <v>38</v>
      </c>
      <c r="F8039" t="s">
        <v>38</v>
      </c>
      <c r="G8039" t="s">
        <v>36</v>
      </c>
      <c r="H8039" t="s">
        <v>43</v>
      </c>
      <c r="I8039" s="187">
        <v>480.78205750989309</v>
      </c>
      <c r="J8039" s="187">
        <v>58.241033054944985</v>
      </c>
      <c r="K8039" s="187">
        <v>779.08430855601387</v>
      </c>
      <c r="L8039" s="187">
        <v>1515.4316800896686</v>
      </c>
      <c r="M8039" s="187">
        <v>2833.5390625</v>
      </c>
      <c r="N8039" s="187">
        <v>1996.2137451171875</v>
      </c>
      <c r="O8039" t="s">
        <v>7844</v>
      </c>
    </row>
    <row r="8040" spans="1:15" hidden="1" x14ac:dyDescent="0.45">
      <c r="A8040" s="187">
        <v>2027</v>
      </c>
      <c r="B8040" t="s">
        <v>316</v>
      </c>
      <c r="C8040" t="s">
        <v>322</v>
      </c>
      <c r="D8040" t="s">
        <v>35</v>
      </c>
      <c r="E8040" t="s">
        <v>38</v>
      </c>
      <c r="F8040" t="s">
        <v>38</v>
      </c>
      <c r="G8040" t="s">
        <v>37</v>
      </c>
      <c r="H8040" t="s">
        <v>43</v>
      </c>
      <c r="I8040" s="187">
        <v>536</v>
      </c>
      <c r="J8040" s="187">
        <v>55</v>
      </c>
      <c r="K8040" s="187">
        <v>1290.8238270891991</v>
      </c>
      <c r="L8040" s="187">
        <v>1604.8898440106011</v>
      </c>
      <c r="M8040" s="187">
        <v>3486.713623046875</v>
      </c>
      <c r="N8040" s="187">
        <v>2140.889892578125</v>
      </c>
      <c r="O8040" t="s">
        <v>7851</v>
      </c>
    </row>
    <row r="8041" spans="1:15" hidden="1" x14ac:dyDescent="0.45">
      <c r="A8041" s="187">
        <v>2027</v>
      </c>
      <c r="B8041" t="s">
        <v>314</v>
      </c>
      <c r="C8041" t="s">
        <v>322</v>
      </c>
      <c r="D8041" t="s">
        <v>35</v>
      </c>
      <c r="E8041" t="s">
        <v>38</v>
      </c>
      <c r="F8041" t="s">
        <v>38</v>
      </c>
      <c r="G8041" t="s">
        <v>37</v>
      </c>
      <c r="H8041" t="s">
        <v>43</v>
      </c>
      <c r="I8041" s="187">
        <v>493.51868345036593</v>
      </c>
      <c r="J8041" s="187">
        <v>60</v>
      </c>
      <c r="K8041" s="187">
        <v>800.80553020483001</v>
      </c>
      <c r="L8041" s="187">
        <v>1698.5667693845839</v>
      </c>
      <c r="M8041" s="187">
        <v>3052.890869140625</v>
      </c>
      <c r="N8041" s="187">
        <v>2192.08544921875</v>
      </c>
      <c r="O8041" t="s">
        <v>7850</v>
      </c>
    </row>
    <row r="8042" spans="1:15" hidden="1" x14ac:dyDescent="0.45">
      <c r="A8042" s="187">
        <v>2027</v>
      </c>
      <c r="B8042" t="s">
        <v>315</v>
      </c>
      <c r="C8042" t="s">
        <v>322</v>
      </c>
      <c r="D8042" t="s">
        <v>35</v>
      </c>
      <c r="E8042" t="s">
        <v>38</v>
      </c>
      <c r="F8042" t="s">
        <v>38</v>
      </c>
      <c r="G8042" t="s">
        <v>37</v>
      </c>
      <c r="H8042" t="s">
        <v>43</v>
      </c>
      <c r="I8042" s="187">
        <v>483.69958193704377</v>
      </c>
      <c r="J8042" s="187">
        <v>103</v>
      </c>
      <c r="K8042" s="187">
        <v>1297.0541778185291</v>
      </c>
      <c r="L8042" s="187">
        <v>5461.1043748515604</v>
      </c>
      <c r="M8042" s="187">
        <v>7344.8583984375</v>
      </c>
      <c r="N8042" s="187">
        <v>5944.80419921875</v>
      </c>
      <c r="O8042" t="s">
        <v>7849</v>
      </c>
    </row>
    <row r="8043" spans="1:15" hidden="1" x14ac:dyDescent="0.45">
      <c r="A8043" s="187">
        <v>2027</v>
      </c>
      <c r="B8043" t="s">
        <v>313</v>
      </c>
      <c r="C8043" t="s">
        <v>322</v>
      </c>
      <c r="D8043" t="s">
        <v>35</v>
      </c>
      <c r="E8043" t="s">
        <v>38</v>
      </c>
      <c r="F8043" t="s">
        <v>38</v>
      </c>
      <c r="G8043" t="s">
        <v>37</v>
      </c>
      <c r="H8043" t="s">
        <v>43</v>
      </c>
      <c r="I8043" s="187">
        <v>926.67803847959203</v>
      </c>
      <c r="J8043" s="187">
        <v>61</v>
      </c>
      <c r="K8043" s="187">
        <v>827.05782793673905</v>
      </c>
      <c r="L8043" s="187">
        <v>2142.0804590954808</v>
      </c>
      <c r="M8043" s="187">
        <v>3956.81640625</v>
      </c>
      <c r="N8043" s="187">
        <v>3068.758544921875</v>
      </c>
      <c r="O8043" t="s">
        <v>7852</v>
      </c>
    </row>
    <row r="8044" spans="1:15" hidden="1" x14ac:dyDescent="0.45">
      <c r="A8044" s="187">
        <v>2027</v>
      </c>
      <c r="B8044" t="s">
        <v>8570</v>
      </c>
      <c r="C8044" t="s">
        <v>322</v>
      </c>
      <c r="D8044" t="s">
        <v>35</v>
      </c>
      <c r="E8044" t="s">
        <v>38</v>
      </c>
      <c r="F8044" t="s">
        <v>38</v>
      </c>
      <c r="G8044" t="s">
        <v>37</v>
      </c>
      <c r="H8044" t="s">
        <v>43</v>
      </c>
      <c r="I8044" s="187">
        <v>558.29568179860985</v>
      </c>
      <c r="J8044" s="187">
        <v>55</v>
      </c>
      <c r="K8044" s="187">
        <v>3384.6377975957348</v>
      </c>
      <c r="L8044" s="187">
        <v>1244</v>
      </c>
      <c r="M8044" s="187">
        <v>5241.93359375</v>
      </c>
      <c r="N8044" s="187">
        <v>1802.295654296875</v>
      </c>
      <c r="O8044" t="s">
        <v>9222</v>
      </c>
    </row>
    <row r="8045" spans="1:15" hidden="1" x14ac:dyDescent="0.45">
      <c r="A8045" s="187">
        <v>2027</v>
      </c>
      <c r="B8045" t="s">
        <v>317</v>
      </c>
      <c r="C8045" t="s">
        <v>322</v>
      </c>
      <c r="D8045" t="s">
        <v>35</v>
      </c>
      <c r="E8045" t="s">
        <v>38</v>
      </c>
      <c r="F8045" t="s">
        <v>38</v>
      </c>
      <c r="G8045" t="s">
        <v>37</v>
      </c>
      <c r="H8045" t="s">
        <v>43</v>
      </c>
      <c r="I8045" s="187">
        <v>651.30148291055286</v>
      </c>
      <c r="J8045" s="187">
        <v>55</v>
      </c>
      <c r="K8045" s="187">
        <v>3402.0432209508372</v>
      </c>
      <c r="L8045" s="187">
        <v>4308</v>
      </c>
      <c r="M8045" s="187">
        <v>8416.3447265625</v>
      </c>
      <c r="N8045" s="187">
        <v>4959.30126953125</v>
      </c>
      <c r="O8045" t="s">
        <v>7848</v>
      </c>
    </row>
    <row r="8046" spans="1:15" hidden="1" x14ac:dyDescent="0.45">
      <c r="A8046" s="187">
        <v>2027</v>
      </c>
      <c r="B8046" t="s">
        <v>317</v>
      </c>
      <c r="C8046" t="s">
        <v>322</v>
      </c>
      <c r="D8046" t="s">
        <v>35</v>
      </c>
      <c r="E8046" t="s">
        <v>354</v>
      </c>
      <c r="F8046" t="s">
        <v>384</v>
      </c>
      <c r="G8046" t="s">
        <v>36</v>
      </c>
      <c r="H8046" t="s">
        <v>43</v>
      </c>
      <c r="I8046" s="187">
        <v>0</v>
      </c>
      <c r="J8046" s="187">
        <v>43.220363827465974</v>
      </c>
      <c r="K8046" s="187">
        <v>0</v>
      </c>
      <c r="L8046" s="187">
        <v>0</v>
      </c>
      <c r="M8046" s="187">
        <v>43.220363616943359</v>
      </c>
      <c r="N8046" s="187">
        <v>0</v>
      </c>
      <c r="O8046" t="s">
        <v>7853</v>
      </c>
    </row>
    <row r="8047" spans="1:15" hidden="1" x14ac:dyDescent="0.45">
      <c r="A8047" s="187">
        <v>2027</v>
      </c>
      <c r="B8047" t="s">
        <v>316</v>
      </c>
      <c r="C8047" t="s">
        <v>322</v>
      </c>
      <c r="D8047" t="s">
        <v>35</v>
      </c>
      <c r="E8047" t="s">
        <v>354</v>
      </c>
      <c r="F8047" t="s">
        <v>384</v>
      </c>
      <c r="G8047" t="s">
        <v>36</v>
      </c>
      <c r="H8047" t="s">
        <v>43</v>
      </c>
      <c r="I8047" s="187">
        <v>0</v>
      </c>
      <c r="J8047" s="187">
        <v>44.058153545428361</v>
      </c>
      <c r="K8047" s="187">
        <v>0</v>
      </c>
      <c r="L8047" s="187">
        <v>0</v>
      </c>
      <c r="M8047" s="187">
        <v>44.058155059814453</v>
      </c>
      <c r="N8047" s="187">
        <v>0</v>
      </c>
      <c r="O8047" t="s">
        <v>7856</v>
      </c>
    </row>
    <row r="8048" spans="1:15" hidden="1" x14ac:dyDescent="0.45">
      <c r="A8048" s="187">
        <v>2027</v>
      </c>
      <c r="B8048" t="s">
        <v>313</v>
      </c>
      <c r="C8048" t="s">
        <v>322</v>
      </c>
      <c r="D8048" t="s">
        <v>35</v>
      </c>
      <c r="E8048" t="s">
        <v>354</v>
      </c>
      <c r="F8048" t="s">
        <v>384</v>
      </c>
      <c r="G8048" t="s">
        <v>36</v>
      </c>
      <c r="H8048" t="s">
        <v>43</v>
      </c>
      <c r="I8048" s="187"/>
      <c r="J8048" s="187">
        <v>0</v>
      </c>
      <c r="K8048" s="187">
        <v>0</v>
      </c>
      <c r="L8048" s="187">
        <v>0</v>
      </c>
      <c r="M8048" s="187">
        <v>0</v>
      </c>
      <c r="N8048" s="187">
        <v>0</v>
      </c>
      <c r="O8048" t="s">
        <v>7854</v>
      </c>
    </row>
    <row r="8049" spans="1:15" hidden="1" x14ac:dyDescent="0.45">
      <c r="A8049" s="187">
        <v>2027</v>
      </c>
      <c r="B8049" t="s">
        <v>314</v>
      </c>
      <c r="C8049" t="s">
        <v>322</v>
      </c>
      <c r="D8049" t="s">
        <v>35</v>
      </c>
      <c r="E8049" t="s">
        <v>354</v>
      </c>
      <c r="F8049" t="s">
        <v>384</v>
      </c>
      <c r="G8049" t="s">
        <v>36</v>
      </c>
      <c r="H8049" t="s">
        <v>43</v>
      </c>
      <c r="I8049" s="187">
        <v>0</v>
      </c>
      <c r="J8049" s="187">
        <v>0</v>
      </c>
      <c r="K8049" s="187">
        <v>0</v>
      </c>
      <c r="L8049" s="187">
        <v>0</v>
      </c>
      <c r="M8049" s="187">
        <v>0</v>
      </c>
      <c r="N8049" s="187">
        <v>0</v>
      </c>
      <c r="O8049" t="s">
        <v>7855</v>
      </c>
    </row>
    <row r="8050" spans="1:15" hidden="1" x14ac:dyDescent="0.45">
      <c r="A8050" s="187">
        <v>2027</v>
      </c>
      <c r="B8050" t="s">
        <v>8570</v>
      </c>
      <c r="C8050" t="s">
        <v>322</v>
      </c>
      <c r="D8050" t="s">
        <v>35</v>
      </c>
      <c r="E8050" t="s">
        <v>354</v>
      </c>
      <c r="F8050" t="s">
        <v>384</v>
      </c>
      <c r="G8050" t="s">
        <v>36</v>
      </c>
      <c r="H8050" t="s">
        <v>43</v>
      </c>
      <c r="I8050" s="187">
        <v>0</v>
      </c>
      <c r="J8050" s="187">
        <v>40</v>
      </c>
      <c r="K8050" s="187">
        <v>0</v>
      </c>
      <c r="L8050" s="187">
        <v>0</v>
      </c>
      <c r="M8050" s="187">
        <v>40</v>
      </c>
      <c r="N8050" s="187">
        <v>0</v>
      </c>
      <c r="O8050" t="s">
        <v>9223</v>
      </c>
    </row>
    <row r="8051" spans="1:15" hidden="1" x14ac:dyDescent="0.45">
      <c r="A8051" s="187">
        <v>2027</v>
      </c>
      <c r="B8051" t="s">
        <v>315</v>
      </c>
      <c r="C8051" t="s">
        <v>322</v>
      </c>
      <c r="D8051" t="s">
        <v>35</v>
      </c>
      <c r="E8051" t="s">
        <v>354</v>
      </c>
      <c r="F8051" t="s">
        <v>384</v>
      </c>
      <c r="G8051" t="s">
        <v>36</v>
      </c>
      <c r="H8051" t="s">
        <v>43</v>
      </c>
      <c r="I8051" s="187">
        <v>0</v>
      </c>
      <c r="J8051" s="187">
        <v>0</v>
      </c>
      <c r="K8051" s="187">
        <v>0</v>
      </c>
      <c r="L8051" s="187">
        <v>0</v>
      </c>
      <c r="M8051" s="187">
        <v>0</v>
      </c>
      <c r="N8051" s="187">
        <v>0</v>
      </c>
      <c r="O8051" t="s">
        <v>7857</v>
      </c>
    </row>
    <row r="8052" spans="1:15" hidden="1" x14ac:dyDescent="0.45">
      <c r="A8052" s="187">
        <v>2027</v>
      </c>
      <c r="B8052" t="s">
        <v>317</v>
      </c>
      <c r="C8052" t="s">
        <v>322</v>
      </c>
      <c r="D8052" t="s">
        <v>35</v>
      </c>
      <c r="E8052" t="s">
        <v>354</v>
      </c>
      <c r="F8052" t="s">
        <v>384</v>
      </c>
      <c r="G8052" t="s">
        <v>37</v>
      </c>
      <c r="H8052" t="s">
        <v>43</v>
      </c>
      <c r="I8052" s="187">
        <v>0</v>
      </c>
      <c r="J8052" s="187">
        <v>40</v>
      </c>
      <c r="K8052" s="187">
        <v>0</v>
      </c>
      <c r="L8052" s="187">
        <v>0</v>
      </c>
      <c r="M8052" s="187">
        <v>40</v>
      </c>
      <c r="N8052" s="187">
        <v>0</v>
      </c>
      <c r="O8052" t="s">
        <v>7860</v>
      </c>
    </row>
    <row r="8053" spans="1:15" hidden="1" x14ac:dyDescent="0.45">
      <c r="A8053" s="187">
        <v>2027</v>
      </c>
      <c r="B8053" t="s">
        <v>8570</v>
      </c>
      <c r="C8053" t="s">
        <v>322</v>
      </c>
      <c r="D8053" t="s">
        <v>35</v>
      </c>
      <c r="E8053" t="s">
        <v>354</v>
      </c>
      <c r="F8053" t="s">
        <v>384</v>
      </c>
      <c r="G8053" t="s">
        <v>37</v>
      </c>
      <c r="H8053" t="s">
        <v>43</v>
      </c>
      <c r="I8053" s="187">
        <v>0</v>
      </c>
      <c r="J8053" s="187">
        <v>40</v>
      </c>
      <c r="K8053" s="187">
        <v>0</v>
      </c>
      <c r="L8053" s="187">
        <v>0</v>
      </c>
      <c r="M8053" s="187">
        <v>40</v>
      </c>
      <c r="N8053" s="187">
        <v>0</v>
      </c>
      <c r="O8053" t="s">
        <v>9224</v>
      </c>
    </row>
    <row r="8054" spans="1:15" hidden="1" x14ac:dyDescent="0.45">
      <c r="A8054" s="187">
        <v>2027</v>
      </c>
      <c r="B8054" t="s">
        <v>313</v>
      </c>
      <c r="C8054" t="s">
        <v>322</v>
      </c>
      <c r="D8054" t="s">
        <v>35</v>
      </c>
      <c r="E8054" t="s">
        <v>354</v>
      </c>
      <c r="F8054" t="s">
        <v>384</v>
      </c>
      <c r="G8054" t="s">
        <v>37</v>
      </c>
      <c r="H8054" t="s">
        <v>43</v>
      </c>
      <c r="I8054" s="187"/>
      <c r="J8054" s="187">
        <v>0</v>
      </c>
      <c r="K8054" s="187">
        <v>0</v>
      </c>
      <c r="L8054" s="187">
        <v>0</v>
      </c>
      <c r="M8054" s="187">
        <v>0</v>
      </c>
      <c r="N8054" s="187">
        <v>0</v>
      </c>
      <c r="O8054" t="s">
        <v>7858</v>
      </c>
    </row>
    <row r="8055" spans="1:15" hidden="1" x14ac:dyDescent="0.45">
      <c r="A8055" s="187">
        <v>2027</v>
      </c>
      <c r="B8055" t="s">
        <v>314</v>
      </c>
      <c r="C8055" t="s">
        <v>322</v>
      </c>
      <c r="D8055" t="s">
        <v>35</v>
      </c>
      <c r="E8055" t="s">
        <v>354</v>
      </c>
      <c r="F8055" t="s">
        <v>384</v>
      </c>
      <c r="G8055" t="s">
        <v>37</v>
      </c>
      <c r="H8055" t="s">
        <v>43</v>
      </c>
      <c r="I8055" s="187">
        <v>0</v>
      </c>
      <c r="J8055" s="187">
        <v>0</v>
      </c>
      <c r="K8055" s="187">
        <v>0</v>
      </c>
      <c r="L8055" s="187">
        <v>0</v>
      </c>
      <c r="M8055" s="187">
        <v>0</v>
      </c>
      <c r="N8055" s="187">
        <v>0</v>
      </c>
      <c r="O8055" t="s">
        <v>7862</v>
      </c>
    </row>
    <row r="8056" spans="1:15" hidden="1" x14ac:dyDescent="0.45">
      <c r="A8056" s="187">
        <v>2027</v>
      </c>
      <c r="B8056" t="s">
        <v>315</v>
      </c>
      <c r="C8056" t="s">
        <v>322</v>
      </c>
      <c r="D8056" t="s">
        <v>35</v>
      </c>
      <c r="E8056" t="s">
        <v>354</v>
      </c>
      <c r="F8056" t="s">
        <v>384</v>
      </c>
      <c r="G8056" t="s">
        <v>37</v>
      </c>
      <c r="H8056" t="s">
        <v>43</v>
      </c>
      <c r="I8056" s="187">
        <v>0</v>
      </c>
      <c r="J8056" s="187">
        <v>0</v>
      </c>
      <c r="K8056" s="187">
        <v>0</v>
      </c>
      <c r="L8056" s="187">
        <v>0</v>
      </c>
      <c r="M8056" s="187">
        <v>0</v>
      </c>
      <c r="N8056" s="187">
        <v>0</v>
      </c>
      <c r="O8056" t="s">
        <v>7859</v>
      </c>
    </row>
    <row r="8057" spans="1:15" hidden="1" x14ac:dyDescent="0.45">
      <c r="A8057" s="187">
        <v>2027</v>
      </c>
      <c r="B8057" t="s">
        <v>316</v>
      </c>
      <c r="C8057" t="s">
        <v>322</v>
      </c>
      <c r="D8057" t="s">
        <v>35</v>
      </c>
      <c r="E8057" t="s">
        <v>354</v>
      </c>
      <c r="F8057" t="s">
        <v>384</v>
      </c>
      <c r="G8057" t="s">
        <v>37</v>
      </c>
      <c r="H8057" t="s">
        <v>43</v>
      </c>
      <c r="I8057" s="187">
        <v>0</v>
      </c>
      <c r="J8057" s="187">
        <v>40</v>
      </c>
      <c r="K8057" s="187">
        <v>0</v>
      </c>
      <c r="L8057" s="187">
        <v>0</v>
      </c>
      <c r="M8057" s="187">
        <v>40</v>
      </c>
      <c r="N8057" s="187">
        <v>0</v>
      </c>
      <c r="O8057" t="s">
        <v>7861</v>
      </c>
    </row>
    <row r="8058" spans="1:15" hidden="1" x14ac:dyDescent="0.45">
      <c r="A8058" s="187">
        <v>2027</v>
      </c>
      <c r="B8058" t="s">
        <v>313</v>
      </c>
      <c r="C8058" t="s">
        <v>322</v>
      </c>
      <c r="D8058" t="s">
        <v>35</v>
      </c>
      <c r="E8058" t="s">
        <v>354</v>
      </c>
      <c r="F8058" t="s">
        <v>385</v>
      </c>
      <c r="G8058" t="s">
        <v>36</v>
      </c>
      <c r="H8058" t="s">
        <v>43</v>
      </c>
      <c r="I8058" s="187"/>
      <c r="J8058" s="187">
        <v>47.915674981282514</v>
      </c>
      <c r="K8058" s="187">
        <v>4142.9737853471988</v>
      </c>
      <c r="L8058" s="187">
        <v>0</v>
      </c>
      <c r="M8058" s="187">
        <v>4190.8896484375</v>
      </c>
      <c r="N8058" s="187">
        <v>0</v>
      </c>
      <c r="O8058" t="s">
        <v>7867</v>
      </c>
    </row>
    <row r="8059" spans="1:15" hidden="1" x14ac:dyDescent="0.45">
      <c r="A8059" s="187">
        <v>2027</v>
      </c>
      <c r="B8059" t="s">
        <v>314</v>
      </c>
      <c r="C8059" t="s">
        <v>322</v>
      </c>
      <c r="D8059" t="s">
        <v>35</v>
      </c>
      <c r="E8059" t="s">
        <v>354</v>
      </c>
      <c r="F8059" t="s">
        <v>385</v>
      </c>
      <c r="G8059" t="s">
        <v>36</v>
      </c>
      <c r="H8059" t="s">
        <v>43</v>
      </c>
      <c r="I8059" s="187">
        <v>0</v>
      </c>
      <c r="J8059" s="187">
        <v>46.592826443955992</v>
      </c>
      <c r="K8059" s="187">
        <v>1352.2518462054954</v>
      </c>
      <c r="L8059" s="187">
        <v>0</v>
      </c>
      <c r="M8059" s="187">
        <v>1398.8447265625</v>
      </c>
      <c r="N8059" s="187">
        <v>0</v>
      </c>
      <c r="O8059" t="s">
        <v>7865</v>
      </c>
    </row>
    <row r="8060" spans="1:15" hidden="1" x14ac:dyDescent="0.45">
      <c r="A8060" s="187">
        <v>2027</v>
      </c>
      <c r="B8060" t="s">
        <v>317</v>
      </c>
      <c r="C8060" t="s">
        <v>322</v>
      </c>
      <c r="D8060" t="s">
        <v>35</v>
      </c>
      <c r="E8060" t="s">
        <v>354</v>
      </c>
      <c r="F8060" t="s">
        <v>385</v>
      </c>
      <c r="G8060" t="s">
        <v>36</v>
      </c>
      <c r="H8060" t="s">
        <v>43</v>
      </c>
      <c r="I8060" s="187">
        <v>54.025454784332467</v>
      </c>
      <c r="J8060" s="187">
        <v>21.610181913732987</v>
      </c>
      <c r="K8060" s="187">
        <v>914.47716363813674</v>
      </c>
      <c r="L8060" s="187">
        <v>346.84341971541443</v>
      </c>
      <c r="M8060" s="187">
        <v>1336.9561767578125</v>
      </c>
      <c r="N8060" s="187">
        <v>400.86886596679688</v>
      </c>
      <c r="O8060" t="s">
        <v>7866</v>
      </c>
    </row>
    <row r="8061" spans="1:15" hidden="1" x14ac:dyDescent="0.45">
      <c r="A8061" s="187">
        <v>2027</v>
      </c>
      <c r="B8061" t="s">
        <v>316</v>
      </c>
      <c r="C8061" t="s">
        <v>322</v>
      </c>
      <c r="D8061" t="s">
        <v>35</v>
      </c>
      <c r="E8061" t="s">
        <v>354</v>
      </c>
      <c r="F8061" t="s">
        <v>385</v>
      </c>
      <c r="G8061" t="s">
        <v>36</v>
      </c>
      <c r="H8061" t="s">
        <v>43</v>
      </c>
      <c r="I8061" s="187">
        <v>0</v>
      </c>
      <c r="J8061" s="187">
        <v>22.029076772714181</v>
      </c>
      <c r="K8061" s="187">
        <v>991.39193042719853</v>
      </c>
      <c r="L8061" s="187">
        <v>58.377053447692582</v>
      </c>
      <c r="M8061" s="187">
        <v>1071.798095703125</v>
      </c>
      <c r="N8061" s="187">
        <v>58.377052307128906</v>
      </c>
      <c r="O8061" t="s">
        <v>7864</v>
      </c>
    </row>
    <row r="8062" spans="1:15" hidden="1" x14ac:dyDescent="0.45">
      <c r="A8062" s="187">
        <v>2027</v>
      </c>
      <c r="B8062" t="s">
        <v>8570</v>
      </c>
      <c r="C8062" t="s">
        <v>322</v>
      </c>
      <c r="D8062" t="s">
        <v>35</v>
      </c>
      <c r="E8062" t="s">
        <v>354</v>
      </c>
      <c r="F8062" t="s">
        <v>385</v>
      </c>
      <c r="G8062" t="s">
        <v>36</v>
      </c>
      <c r="H8062" t="s">
        <v>43</v>
      </c>
      <c r="I8062" s="187">
        <v>61.179096000000008</v>
      </c>
      <c r="J8062" s="187">
        <v>20</v>
      </c>
      <c r="K8062" s="187">
        <v>1363.871049067787</v>
      </c>
      <c r="L8062" s="187">
        <v>704</v>
      </c>
      <c r="M8062" s="187">
        <v>2149.05029296875</v>
      </c>
      <c r="N8062" s="187">
        <v>765.1790771484375</v>
      </c>
      <c r="O8062" t="s">
        <v>9225</v>
      </c>
    </row>
    <row r="8063" spans="1:15" hidden="1" x14ac:dyDescent="0.45">
      <c r="A8063" s="187">
        <v>2027</v>
      </c>
      <c r="B8063" t="s">
        <v>315</v>
      </c>
      <c r="C8063" t="s">
        <v>322</v>
      </c>
      <c r="D8063" t="s">
        <v>35</v>
      </c>
      <c r="E8063" t="s">
        <v>354</v>
      </c>
      <c r="F8063" t="s">
        <v>385</v>
      </c>
      <c r="G8063" t="s">
        <v>36</v>
      </c>
      <c r="H8063" t="s">
        <v>43</v>
      </c>
      <c r="I8063" s="187">
        <v>0</v>
      </c>
      <c r="J8063" s="187">
        <v>45.311897447400071</v>
      </c>
      <c r="K8063" s="187">
        <v>1313.3572555245332</v>
      </c>
      <c r="L8063" s="187">
        <v>58.905466681620091</v>
      </c>
      <c r="M8063" s="187">
        <v>1417.57470703125</v>
      </c>
      <c r="N8063" s="187">
        <v>58.905467987060547</v>
      </c>
      <c r="O8063" t="s">
        <v>7863</v>
      </c>
    </row>
    <row r="8064" spans="1:15" hidden="1" x14ac:dyDescent="0.45">
      <c r="A8064" s="187">
        <v>2027</v>
      </c>
      <c r="B8064" t="s">
        <v>316</v>
      </c>
      <c r="C8064" t="s">
        <v>322</v>
      </c>
      <c r="D8064" t="s">
        <v>35</v>
      </c>
      <c r="E8064" t="s">
        <v>354</v>
      </c>
      <c r="F8064" t="s">
        <v>385</v>
      </c>
      <c r="G8064" t="s">
        <v>37</v>
      </c>
      <c r="H8064" t="s">
        <v>43</v>
      </c>
      <c r="I8064" s="187">
        <v>0</v>
      </c>
      <c r="J8064" s="187">
        <v>20</v>
      </c>
      <c r="K8064" s="187">
        <v>1015.427566611849</v>
      </c>
      <c r="L8064" s="187">
        <v>61.237697431649991</v>
      </c>
      <c r="M8064" s="187">
        <v>1096.665283203125</v>
      </c>
      <c r="N8064" s="187">
        <v>61.237697601318359</v>
      </c>
      <c r="O8064" t="s">
        <v>7868</v>
      </c>
    </row>
    <row r="8065" spans="1:15" hidden="1" x14ac:dyDescent="0.45">
      <c r="A8065" s="187">
        <v>2027</v>
      </c>
      <c r="B8065" t="s">
        <v>314</v>
      </c>
      <c r="C8065" t="s">
        <v>322</v>
      </c>
      <c r="D8065" t="s">
        <v>35</v>
      </c>
      <c r="E8065" t="s">
        <v>354</v>
      </c>
      <c r="F8065" t="s">
        <v>385</v>
      </c>
      <c r="G8065" t="s">
        <v>37</v>
      </c>
      <c r="H8065" t="s">
        <v>43</v>
      </c>
      <c r="I8065" s="187">
        <v>0</v>
      </c>
      <c r="J8065" s="187">
        <v>48</v>
      </c>
      <c r="K8065" s="187">
        <v>1389.9532371254211</v>
      </c>
      <c r="L8065" s="187">
        <v>0</v>
      </c>
      <c r="M8065" s="187">
        <v>1437.9532470703125</v>
      </c>
      <c r="N8065" s="187">
        <v>0</v>
      </c>
      <c r="O8065" t="s">
        <v>7872</v>
      </c>
    </row>
    <row r="8066" spans="1:15" hidden="1" x14ac:dyDescent="0.45">
      <c r="A8066" s="187">
        <v>2027</v>
      </c>
      <c r="B8066" t="s">
        <v>315</v>
      </c>
      <c r="C8066" t="s">
        <v>322</v>
      </c>
      <c r="D8066" t="s">
        <v>35</v>
      </c>
      <c r="E8066" t="s">
        <v>354</v>
      </c>
      <c r="F8066" t="s">
        <v>385</v>
      </c>
      <c r="G8066" t="s">
        <v>37</v>
      </c>
      <c r="H8066" t="s">
        <v>43</v>
      </c>
      <c r="I8066" s="187">
        <v>0</v>
      </c>
      <c r="J8066" s="187">
        <v>46</v>
      </c>
      <c r="K8066" s="187">
        <v>1355.03182271115</v>
      </c>
      <c r="L8066" s="187">
        <v>60.92628781211782</v>
      </c>
      <c r="M8066" s="187">
        <v>1461.9581298828125</v>
      </c>
      <c r="N8066" s="187">
        <v>60.926288604736328</v>
      </c>
      <c r="O8066" t="s">
        <v>7871</v>
      </c>
    </row>
    <row r="8067" spans="1:15" hidden="1" x14ac:dyDescent="0.45">
      <c r="A8067" s="187">
        <v>2027</v>
      </c>
      <c r="B8067" t="s">
        <v>317</v>
      </c>
      <c r="C8067" t="s">
        <v>322</v>
      </c>
      <c r="D8067" t="s">
        <v>35</v>
      </c>
      <c r="E8067" t="s">
        <v>354</v>
      </c>
      <c r="F8067" t="s">
        <v>385</v>
      </c>
      <c r="G8067" t="s">
        <v>37</v>
      </c>
      <c r="H8067" t="s">
        <v>43</v>
      </c>
      <c r="I8067" s="187">
        <v>56.308120963199997</v>
      </c>
      <c r="J8067" s="187">
        <v>20</v>
      </c>
      <c r="K8067" s="187">
        <v>947.30595447177677</v>
      </c>
      <c r="L8067" s="187">
        <v>357</v>
      </c>
      <c r="M8067" s="187">
        <v>1380.614013671875</v>
      </c>
      <c r="N8067" s="187">
        <v>413.30810546875</v>
      </c>
      <c r="O8067" t="s">
        <v>7870</v>
      </c>
    </row>
    <row r="8068" spans="1:15" hidden="1" x14ac:dyDescent="0.45">
      <c r="A8068" s="187">
        <v>2027</v>
      </c>
      <c r="B8068" t="s">
        <v>313</v>
      </c>
      <c r="C8068" t="s">
        <v>322</v>
      </c>
      <c r="D8068" t="s">
        <v>35</v>
      </c>
      <c r="E8068" t="s">
        <v>354</v>
      </c>
      <c r="F8068" t="s">
        <v>385</v>
      </c>
      <c r="G8068" t="s">
        <v>37</v>
      </c>
      <c r="H8068" t="s">
        <v>43</v>
      </c>
      <c r="I8068" s="187"/>
      <c r="J8068" s="187">
        <v>49</v>
      </c>
      <c r="K8068" s="187">
        <v>4197.1011282407662</v>
      </c>
      <c r="L8068" s="187">
        <v>0</v>
      </c>
      <c r="M8068" s="187">
        <v>4246.10107421875</v>
      </c>
      <c r="N8068" s="187">
        <v>0</v>
      </c>
      <c r="O8068" t="s">
        <v>7869</v>
      </c>
    </row>
    <row r="8069" spans="1:15" hidden="1" x14ac:dyDescent="0.45">
      <c r="A8069" s="187">
        <v>2027</v>
      </c>
      <c r="B8069" t="s">
        <v>8570</v>
      </c>
      <c r="C8069" t="s">
        <v>322</v>
      </c>
      <c r="D8069" t="s">
        <v>35</v>
      </c>
      <c r="E8069" t="s">
        <v>354</v>
      </c>
      <c r="F8069" t="s">
        <v>385</v>
      </c>
      <c r="G8069" t="s">
        <v>37</v>
      </c>
      <c r="H8069" t="s">
        <v>43</v>
      </c>
      <c r="I8069" s="187">
        <v>67.546665450729904</v>
      </c>
      <c r="J8069" s="187">
        <v>20</v>
      </c>
      <c r="K8069" s="187">
        <v>1512.461696484308</v>
      </c>
      <c r="L8069" s="187">
        <v>845</v>
      </c>
      <c r="M8069" s="187">
        <v>2445.00830078125</v>
      </c>
      <c r="N8069" s="187">
        <v>912.54669189453125</v>
      </c>
      <c r="O8069" t="s">
        <v>9226</v>
      </c>
    </row>
    <row r="8070" spans="1:15" hidden="1" x14ac:dyDescent="0.45">
      <c r="A8070" s="187">
        <v>2027</v>
      </c>
      <c r="B8070" t="s">
        <v>314</v>
      </c>
      <c r="C8070" t="s">
        <v>322</v>
      </c>
      <c r="D8070" t="s">
        <v>35</v>
      </c>
      <c r="E8070" t="s">
        <v>354</v>
      </c>
      <c r="F8070" t="s">
        <v>386</v>
      </c>
      <c r="G8070" t="s">
        <v>36</v>
      </c>
      <c r="H8070" t="s">
        <v>43</v>
      </c>
      <c r="I8070" s="187">
        <v>0</v>
      </c>
      <c r="J8070" s="187">
        <v>58.241033054944985</v>
      </c>
      <c r="K8070" s="187">
        <v>2080.3874557007625</v>
      </c>
      <c r="L8070" s="187">
        <v>57.076212393846085</v>
      </c>
      <c r="M8070" s="187">
        <v>2195.70458984375</v>
      </c>
      <c r="N8070" s="187">
        <v>57.076213836669922</v>
      </c>
      <c r="O8070" t="s">
        <v>7874</v>
      </c>
    </row>
    <row r="8071" spans="1:15" hidden="1" x14ac:dyDescent="0.45">
      <c r="A8071" s="187">
        <v>2027</v>
      </c>
      <c r="B8071" t="s">
        <v>313</v>
      </c>
      <c r="C8071" t="s">
        <v>322</v>
      </c>
      <c r="D8071" t="s">
        <v>35</v>
      </c>
      <c r="E8071" t="s">
        <v>354</v>
      </c>
      <c r="F8071" t="s">
        <v>386</v>
      </c>
      <c r="G8071" t="s">
        <v>36</v>
      </c>
      <c r="H8071" t="s">
        <v>43</v>
      </c>
      <c r="I8071" s="187"/>
      <c r="J8071" s="187">
        <v>59.894593726603141</v>
      </c>
      <c r="K8071" s="187">
        <v>735.77403291685221</v>
      </c>
      <c r="L8071" s="187">
        <v>0</v>
      </c>
      <c r="M8071" s="187">
        <v>795.66864013671875</v>
      </c>
      <c r="N8071" s="187">
        <v>0</v>
      </c>
      <c r="O8071" t="s">
        <v>7877</v>
      </c>
    </row>
    <row r="8072" spans="1:15" hidden="1" x14ac:dyDescent="0.45">
      <c r="A8072" s="187">
        <v>2027</v>
      </c>
      <c r="B8072" t="s">
        <v>317</v>
      </c>
      <c r="C8072" t="s">
        <v>322</v>
      </c>
      <c r="D8072" t="s">
        <v>35</v>
      </c>
      <c r="E8072" t="s">
        <v>354</v>
      </c>
      <c r="F8072" t="s">
        <v>386</v>
      </c>
      <c r="G8072" t="s">
        <v>36</v>
      </c>
      <c r="H8072" t="s">
        <v>43</v>
      </c>
      <c r="I8072" s="187">
        <v>54.025454784332467</v>
      </c>
      <c r="J8072" s="187">
        <v>21.610181913732987</v>
      </c>
      <c r="K8072" s="187">
        <v>1250.8145932730688</v>
      </c>
      <c r="L8072" s="187">
        <v>0</v>
      </c>
      <c r="M8072" s="187">
        <v>1326.4501953125</v>
      </c>
      <c r="N8072" s="187">
        <v>54.025455474853516</v>
      </c>
      <c r="O8072" t="s">
        <v>7873</v>
      </c>
    </row>
    <row r="8073" spans="1:15" hidden="1" x14ac:dyDescent="0.45">
      <c r="A8073" s="187">
        <v>2027</v>
      </c>
      <c r="B8073" t="s">
        <v>316</v>
      </c>
      <c r="C8073" t="s">
        <v>322</v>
      </c>
      <c r="D8073" t="s">
        <v>35</v>
      </c>
      <c r="E8073" t="s">
        <v>354</v>
      </c>
      <c r="F8073" t="s">
        <v>386</v>
      </c>
      <c r="G8073" t="s">
        <v>36</v>
      </c>
      <c r="H8073" t="s">
        <v>43</v>
      </c>
      <c r="I8073" s="187">
        <v>0</v>
      </c>
      <c r="J8073" s="187">
        <v>22.029076772714181</v>
      </c>
      <c r="K8073" s="187">
        <v>2404.1254312859573</v>
      </c>
      <c r="L8073" s="187">
        <v>0</v>
      </c>
      <c r="M8073" s="187">
        <v>2426.154541015625</v>
      </c>
      <c r="N8073" s="187">
        <v>0</v>
      </c>
      <c r="O8073" t="s">
        <v>7875</v>
      </c>
    </row>
    <row r="8074" spans="1:15" hidden="1" x14ac:dyDescent="0.45">
      <c r="A8074" s="187">
        <v>2027</v>
      </c>
      <c r="B8074" t="s">
        <v>8570</v>
      </c>
      <c r="C8074" t="s">
        <v>322</v>
      </c>
      <c r="D8074" t="s">
        <v>35</v>
      </c>
      <c r="E8074" t="s">
        <v>354</v>
      </c>
      <c r="F8074" t="s">
        <v>386</v>
      </c>
      <c r="G8074" t="s">
        <v>36</v>
      </c>
      <c r="H8074" t="s">
        <v>43</v>
      </c>
      <c r="I8074" s="187">
        <v>61.179096000000008</v>
      </c>
      <c r="J8074" s="187">
        <v>20</v>
      </c>
      <c r="K8074" s="187">
        <v>256.56580963866833</v>
      </c>
      <c r="L8074" s="187">
        <v>0</v>
      </c>
      <c r="M8074" s="187">
        <v>337.74490356445313</v>
      </c>
      <c r="N8074" s="187">
        <v>61.179096221923828</v>
      </c>
      <c r="O8074" t="s">
        <v>9227</v>
      </c>
    </row>
    <row r="8075" spans="1:15" hidden="1" x14ac:dyDescent="0.45">
      <c r="A8075" s="187">
        <v>2027</v>
      </c>
      <c r="B8075" t="s">
        <v>315</v>
      </c>
      <c r="C8075" t="s">
        <v>322</v>
      </c>
      <c r="D8075" t="s">
        <v>35</v>
      </c>
      <c r="E8075" t="s">
        <v>354</v>
      </c>
      <c r="F8075" t="s">
        <v>386</v>
      </c>
      <c r="G8075" t="s">
        <v>36</v>
      </c>
      <c r="H8075" t="s">
        <v>43</v>
      </c>
      <c r="I8075" s="187">
        <v>0</v>
      </c>
      <c r="J8075" s="187">
        <v>56.639871809250089</v>
      </c>
      <c r="K8075" s="187">
        <v>2146.8339753766413</v>
      </c>
      <c r="L8075" s="187">
        <v>82.694212841505134</v>
      </c>
      <c r="M8075" s="187">
        <v>2286.16796875</v>
      </c>
      <c r="N8075" s="187">
        <v>82.6942138671875</v>
      </c>
      <c r="O8075" t="s">
        <v>7876</v>
      </c>
    </row>
    <row r="8076" spans="1:15" hidden="1" x14ac:dyDescent="0.45">
      <c r="A8076" s="187">
        <v>2027</v>
      </c>
      <c r="B8076" t="s">
        <v>313</v>
      </c>
      <c r="C8076" t="s">
        <v>322</v>
      </c>
      <c r="D8076" t="s">
        <v>35</v>
      </c>
      <c r="E8076" t="s">
        <v>354</v>
      </c>
      <c r="F8076" t="s">
        <v>386</v>
      </c>
      <c r="G8076" t="s">
        <v>37</v>
      </c>
      <c r="H8076" t="s">
        <v>43</v>
      </c>
      <c r="I8076" s="187"/>
      <c r="J8076" s="187">
        <v>61</v>
      </c>
      <c r="K8076" s="187">
        <v>745.38681239248569</v>
      </c>
      <c r="L8076" s="187">
        <v>0</v>
      </c>
      <c r="M8076" s="187">
        <v>806.3868408203125</v>
      </c>
      <c r="N8076" s="187">
        <v>0</v>
      </c>
      <c r="O8076" t="s">
        <v>7881</v>
      </c>
    </row>
    <row r="8077" spans="1:15" hidden="1" x14ac:dyDescent="0.45">
      <c r="A8077" s="187">
        <v>2027</v>
      </c>
      <c r="B8077" t="s">
        <v>314</v>
      </c>
      <c r="C8077" t="s">
        <v>322</v>
      </c>
      <c r="D8077" t="s">
        <v>35</v>
      </c>
      <c r="E8077" t="s">
        <v>354</v>
      </c>
      <c r="F8077" t="s">
        <v>386</v>
      </c>
      <c r="G8077" t="s">
        <v>37</v>
      </c>
      <c r="H8077" t="s">
        <v>43</v>
      </c>
      <c r="I8077" s="187">
        <v>0</v>
      </c>
      <c r="J8077" s="187">
        <v>60</v>
      </c>
      <c r="K8077" s="187">
        <v>2138.389595577572</v>
      </c>
      <c r="L8077" s="187">
        <v>63.973690776206467</v>
      </c>
      <c r="M8077" s="187">
        <v>2262.36328125</v>
      </c>
      <c r="N8077" s="187">
        <v>63.973690032958984</v>
      </c>
      <c r="O8077" t="s">
        <v>7880</v>
      </c>
    </row>
    <row r="8078" spans="1:15" hidden="1" x14ac:dyDescent="0.45">
      <c r="A8078" s="187">
        <v>2027</v>
      </c>
      <c r="B8078" t="s">
        <v>8570</v>
      </c>
      <c r="C8078" t="s">
        <v>322</v>
      </c>
      <c r="D8078" t="s">
        <v>35</v>
      </c>
      <c r="E8078" t="s">
        <v>354</v>
      </c>
      <c r="F8078" t="s">
        <v>386</v>
      </c>
      <c r="G8078" t="s">
        <v>37</v>
      </c>
      <c r="H8078" t="s">
        <v>43</v>
      </c>
      <c r="I8078" s="187">
        <v>67.546665450729904</v>
      </c>
      <c r="J8078" s="187">
        <v>20</v>
      </c>
      <c r="K8078" s="187">
        <v>284.51807080383549</v>
      </c>
      <c r="L8078" s="187">
        <v>0</v>
      </c>
      <c r="M8078" s="187">
        <v>372.06472778320313</v>
      </c>
      <c r="N8078" s="187">
        <v>67.546669006347656</v>
      </c>
      <c r="O8078" t="s">
        <v>9228</v>
      </c>
    </row>
    <row r="8079" spans="1:15" hidden="1" x14ac:dyDescent="0.45">
      <c r="A8079" s="187">
        <v>2027</v>
      </c>
      <c r="B8079" t="s">
        <v>316</v>
      </c>
      <c r="C8079" t="s">
        <v>322</v>
      </c>
      <c r="D8079" t="s">
        <v>35</v>
      </c>
      <c r="E8079" t="s">
        <v>354</v>
      </c>
      <c r="F8079" t="s">
        <v>386</v>
      </c>
      <c r="G8079" t="s">
        <v>37</v>
      </c>
      <c r="H8079" t="s">
        <v>43</v>
      </c>
      <c r="I8079" s="187">
        <v>0</v>
      </c>
      <c r="J8079" s="187">
        <v>20</v>
      </c>
      <c r="K8079" s="187">
        <v>2462.4118490337341</v>
      </c>
      <c r="L8079" s="187">
        <v>0</v>
      </c>
      <c r="M8079" s="187">
        <v>2482.411865234375</v>
      </c>
      <c r="N8079" s="187">
        <v>0</v>
      </c>
      <c r="O8079" t="s">
        <v>7882</v>
      </c>
    </row>
    <row r="8080" spans="1:15" hidden="1" x14ac:dyDescent="0.45">
      <c r="A8080" s="187">
        <v>2027</v>
      </c>
      <c r="B8080" t="s">
        <v>315</v>
      </c>
      <c r="C8080" t="s">
        <v>322</v>
      </c>
      <c r="D8080" t="s">
        <v>35</v>
      </c>
      <c r="E8080" t="s">
        <v>354</v>
      </c>
      <c r="F8080" t="s">
        <v>386</v>
      </c>
      <c r="G8080" t="s">
        <v>37</v>
      </c>
      <c r="H8080" t="s">
        <v>43</v>
      </c>
      <c r="I8080" s="187">
        <v>0</v>
      </c>
      <c r="J8080" s="187">
        <v>57</v>
      </c>
      <c r="K8080" s="187">
        <v>2214.9558640470718</v>
      </c>
      <c r="L8080" s="187">
        <v>85.531134813165394</v>
      </c>
      <c r="M8080" s="187">
        <v>2357.487060546875</v>
      </c>
      <c r="N8080" s="187">
        <v>85.531135559082031</v>
      </c>
      <c r="O8080" t="s">
        <v>7878</v>
      </c>
    </row>
    <row r="8081" spans="1:15" hidden="1" x14ac:dyDescent="0.45">
      <c r="A8081" s="187">
        <v>2027</v>
      </c>
      <c r="B8081" t="s">
        <v>317</v>
      </c>
      <c r="C8081" t="s">
        <v>322</v>
      </c>
      <c r="D8081" t="s">
        <v>35</v>
      </c>
      <c r="E8081" t="s">
        <v>354</v>
      </c>
      <c r="F8081" t="s">
        <v>386</v>
      </c>
      <c r="G8081" t="s">
        <v>37</v>
      </c>
      <c r="H8081" t="s">
        <v>43</v>
      </c>
      <c r="I8081" s="187">
        <v>56.308120963199997</v>
      </c>
      <c r="J8081" s="187">
        <v>20</v>
      </c>
      <c r="K8081" s="187">
        <v>1295.717552348463</v>
      </c>
      <c r="L8081" s="187">
        <v>0</v>
      </c>
      <c r="M8081" s="187">
        <v>1372.025634765625</v>
      </c>
      <c r="N8081" s="187">
        <v>56.308120727539063</v>
      </c>
      <c r="O8081" t="s">
        <v>7879</v>
      </c>
    </row>
    <row r="8082" spans="1:15" hidden="1" x14ac:dyDescent="0.45">
      <c r="A8082" s="187">
        <v>2027</v>
      </c>
      <c r="B8082" t="s">
        <v>316</v>
      </c>
      <c r="C8082" t="s">
        <v>322</v>
      </c>
      <c r="D8082" t="s">
        <v>35</v>
      </c>
      <c r="E8082" t="s">
        <v>354</v>
      </c>
      <c r="F8082" t="s">
        <v>387</v>
      </c>
      <c r="G8082" t="s">
        <v>36</v>
      </c>
      <c r="H8082" t="s">
        <v>43</v>
      </c>
      <c r="I8082" s="187">
        <v>0</v>
      </c>
      <c r="J8082" s="187">
        <v>88.116307090856722</v>
      </c>
      <c r="K8082" s="187">
        <v>3395.5173617131554</v>
      </c>
      <c r="L8082" s="187">
        <v>58.377053447692582</v>
      </c>
      <c r="M8082" s="187">
        <v>3542.0107421875</v>
      </c>
      <c r="N8082" s="187">
        <v>58.377052307128906</v>
      </c>
      <c r="O8082" t="s">
        <v>7883</v>
      </c>
    </row>
    <row r="8083" spans="1:15" hidden="1" x14ac:dyDescent="0.45">
      <c r="A8083" s="187">
        <v>2027</v>
      </c>
      <c r="B8083" t="s">
        <v>8570</v>
      </c>
      <c r="C8083" t="s">
        <v>322</v>
      </c>
      <c r="D8083" t="s">
        <v>35</v>
      </c>
      <c r="E8083" t="s">
        <v>354</v>
      </c>
      <c r="F8083" t="s">
        <v>387</v>
      </c>
      <c r="G8083" t="s">
        <v>36</v>
      </c>
      <c r="H8083" t="s">
        <v>43</v>
      </c>
      <c r="I8083" s="187">
        <v>122.358192</v>
      </c>
      <c r="J8083" s="187">
        <v>80</v>
      </c>
      <c r="K8083" s="187">
        <v>1620.436858706456</v>
      </c>
      <c r="L8083" s="187">
        <v>704</v>
      </c>
      <c r="M8083" s="187">
        <v>2526.794921875</v>
      </c>
      <c r="N8083" s="187">
        <v>826.35821533203125</v>
      </c>
      <c r="O8083" t="s">
        <v>9229</v>
      </c>
    </row>
    <row r="8084" spans="1:15" hidden="1" x14ac:dyDescent="0.45">
      <c r="A8084" s="187">
        <v>2027</v>
      </c>
      <c r="B8084" t="s">
        <v>314</v>
      </c>
      <c r="C8084" t="s">
        <v>322</v>
      </c>
      <c r="D8084" t="s">
        <v>35</v>
      </c>
      <c r="E8084" t="s">
        <v>354</v>
      </c>
      <c r="F8084" t="s">
        <v>387</v>
      </c>
      <c r="G8084" t="s">
        <v>36</v>
      </c>
      <c r="H8084" t="s">
        <v>43</v>
      </c>
      <c r="I8084" s="187">
        <v>0</v>
      </c>
      <c r="J8084" s="187">
        <v>104.83385949890098</v>
      </c>
      <c r="K8084" s="187">
        <v>3432.639301906258</v>
      </c>
      <c r="L8084" s="187">
        <v>57.076212393846085</v>
      </c>
      <c r="M8084" s="187">
        <v>3594.54931640625</v>
      </c>
      <c r="N8084" s="187">
        <v>57.076213836669922</v>
      </c>
      <c r="O8084" t="s">
        <v>7886</v>
      </c>
    </row>
    <row r="8085" spans="1:15" hidden="1" x14ac:dyDescent="0.45">
      <c r="A8085" s="187">
        <v>2027</v>
      </c>
      <c r="B8085" t="s">
        <v>317</v>
      </c>
      <c r="C8085" t="s">
        <v>322</v>
      </c>
      <c r="D8085" t="s">
        <v>35</v>
      </c>
      <c r="E8085" t="s">
        <v>354</v>
      </c>
      <c r="F8085" t="s">
        <v>387</v>
      </c>
      <c r="G8085" t="s">
        <v>36</v>
      </c>
      <c r="H8085" t="s">
        <v>43</v>
      </c>
      <c r="I8085" s="187">
        <v>108.05090956866493</v>
      </c>
      <c r="J8085" s="187">
        <v>86.440727654931948</v>
      </c>
      <c r="K8085" s="187">
        <v>2165.291756911206</v>
      </c>
      <c r="L8085" s="187">
        <v>346.84341971541443</v>
      </c>
      <c r="M8085" s="187">
        <v>2706.626953125</v>
      </c>
      <c r="N8085" s="187">
        <v>454.89431762695313</v>
      </c>
      <c r="O8085" t="s">
        <v>7885</v>
      </c>
    </row>
    <row r="8086" spans="1:15" hidden="1" x14ac:dyDescent="0.45">
      <c r="A8086" s="187">
        <v>2027</v>
      </c>
      <c r="B8086" t="s">
        <v>315</v>
      </c>
      <c r="C8086" t="s">
        <v>322</v>
      </c>
      <c r="D8086" t="s">
        <v>35</v>
      </c>
      <c r="E8086" t="s">
        <v>354</v>
      </c>
      <c r="F8086" t="s">
        <v>387</v>
      </c>
      <c r="G8086" t="s">
        <v>36</v>
      </c>
      <c r="H8086" t="s">
        <v>43</v>
      </c>
      <c r="I8086" s="187">
        <v>0</v>
      </c>
      <c r="J8086" s="187">
        <v>101.95176925665017</v>
      </c>
      <c r="K8086" s="187">
        <v>3460.1912309011759</v>
      </c>
      <c r="L8086" s="187">
        <v>141.59967952312522</v>
      </c>
      <c r="M8086" s="187">
        <v>3703.74267578125</v>
      </c>
      <c r="N8086" s="187">
        <v>141.59968566894531</v>
      </c>
      <c r="O8086" t="s">
        <v>7884</v>
      </c>
    </row>
    <row r="8087" spans="1:15" hidden="1" x14ac:dyDescent="0.45">
      <c r="A8087" s="187">
        <v>2027</v>
      </c>
      <c r="B8087" t="s">
        <v>313</v>
      </c>
      <c r="C8087" t="s">
        <v>322</v>
      </c>
      <c r="D8087" t="s">
        <v>35</v>
      </c>
      <c r="E8087" t="s">
        <v>354</v>
      </c>
      <c r="F8087" t="s">
        <v>387</v>
      </c>
      <c r="G8087" t="s">
        <v>36</v>
      </c>
      <c r="H8087" t="s">
        <v>43</v>
      </c>
      <c r="I8087" s="187">
        <v>0</v>
      </c>
      <c r="J8087" s="187">
        <v>107.81026870788565</v>
      </c>
      <c r="K8087" s="187">
        <v>4878.7478182640507</v>
      </c>
      <c r="L8087" s="187">
        <v>0</v>
      </c>
      <c r="M8087" s="187">
        <v>4986.55810546875</v>
      </c>
      <c r="N8087" s="187">
        <v>0</v>
      </c>
      <c r="O8087" t="s">
        <v>7887</v>
      </c>
    </row>
    <row r="8088" spans="1:15" hidden="1" x14ac:dyDescent="0.45">
      <c r="A8088" s="187">
        <v>2027</v>
      </c>
      <c r="B8088" t="s">
        <v>314</v>
      </c>
      <c r="C8088" t="s">
        <v>322</v>
      </c>
      <c r="D8088" t="s">
        <v>35</v>
      </c>
      <c r="E8088" t="s">
        <v>354</v>
      </c>
      <c r="F8088" t="s">
        <v>387</v>
      </c>
      <c r="G8088" t="s">
        <v>37</v>
      </c>
      <c r="H8088" t="s">
        <v>43</v>
      </c>
      <c r="I8088" s="187">
        <v>0</v>
      </c>
      <c r="J8088" s="187">
        <v>108</v>
      </c>
      <c r="K8088" s="187">
        <v>3528.3428327029919</v>
      </c>
      <c r="L8088" s="187">
        <v>63.973690776206467</v>
      </c>
      <c r="M8088" s="187">
        <v>3700.31640625</v>
      </c>
      <c r="N8088" s="187">
        <v>63.973690032958984</v>
      </c>
      <c r="O8088" t="s">
        <v>7888</v>
      </c>
    </row>
    <row r="8089" spans="1:15" hidden="1" x14ac:dyDescent="0.45">
      <c r="A8089" s="187">
        <v>2027</v>
      </c>
      <c r="B8089" t="s">
        <v>315</v>
      </c>
      <c r="C8089" t="s">
        <v>322</v>
      </c>
      <c r="D8089" t="s">
        <v>35</v>
      </c>
      <c r="E8089" t="s">
        <v>354</v>
      </c>
      <c r="F8089" t="s">
        <v>387</v>
      </c>
      <c r="G8089" t="s">
        <v>37</v>
      </c>
      <c r="H8089" t="s">
        <v>43</v>
      </c>
      <c r="I8089" s="187">
        <v>0</v>
      </c>
      <c r="J8089" s="187">
        <v>103</v>
      </c>
      <c r="K8089" s="187">
        <v>3569.987686758222</v>
      </c>
      <c r="L8089" s="187">
        <v>146.45742262528319</v>
      </c>
      <c r="M8089" s="187">
        <v>3819.4453125</v>
      </c>
      <c r="N8089" s="187">
        <v>146.45742797851563</v>
      </c>
      <c r="O8089" t="s">
        <v>7889</v>
      </c>
    </row>
    <row r="8090" spans="1:15" hidden="1" x14ac:dyDescent="0.45">
      <c r="A8090" s="187">
        <v>2027</v>
      </c>
      <c r="B8090" t="s">
        <v>316</v>
      </c>
      <c r="C8090" t="s">
        <v>322</v>
      </c>
      <c r="D8090" t="s">
        <v>35</v>
      </c>
      <c r="E8090" t="s">
        <v>354</v>
      </c>
      <c r="F8090" t="s">
        <v>387</v>
      </c>
      <c r="G8090" t="s">
        <v>37</v>
      </c>
      <c r="H8090" t="s">
        <v>43</v>
      </c>
      <c r="I8090" s="187">
        <v>0</v>
      </c>
      <c r="J8090" s="187">
        <v>80</v>
      </c>
      <c r="K8090" s="187">
        <v>3477.839415645582</v>
      </c>
      <c r="L8090" s="187">
        <v>61.237697431649991</v>
      </c>
      <c r="M8090" s="187">
        <v>3619.0771484375</v>
      </c>
      <c r="N8090" s="187">
        <v>61.237697601318359</v>
      </c>
      <c r="O8090" t="s">
        <v>7891</v>
      </c>
    </row>
    <row r="8091" spans="1:15" hidden="1" x14ac:dyDescent="0.45">
      <c r="A8091" s="187">
        <v>2027</v>
      </c>
      <c r="B8091" t="s">
        <v>8570</v>
      </c>
      <c r="C8091" t="s">
        <v>322</v>
      </c>
      <c r="D8091" t="s">
        <v>35</v>
      </c>
      <c r="E8091" t="s">
        <v>354</v>
      </c>
      <c r="F8091" t="s">
        <v>387</v>
      </c>
      <c r="G8091" t="s">
        <v>37</v>
      </c>
      <c r="H8091" t="s">
        <v>43</v>
      </c>
      <c r="I8091" s="187">
        <v>135.09333090145981</v>
      </c>
      <c r="J8091" s="187">
        <v>80</v>
      </c>
      <c r="K8091" s="187">
        <v>1796.979767288143</v>
      </c>
      <c r="L8091" s="187">
        <v>845</v>
      </c>
      <c r="M8091" s="187">
        <v>2857.0732421875</v>
      </c>
      <c r="N8091" s="187">
        <v>980.09332275390625</v>
      </c>
      <c r="O8091" t="s">
        <v>9230</v>
      </c>
    </row>
    <row r="8092" spans="1:15" hidden="1" x14ac:dyDescent="0.45">
      <c r="A8092" s="187">
        <v>2027</v>
      </c>
      <c r="B8092" t="s">
        <v>317</v>
      </c>
      <c r="C8092" t="s">
        <v>322</v>
      </c>
      <c r="D8092" t="s">
        <v>35</v>
      </c>
      <c r="E8092" t="s">
        <v>354</v>
      </c>
      <c r="F8092" t="s">
        <v>387</v>
      </c>
      <c r="G8092" t="s">
        <v>37</v>
      </c>
      <c r="H8092" t="s">
        <v>43</v>
      </c>
      <c r="I8092" s="187">
        <v>112.61624192639999</v>
      </c>
      <c r="J8092" s="187">
        <v>80</v>
      </c>
      <c r="K8092" s="187">
        <v>2243.0235068202401</v>
      </c>
      <c r="L8092" s="187">
        <v>357</v>
      </c>
      <c r="M8092" s="187">
        <v>2792.6396484375</v>
      </c>
      <c r="N8092" s="187">
        <v>469.61624145507813</v>
      </c>
      <c r="O8092" t="s">
        <v>7890</v>
      </c>
    </row>
    <row r="8093" spans="1:15" hidden="1" x14ac:dyDescent="0.45">
      <c r="A8093" s="187">
        <v>2027</v>
      </c>
      <c r="B8093" t="s">
        <v>313</v>
      </c>
      <c r="C8093" t="s">
        <v>322</v>
      </c>
      <c r="D8093" t="s">
        <v>35</v>
      </c>
      <c r="E8093" t="s">
        <v>354</v>
      </c>
      <c r="F8093" t="s">
        <v>387</v>
      </c>
      <c r="G8093" t="s">
        <v>37</v>
      </c>
      <c r="H8093" t="s">
        <v>43</v>
      </c>
      <c r="I8093" s="187">
        <v>0</v>
      </c>
      <c r="J8093" s="187">
        <v>110</v>
      </c>
      <c r="K8093" s="187">
        <v>4942.487940633252</v>
      </c>
      <c r="L8093" s="187">
        <v>0</v>
      </c>
      <c r="M8093" s="187">
        <v>5052.48779296875</v>
      </c>
      <c r="N8093" s="187">
        <v>0</v>
      </c>
      <c r="O8093" t="s">
        <v>7892</v>
      </c>
    </row>
    <row r="8094" spans="1:15" hidden="1" x14ac:dyDescent="0.45">
      <c r="A8094" s="187">
        <v>2027</v>
      </c>
      <c r="B8094" t="s">
        <v>315</v>
      </c>
      <c r="C8094" t="s">
        <v>322</v>
      </c>
      <c r="D8094" t="s">
        <v>35</v>
      </c>
      <c r="E8094" t="s">
        <v>17</v>
      </c>
      <c r="F8094" t="s">
        <v>17</v>
      </c>
      <c r="G8094" t="s">
        <v>36</v>
      </c>
      <c r="H8094" t="s">
        <v>43</v>
      </c>
      <c r="I8094" s="187">
        <v>3159.5759530584833</v>
      </c>
      <c r="J8094" s="187">
        <v>79.295820532950131</v>
      </c>
      <c r="K8094" s="187">
        <v>1289.8622081471854</v>
      </c>
      <c r="L8094" s="187">
        <v>988.93216178950661</v>
      </c>
      <c r="M8094" s="187">
        <v>5517.666015625</v>
      </c>
      <c r="N8094" s="187">
        <v>4148.50830078125</v>
      </c>
      <c r="O8094" t="s">
        <v>7894</v>
      </c>
    </row>
    <row r="8095" spans="1:15" hidden="1" x14ac:dyDescent="0.45">
      <c r="A8095" s="187">
        <v>2027</v>
      </c>
      <c r="B8095" t="s">
        <v>8570</v>
      </c>
      <c r="C8095" t="s">
        <v>322</v>
      </c>
      <c r="D8095" t="s">
        <v>35</v>
      </c>
      <c r="E8095" t="s">
        <v>17</v>
      </c>
      <c r="F8095" t="s">
        <v>17</v>
      </c>
      <c r="G8095" t="s">
        <v>36</v>
      </c>
      <c r="H8095" t="s">
        <v>43</v>
      </c>
      <c r="I8095" s="187">
        <v>3232.824478988533</v>
      </c>
      <c r="J8095" s="187">
        <v>150</v>
      </c>
      <c r="K8095" s="187">
        <v>1433.345481463705</v>
      </c>
      <c r="L8095" s="187">
        <v>1513</v>
      </c>
      <c r="M8095" s="187">
        <v>6329.169921875</v>
      </c>
      <c r="N8095" s="187">
        <v>4745.82421875</v>
      </c>
      <c r="O8095" t="s">
        <v>9231</v>
      </c>
    </row>
    <row r="8096" spans="1:15" hidden="1" x14ac:dyDescent="0.45">
      <c r="A8096" s="187">
        <v>2027</v>
      </c>
      <c r="B8096" t="s">
        <v>313</v>
      </c>
      <c r="C8096" t="s">
        <v>322</v>
      </c>
      <c r="D8096" t="s">
        <v>35</v>
      </c>
      <c r="E8096" t="s">
        <v>17</v>
      </c>
      <c r="F8096" t="s">
        <v>17</v>
      </c>
      <c r="G8096" t="s">
        <v>36</v>
      </c>
      <c r="H8096" t="s">
        <v>43</v>
      </c>
      <c r="I8096" s="187">
        <v>1825.8028373242796</v>
      </c>
      <c r="J8096" s="187">
        <v>77.862971844584081</v>
      </c>
      <c r="K8096" s="187">
        <v>1377.6122696830018</v>
      </c>
      <c r="L8096" s="187">
        <v>428.84529108247847</v>
      </c>
      <c r="M8096" s="187">
        <v>3710.123291015625</v>
      </c>
      <c r="N8096" s="187">
        <v>2254.648193359375</v>
      </c>
      <c r="O8096" t="s">
        <v>7897</v>
      </c>
    </row>
    <row r="8097" spans="1:15" hidden="1" x14ac:dyDescent="0.45">
      <c r="A8097" s="187">
        <v>2027</v>
      </c>
      <c r="B8097" t="s">
        <v>317</v>
      </c>
      <c r="C8097" t="s">
        <v>322</v>
      </c>
      <c r="D8097" t="s">
        <v>35</v>
      </c>
      <c r="E8097" t="s">
        <v>17</v>
      </c>
      <c r="F8097" t="s">
        <v>17</v>
      </c>
      <c r="G8097" t="s">
        <v>36</v>
      </c>
      <c r="H8097" t="s">
        <v>43</v>
      </c>
      <c r="I8097" s="187">
        <v>4061.0083998283626</v>
      </c>
      <c r="J8097" s="187">
        <v>162.07636435299739</v>
      </c>
      <c r="K8097" s="187">
        <v>1022.671926496403</v>
      </c>
      <c r="L8097" s="187">
        <v>3003.8152860088849</v>
      </c>
      <c r="M8097" s="187">
        <v>8249.5712890625</v>
      </c>
      <c r="N8097" s="187">
        <v>7064.82373046875</v>
      </c>
      <c r="O8097" t="s">
        <v>7893</v>
      </c>
    </row>
    <row r="8098" spans="1:15" hidden="1" x14ac:dyDescent="0.45">
      <c r="A8098" s="187">
        <v>2027</v>
      </c>
      <c r="B8098" t="s">
        <v>316</v>
      </c>
      <c r="C8098" t="s">
        <v>322</v>
      </c>
      <c r="D8098" t="s">
        <v>35</v>
      </c>
      <c r="E8098" t="s">
        <v>17</v>
      </c>
      <c r="F8098" t="s">
        <v>17</v>
      </c>
      <c r="G8098" t="s">
        <v>36</v>
      </c>
      <c r="H8098" t="s">
        <v>43</v>
      </c>
      <c r="I8098" s="187">
        <v>3133.9032933006306</v>
      </c>
      <c r="J8098" s="187">
        <v>165.21807579535636</v>
      </c>
      <c r="K8098" s="187">
        <v>1465.9439518205513</v>
      </c>
      <c r="L8098" s="187">
        <v>2864.8814342914793</v>
      </c>
      <c r="M8098" s="187">
        <v>7629.94677734375</v>
      </c>
      <c r="N8098" s="187">
        <v>5998.78466796875</v>
      </c>
      <c r="O8098" t="s">
        <v>7896</v>
      </c>
    </row>
    <row r="8099" spans="1:15" hidden="1" x14ac:dyDescent="0.45">
      <c r="A8099" s="187">
        <v>2027</v>
      </c>
      <c r="B8099" t="s">
        <v>314</v>
      </c>
      <c r="C8099" t="s">
        <v>322</v>
      </c>
      <c r="D8099" t="s">
        <v>35</v>
      </c>
      <c r="E8099" t="s">
        <v>17</v>
      </c>
      <c r="F8099" t="s">
        <v>17</v>
      </c>
      <c r="G8099" t="s">
        <v>36</v>
      </c>
      <c r="H8099" t="s">
        <v>43</v>
      </c>
      <c r="I8099" s="187">
        <v>3248.8944915238289</v>
      </c>
      <c r="J8099" s="187">
        <v>81.537446276922978</v>
      </c>
      <c r="K8099" s="187">
        <v>1271.5300106987584</v>
      </c>
      <c r="L8099" s="187">
        <v>343.62209502417545</v>
      </c>
      <c r="M8099" s="187">
        <v>4945.583984375</v>
      </c>
      <c r="N8099" s="187">
        <v>3592.5166015625</v>
      </c>
      <c r="O8099" t="s">
        <v>7895</v>
      </c>
    </row>
    <row r="8100" spans="1:15" hidden="1" x14ac:dyDescent="0.45">
      <c r="A8100" s="187">
        <v>2027</v>
      </c>
      <c r="B8100" t="s">
        <v>315</v>
      </c>
      <c r="C8100" t="s">
        <v>322</v>
      </c>
      <c r="D8100" t="s">
        <v>35</v>
      </c>
      <c r="E8100" t="s">
        <v>17</v>
      </c>
      <c r="F8100" t="s">
        <v>17</v>
      </c>
      <c r="G8100" t="s">
        <v>37</v>
      </c>
      <c r="H8100" t="s">
        <v>43</v>
      </c>
      <c r="I8100" s="187">
        <v>3268.6097219326948</v>
      </c>
      <c r="J8100" s="187">
        <v>80</v>
      </c>
      <c r="K8100" s="187">
        <v>1330.7912463268531</v>
      </c>
      <c r="L8100" s="187">
        <v>1023</v>
      </c>
      <c r="M8100" s="187">
        <v>5702.40087890625</v>
      </c>
      <c r="N8100" s="187">
        <v>4291.609375</v>
      </c>
      <c r="O8100" t="s">
        <v>7899</v>
      </c>
    </row>
    <row r="8101" spans="1:15" hidden="1" x14ac:dyDescent="0.45">
      <c r="A8101" s="187">
        <v>2027</v>
      </c>
      <c r="B8101" t="s">
        <v>314</v>
      </c>
      <c r="C8101" t="s">
        <v>322</v>
      </c>
      <c r="D8101" t="s">
        <v>35</v>
      </c>
      <c r="E8101" t="s">
        <v>17</v>
      </c>
      <c r="F8101" t="s">
        <v>17</v>
      </c>
      <c r="G8101" t="s">
        <v>37</v>
      </c>
      <c r="H8101" t="s">
        <v>43</v>
      </c>
      <c r="I8101" s="187">
        <v>3334.9624992879289</v>
      </c>
      <c r="J8101" s="187">
        <v>84</v>
      </c>
      <c r="K8101" s="187">
        <v>1306.9808404641531</v>
      </c>
      <c r="L8101" s="187">
        <v>385</v>
      </c>
      <c r="M8101" s="187">
        <v>5110.943359375</v>
      </c>
      <c r="N8101" s="187">
        <v>3719.96240234375</v>
      </c>
      <c r="O8101" t="s">
        <v>7901</v>
      </c>
    </row>
    <row r="8102" spans="1:15" hidden="1" x14ac:dyDescent="0.45">
      <c r="A8102" s="187">
        <v>2027</v>
      </c>
      <c r="B8102" t="s">
        <v>8570</v>
      </c>
      <c r="C8102" t="s">
        <v>322</v>
      </c>
      <c r="D8102" t="s">
        <v>35</v>
      </c>
      <c r="E8102" t="s">
        <v>17</v>
      </c>
      <c r="F8102" t="s">
        <v>17</v>
      </c>
      <c r="G8102" t="s">
        <v>37</v>
      </c>
      <c r="H8102" t="s">
        <v>43</v>
      </c>
      <c r="I8102" s="187">
        <v>3569.299447366282</v>
      </c>
      <c r="J8102" s="187">
        <v>150</v>
      </c>
      <c r="K8102" s="187">
        <v>1589.50521020625</v>
      </c>
      <c r="L8102" s="187">
        <v>1816</v>
      </c>
      <c r="M8102" s="187">
        <v>7124.8046875</v>
      </c>
      <c r="N8102" s="187">
        <v>5385.2998046875</v>
      </c>
      <c r="O8102" t="s">
        <v>9232</v>
      </c>
    </row>
    <row r="8103" spans="1:15" hidden="1" x14ac:dyDescent="0.45">
      <c r="A8103" s="187">
        <v>2027</v>
      </c>
      <c r="B8103" t="s">
        <v>313</v>
      </c>
      <c r="C8103" t="s">
        <v>322</v>
      </c>
      <c r="D8103" t="s">
        <v>35</v>
      </c>
      <c r="E8103" t="s">
        <v>17</v>
      </c>
      <c r="F8103" t="s">
        <v>17</v>
      </c>
      <c r="G8103" t="s">
        <v>37</v>
      </c>
      <c r="H8103" t="s">
        <v>43</v>
      </c>
      <c r="I8103" s="187">
        <v>1854.139492194244</v>
      </c>
      <c r="J8103" s="187">
        <v>79</v>
      </c>
      <c r="K8103" s="187">
        <v>1395.6105712796091</v>
      </c>
      <c r="L8103" s="187">
        <v>442</v>
      </c>
      <c r="M8103" s="187">
        <v>3770.75</v>
      </c>
      <c r="N8103" s="187">
        <v>2296.1396484375</v>
      </c>
      <c r="O8103" t="s">
        <v>7900</v>
      </c>
    </row>
    <row r="8104" spans="1:15" hidden="1" x14ac:dyDescent="0.45">
      <c r="A8104" s="187">
        <v>2027</v>
      </c>
      <c r="B8104" t="s">
        <v>316</v>
      </c>
      <c r="C8104" t="s">
        <v>322</v>
      </c>
      <c r="D8104" t="s">
        <v>35</v>
      </c>
      <c r="E8104" t="s">
        <v>17</v>
      </c>
      <c r="F8104" t="s">
        <v>17</v>
      </c>
      <c r="G8104" t="s">
        <v>37</v>
      </c>
      <c r="H8104" t="s">
        <v>43</v>
      </c>
      <c r="I8104" s="187">
        <v>3269</v>
      </c>
      <c r="J8104" s="187">
        <v>150</v>
      </c>
      <c r="K8104" s="187">
        <v>1501.484785280699</v>
      </c>
      <c r="L8104" s="187">
        <v>3005</v>
      </c>
      <c r="M8104" s="187">
        <v>7925.48486328125</v>
      </c>
      <c r="N8104" s="187">
        <v>6274</v>
      </c>
      <c r="O8104" t="s">
        <v>7898</v>
      </c>
    </row>
    <row r="8105" spans="1:15" hidden="1" x14ac:dyDescent="0.45">
      <c r="A8105" s="187">
        <v>2027</v>
      </c>
      <c r="B8105" t="s">
        <v>317</v>
      </c>
      <c r="C8105" t="s">
        <v>322</v>
      </c>
      <c r="D8105" t="s">
        <v>35</v>
      </c>
      <c r="E8105" t="s">
        <v>17</v>
      </c>
      <c r="F8105" t="s">
        <v>17</v>
      </c>
      <c r="G8105" t="s">
        <v>37</v>
      </c>
      <c r="H8105" t="s">
        <v>43</v>
      </c>
      <c r="I8105" s="187">
        <v>4232.5928235669571</v>
      </c>
      <c r="J8105" s="187">
        <v>150</v>
      </c>
      <c r="K8105" s="187">
        <v>1059.3847981801739</v>
      </c>
      <c r="L8105" s="187">
        <v>3095</v>
      </c>
      <c r="M8105" s="187">
        <v>8536.9775390625</v>
      </c>
      <c r="N8105" s="187">
        <v>7327.5927734375</v>
      </c>
      <c r="O8105" t="s">
        <v>7902</v>
      </c>
    </row>
    <row r="8106" spans="1:15" hidden="1" x14ac:dyDescent="0.45">
      <c r="A8106" s="187">
        <v>2027</v>
      </c>
      <c r="B8106" t="s">
        <v>317</v>
      </c>
      <c r="C8106" t="s">
        <v>322</v>
      </c>
      <c r="D8106" t="s">
        <v>35</v>
      </c>
      <c r="E8106" t="s">
        <v>45</v>
      </c>
      <c r="F8106" t="s">
        <v>45</v>
      </c>
      <c r="G8106" t="s">
        <v>37</v>
      </c>
      <c r="H8106" t="s">
        <v>43</v>
      </c>
      <c r="I8106" s="187">
        <v>2188.144504405419</v>
      </c>
      <c r="J8106" s="187"/>
      <c r="K8106" s="187">
        <v>972.07928060672771</v>
      </c>
      <c r="L8106" s="187">
        <v>22886</v>
      </c>
      <c r="M8106" s="187">
        <v>26046.224609375</v>
      </c>
      <c r="N8106" s="187">
        <v>25074.14453125</v>
      </c>
      <c r="O8106" t="s">
        <v>7903</v>
      </c>
    </row>
    <row r="8107" spans="1:15" hidden="1" x14ac:dyDescent="0.45">
      <c r="A8107" s="187">
        <v>2027</v>
      </c>
      <c r="B8107" t="s">
        <v>8570</v>
      </c>
      <c r="C8107" t="s">
        <v>322</v>
      </c>
      <c r="D8107" t="s">
        <v>35</v>
      </c>
      <c r="E8107" t="s">
        <v>45</v>
      </c>
      <c r="F8107" t="s">
        <v>45</v>
      </c>
      <c r="G8107" t="s">
        <v>37</v>
      </c>
      <c r="H8107" t="s">
        <v>43</v>
      </c>
      <c r="I8107" s="187">
        <v>1676.5553357600411</v>
      </c>
      <c r="J8107" s="187"/>
      <c r="K8107" s="187">
        <v>695.02531337654068</v>
      </c>
      <c r="L8107" s="187">
        <v>18565</v>
      </c>
      <c r="M8107" s="187">
        <v>20936.580078125</v>
      </c>
      <c r="N8107" s="187">
        <v>20241.5546875</v>
      </c>
      <c r="O8107" t="s">
        <v>9233</v>
      </c>
    </row>
    <row r="8108" spans="1:15" hidden="1" x14ac:dyDescent="0.45">
      <c r="A8108" s="187">
        <v>2027</v>
      </c>
      <c r="B8108" t="s">
        <v>314</v>
      </c>
      <c r="C8108" t="s">
        <v>322</v>
      </c>
      <c r="D8108" t="s">
        <v>35</v>
      </c>
      <c r="E8108" t="s">
        <v>45</v>
      </c>
      <c r="F8108" t="s">
        <v>45</v>
      </c>
      <c r="G8108" t="s">
        <v>37</v>
      </c>
      <c r="H8108" t="s">
        <v>43</v>
      </c>
      <c r="I8108" s="187">
        <v>1878.4080441999999</v>
      </c>
      <c r="J8108" s="187">
        <v>0</v>
      </c>
      <c r="K8108" s="187">
        <v>365.61641335073051</v>
      </c>
      <c r="L8108" s="187">
        <v>9324</v>
      </c>
      <c r="M8108" s="187">
        <v>11568.0244140625</v>
      </c>
      <c r="N8108" s="187">
        <v>11202.408203125</v>
      </c>
      <c r="O8108" t="s">
        <v>7904</v>
      </c>
    </row>
    <row r="8109" spans="1:15" hidden="1" x14ac:dyDescent="0.45">
      <c r="A8109" s="187">
        <v>2027</v>
      </c>
      <c r="B8109" t="s">
        <v>315</v>
      </c>
      <c r="C8109" t="s">
        <v>322</v>
      </c>
      <c r="D8109" t="s">
        <v>35</v>
      </c>
      <c r="E8109" t="s">
        <v>45</v>
      </c>
      <c r="F8109" t="s">
        <v>45</v>
      </c>
      <c r="G8109" t="s">
        <v>37</v>
      </c>
      <c r="H8109" t="s">
        <v>43</v>
      </c>
      <c r="I8109" s="187">
        <v>2201.2859675706482</v>
      </c>
      <c r="J8109" s="187">
        <v>0</v>
      </c>
      <c r="K8109" s="187">
        <v>909.17837724829462</v>
      </c>
      <c r="L8109" s="187">
        <v>7906</v>
      </c>
      <c r="M8109" s="187">
        <v>11016.46484375</v>
      </c>
      <c r="N8109" s="187">
        <v>10107.2861328125</v>
      </c>
      <c r="O8109" t="s">
        <v>7905</v>
      </c>
    </row>
    <row r="8110" spans="1:15" hidden="1" x14ac:dyDescent="0.45">
      <c r="A8110" s="187">
        <v>2027</v>
      </c>
      <c r="B8110" t="s">
        <v>316</v>
      </c>
      <c r="C8110" t="s">
        <v>322</v>
      </c>
      <c r="D8110" t="s">
        <v>35</v>
      </c>
      <c r="E8110" t="s">
        <v>45</v>
      </c>
      <c r="F8110" t="s">
        <v>45</v>
      </c>
      <c r="G8110" t="s">
        <v>37</v>
      </c>
      <c r="H8110" t="s">
        <v>43</v>
      </c>
      <c r="I8110" s="187">
        <v>2210</v>
      </c>
      <c r="J8110" s="187"/>
      <c r="K8110" s="187">
        <v>976.53161252793859</v>
      </c>
      <c r="L8110" s="187">
        <v>8274</v>
      </c>
      <c r="M8110" s="187">
        <v>11460.53125</v>
      </c>
      <c r="N8110" s="187">
        <v>10484</v>
      </c>
      <c r="O8110" t="s">
        <v>7906</v>
      </c>
    </row>
    <row r="8111" spans="1:15" hidden="1" x14ac:dyDescent="0.45">
      <c r="A8111" s="187">
        <v>2027</v>
      </c>
      <c r="B8111" t="s">
        <v>313</v>
      </c>
      <c r="C8111" t="s">
        <v>322</v>
      </c>
      <c r="D8111" t="s">
        <v>35</v>
      </c>
      <c r="E8111" t="s">
        <v>45</v>
      </c>
      <c r="F8111" t="s">
        <v>45</v>
      </c>
      <c r="G8111" t="s">
        <v>37</v>
      </c>
      <c r="H8111" t="s">
        <v>43</v>
      </c>
      <c r="I8111" s="187">
        <v>1202.9353099172511</v>
      </c>
      <c r="J8111" s="187">
        <v>0</v>
      </c>
      <c r="K8111" s="187">
        <v>348.53386227422152</v>
      </c>
      <c r="L8111" s="187">
        <v>5517</v>
      </c>
      <c r="M8111" s="187">
        <v>7068.46923828125</v>
      </c>
      <c r="N8111" s="187">
        <v>6719.935546875</v>
      </c>
      <c r="O8111" t="s">
        <v>7907</v>
      </c>
    </row>
    <row r="8112" spans="1:15" hidden="1" x14ac:dyDescent="0.45">
      <c r="A8112" s="187">
        <v>2027</v>
      </c>
      <c r="B8112" t="s">
        <v>8570</v>
      </c>
      <c r="C8112" t="s">
        <v>322</v>
      </c>
      <c r="D8112" t="s">
        <v>35</v>
      </c>
      <c r="E8112" t="s">
        <v>355</v>
      </c>
      <c r="F8112" t="s">
        <v>355</v>
      </c>
      <c r="G8112" t="s">
        <v>37</v>
      </c>
      <c r="H8112" t="s">
        <v>43</v>
      </c>
      <c r="I8112" s="187">
        <v>12350.604376394671</v>
      </c>
      <c r="J8112" s="187"/>
      <c r="K8112" s="187"/>
      <c r="L8112" s="187"/>
      <c r="M8112" s="187">
        <v>12350.6044921875</v>
      </c>
      <c r="N8112" s="187">
        <v>12350.6044921875</v>
      </c>
      <c r="O8112" t="s">
        <v>9234</v>
      </c>
    </row>
    <row r="8113" spans="1:15" hidden="1" x14ac:dyDescent="0.45">
      <c r="A8113" s="187">
        <v>2027</v>
      </c>
      <c r="B8113" t="s">
        <v>313</v>
      </c>
      <c r="C8113" t="s">
        <v>322</v>
      </c>
      <c r="D8113" t="s">
        <v>35</v>
      </c>
      <c r="E8113" t="s">
        <v>355</v>
      </c>
      <c r="F8113" t="s">
        <v>355</v>
      </c>
      <c r="G8113" t="s">
        <v>37</v>
      </c>
      <c r="H8113" t="s">
        <v>43</v>
      </c>
      <c r="I8113" s="187"/>
      <c r="J8113" s="187"/>
      <c r="K8113" s="187"/>
      <c r="L8113" s="187">
        <v>24835</v>
      </c>
      <c r="M8113" s="187">
        <v>24835</v>
      </c>
      <c r="N8113" s="187">
        <v>24835</v>
      </c>
      <c r="O8113" t="s">
        <v>7908</v>
      </c>
    </row>
    <row r="8114" spans="1:15" hidden="1" x14ac:dyDescent="0.45">
      <c r="A8114" s="187">
        <v>2027</v>
      </c>
      <c r="B8114" t="s">
        <v>315</v>
      </c>
      <c r="C8114" t="s">
        <v>322</v>
      </c>
      <c r="D8114" t="s">
        <v>35</v>
      </c>
      <c r="E8114" t="s">
        <v>356</v>
      </c>
      <c r="F8114" t="s">
        <v>356</v>
      </c>
      <c r="G8114" t="s">
        <v>37</v>
      </c>
      <c r="H8114" t="s">
        <v>43</v>
      </c>
      <c r="I8114" s="187"/>
      <c r="J8114" s="187">
        <v>0</v>
      </c>
      <c r="K8114" s="187">
        <v>0</v>
      </c>
      <c r="L8114" s="187">
        <v>0</v>
      </c>
      <c r="M8114" s="187">
        <v>0</v>
      </c>
      <c r="N8114" s="187">
        <v>0</v>
      </c>
      <c r="O8114" t="s">
        <v>7912</v>
      </c>
    </row>
    <row r="8115" spans="1:15" hidden="1" x14ac:dyDescent="0.45">
      <c r="A8115" s="187">
        <v>2027</v>
      </c>
      <c r="B8115" t="s">
        <v>313</v>
      </c>
      <c r="C8115" t="s">
        <v>322</v>
      </c>
      <c r="D8115" t="s">
        <v>35</v>
      </c>
      <c r="E8115" t="s">
        <v>356</v>
      </c>
      <c r="F8115" t="s">
        <v>356</v>
      </c>
      <c r="G8115" t="s">
        <v>37</v>
      </c>
      <c r="H8115" t="s">
        <v>43</v>
      </c>
      <c r="I8115" s="187"/>
      <c r="J8115" s="187">
        <v>0</v>
      </c>
      <c r="K8115" s="187">
        <v>0</v>
      </c>
      <c r="L8115" s="187">
        <v>0</v>
      </c>
      <c r="M8115" s="187">
        <v>0</v>
      </c>
      <c r="N8115" s="187">
        <v>0</v>
      </c>
      <c r="O8115" t="s">
        <v>7913</v>
      </c>
    </row>
    <row r="8116" spans="1:15" hidden="1" x14ac:dyDescent="0.45">
      <c r="A8116" s="187">
        <v>2027</v>
      </c>
      <c r="B8116" t="s">
        <v>317</v>
      </c>
      <c r="C8116" t="s">
        <v>322</v>
      </c>
      <c r="D8116" t="s">
        <v>35</v>
      </c>
      <c r="E8116" t="s">
        <v>356</v>
      </c>
      <c r="F8116" t="s">
        <v>356</v>
      </c>
      <c r="G8116" t="s">
        <v>37</v>
      </c>
      <c r="H8116" t="s">
        <v>43</v>
      </c>
      <c r="I8116" s="187"/>
      <c r="J8116" s="187"/>
      <c r="K8116" s="187">
        <v>0</v>
      </c>
      <c r="L8116" s="187">
        <v>0</v>
      </c>
      <c r="M8116" s="187">
        <v>0</v>
      </c>
      <c r="N8116" s="187">
        <v>0</v>
      </c>
      <c r="O8116" t="s">
        <v>7911</v>
      </c>
    </row>
    <row r="8117" spans="1:15" hidden="1" x14ac:dyDescent="0.45">
      <c r="A8117" s="187">
        <v>2027</v>
      </c>
      <c r="B8117" t="s">
        <v>316</v>
      </c>
      <c r="C8117" t="s">
        <v>322</v>
      </c>
      <c r="D8117" t="s">
        <v>35</v>
      </c>
      <c r="E8117" t="s">
        <v>356</v>
      </c>
      <c r="F8117" t="s">
        <v>356</v>
      </c>
      <c r="G8117" t="s">
        <v>37</v>
      </c>
      <c r="H8117" t="s">
        <v>43</v>
      </c>
      <c r="I8117" s="187"/>
      <c r="J8117" s="187"/>
      <c r="K8117" s="187">
        <v>0</v>
      </c>
      <c r="L8117" s="187">
        <v>0</v>
      </c>
      <c r="M8117" s="187">
        <v>0</v>
      </c>
      <c r="N8117" s="187">
        <v>0</v>
      </c>
      <c r="O8117" t="s">
        <v>7910</v>
      </c>
    </row>
    <row r="8118" spans="1:15" hidden="1" x14ac:dyDescent="0.45">
      <c r="A8118" s="187">
        <v>2027</v>
      </c>
      <c r="B8118" t="s">
        <v>314</v>
      </c>
      <c r="C8118" t="s">
        <v>322</v>
      </c>
      <c r="D8118" t="s">
        <v>35</v>
      </c>
      <c r="E8118" t="s">
        <v>356</v>
      </c>
      <c r="F8118" t="s">
        <v>356</v>
      </c>
      <c r="G8118" t="s">
        <v>37</v>
      </c>
      <c r="H8118" t="s">
        <v>43</v>
      </c>
      <c r="I8118" s="187"/>
      <c r="J8118" s="187">
        <v>0</v>
      </c>
      <c r="K8118" s="187">
        <v>0</v>
      </c>
      <c r="L8118" s="187">
        <v>0</v>
      </c>
      <c r="M8118" s="187">
        <v>0</v>
      </c>
      <c r="N8118" s="187">
        <v>0</v>
      </c>
      <c r="O8118" t="s">
        <v>7909</v>
      </c>
    </row>
    <row r="8119" spans="1:15" hidden="1" x14ac:dyDescent="0.45">
      <c r="A8119" s="187">
        <v>2027</v>
      </c>
      <c r="B8119" t="s">
        <v>8570</v>
      </c>
      <c r="C8119" t="s">
        <v>322</v>
      </c>
      <c r="D8119" t="s">
        <v>35</v>
      </c>
      <c r="E8119" t="s">
        <v>356</v>
      </c>
      <c r="F8119" t="s">
        <v>356</v>
      </c>
      <c r="G8119" t="s">
        <v>37</v>
      </c>
      <c r="H8119" t="s">
        <v>43</v>
      </c>
      <c r="I8119" s="187">
        <v>0</v>
      </c>
      <c r="J8119" s="187"/>
      <c r="K8119" s="187">
        <v>0</v>
      </c>
      <c r="L8119" s="187">
        <v>0</v>
      </c>
      <c r="M8119" s="187">
        <v>0</v>
      </c>
      <c r="N8119" s="187">
        <v>0</v>
      </c>
      <c r="O8119" t="s">
        <v>9235</v>
      </c>
    </row>
    <row r="8120" spans="1:15" hidden="1" x14ac:dyDescent="0.45">
      <c r="A8120" s="187">
        <v>2027</v>
      </c>
      <c r="B8120" t="s">
        <v>8570</v>
      </c>
      <c r="C8120" t="s">
        <v>323</v>
      </c>
      <c r="D8120" t="s">
        <v>35</v>
      </c>
      <c r="E8120" t="s">
        <v>349</v>
      </c>
      <c r="F8120" t="s">
        <v>388</v>
      </c>
      <c r="G8120" t="s">
        <v>36</v>
      </c>
      <c r="H8120" t="s">
        <v>43</v>
      </c>
      <c r="I8120" s="187">
        <v>3344.4572480000002</v>
      </c>
      <c r="J8120" s="187">
        <v>495</v>
      </c>
      <c r="K8120" s="187">
        <v>4722.2196321019637</v>
      </c>
      <c r="L8120" s="187">
        <v>2938</v>
      </c>
      <c r="M8120" s="187">
        <v>11499.6767578125</v>
      </c>
      <c r="N8120" s="187">
        <v>6282.45703125</v>
      </c>
      <c r="O8120" t="s">
        <v>9236</v>
      </c>
    </row>
    <row r="8121" spans="1:15" hidden="1" x14ac:dyDescent="0.45">
      <c r="A8121" s="187">
        <v>2027</v>
      </c>
      <c r="B8121" t="s">
        <v>8570</v>
      </c>
      <c r="C8121" t="s">
        <v>323</v>
      </c>
      <c r="D8121" t="s">
        <v>35</v>
      </c>
      <c r="E8121" t="s">
        <v>349</v>
      </c>
      <c r="F8121" t="s">
        <v>389</v>
      </c>
      <c r="G8121" t="s">
        <v>36</v>
      </c>
      <c r="H8121" t="s">
        <v>43</v>
      </c>
      <c r="I8121" s="187">
        <v>0</v>
      </c>
      <c r="J8121" s="187"/>
      <c r="K8121" s="187">
        <v>0</v>
      </c>
      <c r="L8121" s="187">
        <v>0</v>
      </c>
      <c r="M8121" s="187">
        <v>0</v>
      </c>
      <c r="N8121" s="187">
        <v>0</v>
      </c>
      <c r="O8121" t="s">
        <v>9237</v>
      </c>
    </row>
    <row r="8122" spans="1:15" hidden="1" x14ac:dyDescent="0.45">
      <c r="A8122" s="187">
        <v>2027</v>
      </c>
      <c r="B8122" t="s">
        <v>8570</v>
      </c>
      <c r="C8122" t="s">
        <v>323</v>
      </c>
      <c r="D8122" t="s">
        <v>35</v>
      </c>
      <c r="E8122" t="s">
        <v>349</v>
      </c>
      <c r="F8122" t="s">
        <v>390</v>
      </c>
      <c r="G8122" t="s">
        <v>36</v>
      </c>
      <c r="H8122" t="s">
        <v>43</v>
      </c>
      <c r="I8122" s="187">
        <v>3344.4572480000002</v>
      </c>
      <c r="J8122" s="187">
        <v>495</v>
      </c>
      <c r="K8122" s="187">
        <v>4722.2196321019637</v>
      </c>
      <c r="L8122" s="187">
        <v>2938</v>
      </c>
      <c r="M8122" s="187">
        <v>11499.6767578125</v>
      </c>
      <c r="N8122" s="187">
        <v>6282.45703125</v>
      </c>
      <c r="O8122" t="s">
        <v>9238</v>
      </c>
    </row>
    <row r="8123" spans="1:15" hidden="1" x14ac:dyDescent="0.45">
      <c r="A8123" s="187">
        <v>2027</v>
      </c>
      <c r="B8123" t="s">
        <v>8570</v>
      </c>
      <c r="C8123" t="s">
        <v>323</v>
      </c>
      <c r="D8123" t="s">
        <v>35</v>
      </c>
      <c r="E8123" t="s">
        <v>349</v>
      </c>
      <c r="F8123" t="s">
        <v>391</v>
      </c>
      <c r="G8123" t="s">
        <v>36</v>
      </c>
      <c r="H8123" t="s">
        <v>43</v>
      </c>
      <c r="I8123" s="187">
        <v>489.69601472000011</v>
      </c>
      <c r="J8123" s="187">
        <v>10</v>
      </c>
      <c r="K8123" s="187">
        <v>952.75967226097157</v>
      </c>
      <c r="L8123" s="187">
        <v>1029</v>
      </c>
      <c r="M8123" s="187">
        <v>2481.45556640625</v>
      </c>
      <c r="N8123" s="187">
        <v>1518.696044921875</v>
      </c>
      <c r="O8123" t="s">
        <v>9239</v>
      </c>
    </row>
    <row r="8124" spans="1:15" hidden="1" x14ac:dyDescent="0.45">
      <c r="A8124" s="187">
        <v>2027</v>
      </c>
      <c r="B8124" t="s">
        <v>8570</v>
      </c>
      <c r="C8124" t="s">
        <v>323</v>
      </c>
      <c r="D8124" t="s">
        <v>35</v>
      </c>
      <c r="E8124" t="s">
        <v>349</v>
      </c>
      <c r="F8124" t="s">
        <v>392</v>
      </c>
      <c r="G8124" t="s">
        <v>36</v>
      </c>
      <c r="H8124" t="s">
        <v>43</v>
      </c>
      <c r="I8124" s="187">
        <v>133.77828991999999</v>
      </c>
      <c r="J8124" s="187"/>
      <c r="K8124" s="187">
        <v>0.75365397934920053</v>
      </c>
      <c r="L8124" s="187">
        <v>248</v>
      </c>
      <c r="M8124" s="187">
        <v>382.53192138671875</v>
      </c>
      <c r="N8124" s="187">
        <v>381.77828979492188</v>
      </c>
      <c r="O8124" t="s">
        <v>9240</v>
      </c>
    </row>
    <row r="8125" spans="1:15" hidden="1" x14ac:dyDescent="0.45">
      <c r="A8125" s="187">
        <v>2027</v>
      </c>
      <c r="B8125" t="s">
        <v>8570</v>
      </c>
      <c r="C8125" t="s">
        <v>323</v>
      </c>
      <c r="D8125" t="s">
        <v>35</v>
      </c>
      <c r="E8125" t="s">
        <v>349</v>
      </c>
      <c r="F8125" t="s">
        <v>393</v>
      </c>
      <c r="G8125" t="s">
        <v>36</v>
      </c>
      <c r="H8125" t="s">
        <v>43</v>
      </c>
      <c r="I8125" s="187">
        <v>21.472000000000001</v>
      </c>
      <c r="J8125" s="187"/>
      <c r="K8125" s="187">
        <v>35.740608832351143</v>
      </c>
      <c r="L8125" s="187">
        <v>0</v>
      </c>
      <c r="M8125" s="187">
        <v>57.212608337402344</v>
      </c>
      <c r="N8125" s="187">
        <v>21.472000122070313</v>
      </c>
      <c r="O8125" t="s">
        <v>9241</v>
      </c>
    </row>
    <row r="8126" spans="1:15" hidden="1" x14ac:dyDescent="0.45">
      <c r="A8126" s="187">
        <v>2027</v>
      </c>
      <c r="B8126" t="s">
        <v>8570</v>
      </c>
      <c r="C8126" t="s">
        <v>323</v>
      </c>
      <c r="D8126" t="s">
        <v>35</v>
      </c>
      <c r="E8126" t="s">
        <v>349</v>
      </c>
      <c r="F8126" t="s">
        <v>394</v>
      </c>
      <c r="G8126" t="s">
        <v>36</v>
      </c>
      <c r="H8126" t="s">
        <v>43</v>
      </c>
      <c r="I8126" s="187">
        <v>0</v>
      </c>
      <c r="J8126" s="187"/>
      <c r="K8126" s="187">
        <v>17.326156465611771</v>
      </c>
      <c r="L8126" s="187">
        <v>0</v>
      </c>
      <c r="M8126" s="187">
        <v>17.326156616210938</v>
      </c>
      <c r="N8126" s="187">
        <v>0</v>
      </c>
      <c r="O8126" t="s">
        <v>9242</v>
      </c>
    </row>
    <row r="8127" spans="1:15" hidden="1" x14ac:dyDescent="0.45">
      <c r="A8127" s="187">
        <v>2027</v>
      </c>
      <c r="B8127" t="s">
        <v>8570</v>
      </c>
      <c r="C8127" t="s">
        <v>323</v>
      </c>
      <c r="D8127" t="s">
        <v>35</v>
      </c>
      <c r="E8127" t="s">
        <v>349</v>
      </c>
      <c r="F8127" t="s">
        <v>395</v>
      </c>
      <c r="G8127" t="s">
        <v>36</v>
      </c>
      <c r="H8127" t="s">
        <v>43</v>
      </c>
      <c r="I8127" s="187">
        <v>0</v>
      </c>
      <c r="J8127" s="187"/>
      <c r="K8127" s="187">
        <v>0.13877704578934849</v>
      </c>
      <c r="L8127" s="187">
        <v>403</v>
      </c>
      <c r="M8127" s="187">
        <v>403.13876342773438</v>
      </c>
      <c r="N8127" s="187">
        <v>403</v>
      </c>
      <c r="O8127" t="s">
        <v>9243</v>
      </c>
    </row>
    <row r="8128" spans="1:15" hidden="1" x14ac:dyDescent="0.45">
      <c r="A8128" s="187">
        <v>2027</v>
      </c>
      <c r="B8128" t="s">
        <v>8570</v>
      </c>
      <c r="C8128" t="s">
        <v>323</v>
      </c>
      <c r="D8128" t="s">
        <v>35</v>
      </c>
      <c r="E8128" t="s">
        <v>349</v>
      </c>
      <c r="F8128" t="s">
        <v>396</v>
      </c>
      <c r="G8128" t="s">
        <v>36</v>
      </c>
      <c r="H8128" t="s">
        <v>43</v>
      </c>
      <c r="I8128" s="187">
        <v>334.44572480000011</v>
      </c>
      <c r="J8128" s="187">
        <v>10</v>
      </c>
      <c r="K8128" s="187">
        <v>898.80047593787015</v>
      </c>
      <c r="L8128" s="187">
        <v>378</v>
      </c>
      <c r="M8128" s="187">
        <v>1621.2462158203125</v>
      </c>
      <c r="N8128" s="187">
        <v>712.44573974609375</v>
      </c>
      <c r="O8128" t="s">
        <v>9244</v>
      </c>
    </row>
    <row r="8129" spans="1:15" hidden="1" x14ac:dyDescent="0.45">
      <c r="A8129" s="187">
        <v>2027</v>
      </c>
      <c r="B8129" t="s">
        <v>8570</v>
      </c>
      <c r="C8129" t="s">
        <v>323</v>
      </c>
      <c r="D8129" t="s">
        <v>35</v>
      </c>
      <c r="E8129" t="s">
        <v>349</v>
      </c>
      <c r="F8129" t="s">
        <v>397</v>
      </c>
      <c r="G8129" t="s">
        <v>36</v>
      </c>
      <c r="H8129" t="s">
        <v>43</v>
      </c>
      <c r="I8129" s="187">
        <v>0</v>
      </c>
      <c r="J8129" s="187"/>
      <c r="K8129" s="187">
        <v>4.0811587329379097E-2</v>
      </c>
      <c r="L8129" s="187">
        <v>0</v>
      </c>
      <c r="M8129" s="187">
        <v>4.0811587125062943E-2</v>
      </c>
      <c r="N8129" s="187">
        <v>0</v>
      </c>
      <c r="O8129" t="s">
        <v>9245</v>
      </c>
    </row>
    <row r="8130" spans="1:15" hidden="1" x14ac:dyDescent="0.45">
      <c r="A8130" s="187">
        <v>2027</v>
      </c>
      <c r="B8130" t="s">
        <v>8570</v>
      </c>
      <c r="C8130" t="s">
        <v>323</v>
      </c>
      <c r="D8130" t="s">
        <v>35</v>
      </c>
      <c r="E8130" t="s">
        <v>349</v>
      </c>
      <c r="F8130" t="s">
        <v>398</v>
      </c>
      <c r="G8130" t="s">
        <v>36</v>
      </c>
      <c r="H8130" t="s">
        <v>43</v>
      </c>
      <c r="I8130" s="187">
        <v>0</v>
      </c>
      <c r="J8130" s="187">
        <v>475</v>
      </c>
      <c r="K8130" s="187">
        <v>2.9219781402401508</v>
      </c>
      <c r="L8130" s="187">
        <v>0</v>
      </c>
      <c r="M8130" s="187">
        <v>477.92196655273438</v>
      </c>
      <c r="N8130" s="187">
        <v>0</v>
      </c>
      <c r="O8130" t="s">
        <v>9246</v>
      </c>
    </row>
    <row r="8131" spans="1:15" hidden="1" x14ac:dyDescent="0.45">
      <c r="A8131" s="187">
        <v>2027</v>
      </c>
      <c r="B8131" t="s">
        <v>8570</v>
      </c>
      <c r="C8131" t="s">
        <v>323</v>
      </c>
      <c r="D8131" t="s">
        <v>35</v>
      </c>
      <c r="E8131" t="s">
        <v>349</v>
      </c>
      <c r="F8131" t="s">
        <v>399</v>
      </c>
      <c r="G8131" t="s">
        <v>36</v>
      </c>
      <c r="H8131" t="s">
        <v>43</v>
      </c>
      <c r="I8131" s="187">
        <v>0</v>
      </c>
      <c r="J8131" s="187">
        <v>425</v>
      </c>
      <c r="K8131" s="187">
        <v>1.9354120306327329</v>
      </c>
      <c r="L8131" s="187">
        <v>0</v>
      </c>
      <c r="M8131" s="187">
        <v>426.9354248046875</v>
      </c>
      <c r="N8131" s="187">
        <v>0</v>
      </c>
      <c r="O8131" t="s">
        <v>9247</v>
      </c>
    </row>
    <row r="8132" spans="1:15" hidden="1" x14ac:dyDescent="0.45">
      <c r="A8132" s="187">
        <v>2027</v>
      </c>
      <c r="B8132" t="s">
        <v>8570</v>
      </c>
      <c r="C8132" t="s">
        <v>323</v>
      </c>
      <c r="D8132" t="s">
        <v>35</v>
      </c>
      <c r="E8132" t="s">
        <v>349</v>
      </c>
      <c r="F8132" t="s">
        <v>400</v>
      </c>
      <c r="G8132" t="s">
        <v>36</v>
      </c>
      <c r="H8132" t="s">
        <v>43</v>
      </c>
      <c r="I8132" s="187">
        <v>0</v>
      </c>
      <c r="J8132" s="187">
        <v>50</v>
      </c>
      <c r="K8132" s="187">
        <v>0.9382395197984712</v>
      </c>
      <c r="L8132" s="187">
        <v>0</v>
      </c>
      <c r="M8132" s="187">
        <v>50.938240051269531</v>
      </c>
      <c r="N8132" s="187">
        <v>0</v>
      </c>
      <c r="O8132" t="s">
        <v>9248</v>
      </c>
    </row>
    <row r="8133" spans="1:15" hidden="1" x14ac:dyDescent="0.45">
      <c r="A8133" s="187">
        <v>2027</v>
      </c>
      <c r="B8133" t="s">
        <v>8570</v>
      </c>
      <c r="C8133" t="s">
        <v>323</v>
      </c>
      <c r="D8133" t="s">
        <v>35</v>
      </c>
      <c r="E8133" t="s">
        <v>349</v>
      </c>
      <c r="F8133" t="s">
        <v>401</v>
      </c>
      <c r="G8133" t="s">
        <v>36</v>
      </c>
      <c r="H8133" t="s">
        <v>43</v>
      </c>
      <c r="I8133" s="187">
        <v>0</v>
      </c>
      <c r="J8133" s="187"/>
      <c r="K8133" s="187">
        <v>7.5150024795675998E-3</v>
      </c>
      <c r="L8133" s="187">
        <v>0</v>
      </c>
      <c r="M8133" s="187">
        <v>7.5150025077164173E-3</v>
      </c>
      <c r="N8133" s="187">
        <v>0</v>
      </c>
      <c r="O8133" t="s">
        <v>9249</v>
      </c>
    </row>
    <row r="8134" spans="1:15" hidden="1" x14ac:dyDescent="0.45">
      <c r="A8134" s="187">
        <v>2027</v>
      </c>
      <c r="B8134" t="s">
        <v>8570</v>
      </c>
      <c r="C8134" t="s">
        <v>323</v>
      </c>
      <c r="D8134" t="s">
        <v>35</v>
      </c>
      <c r="E8134" t="s">
        <v>349</v>
      </c>
      <c r="F8134" t="s">
        <v>402</v>
      </c>
      <c r="G8134" t="s">
        <v>36</v>
      </c>
      <c r="H8134" t="s">
        <v>43</v>
      </c>
      <c r="I8134" s="187">
        <v>0</v>
      </c>
      <c r="J8134" s="187"/>
      <c r="K8134" s="187">
        <v>15.943726783344101</v>
      </c>
      <c r="L8134" s="187">
        <v>0</v>
      </c>
      <c r="M8134" s="187">
        <v>15.943726539611816</v>
      </c>
      <c r="N8134" s="187">
        <v>0</v>
      </c>
      <c r="O8134" t="s">
        <v>9250</v>
      </c>
    </row>
    <row r="8135" spans="1:15" hidden="1" x14ac:dyDescent="0.45">
      <c r="A8135" s="187">
        <v>2027</v>
      </c>
      <c r="B8135" t="s">
        <v>8570</v>
      </c>
      <c r="C8135" t="s">
        <v>323</v>
      </c>
      <c r="D8135" t="s">
        <v>35</v>
      </c>
      <c r="E8135" t="s">
        <v>349</v>
      </c>
      <c r="F8135" t="s">
        <v>403</v>
      </c>
      <c r="G8135" t="s">
        <v>36</v>
      </c>
      <c r="H8135" t="s">
        <v>43</v>
      </c>
      <c r="I8135" s="187">
        <v>2453.42636352</v>
      </c>
      <c r="J8135" s="187"/>
      <c r="K8135" s="187">
        <v>2521.924679436192</v>
      </c>
      <c r="L8135" s="187">
        <v>1199</v>
      </c>
      <c r="M8135" s="187">
        <v>6174.35107421875</v>
      </c>
      <c r="N8135" s="187">
        <v>3652.42626953125</v>
      </c>
      <c r="O8135" t="s">
        <v>9251</v>
      </c>
    </row>
    <row r="8136" spans="1:15" hidden="1" x14ac:dyDescent="0.45">
      <c r="A8136" s="187">
        <v>2027</v>
      </c>
      <c r="B8136" t="s">
        <v>8570</v>
      </c>
      <c r="C8136" t="s">
        <v>323</v>
      </c>
      <c r="D8136" t="s">
        <v>35</v>
      </c>
      <c r="E8136" t="s">
        <v>349</v>
      </c>
      <c r="F8136" t="s">
        <v>404</v>
      </c>
      <c r="G8136" t="s">
        <v>36</v>
      </c>
      <c r="H8136" t="s">
        <v>43</v>
      </c>
      <c r="I8136" s="187">
        <v>2453.42636352</v>
      </c>
      <c r="J8136" s="187">
        <v>10</v>
      </c>
      <c r="K8136" s="187">
        <v>3763.3705025694112</v>
      </c>
      <c r="L8136" s="187">
        <v>1632</v>
      </c>
      <c r="M8136" s="187">
        <v>7858.796875</v>
      </c>
      <c r="N8136" s="187">
        <v>4085.42626953125</v>
      </c>
      <c r="O8136" t="s">
        <v>9252</v>
      </c>
    </row>
    <row r="8137" spans="1:15" hidden="1" x14ac:dyDescent="0.45">
      <c r="A8137" s="187">
        <v>2027</v>
      </c>
      <c r="B8137" t="s">
        <v>8570</v>
      </c>
      <c r="C8137" t="s">
        <v>323</v>
      </c>
      <c r="D8137" t="s">
        <v>35</v>
      </c>
      <c r="E8137" t="s">
        <v>349</v>
      </c>
      <c r="F8137" t="s">
        <v>405</v>
      </c>
      <c r="G8137" t="s">
        <v>36</v>
      </c>
      <c r="H8137" t="s">
        <v>43</v>
      </c>
      <c r="I8137" s="187">
        <v>0</v>
      </c>
      <c r="J8137" s="187"/>
      <c r="K8137" s="187">
        <v>1222.5662353811899</v>
      </c>
      <c r="L8137" s="187">
        <v>433</v>
      </c>
      <c r="M8137" s="187">
        <v>1655.5662841796875</v>
      </c>
      <c r="N8137" s="187">
        <v>433</v>
      </c>
      <c r="O8137" t="s">
        <v>9253</v>
      </c>
    </row>
    <row r="8138" spans="1:15" hidden="1" x14ac:dyDescent="0.45">
      <c r="A8138" s="187">
        <v>2027</v>
      </c>
      <c r="B8138" t="s">
        <v>8570</v>
      </c>
      <c r="C8138" t="s">
        <v>323</v>
      </c>
      <c r="D8138" t="s">
        <v>35</v>
      </c>
      <c r="E8138" t="s">
        <v>349</v>
      </c>
      <c r="F8138" t="s">
        <v>406</v>
      </c>
      <c r="G8138" t="s">
        <v>36</v>
      </c>
      <c r="H8138" t="s">
        <v>43</v>
      </c>
      <c r="I8138" s="187">
        <v>0</v>
      </c>
      <c r="J8138" s="187"/>
      <c r="K8138" s="187">
        <v>2.935860968684413</v>
      </c>
      <c r="L8138" s="187">
        <v>0</v>
      </c>
      <c r="M8138" s="187">
        <v>2.9358608722686768</v>
      </c>
      <c r="N8138" s="187">
        <v>0</v>
      </c>
      <c r="O8138" t="s">
        <v>9254</v>
      </c>
    </row>
    <row r="8139" spans="1:15" hidden="1" x14ac:dyDescent="0.45">
      <c r="A8139" s="187">
        <v>2027</v>
      </c>
      <c r="B8139" t="s">
        <v>8570</v>
      </c>
      <c r="C8139" t="s">
        <v>323</v>
      </c>
      <c r="D8139" t="s">
        <v>35</v>
      </c>
      <c r="E8139" t="s">
        <v>349</v>
      </c>
      <c r="F8139" t="s">
        <v>407</v>
      </c>
      <c r="G8139" t="s">
        <v>36</v>
      </c>
      <c r="H8139" t="s">
        <v>43</v>
      </c>
      <c r="I8139" s="187">
        <v>0</v>
      </c>
      <c r="J8139" s="187">
        <v>10</v>
      </c>
      <c r="K8139" s="187">
        <v>0</v>
      </c>
      <c r="L8139" s="187">
        <v>0</v>
      </c>
      <c r="M8139" s="187">
        <v>10</v>
      </c>
      <c r="N8139" s="187">
        <v>0</v>
      </c>
      <c r="O8139" t="s">
        <v>9255</v>
      </c>
    </row>
    <row r="8140" spans="1:15" hidden="1" x14ac:dyDescent="0.45">
      <c r="A8140" s="187">
        <v>2027</v>
      </c>
      <c r="B8140" t="s">
        <v>8570</v>
      </c>
      <c r="C8140" t="s">
        <v>323</v>
      </c>
      <c r="D8140" t="s">
        <v>35</v>
      </c>
      <c r="E8140" t="s">
        <v>349</v>
      </c>
      <c r="F8140" t="s">
        <v>408</v>
      </c>
      <c r="G8140" t="s">
        <v>36</v>
      </c>
      <c r="H8140" t="s">
        <v>43</v>
      </c>
      <c r="I8140" s="187">
        <v>133.77828991999999</v>
      </c>
      <c r="J8140" s="187"/>
      <c r="K8140" s="187"/>
      <c r="L8140" s="187"/>
      <c r="M8140" s="187">
        <v>133.77828979492188</v>
      </c>
      <c r="N8140" s="187">
        <v>133.77828979492188</v>
      </c>
      <c r="O8140" t="s">
        <v>9256</v>
      </c>
    </row>
    <row r="8141" spans="1:15" hidden="1" x14ac:dyDescent="0.45">
      <c r="A8141" s="187">
        <v>2027</v>
      </c>
      <c r="B8141" t="s">
        <v>8570</v>
      </c>
      <c r="C8141" t="s">
        <v>323</v>
      </c>
      <c r="D8141" t="s">
        <v>35</v>
      </c>
      <c r="E8141" t="s">
        <v>349</v>
      </c>
      <c r="F8141" t="s">
        <v>409</v>
      </c>
      <c r="G8141" t="s">
        <v>36</v>
      </c>
      <c r="H8141" t="s">
        <v>43</v>
      </c>
      <c r="I8141" s="187">
        <v>133.77828991999999</v>
      </c>
      <c r="J8141" s="187"/>
      <c r="K8141" s="187"/>
      <c r="L8141" s="187"/>
      <c r="M8141" s="187">
        <v>133.77828979492188</v>
      </c>
      <c r="N8141" s="187">
        <v>133.77828979492188</v>
      </c>
      <c r="O8141" t="s">
        <v>9257</v>
      </c>
    </row>
    <row r="8142" spans="1:15" hidden="1" x14ac:dyDescent="0.45">
      <c r="A8142" s="187">
        <v>2027</v>
      </c>
      <c r="B8142" t="s">
        <v>8570</v>
      </c>
      <c r="C8142" t="s">
        <v>323</v>
      </c>
      <c r="D8142" t="s">
        <v>35</v>
      </c>
      <c r="E8142" t="s">
        <v>349</v>
      </c>
      <c r="F8142" t="s">
        <v>410</v>
      </c>
      <c r="G8142" t="s">
        <v>36</v>
      </c>
      <c r="H8142" t="s">
        <v>43</v>
      </c>
      <c r="I8142" s="187">
        <v>133.77828991999999</v>
      </c>
      <c r="J8142" s="187"/>
      <c r="K8142" s="187"/>
      <c r="L8142" s="187"/>
      <c r="M8142" s="187">
        <v>133.77828979492188</v>
      </c>
      <c r="N8142" s="187">
        <v>133.77828979492188</v>
      </c>
      <c r="O8142" t="s">
        <v>9258</v>
      </c>
    </row>
    <row r="8143" spans="1:15" hidden="1" x14ac:dyDescent="0.45">
      <c r="A8143" s="187">
        <v>2027</v>
      </c>
      <c r="B8143" t="s">
        <v>8570</v>
      </c>
      <c r="C8143" t="s">
        <v>323</v>
      </c>
      <c r="D8143" t="s">
        <v>35</v>
      </c>
      <c r="E8143" t="s">
        <v>349</v>
      </c>
      <c r="F8143" t="s">
        <v>411</v>
      </c>
      <c r="G8143" t="s">
        <v>36</v>
      </c>
      <c r="H8143" t="s">
        <v>43</v>
      </c>
      <c r="I8143" s="187">
        <v>401.33486976000012</v>
      </c>
      <c r="J8143" s="187"/>
      <c r="K8143" s="187"/>
      <c r="L8143" s="187"/>
      <c r="M8143" s="187">
        <v>401.33486938476563</v>
      </c>
      <c r="N8143" s="187">
        <v>401.33486938476563</v>
      </c>
      <c r="O8143" t="s">
        <v>9259</v>
      </c>
    </row>
    <row r="8144" spans="1:15" hidden="1" x14ac:dyDescent="0.45">
      <c r="A8144" s="187">
        <v>2027</v>
      </c>
      <c r="B8144" t="s">
        <v>8570</v>
      </c>
      <c r="C8144" t="s">
        <v>323</v>
      </c>
      <c r="D8144" t="s">
        <v>35</v>
      </c>
      <c r="E8144" t="s">
        <v>349</v>
      </c>
      <c r="F8144" t="s">
        <v>423</v>
      </c>
      <c r="G8144" t="s">
        <v>36</v>
      </c>
      <c r="H8144" t="s">
        <v>43</v>
      </c>
      <c r="I8144" s="187"/>
      <c r="J8144" s="187"/>
      <c r="K8144" s="187">
        <v>0</v>
      </c>
      <c r="L8144" s="187">
        <v>55</v>
      </c>
      <c r="M8144" s="187">
        <v>55</v>
      </c>
      <c r="N8144" s="187">
        <v>55</v>
      </c>
      <c r="O8144" t="s">
        <v>9260</v>
      </c>
    </row>
    <row r="8145" spans="1:15" hidden="1" x14ac:dyDescent="0.45">
      <c r="A8145" s="187">
        <v>2027</v>
      </c>
      <c r="B8145" t="s">
        <v>8570</v>
      </c>
      <c r="C8145" t="s">
        <v>323</v>
      </c>
      <c r="D8145" t="s">
        <v>35</v>
      </c>
      <c r="E8145" t="s">
        <v>349</v>
      </c>
      <c r="F8145" t="s">
        <v>424</v>
      </c>
      <c r="G8145" t="s">
        <v>36</v>
      </c>
      <c r="H8145" t="s">
        <v>43</v>
      </c>
      <c r="I8145" s="187"/>
      <c r="J8145" s="187"/>
      <c r="K8145" s="187">
        <v>3.167479131341584</v>
      </c>
      <c r="L8145" s="187">
        <v>222</v>
      </c>
      <c r="M8145" s="187">
        <v>225.16748046875</v>
      </c>
      <c r="N8145" s="187">
        <v>222</v>
      </c>
      <c r="O8145" t="s">
        <v>9261</v>
      </c>
    </row>
    <row r="8146" spans="1:15" hidden="1" x14ac:dyDescent="0.45">
      <c r="A8146" s="187">
        <v>2027</v>
      </c>
      <c r="B8146" t="s">
        <v>8570</v>
      </c>
      <c r="C8146" t="s">
        <v>323</v>
      </c>
      <c r="D8146" t="s">
        <v>35</v>
      </c>
      <c r="E8146" t="s">
        <v>349</v>
      </c>
      <c r="F8146" t="s">
        <v>446</v>
      </c>
      <c r="G8146" t="s">
        <v>36</v>
      </c>
      <c r="H8146" t="s">
        <v>43</v>
      </c>
      <c r="I8146" s="187"/>
      <c r="J8146" s="187"/>
      <c r="K8146" s="187">
        <v>0</v>
      </c>
      <c r="L8146" s="187">
        <v>0</v>
      </c>
      <c r="M8146" s="187">
        <v>0</v>
      </c>
      <c r="N8146" s="187">
        <v>0</v>
      </c>
      <c r="O8146" t="s">
        <v>9262</v>
      </c>
    </row>
    <row r="8147" spans="1:15" hidden="1" x14ac:dyDescent="0.45">
      <c r="A8147" s="187">
        <v>2027</v>
      </c>
      <c r="B8147" t="s">
        <v>8570</v>
      </c>
      <c r="C8147" t="s">
        <v>323</v>
      </c>
      <c r="D8147" t="s">
        <v>35</v>
      </c>
      <c r="E8147" t="s">
        <v>349</v>
      </c>
      <c r="F8147" t="s">
        <v>447</v>
      </c>
      <c r="G8147" t="s">
        <v>36</v>
      </c>
      <c r="H8147" t="s">
        <v>43</v>
      </c>
      <c r="I8147" s="187"/>
      <c r="J8147" s="187">
        <v>0</v>
      </c>
      <c r="K8147" s="187">
        <v>3.167479131341584</v>
      </c>
      <c r="L8147" s="187">
        <v>277</v>
      </c>
      <c r="M8147" s="187">
        <v>280.16748046875</v>
      </c>
      <c r="N8147" s="187">
        <v>277</v>
      </c>
      <c r="O8147" t="s">
        <v>9263</v>
      </c>
    </row>
    <row r="8148" spans="1:15" hidden="1" x14ac:dyDescent="0.45">
      <c r="A8148" s="187">
        <v>2027</v>
      </c>
      <c r="B8148" t="s">
        <v>8570</v>
      </c>
      <c r="C8148" t="s">
        <v>328</v>
      </c>
      <c r="D8148" t="s">
        <v>39</v>
      </c>
      <c r="E8148" t="s">
        <v>349</v>
      </c>
      <c r="F8148" t="s">
        <v>349</v>
      </c>
      <c r="G8148" t="s">
        <v>36</v>
      </c>
      <c r="H8148" t="s">
        <v>43</v>
      </c>
      <c r="I8148" s="187">
        <v>0</v>
      </c>
      <c r="J8148" s="187"/>
      <c r="K8148" s="187">
        <v>2550.4773938042458</v>
      </c>
      <c r="L8148" s="187">
        <v>0</v>
      </c>
      <c r="M8148" s="187">
        <v>2550.477294921875</v>
      </c>
      <c r="N8148" s="187">
        <v>0</v>
      </c>
      <c r="O8148" t="s">
        <v>9264</v>
      </c>
    </row>
    <row r="8149" spans="1:15" hidden="1" x14ac:dyDescent="0.45">
      <c r="A8149" s="187">
        <v>2027</v>
      </c>
      <c r="B8149" t="s">
        <v>315</v>
      </c>
      <c r="C8149" t="s">
        <v>328</v>
      </c>
      <c r="D8149" t="s">
        <v>39</v>
      </c>
      <c r="E8149" t="s">
        <v>349</v>
      </c>
      <c r="F8149" t="s">
        <v>349</v>
      </c>
      <c r="G8149" t="s">
        <v>36</v>
      </c>
      <c r="H8149" t="s">
        <v>43</v>
      </c>
      <c r="I8149" s="187">
        <v>0</v>
      </c>
      <c r="J8149" s="187">
        <v>21.603009729083823</v>
      </c>
      <c r="K8149" s="187">
        <v>2324.2630332596309</v>
      </c>
      <c r="L8149" s="187">
        <v>0</v>
      </c>
      <c r="M8149" s="187">
        <v>2345.865966796875</v>
      </c>
      <c r="N8149" s="187">
        <v>0</v>
      </c>
      <c r="O8149" t="s">
        <v>7914</v>
      </c>
    </row>
    <row r="8150" spans="1:15" hidden="1" x14ac:dyDescent="0.45">
      <c r="A8150" s="187">
        <v>2027</v>
      </c>
      <c r="B8150" t="s">
        <v>314</v>
      </c>
      <c r="C8150" t="s">
        <v>328</v>
      </c>
      <c r="D8150" t="s">
        <v>39</v>
      </c>
      <c r="E8150" t="s">
        <v>349</v>
      </c>
      <c r="F8150" t="s">
        <v>349</v>
      </c>
      <c r="G8150" t="s">
        <v>36</v>
      </c>
      <c r="H8150" t="s">
        <v>43</v>
      </c>
      <c r="I8150" s="187">
        <v>0</v>
      </c>
      <c r="J8150" s="187">
        <v>22.192551404189587</v>
      </c>
      <c r="K8150" s="187">
        <v>2962.9925392560904</v>
      </c>
      <c r="L8150" s="187">
        <v>0</v>
      </c>
      <c r="M8150" s="187">
        <v>2985.18505859375</v>
      </c>
      <c r="N8150" s="187">
        <v>0</v>
      </c>
      <c r="O8150" t="s">
        <v>7916</v>
      </c>
    </row>
    <row r="8151" spans="1:15" hidden="1" x14ac:dyDescent="0.45">
      <c r="A8151" s="187">
        <v>2027</v>
      </c>
      <c r="B8151" t="s">
        <v>317</v>
      </c>
      <c r="C8151" t="s">
        <v>328</v>
      </c>
      <c r="D8151" t="s">
        <v>39</v>
      </c>
      <c r="E8151" t="s">
        <v>349</v>
      </c>
      <c r="F8151" t="s">
        <v>349</v>
      </c>
      <c r="G8151" t="s">
        <v>36</v>
      </c>
      <c r="H8151" t="s">
        <v>43</v>
      </c>
      <c r="I8151" s="187">
        <v>0</v>
      </c>
      <c r="J8151" s="187">
        <v>26.131645976874857</v>
      </c>
      <c r="K8151" s="187">
        <v>2379.2493234618073</v>
      </c>
      <c r="L8151" s="187">
        <v>0</v>
      </c>
      <c r="M8151" s="187">
        <v>2405.380859375</v>
      </c>
      <c r="N8151" s="187">
        <v>0</v>
      </c>
      <c r="O8151" t="s">
        <v>7917</v>
      </c>
    </row>
    <row r="8152" spans="1:15" hidden="1" x14ac:dyDescent="0.45">
      <c r="A8152" s="187">
        <v>2027</v>
      </c>
      <c r="B8152" t="s">
        <v>313</v>
      </c>
      <c r="C8152" t="s">
        <v>328</v>
      </c>
      <c r="D8152" t="s">
        <v>39</v>
      </c>
      <c r="E8152" t="s">
        <v>349</v>
      </c>
      <c r="F8152" t="s">
        <v>349</v>
      </c>
      <c r="G8152" t="s">
        <v>36</v>
      </c>
      <c r="H8152" t="s">
        <v>43</v>
      </c>
      <c r="I8152" s="187">
        <v>0</v>
      </c>
      <c r="J8152" s="187">
        <v>0</v>
      </c>
      <c r="K8152" s="187">
        <v>3163.8316559990258</v>
      </c>
      <c r="L8152" s="187">
        <v>0</v>
      </c>
      <c r="M8152" s="187">
        <v>3163.83154296875</v>
      </c>
      <c r="N8152" s="187">
        <v>0</v>
      </c>
      <c r="O8152" t="s">
        <v>7918</v>
      </c>
    </row>
    <row r="8153" spans="1:15" hidden="1" x14ac:dyDescent="0.45">
      <c r="A8153" s="187">
        <v>2027</v>
      </c>
      <c r="B8153" t="s">
        <v>316</v>
      </c>
      <c r="C8153" t="s">
        <v>328</v>
      </c>
      <c r="D8153" t="s">
        <v>39</v>
      </c>
      <c r="E8153" t="s">
        <v>349</v>
      </c>
      <c r="F8153" t="s">
        <v>349</v>
      </c>
      <c r="G8153" t="s">
        <v>36</v>
      </c>
      <c r="H8153" t="s">
        <v>43</v>
      </c>
      <c r="I8153" s="187">
        <v>0</v>
      </c>
      <c r="J8153" s="187">
        <v>26.440360977435727</v>
      </c>
      <c r="K8153" s="187">
        <v>2373.0779819805693</v>
      </c>
      <c r="L8153" s="187">
        <v>0</v>
      </c>
      <c r="M8153" s="187">
        <v>2399.518310546875</v>
      </c>
      <c r="N8153" s="187">
        <v>0</v>
      </c>
      <c r="O8153" t="s">
        <v>7915</v>
      </c>
    </row>
    <row r="8154" spans="1:15" hidden="1" x14ac:dyDescent="0.45">
      <c r="A8154" s="187">
        <v>2027</v>
      </c>
      <c r="B8154" t="s">
        <v>315</v>
      </c>
      <c r="C8154" t="s">
        <v>328</v>
      </c>
      <c r="D8154" t="s">
        <v>39</v>
      </c>
      <c r="E8154" t="s">
        <v>349</v>
      </c>
      <c r="F8154" t="s">
        <v>349</v>
      </c>
      <c r="G8154" t="s">
        <v>37</v>
      </c>
      <c r="H8154" t="s">
        <v>43</v>
      </c>
      <c r="I8154" s="187">
        <v>0</v>
      </c>
      <c r="J8154" s="187">
        <v>23</v>
      </c>
      <c r="K8154" s="187">
        <v>2514.895152763379</v>
      </c>
      <c r="L8154" s="187">
        <v>0</v>
      </c>
      <c r="M8154" s="187">
        <v>2537.895263671875</v>
      </c>
      <c r="N8154" s="187">
        <v>0</v>
      </c>
      <c r="O8154" t="s">
        <v>7922</v>
      </c>
    </row>
    <row r="8155" spans="1:15" hidden="1" x14ac:dyDescent="0.45">
      <c r="A8155" s="187">
        <v>2027</v>
      </c>
      <c r="B8155" t="s">
        <v>313</v>
      </c>
      <c r="C8155" t="s">
        <v>328</v>
      </c>
      <c r="D8155" t="s">
        <v>39</v>
      </c>
      <c r="E8155" t="s">
        <v>349</v>
      </c>
      <c r="F8155" t="s">
        <v>349</v>
      </c>
      <c r="G8155" t="s">
        <v>37</v>
      </c>
      <c r="H8155" t="s">
        <v>43</v>
      </c>
      <c r="I8155" s="187">
        <v>0</v>
      </c>
      <c r="J8155" s="187">
        <v>0</v>
      </c>
      <c r="K8155" s="187">
        <v>3364.769355126793</v>
      </c>
      <c r="L8155" s="187">
        <v>0</v>
      </c>
      <c r="M8155" s="187">
        <v>3364.769287109375</v>
      </c>
      <c r="N8155" s="187">
        <v>0</v>
      </c>
      <c r="O8155" t="s">
        <v>7923</v>
      </c>
    </row>
    <row r="8156" spans="1:15" hidden="1" x14ac:dyDescent="0.45">
      <c r="A8156" s="187">
        <v>2027</v>
      </c>
      <c r="B8156" t="s">
        <v>8570</v>
      </c>
      <c r="C8156" t="s">
        <v>328</v>
      </c>
      <c r="D8156" t="s">
        <v>39</v>
      </c>
      <c r="E8156" t="s">
        <v>349</v>
      </c>
      <c r="F8156" t="s">
        <v>349</v>
      </c>
      <c r="G8156" t="s">
        <v>37</v>
      </c>
      <c r="H8156" t="s">
        <v>43</v>
      </c>
      <c r="I8156" s="187">
        <v>0</v>
      </c>
      <c r="J8156" s="187">
        <v>5</v>
      </c>
      <c r="K8156" s="187">
        <v>2828.3461024520352</v>
      </c>
      <c r="L8156" s="187">
        <v>0</v>
      </c>
      <c r="M8156" s="187">
        <v>2833.34619140625</v>
      </c>
      <c r="N8156" s="187">
        <v>0</v>
      </c>
      <c r="O8156" t="s">
        <v>9265</v>
      </c>
    </row>
    <row r="8157" spans="1:15" hidden="1" x14ac:dyDescent="0.45">
      <c r="A8157" s="187">
        <v>2027</v>
      </c>
      <c r="B8157" t="s">
        <v>317</v>
      </c>
      <c r="C8157" t="s">
        <v>328</v>
      </c>
      <c r="D8157" t="s">
        <v>39</v>
      </c>
      <c r="E8157" t="s">
        <v>349</v>
      </c>
      <c r="F8157" t="s">
        <v>349</v>
      </c>
      <c r="G8157" t="s">
        <v>37</v>
      </c>
      <c r="H8157" t="s">
        <v>43</v>
      </c>
      <c r="I8157" s="187">
        <v>0</v>
      </c>
      <c r="J8157" s="187">
        <v>25</v>
      </c>
      <c r="K8157" s="187">
        <v>2547.7630033029359</v>
      </c>
      <c r="L8157" s="187">
        <v>0</v>
      </c>
      <c r="M8157" s="187">
        <v>2572.762939453125</v>
      </c>
      <c r="N8157" s="187">
        <v>0</v>
      </c>
      <c r="O8157" t="s">
        <v>7919</v>
      </c>
    </row>
    <row r="8158" spans="1:15" hidden="1" x14ac:dyDescent="0.45">
      <c r="A8158" s="187">
        <v>2027</v>
      </c>
      <c r="B8158" t="s">
        <v>314</v>
      </c>
      <c r="C8158" t="s">
        <v>328</v>
      </c>
      <c r="D8158" t="s">
        <v>39</v>
      </c>
      <c r="E8158" t="s">
        <v>349</v>
      </c>
      <c r="F8158" t="s">
        <v>349</v>
      </c>
      <c r="G8158" t="s">
        <v>37</v>
      </c>
      <c r="H8158" t="s">
        <v>43</v>
      </c>
      <c r="I8158" s="187">
        <v>0</v>
      </c>
      <c r="J8158" s="187">
        <v>24</v>
      </c>
      <c r="K8158" s="187">
        <v>3197.0909470429019</v>
      </c>
      <c r="L8158" s="187">
        <v>0</v>
      </c>
      <c r="M8158" s="187">
        <v>3221.091064453125</v>
      </c>
      <c r="N8158" s="187">
        <v>0</v>
      </c>
      <c r="O8158" t="s">
        <v>7921</v>
      </c>
    </row>
    <row r="8159" spans="1:15" hidden="1" x14ac:dyDescent="0.45">
      <c r="A8159" s="187">
        <v>2027</v>
      </c>
      <c r="B8159" t="s">
        <v>316</v>
      </c>
      <c r="C8159" t="s">
        <v>328</v>
      </c>
      <c r="D8159" t="s">
        <v>39</v>
      </c>
      <c r="E8159" t="s">
        <v>349</v>
      </c>
      <c r="F8159" t="s">
        <v>349</v>
      </c>
      <c r="G8159" t="s">
        <v>37</v>
      </c>
      <c r="H8159" t="s">
        <v>43</v>
      </c>
      <c r="I8159" s="187">
        <v>0</v>
      </c>
      <c r="J8159" s="187">
        <v>25</v>
      </c>
      <c r="K8159" s="187">
        <v>2531.3634730390431</v>
      </c>
      <c r="L8159" s="187">
        <v>0</v>
      </c>
      <c r="M8159" s="187">
        <v>2556.363525390625</v>
      </c>
      <c r="N8159" s="187">
        <v>0</v>
      </c>
      <c r="O8159" t="s">
        <v>7920</v>
      </c>
    </row>
    <row r="8160" spans="1:15" hidden="1" x14ac:dyDescent="0.45">
      <c r="A8160" s="187">
        <v>2027</v>
      </c>
      <c r="B8160" t="s">
        <v>316</v>
      </c>
      <c r="C8160" t="s">
        <v>328</v>
      </c>
      <c r="D8160" t="s">
        <v>39</v>
      </c>
      <c r="E8160" t="s">
        <v>21</v>
      </c>
      <c r="F8160" t="s">
        <v>21</v>
      </c>
      <c r="G8160" t="s">
        <v>36</v>
      </c>
      <c r="H8160" t="s">
        <v>43</v>
      </c>
      <c r="I8160" s="187">
        <v>3117.8522850700328</v>
      </c>
      <c r="J8160" s="187">
        <v>1327.3061210672736</v>
      </c>
      <c r="K8160" s="187">
        <v>5718.1727277166056</v>
      </c>
      <c r="L8160" s="187">
        <v>5255.2861478751247</v>
      </c>
      <c r="M8160" s="187">
        <v>15418.6171875</v>
      </c>
      <c r="N8160" s="187">
        <v>8373.138671875</v>
      </c>
      <c r="O8160" t="s">
        <v>7928</v>
      </c>
    </row>
    <row r="8161" spans="1:15" hidden="1" x14ac:dyDescent="0.45">
      <c r="A8161" s="187">
        <v>2027</v>
      </c>
      <c r="B8161" t="s">
        <v>317</v>
      </c>
      <c r="C8161" t="s">
        <v>328</v>
      </c>
      <c r="D8161" t="s">
        <v>39</v>
      </c>
      <c r="E8161" t="s">
        <v>21</v>
      </c>
      <c r="F8161" t="s">
        <v>21</v>
      </c>
      <c r="G8161" t="s">
        <v>36</v>
      </c>
      <c r="H8161" t="s">
        <v>43</v>
      </c>
      <c r="I8161" s="187">
        <v>3081.448554774689</v>
      </c>
      <c r="J8161" s="187">
        <v>1311.8086280391178</v>
      </c>
      <c r="K8161" s="187">
        <v>7699.2115676197973</v>
      </c>
      <c r="L8161" s="187">
        <v>5351.7610960639713</v>
      </c>
      <c r="M8161" s="187">
        <v>17444.23046875</v>
      </c>
      <c r="N8161" s="187">
        <v>8433.2099609375</v>
      </c>
      <c r="O8161" t="s">
        <v>7927</v>
      </c>
    </row>
    <row r="8162" spans="1:15" hidden="1" x14ac:dyDescent="0.45">
      <c r="A8162" s="187">
        <v>2027</v>
      </c>
      <c r="B8162" t="s">
        <v>314</v>
      </c>
      <c r="C8162" t="s">
        <v>328</v>
      </c>
      <c r="D8162" t="s">
        <v>39</v>
      </c>
      <c r="E8162" t="s">
        <v>21</v>
      </c>
      <c r="F8162" t="s">
        <v>21</v>
      </c>
      <c r="G8162" t="s">
        <v>36</v>
      </c>
      <c r="H8162" t="s">
        <v>43</v>
      </c>
      <c r="I8162" s="187">
        <v>1958.4926614197309</v>
      </c>
      <c r="J8162" s="187">
        <v>909.89460757177301</v>
      </c>
      <c r="K8162" s="187">
        <v>5662.1004812542678</v>
      </c>
      <c r="L8162" s="187">
        <v>5066.5594855764821</v>
      </c>
      <c r="M8162" s="187">
        <v>13597.046875</v>
      </c>
      <c r="N8162" s="187">
        <v>7025.05224609375</v>
      </c>
      <c r="O8162" t="s">
        <v>7926</v>
      </c>
    </row>
    <row r="8163" spans="1:15" hidden="1" x14ac:dyDescent="0.45">
      <c r="A8163" s="187">
        <v>2027</v>
      </c>
      <c r="B8163" t="s">
        <v>315</v>
      </c>
      <c r="C8163" t="s">
        <v>328</v>
      </c>
      <c r="D8163" t="s">
        <v>39</v>
      </c>
      <c r="E8163" t="s">
        <v>21</v>
      </c>
      <c r="F8163" t="s">
        <v>21</v>
      </c>
      <c r="G8163" t="s">
        <v>36</v>
      </c>
      <c r="H8163" t="s">
        <v>43</v>
      </c>
      <c r="I8163" s="187">
        <v>1906.4656085916472</v>
      </c>
      <c r="J8163" s="187">
        <v>1069.3489815896492</v>
      </c>
      <c r="K8163" s="187">
        <v>5569.0931022560826</v>
      </c>
      <c r="L8163" s="187">
        <v>5191.2032378988424</v>
      </c>
      <c r="M8163" s="187">
        <v>13736.1103515625</v>
      </c>
      <c r="N8163" s="187">
        <v>7097.6689453125</v>
      </c>
      <c r="O8163" t="s">
        <v>7924</v>
      </c>
    </row>
    <row r="8164" spans="1:15" hidden="1" x14ac:dyDescent="0.45">
      <c r="A8164" s="187">
        <v>2027</v>
      </c>
      <c r="B8164" t="s">
        <v>8570</v>
      </c>
      <c r="C8164" t="s">
        <v>328</v>
      </c>
      <c r="D8164" t="s">
        <v>39</v>
      </c>
      <c r="E8164" t="s">
        <v>21</v>
      </c>
      <c r="F8164" t="s">
        <v>21</v>
      </c>
      <c r="G8164" t="s">
        <v>36</v>
      </c>
      <c r="H8164" t="s">
        <v>43</v>
      </c>
      <c r="I8164" s="187">
        <v>3325.5675811268829</v>
      </c>
      <c r="J8164" s="187">
        <v>1531</v>
      </c>
      <c r="K8164" s="187">
        <v>6846.5004101985178</v>
      </c>
      <c r="L8164" s="187">
        <v>5400</v>
      </c>
      <c r="M8164" s="187">
        <v>17103.06640625</v>
      </c>
      <c r="N8164" s="187">
        <v>8725.5673828125</v>
      </c>
      <c r="O8164" t="s">
        <v>9266</v>
      </c>
    </row>
    <row r="8165" spans="1:15" hidden="1" x14ac:dyDescent="0.45">
      <c r="A8165" s="187">
        <v>2027</v>
      </c>
      <c r="B8165" t="s">
        <v>313</v>
      </c>
      <c r="C8165" t="s">
        <v>328</v>
      </c>
      <c r="D8165" t="s">
        <v>39</v>
      </c>
      <c r="E8165" t="s">
        <v>21</v>
      </c>
      <c r="F8165" t="s">
        <v>21</v>
      </c>
      <c r="G8165" t="s">
        <v>36</v>
      </c>
      <c r="H8165" t="s">
        <v>43</v>
      </c>
      <c r="I8165" s="187">
        <v>1940.0044612941792</v>
      </c>
      <c r="J8165" s="187">
        <v>912.85735991632748</v>
      </c>
      <c r="K8165" s="187">
        <v>7403.6262571684192</v>
      </c>
      <c r="L8165" s="187">
        <v>5323.0994800120843</v>
      </c>
      <c r="M8165" s="187">
        <v>15579.587890625</v>
      </c>
      <c r="N8165" s="187">
        <v>7263.10400390625</v>
      </c>
      <c r="O8165" t="s">
        <v>7925</v>
      </c>
    </row>
    <row r="8166" spans="1:15" hidden="1" x14ac:dyDescent="0.45">
      <c r="A8166" s="187">
        <v>2027</v>
      </c>
      <c r="B8166" t="s">
        <v>314</v>
      </c>
      <c r="C8166" t="s">
        <v>328</v>
      </c>
      <c r="D8166" t="s">
        <v>39</v>
      </c>
      <c r="E8166" t="s">
        <v>21</v>
      </c>
      <c r="F8166" t="s">
        <v>21</v>
      </c>
      <c r="G8166" t="s">
        <v>37</v>
      </c>
      <c r="H8166" t="s">
        <v>43</v>
      </c>
      <c r="I8166" s="187">
        <v>2110.3725149481911</v>
      </c>
      <c r="J8166" s="187">
        <v>980</v>
      </c>
      <c r="K8166" s="187">
        <v>6109.4484545715904</v>
      </c>
      <c r="L8166" s="187">
        <v>5961</v>
      </c>
      <c r="M8166" s="187">
        <v>15160.8212890625</v>
      </c>
      <c r="N8166" s="187">
        <v>8071.37255859375</v>
      </c>
      <c r="O8166" t="s">
        <v>7933</v>
      </c>
    </row>
    <row r="8167" spans="1:15" hidden="1" x14ac:dyDescent="0.45">
      <c r="A8167" s="187">
        <v>2027</v>
      </c>
      <c r="B8167" t="s">
        <v>8570</v>
      </c>
      <c r="C8167" t="s">
        <v>328</v>
      </c>
      <c r="D8167" t="s">
        <v>39</v>
      </c>
      <c r="E8167" t="s">
        <v>21</v>
      </c>
      <c r="F8167" t="s">
        <v>21</v>
      </c>
      <c r="G8167" t="s">
        <v>37</v>
      </c>
      <c r="H8167" t="s">
        <v>43</v>
      </c>
      <c r="I8167" s="187">
        <v>3671.69532606645</v>
      </c>
      <c r="J8167" s="187">
        <v>1658</v>
      </c>
      <c r="K8167" s="187">
        <v>7592.4110512259203</v>
      </c>
      <c r="L8167" s="187">
        <v>6196</v>
      </c>
      <c r="M8167" s="187">
        <v>19118.10546875</v>
      </c>
      <c r="N8167" s="187">
        <v>9867.6953125</v>
      </c>
      <c r="O8167" t="s">
        <v>9267</v>
      </c>
    </row>
    <row r="8168" spans="1:15" hidden="1" x14ac:dyDescent="0.45">
      <c r="A8168" s="187">
        <v>2027</v>
      </c>
      <c r="B8168" t="s">
        <v>315</v>
      </c>
      <c r="C8168" t="s">
        <v>328</v>
      </c>
      <c r="D8168" t="s">
        <v>39</v>
      </c>
      <c r="E8168" t="s">
        <v>21</v>
      </c>
      <c r="F8168" t="s">
        <v>21</v>
      </c>
      <c r="G8168" t="s">
        <v>37</v>
      </c>
      <c r="H8168" t="s">
        <v>43</v>
      </c>
      <c r="I8168" s="187">
        <v>2068.3843133864461</v>
      </c>
      <c r="J8168" s="187">
        <v>1137</v>
      </c>
      <c r="K8168" s="187">
        <v>6025.8606912100267</v>
      </c>
      <c r="L8168" s="187">
        <v>5771</v>
      </c>
      <c r="M8168" s="187">
        <v>15002.2451171875</v>
      </c>
      <c r="N8168" s="187">
        <v>7839.38427734375</v>
      </c>
      <c r="O8168" t="s">
        <v>7932</v>
      </c>
    </row>
    <row r="8169" spans="1:15" hidden="1" x14ac:dyDescent="0.45">
      <c r="A8169" s="187">
        <v>2027</v>
      </c>
      <c r="B8169" t="s">
        <v>313</v>
      </c>
      <c r="C8169" t="s">
        <v>328</v>
      </c>
      <c r="D8169" t="s">
        <v>39</v>
      </c>
      <c r="E8169" t="s">
        <v>21</v>
      </c>
      <c r="F8169" t="s">
        <v>21</v>
      </c>
      <c r="G8169" t="s">
        <v>37</v>
      </c>
      <c r="H8169" t="s">
        <v>43</v>
      </c>
      <c r="I8169" s="187">
        <v>2068.2162205572599</v>
      </c>
      <c r="J8169" s="187">
        <v>975</v>
      </c>
      <c r="K8169" s="187">
        <v>7873.8369975207179</v>
      </c>
      <c r="L8169" s="187">
        <v>5763</v>
      </c>
      <c r="M8169" s="187">
        <v>16680.0546875</v>
      </c>
      <c r="N8169" s="187">
        <v>7831.21630859375</v>
      </c>
      <c r="O8169" t="s">
        <v>7931</v>
      </c>
    </row>
    <row r="8170" spans="1:15" hidden="1" x14ac:dyDescent="0.45">
      <c r="A8170" s="187">
        <v>2027</v>
      </c>
      <c r="B8170" t="s">
        <v>317</v>
      </c>
      <c r="C8170" t="s">
        <v>328</v>
      </c>
      <c r="D8170" t="s">
        <v>39</v>
      </c>
      <c r="E8170" t="s">
        <v>21</v>
      </c>
      <c r="F8170" t="s">
        <v>21</v>
      </c>
      <c r="G8170" t="s">
        <v>37</v>
      </c>
      <c r="H8170" t="s">
        <v>43</v>
      </c>
      <c r="I8170" s="187">
        <v>3320</v>
      </c>
      <c r="J8170" s="187">
        <v>1255</v>
      </c>
      <c r="K8170" s="187">
        <v>8244.5190561377512</v>
      </c>
      <c r="L8170" s="187">
        <v>5739</v>
      </c>
      <c r="M8170" s="187">
        <v>18558.51953125</v>
      </c>
      <c r="N8170" s="187">
        <v>9059</v>
      </c>
      <c r="O8170" t="s">
        <v>7930</v>
      </c>
    </row>
    <row r="8171" spans="1:15" hidden="1" x14ac:dyDescent="0.45">
      <c r="A8171" s="187">
        <v>2027</v>
      </c>
      <c r="B8171" t="s">
        <v>316</v>
      </c>
      <c r="C8171" t="s">
        <v>328</v>
      </c>
      <c r="D8171" t="s">
        <v>39</v>
      </c>
      <c r="E8171" t="s">
        <v>21</v>
      </c>
      <c r="F8171" t="s">
        <v>21</v>
      </c>
      <c r="G8171" t="s">
        <v>37</v>
      </c>
      <c r="H8171" t="s">
        <v>43</v>
      </c>
      <c r="I8171" s="187">
        <v>3386.66268358764</v>
      </c>
      <c r="J8171" s="187">
        <v>1255</v>
      </c>
      <c r="K8171" s="187">
        <v>6099.5777152629462</v>
      </c>
      <c r="L8171" s="187">
        <v>5771</v>
      </c>
      <c r="M8171" s="187">
        <v>16512.240234375</v>
      </c>
      <c r="N8171" s="187">
        <v>9157.662109375</v>
      </c>
      <c r="O8171" t="s">
        <v>7929</v>
      </c>
    </row>
    <row r="8172" spans="1:15" hidden="1" x14ac:dyDescent="0.45">
      <c r="A8172" s="187">
        <v>2027</v>
      </c>
      <c r="B8172" t="s">
        <v>315</v>
      </c>
      <c r="C8172" t="s">
        <v>328</v>
      </c>
      <c r="D8172" t="s">
        <v>39</v>
      </c>
      <c r="E8172" t="s">
        <v>352</v>
      </c>
      <c r="F8172" t="s">
        <v>433</v>
      </c>
      <c r="G8172" t="s">
        <v>36</v>
      </c>
      <c r="H8172" t="s">
        <v>43</v>
      </c>
      <c r="I8172" s="187">
        <v>0</v>
      </c>
      <c r="J8172" s="187">
        <v>194.4270875617544</v>
      </c>
      <c r="K8172" s="187">
        <v>118.72791479324165</v>
      </c>
      <c r="L8172" s="187">
        <v>275.4383740458187</v>
      </c>
      <c r="M8172" s="187">
        <v>588.5933837890625</v>
      </c>
      <c r="N8172" s="187">
        <v>275.43838500976563</v>
      </c>
      <c r="O8172" t="s">
        <v>7934</v>
      </c>
    </row>
    <row r="8173" spans="1:15" hidden="1" x14ac:dyDescent="0.45">
      <c r="A8173" s="187">
        <v>2027</v>
      </c>
      <c r="B8173" t="s">
        <v>317</v>
      </c>
      <c r="C8173" t="s">
        <v>328</v>
      </c>
      <c r="D8173" t="s">
        <v>39</v>
      </c>
      <c r="E8173" t="s">
        <v>352</v>
      </c>
      <c r="F8173" t="s">
        <v>433</v>
      </c>
      <c r="G8173" t="s">
        <v>36</v>
      </c>
      <c r="H8173" t="s">
        <v>43</v>
      </c>
      <c r="I8173" s="187"/>
      <c r="J8173" s="187">
        <v>414.97053811277277</v>
      </c>
      <c r="K8173" s="187">
        <v>84.58353828439175</v>
      </c>
      <c r="L8173" s="187">
        <v>326.1229417913982</v>
      </c>
      <c r="M8173" s="187">
        <v>825.677001953125</v>
      </c>
      <c r="N8173" s="187">
        <v>326.12295532226563</v>
      </c>
      <c r="O8173" t="s">
        <v>7937</v>
      </c>
    </row>
    <row r="8174" spans="1:15" hidden="1" x14ac:dyDescent="0.45">
      <c r="A8174" s="187">
        <v>2027</v>
      </c>
      <c r="B8174" t="s">
        <v>8570</v>
      </c>
      <c r="C8174" t="s">
        <v>328</v>
      </c>
      <c r="D8174" t="s">
        <v>39</v>
      </c>
      <c r="E8174" t="s">
        <v>352</v>
      </c>
      <c r="F8174" t="s">
        <v>433</v>
      </c>
      <c r="G8174" t="s">
        <v>36</v>
      </c>
      <c r="H8174" t="s">
        <v>43</v>
      </c>
      <c r="I8174" s="187">
        <v>0</v>
      </c>
      <c r="J8174" s="187">
        <v>397</v>
      </c>
      <c r="K8174" s="187">
        <v>85.605875440884191</v>
      </c>
      <c r="L8174" s="187">
        <v>391</v>
      </c>
      <c r="M8174" s="187">
        <v>873.6058349609375</v>
      </c>
      <c r="N8174" s="187">
        <v>391</v>
      </c>
      <c r="O8174" t="s">
        <v>9268</v>
      </c>
    </row>
    <row r="8175" spans="1:15" hidden="1" x14ac:dyDescent="0.45">
      <c r="A8175" s="187">
        <v>2027</v>
      </c>
      <c r="B8175" t="s">
        <v>314</v>
      </c>
      <c r="C8175" t="s">
        <v>328</v>
      </c>
      <c r="D8175" t="s">
        <v>39</v>
      </c>
      <c r="E8175" t="s">
        <v>352</v>
      </c>
      <c r="F8175" t="s">
        <v>433</v>
      </c>
      <c r="G8175" t="s">
        <v>36</v>
      </c>
      <c r="H8175" t="s">
        <v>43</v>
      </c>
      <c r="I8175" s="187">
        <v>0</v>
      </c>
      <c r="J8175" s="187">
        <v>210.82923833980107</v>
      </c>
      <c r="K8175" s="187">
        <v>120.6631212397192</v>
      </c>
      <c r="L8175" s="187">
        <v>104.30499159969105</v>
      </c>
      <c r="M8175" s="187">
        <v>435.79736328125</v>
      </c>
      <c r="N8175" s="187">
        <v>104.30499267578125</v>
      </c>
      <c r="O8175" t="s">
        <v>7936</v>
      </c>
    </row>
    <row r="8176" spans="1:15" hidden="1" x14ac:dyDescent="0.45">
      <c r="A8176" s="187">
        <v>2027</v>
      </c>
      <c r="B8176" t="s">
        <v>313</v>
      </c>
      <c r="C8176" t="s">
        <v>328</v>
      </c>
      <c r="D8176" t="s">
        <v>39</v>
      </c>
      <c r="E8176" t="s">
        <v>352</v>
      </c>
      <c r="F8176" t="s">
        <v>433</v>
      </c>
      <c r="G8176" t="s">
        <v>36</v>
      </c>
      <c r="H8176" t="s">
        <v>43</v>
      </c>
      <c r="I8176" s="187"/>
      <c r="J8176" s="187">
        <v>182.5714719832655</v>
      </c>
      <c r="K8176" s="187">
        <v>165.15985891456145</v>
      </c>
      <c r="L8176" s="187">
        <v>309.23043067165594</v>
      </c>
      <c r="M8176" s="187">
        <v>656.96173095703125</v>
      </c>
      <c r="N8176" s="187">
        <v>309.23043823242188</v>
      </c>
      <c r="O8176" t="s">
        <v>7938</v>
      </c>
    </row>
    <row r="8177" spans="1:15" hidden="1" x14ac:dyDescent="0.45">
      <c r="A8177" s="187">
        <v>2027</v>
      </c>
      <c r="B8177" t="s">
        <v>316</v>
      </c>
      <c r="C8177" t="s">
        <v>328</v>
      </c>
      <c r="D8177" t="s">
        <v>39</v>
      </c>
      <c r="E8177" t="s">
        <v>352</v>
      </c>
      <c r="F8177" t="s">
        <v>433</v>
      </c>
      <c r="G8177" t="s">
        <v>36</v>
      </c>
      <c r="H8177" t="s">
        <v>43</v>
      </c>
      <c r="I8177" s="187"/>
      <c r="J8177" s="187">
        <v>301.42011514276726</v>
      </c>
      <c r="K8177" s="187">
        <v>122.96116015565366</v>
      </c>
      <c r="L8177" s="187">
        <v>303.53534402096216</v>
      </c>
      <c r="M8177" s="187">
        <v>727.9166259765625</v>
      </c>
      <c r="N8177" s="187">
        <v>303.53533935546875</v>
      </c>
      <c r="O8177" t="s">
        <v>7935</v>
      </c>
    </row>
    <row r="8178" spans="1:15" hidden="1" x14ac:dyDescent="0.45">
      <c r="A8178" s="187">
        <v>2027</v>
      </c>
      <c r="B8178" t="s">
        <v>315</v>
      </c>
      <c r="C8178" t="s">
        <v>328</v>
      </c>
      <c r="D8178" t="s">
        <v>39</v>
      </c>
      <c r="E8178" t="s">
        <v>352</v>
      </c>
      <c r="F8178" t="s">
        <v>361</v>
      </c>
      <c r="G8178" t="s">
        <v>36</v>
      </c>
      <c r="H8178" t="s">
        <v>43</v>
      </c>
      <c r="I8178" s="187"/>
      <c r="J8178" s="187">
        <v>0</v>
      </c>
      <c r="K8178" s="187">
        <v>0</v>
      </c>
      <c r="L8178" s="187">
        <v>0</v>
      </c>
      <c r="M8178" s="187">
        <v>0</v>
      </c>
      <c r="N8178" s="187">
        <v>0</v>
      </c>
      <c r="O8178" t="s">
        <v>7941</v>
      </c>
    </row>
    <row r="8179" spans="1:15" hidden="1" x14ac:dyDescent="0.45">
      <c r="A8179" s="187">
        <v>2027</v>
      </c>
      <c r="B8179" t="s">
        <v>317</v>
      </c>
      <c r="C8179" t="s">
        <v>328</v>
      </c>
      <c r="D8179" t="s">
        <v>39</v>
      </c>
      <c r="E8179" t="s">
        <v>352</v>
      </c>
      <c r="F8179" t="s">
        <v>361</v>
      </c>
      <c r="G8179" t="s">
        <v>36</v>
      </c>
      <c r="H8179" t="s">
        <v>43</v>
      </c>
      <c r="I8179" s="187"/>
      <c r="J8179" s="187"/>
      <c r="K8179" s="187"/>
      <c r="L8179" s="187">
        <v>0</v>
      </c>
      <c r="M8179" s="187">
        <v>0</v>
      </c>
      <c r="N8179" s="187">
        <v>0</v>
      </c>
      <c r="O8179" t="s">
        <v>7943</v>
      </c>
    </row>
    <row r="8180" spans="1:15" hidden="1" x14ac:dyDescent="0.45">
      <c r="A8180" s="187">
        <v>2027</v>
      </c>
      <c r="B8180" t="s">
        <v>313</v>
      </c>
      <c r="C8180" t="s">
        <v>328</v>
      </c>
      <c r="D8180" t="s">
        <v>39</v>
      </c>
      <c r="E8180" t="s">
        <v>352</v>
      </c>
      <c r="F8180" t="s">
        <v>361</v>
      </c>
      <c r="G8180" t="s">
        <v>36</v>
      </c>
      <c r="H8180" t="s">
        <v>43</v>
      </c>
      <c r="I8180" s="187"/>
      <c r="J8180" s="187">
        <v>0</v>
      </c>
      <c r="K8180" s="187">
        <v>0</v>
      </c>
      <c r="L8180" s="187">
        <v>0</v>
      </c>
      <c r="M8180" s="187">
        <v>0</v>
      </c>
      <c r="N8180" s="187">
        <v>0</v>
      </c>
      <c r="O8180" t="s">
        <v>7939</v>
      </c>
    </row>
    <row r="8181" spans="1:15" hidden="1" x14ac:dyDescent="0.45">
      <c r="A8181" s="187">
        <v>2027</v>
      </c>
      <c r="B8181" t="s">
        <v>8570</v>
      </c>
      <c r="C8181" t="s">
        <v>328</v>
      </c>
      <c r="D8181" t="s">
        <v>39</v>
      </c>
      <c r="E8181" t="s">
        <v>352</v>
      </c>
      <c r="F8181" t="s">
        <v>361</v>
      </c>
      <c r="G8181" t="s">
        <v>36</v>
      </c>
      <c r="H8181" t="s">
        <v>43</v>
      </c>
      <c r="I8181" s="187">
        <v>0</v>
      </c>
      <c r="J8181" s="187"/>
      <c r="K8181" s="187">
        <v>0</v>
      </c>
      <c r="L8181" s="187"/>
      <c r="M8181" s="187">
        <v>0</v>
      </c>
      <c r="N8181" s="187">
        <v>0</v>
      </c>
      <c r="O8181" t="s">
        <v>9269</v>
      </c>
    </row>
    <row r="8182" spans="1:15" hidden="1" x14ac:dyDescent="0.45">
      <c r="A8182" s="187">
        <v>2027</v>
      </c>
      <c r="B8182" t="s">
        <v>314</v>
      </c>
      <c r="C8182" t="s">
        <v>328</v>
      </c>
      <c r="D8182" t="s">
        <v>39</v>
      </c>
      <c r="E8182" t="s">
        <v>352</v>
      </c>
      <c r="F8182" t="s">
        <v>361</v>
      </c>
      <c r="G8182" t="s">
        <v>36</v>
      </c>
      <c r="H8182" t="s">
        <v>43</v>
      </c>
      <c r="I8182" s="187"/>
      <c r="J8182" s="187">
        <v>0</v>
      </c>
      <c r="K8182" s="187"/>
      <c r="L8182" s="187">
        <v>0</v>
      </c>
      <c r="M8182" s="187">
        <v>0</v>
      </c>
      <c r="N8182" s="187">
        <v>0</v>
      </c>
      <c r="O8182" t="s">
        <v>7940</v>
      </c>
    </row>
    <row r="8183" spans="1:15" hidden="1" x14ac:dyDescent="0.45">
      <c r="A8183" s="187">
        <v>2027</v>
      </c>
      <c r="B8183" t="s">
        <v>316</v>
      </c>
      <c r="C8183" t="s">
        <v>328</v>
      </c>
      <c r="D8183" t="s">
        <v>39</v>
      </c>
      <c r="E8183" t="s">
        <v>352</v>
      </c>
      <c r="F8183" t="s">
        <v>361</v>
      </c>
      <c r="G8183" t="s">
        <v>36</v>
      </c>
      <c r="H8183" t="s">
        <v>43</v>
      </c>
      <c r="I8183" s="187"/>
      <c r="J8183" s="187"/>
      <c r="K8183" s="187">
        <v>0</v>
      </c>
      <c r="L8183" s="187"/>
      <c r="M8183" s="187">
        <v>0</v>
      </c>
      <c r="N8183" s="187">
        <v>0</v>
      </c>
      <c r="O8183" t="s">
        <v>7942</v>
      </c>
    </row>
    <row r="8184" spans="1:15" hidden="1" x14ac:dyDescent="0.45">
      <c r="A8184" s="187">
        <v>2027</v>
      </c>
      <c r="B8184" t="s">
        <v>316</v>
      </c>
      <c r="C8184" t="s">
        <v>328</v>
      </c>
      <c r="D8184" t="s">
        <v>39</v>
      </c>
      <c r="E8184" t="s">
        <v>40</v>
      </c>
      <c r="F8184" t="s">
        <v>40</v>
      </c>
      <c r="G8184" t="s">
        <v>36</v>
      </c>
      <c r="H8184" t="s">
        <v>43</v>
      </c>
      <c r="I8184" s="187">
        <v>4373.6888723027332</v>
      </c>
      <c r="J8184" s="187">
        <v>280.26782636081873</v>
      </c>
      <c r="K8184" s="187">
        <v>6488.9440580670625</v>
      </c>
      <c r="L8184" s="187">
        <v>5290.1874243653401</v>
      </c>
      <c r="M8184" s="187">
        <v>16433.087890625</v>
      </c>
      <c r="N8184" s="187">
        <v>9663.8759765625</v>
      </c>
      <c r="O8184" t="s">
        <v>7948</v>
      </c>
    </row>
    <row r="8185" spans="1:15" hidden="1" x14ac:dyDescent="0.45">
      <c r="A8185" s="187">
        <v>2027</v>
      </c>
      <c r="B8185" t="s">
        <v>8570</v>
      </c>
      <c r="C8185" t="s">
        <v>328</v>
      </c>
      <c r="D8185" t="s">
        <v>39</v>
      </c>
      <c r="E8185" t="s">
        <v>40</v>
      </c>
      <c r="F8185" t="s">
        <v>40</v>
      </c>
      <c r="G8185" t="s">
        <v>36</v>
      </c>
      <c r="H8185" t="s">
        <v>43</v>
      </c>
      <c r="I8185" s="187">
        <v>4567.8724692182377</v>
      </c>
      <c r="J8185" s="187">
        <v>240</v>
      </c>
      <c r="K8185" s="187">
        <v>6869.3938570815462</v>
      </c>
      <c r="L8185" s="187">
        <v>5706</v>
      </c>
      <c r="M8185" s="187">
        <v>17383.265625</v>
      </c>
      <c r="N8185" s="187">
        <v>10273.873046875</v>
      </c>
      <c r="O8185" t="s">
        <v>9270</v>
      </c>
    </row>
    <row r="8186" spans="1:15" hidden="1" x14ac:dyDescent="0.45">
      <c r="A8186" s="187">
        <v>2027</v>
      </c>
      <c r="B8186" t="s">
        <v>313</v>
      </c>
      <c r="C8186" t="s">
        <v>328</v>
      </c>
      <c r="D8186" t="s">
        <v>39</v>
      </c>
      <c r="E8186" t="s">
        <v>40</v>
      </c>
      <c r="F8186" t="s">
        <v>40</v>
      </c>
      <c r="G8186" t="s">
        <v>36</v>
      </c>
      <c r="H8186" t="s">
        <v>43</v>
      </c>
      <c r="I8186" s="187">
        <v>5438.3522859883205</v>
      </c>
      <c r="J8186" s="187">
        <v>136.92860398744912</v>
      </c>
      <c r="K8186" s="187">
        <v>6535.4278866694412</v>
      </c>
      <c r="L8186" s="187">
        <v>5165.6315854265185</v>
      </c>
      <c r="M8186" s="187">
        <v>17276.33984375</v>
      </c>
      <c r="N8186" s="187">
        <v>10603.9833984375</v>
      </c>
      <c r="O8186" t="s">
        <v>7946</v>
      </c>
    </row>
    <row r="8187" spans="1:15" hidden="1" x14ac:dyDescent="0.45">
      <c r="A8187" s="187">
        <v>2027</v>
      </c>
      <c r="B8187" t="s">
        <v>314</v>
      </c>
      <c r="C8187" t="s">
        <v>328</v>
      </c>
      <c r="D8187" t="s">
        <v>39</v>
      </c>
      <c r="E8187" t="s">
        <v>40</v>
      </c>
      <c r="F8187" t="s">
        <v>40</v>
      </c>
      <c r="G8187" t="s">
        <v>36</v>
      </c>
      <c r="H8187" t="s">
        <v>43</v>
      </c>
      <c r="I8187" s="187">
        <v>5489.3275898262937</v>
      </c>
      <c r="J8187" s="187">
        <v>160.89599768037451</v>
      </c>
      <c r="K8187" s="187">
        <v>6557.2516579296762</v>
      </c>
      <c r="L8187" s="187">
        <v>5198.60516643141</v>
      </c>
      <c r="M8187" s="187">
        <v>17406.080078125</v>
      </c>
      <c r="N8187" s="187">
        <v>10687.9326171875</v>
      </c>
      <c r="O8187" t="s">
        <v>7947</v>
      </c>
    </row>
    <row r="8188" spans="1:15" hidden="1" x14ac:dyDescent="0.45">
      <c r="A8188" s="187">
        <v>2027</v>
      </c>
      <c r="B8188" t="s">
        <v>315</v>
      </c>
      <c r="C8188" t="s">
        <v>328</v>
      </c>
      <c r="D8188" t="s">
        <v>39</v>
      </c>
      <c r="E8188" t="s">
        <v>40</v>
      </c>
      <c r="F8188" t="s">
        <v>40</v>
      </c>
      <c r="G8188" t="s">
        <v>36</v>
      </c>
      <c r="H8188" t="s">
        <v>43</v>
      </c>
      <c r="I8188" s="187">
        <v>5343.5044564888831</v>
      </c>
      <c r="J8188" s="187">
        <v>172.82407783267058</v>
      </c>
      <c r="K8188" s="187">
        <v>6460.7324131542291</v>
      </c>
      <c r="L8188" s="187">
        <v>5165.2796262239417</v>
      </c>
      <c r="M8188" s="187">
        <v>17142.33984375</v>
      </c>
      <c r="N8188" s="187">
        <v>10508.7841796875</v>
      </c>
      <c r="O8188" t="s">
        <v>7945</v>
      </c>
    </row>
    <row r="8189" spans="1:15" hidden="1" x14ac:dyDescent="0.45">
      <c r="A8189" s="187">
        <v>2027</v>
      </c>
      <c r="B8189" t="s">
        <v>317</v>
      </c>
      <c r="C8189" t="s">
        <v>328</v>
      </c>
      <c r="D8189" t="s">
        <v>39</v>
      </c>
      <c r="E8189" t="s">
        <v>40</v>
      </c>
      <c r="F8189" t="s">
        <v>40</v>
      </c>
      <c r="G8189" t="s">
        <v>36</v>
      </c>
      <c r="H8189" t="s">
        <v>43</v>
      </c>
      <c r="I8189" s="187">
        <v>4322.6221200818281</v>
      </c>
      <c r="J8189" s="187">
        <v>225.77742124019878</v>
      </c>
      <c r="K8189" s="187">
        <v>6454.6543524722838</v>
      </c>
      <c r="L8189" s="187">
        <v>5573.3574539478695</v>
      </c>
      <c r="M8189" s="187">
        <v>16576.412109375</v>
      </c>
      <c r="N8189" s="187">
        <v>9895.9794921875</v>
      </c>
      <c r="O8189" t="s">
        <v>7944</v>
      </c>
    </row>
    <row r="8190" spans="1:15" hidden="1" x14ac:dyDescent="0.45">
      <c r="A8190" s="187">
        <v>2027</v>
      </c>
      <c r="B8190" t="s">
        <v>316</v>
      </c>
      <c r="C8190" t="s">
        <v>328</v>
      </c>
      <c r="D8190" t="s">
        <v>39</v>
      </c>
      <c r="E8190" t="s">
        <v>40</v>
      </c>
      <c r="F8190" t="s">
        <v>40</v>
      </c>
      <c r="G8190" t="s">
        <v>37</v>
      </c>
      <c r="H8190" t="s">
        <v>43</v>
      </c>
      <c r="I8190" s="187">
        <v>4750.7731409788303</v>
      </c>
      <c r="J8190" s="187">
        <v>265</v>
      </c>
      <c r="K8190" s="187">
        <v>6921.7598797472619</v>
      </c>
      <c r="L8190" s="187">
        <v>5810</v>
      </c>
      <c r="M8190" s="187">
        <v>17747.533203125</v>
      </c>
      <c r="N8190" s="187">
        <v>10560.7734375</v>
      </c>
      <c r="O8190" t="s">
        <v>7950</v>
      </c>
    </row>
    <row r="8191" spans="1:15" hidden="1" x14ac:dyDescent="0.45">
      <c r="A8191" s="187">
        <v>2027</v>
      </c>
      <c r="B8191" t="s">
        <v>315</v>
      </c>
      <c r="C8191" t="s">
        <v>328</v>
      </c>
      <c r="D8191" t="s">
        <v>39</v>
      </c>
      <c r="E8191" t="s">
        <v>40</v>
      </c>
      <c r="F8191" t="s">
        <v>40</v>
      </c>
      <c r="G8191" t="s">
        <v>37</v>
      </c>
      <c r="H8191" t="s">
        <v>43</v>
      </c>
      <c r="I8191" s="187">
        <v>5797.3355231290352</v>
      </c>
      <c r="J8191" s="187">
        <v>184</v>
      </c>
      <c r="K8191" s="187">
        <v>6990.630749031855</v>
      </c>
      <c r="L8191" s="187">
        <v>5742</v>
      </c>
      <c r="M8191" s="187">
        <v>18713.96484375</v>
      </c>
      <c r="N8191" s="187">
        <v>11539.3359375</v>
      </c>
      <c r="O8191" t="s">
        <v>7951</v>
      </c>
    </row>
    <row r="8192" spans="1:15" hidden="1" x14ac:dyDescent="0.45">
      <c r="A8192" s="187">
        <v>2027</v>
      </c>
      <c r="B8192" t="s">
        <v>313</v>
      </c>
      <c r="C8192" t="s">
        <v>328</v>
      </c>
      <c r="D8192" t="s">
        <v>39</v>
      </c>
      <c r="E8192" t="s">
        <v>40</v>
      </c>
      <c r="F8192" t="s">
        <v>40</v>
      </c>
      <c r="G8192" t="s">
        <v>37</v>
      </c>
      <c r="H8192" t="s">
        <v>43</v>
      </c>
      <c r="I8192" s="187">
        <v>5797.7641986876442</v>
      </c>
      <c r="J8192" s="187">
        <v>146</v>
      </c>
      <c r="K8192" s="187">
        <v>6950.4985936941903</v>
      </c>
      <c r="L8192" s="187">
        <v>5593</v>
      </c>
      <c r="M8192" s="187">
        <v>18487.26171875</v>
      </c>
      <c r="N8192" s="187">
        <v>11390.763671875</v>
      </c>
      <c r="O8192" t="s">
        <v>7952</v>
      </c>
    </row>
    <row r="8193" spans="1:15" hidden="1" x14ac:dyDescent="0.45">
      <c r="A8193" s="187">
        <v>2027</v>
      </c>
      <c r="B8193" t="s">
        <v>317</v>
      </c>
      <c r="C8193" t="s">
        <v>328</v>
      </c>
      <c r="D8193" t="s">
        <v>39</v>
      </c>
      <c r="E8193" t="s">
        <v>40</v>
      </c>
      <c r="F8193" t="s">
        <v>40</v>
      </c>
      <c r="G8193" t="s">
        <v>37</v>
      </c>
      <c r="H8193" t="s">
        <v>43</v>
      </c>
      <c r="I8193" s="187">
        <v>4657.57524733015</v>
      </c>
      <c r="J8193" s="187">
        <v>216</v>
      </c>
      <c r="K8193" s="187">
        <v>6911.8143257091642</v>
      </c>
      <c r="L8193" s="187">
        <v>5977</v>
      </c>
      <c r="M8193" s="187">
        <v>17762.390625</v>
      </c>
      <c r="N8193" s="187">
        <v>10634.5751953125</v>
      </c>
      <c r="O8193" t="s">
        <v>7949</v>
      </c>
    </row>
    <row r="8194" spans="1:15" hidden="1" x14ac:dyDescent="0.45">
      <c r="A8194" s="187">
        <v>2027</v>
      </c>
      <c r="B8194" t="s">
        <v>314</v>
      </c>
      <c r="C8194" t="s">
        <v>328</v>
      </c>
      <c r="D8194" t="s">
        <v>39</v>
      </c>
      <c r="E8194" t="s">
        <v>40</v>
      </c>
      <c r="F8194" t="s">
        <v>40</v>
      </c>
      <c r="G8194" t="s">
        <v>37</v>
      </c>
      <c r="H8194" t="s">
        <v>43</v>
      </c>
      <c r="I8194" s="187">
        <v>5915.021434248556</v>
      </c>
      <c r="J8194" s="187">
        <v>174</v>
      </c>
      <c r="K8194" s="187">
        <v>7075.3232197852321</v>
      </c>
      <c r="L8194" s="187">
        <v>6116</v>
      </c>
      <c r="M8194" s="187">
        <v>19280.34375</v>
      </c>
      <c r="N8194" s="187">
        <v>12031.021484375</v>
      </c>
      <c r="O8194" t="s">
        <v>7953</v>
      </c>
    </row>
    <row r="8195" spans="1:15" hidden="1" x14ac:dyDescent="0.45">
      <c r="A8195" s="187">
        <v>2027</v>
      </c>
      <c r="B8195" t="s">
        <v>8570</v>
      </c>
      <c r="C8195" t="s">
        <v>328</v>
      </c>
      <c r="D8195" t="s">
        <v>39</v>
      </c>
      <c r="E8195" t="s">
        <v>40</v>
      </c>
      <c r="F8195" t="s">
        <v>40</v>
      </c>
      <c r="G8195" t="s">
        <v>37</v>
      </c>
      <c r="H8195" t="s">
        <v>43</v>
      </c>
      <c r="I8195" s="187">
        <v>5043.3003047296388</v>
      </c>
      <c r="J8195" s="187">
        <v>253</v>
      </c>
      <c r="K8195" s="187">
        <v>7617.7986870546474</v>
      </c>
      <c r="L8195" s="187">
        <v>6546</v>
      </c>
      <c r="M8195" s="187">
        <v>19460.09765625</v>
      </c>
      <c r="N8195" s="187">
        <v>11589.30078125</v>
      </c>
      <c r="O8195" t="s">
        <v>9271</v>
      </c>
    </row>
    <row r="8196" spans="1:15" hidden="1" x14ac:dyDescent="0.45">
      <c r="A8196" s="187">
        <v>2027</v>
      </c>
      <c r="B8196" t="s">
        <v>317</v>
      </c>
      <c r="C8196" t="s">
        <v>328</v>
      </c>
      <c r="D8196" t="s">
        <v>39</v>
      </c>
      <c r="E8196" t="s">
        <v>41</v>
      </c>
      <c r="F8196" t="s">
        <v>41</v>
      </c>
      <c r="G8196" t="s">
        <v>36</v>
      </c>
      <c r="H8196" t="s">
        <v>43</v>
      </c>
      <c r="I8196" s="187">
        <v>6644.759800181344</v>
      </c>
      <c r="J8196" s="187">
        <v>2221.1899080343628</v>
      </c>
      <c r="K8196" s="187">
        <v>12866.84551156244</v>
      </c>
      <c r="L8196" s="187">
        <v>9174.2982695612245</v>
      </c>
      <c r="M8196" s="187">
        <v>30907.09375</v>
      </c>
      <c r="N8196" s="187">
        <v>15819.0576171875</v>
      </c>
      <c r="O8196" t="s">
        <v>7955</v>
      </c>
    </row>
    <row r="8197" spans="1:15" hidden="1" x14ac:dyDescent="0.45">
      <c r="A8197" s="187">
        <v>2027</v>
      </c>
      <c r="B8197" t="s">
        <v>315</v>
      </c>
      <c r="C8197" t="s">
        <v>328</v>
      </c>
      <c r="D8197" t="s">
        <v>39</v>
      </c>
      <c r="E8197" t="s">
        <v>41</v>
      </c>
      <c r="F8197" t="s">
        <v>41</v>
      </c>
      <c r="G8197" t="s">
        <v>36</v>
      </c>
      <c r="H8197" t="s">
        <v>43</v>
      </c>
      <c r="I8197" s="187">
        <v>3653.0689451880744</v>
      </c>
      <c r="J8197" s="187">
        <v>1809.25206481077</v>
      </c>
      <c r="K8197" s="187">
        <v>10742.688221011835</v>
      </c>
      <c r="L8197" s="187">
        <v>7736.037783984917</v>
      </c>
      <c r="M8197" s="187">
        <v>23941.046875</v>
      </c>
      <c r="N8197" s="187">
        <v>11389.1064453125</v>
      </c>
      <c r="O8197" t="s">
        <v>7956</v>
      </c>
    </row>
    <row r="8198" spans="1:15" hidden="1" x14ac:dyDescent="0.45">
      <c r="A8198" s="187">
        <v>2027</v>
      </c>
      <c r="B8198" t="s">
        <v>8570</v>
      </c>
      <c r="C8198" t="s">
        <v>328</v>
      </c>
      <c r="D8198" t="s">
        <v>39</v>
      </c>
      <c r="E8198" t="s">
        <v>41</v>
      </c>
      <c r="F8198" t="s">
        <v>41</v>
      </c>
      <c r="G8198" t="s">
        <v>36</v>
      </c>
      <c r="H8198" t="s">
        <v>43</v>
      </c>
      <c r="I8198" s="187">
        <v>6479.574762253761</v>
      </c>
      <c r="J8198" s="187">
        <v>2554</v>
      </c>
      <c r="K8198" s="187">
        <v>11837.87160609085</v>
      </c>
      <c r="L8198" s="187">
        <v>9319</v>
      </c>
      <c r="M8198" s="187">
        <v>30190.4453125</v>
      </c>
      <c r="N8198" s="187">
        <v>15798.57421875</v>
      </c>
      <c r="O8198" t="s">
        <v>9272</v>
      </c>
    </row>
    <row r="8199" spans="1:15" hidden="1" x14ac:dyDescent="0.45">
      <c r="A8199" s="187">
        <v>2027</v>
      </c>
      <c r="B8199" t="s">
        <v>313</v>
      </c>
      <c r="C8199" t="s">
        <v>328</v>
      </c>
      <c r="D8199" t="s">
        <v>39</v>
      </c>
      <c r="E8199" t="s">
        <v>41</v>
      </c>
      <c r="F8199" t="s">
        <v>41</v>
      </c>
      <c r="G8199" t="s">
        <v>36</v>
      </c>
      <c r="H8199" t="s">
        <v>43</v>
      </c>
      <c r="I8199" s="187">
        <v>3717.2418910284773</v>
      </c>
      <c r="J8199" s="187">
        <v>1688.7861158452058</v>
      </c>
      <c r="K8199" s="187">
        <v>12471.946684436371</v>
      </c>
      <c r="L8199" s="187">
        <v>8283.0394695407758</v>
      </c>
      <c r="M8199" s="187">
        <v>26161.013671875</v>
      </c>
      <c r="N8199" s="187">
        <v>12000.28125</v>
      </c>
      <c r="O8199" t="s">
        <v>7958</v>
      </c>
    </row>
    <row r="8200" spans="1:15" hidden="1" x14ac:dyDescent="0.45">
      <c r="A8200" s="187">
        <v>2027</v>
      </c>
      <c r="B8200" t="s">
        <v>316</v>
      </c>
      <c r="C8200" t="s">
        <v>328</v>
      </c>
      <c r="D8200" t="s">
        <v>39</v>
      </c>
      <c r="E8200" t="s">
        <v>41</v>
      </c>
      <c r="F8200" t="s">
        <v>41</v>
      </c>
      <c r="G8200" t="s">
        <v>36</v>
      </c>
      <c r="H8200" t="s">
        <v>43</v>
      </c>
      <c r="I8200" s="187">
        <v>6151.6769224556501</v>
      </c>
      <c r="J8200" s="187">
        <v>2247.4306830820369</v>
      </c>
      <c r="K8200" s="187">
        <v>10842.496283397966</v>
      </c>
      <c r="L8200" s="187">
        <v>8318.1375635012791</v>
      </c>
      <c r="M8200" s="187">
        <v>27559.740234375</v>
      </c>
      <c r="N8200" s="187">
        <v>14469.814453125</v>
      </c>
      <c r="O8200" t="s">
        <v>7954</v>
      </c>
    </row>
    <row r="8201" spans="1:15" hidden="1" x14ac:dyDescent="0.45">
      <c r="A8201" s="187">
        <v>2027</v>
      </c>
      <c r="B8201" t="s">
        <v>314</v>
      </c>
      <c r="C8201" t="s">
        <v>328</v>
      </c>
      <c r="D8201" t="s">
        <v>39</v>
      </c>
      <c r="E8201" t="s">
        <v>41</v>
      </c>
      <c r="F8201" t="s">
        <v>41</v>
      </c>
      <c r="G8201" t="s">
        <v>36</v>
      </c>
      <c r="H8201" t="s">
        <v>43</v>
      </c>
      <c r="I8201" s="187">
        <v>3752.7604424484589</v>
      </c>
      <c r="J8201" s="187">
        <v>1675.5376310163138</v>
      </c>
      <c r="K8201" s="187">
        <v>10829.319155345656</v>
      </c>
      <c r="L8201" s="187">
        <v>7767.3929914663549</v>
      </c>
      <c r="M8201" s="187">
        <v>24025.009765625</v>
      </c>
      <c r="N8201" s="187">
        <v>11520.1533203125</v>
      </c>
      <c r="O8201" t="s">
        <v>7957</v>
      </c>
    </row>
    <row r="8202" spans="1:15" hidden="1" x14ac:dyDescent="0.45">
      <c r="A8202" s="187">
        <v>2027</v>
      </c>
      <c r="B8202" t="s">
        <v>316</v>
      </c>
      <c r="C8202" t="s">
        <v>328</v>
      </c>
      <c r="D8202" t="s">
        <v>39</v>
      </c>
      <c r="E8202" t="s">
        <v>41</v>
      </c>
      <c r="F8202" t="s">
        <v>41</v>
      </c>
      <c r="G8202" t="s">
        <v>37</v>
      </c>
      <c r="H8202" t="s">
        <v>43</v>
      </c>
      <c r="I8202" s="187">
        <v>6682.0531474600702</v>
      </c>
      <c r="J8202" s="187">
        <v>2125</v>
      </c>
      <c r="K8202" s="187">
        <v>11565.696221010199</v>
      </c>
      <c r="L8202" s="187">
        <v>9135</v>
      </c>
      <c r="M8202" s="187">
        <v>29507.748046875</v>
      </c>
      <c r="N8202" s="187">
        <v>15817.052734375</v>
      </c>
      <c r="O8202" t="s">
        <v>7961</v>
      </c>
    </row>
    <row r="8203" spans="1:15" hidden="1" x14ac:dyDescent="0.45">
      <c r="A8203" s="187">
        <v>2027</v>
      </c>
      <c r="B8203" t="s">
        <v>314</v>
      </c>
      <c r="C8203" t="s">
        <v>328</v>
      </c>
      <c r="D8203" t="s">
        <v>39</v>
      </c>
      <c r="E8203" t="s">
        <v>41</v>
      </c>
      <c r="F8203" t="s">
        <v>41</v>
      </c>
      <c r="G8203" t="s">
        <v>37</v>
      </c>
      <c r="H8203" t="s">
        <v>43</v>
      </c>
      <c r="I8203" s="187">
        <v>4043.7846150452019</v>
      </c>
      <c r="J8203" s="187">
        <v>1805</v>
      </c>
      <c r="K8203" s="187">
        <v>11684.915765223761</v>
      </c>
      <c r="L8203" s="187">
        <v>9138</v>
      </c>
      <c r="M8203" s="187">
        <v>26671.701171875</v>
      </c>
      <c r="N8203" s="187">
        <v>13181.78515625</v>
      </c>
      <c r="O8203" t="s">
        <v>7959</v>
      </c>
    </row>
    <row r="8204" spans="1:15" hidden="1" x14ac:dyDescent="0.45">
      <c r="A8204" s="187">
        <v>2027</v>
      </c>
      <c r="B8204" t="s">
        <v>8570</v>
      </c>
      <c r="C8204" t="s">
        <v>328</v>
      </c>
      <c r="D8204" t="s">
        <v>39</v>
      </c>
      <c r="E8204" t="s">
        <v>41</v>
      </c>
      <c r="F8204" t="s">
        <v>41</v>
      </c>
      <c r="G8204" t="s">
        <v>37</v>
      </c>
      <c r="H8204" t="s">
        <v>43</v>
      </c>
      <c r="I8204" s="187">
        <v>7153.9741079035812</v>
      </c>
      <c r="J8204" s="187">
        <v>2765</v>
      </c>
      <c r="K8204" s="187">
        <v>13127.580781445051</v>
      </c>
      <c r="L8204" s="187">
        <v>10693</v>
      </c>
      <c r="M8204" s="187">
        <v>33739.5546875</v>
      </c>
      <c r="N8204" s="187">
        <v>17846.974609375</v>
      </c>
      <c r="O8204" t="s">
        <v>9273</v>
      </c>
    </row>
    <row r="8205" spans="1:15" hidden="1" x14ac:dyDescent="0.45">
      <c r="A8205" s="187">
        <v>2027</v>
      </c>
      <c r="B8205" t="s">
        <v>317</v>
      </c>
      <c r="C8205" t="s">
        <v>328</v>
      </c>
      <c r="D8205" t="s">
        <v>39</v>
      </c>
      <c r="E8205" t="s">
        <v>41</v>
      </c>
      <c r="F8205" t="s">
        <v>41</v>
      </c>
      <c r="G8205" t="s">
        <v>37</v>
      </c>
      <c r="H8205" t="s">
        <v>43</v>
      </c>
      <c r="I8205" s="187">
        <v>7158.5859593899459</v>
      </c>
      <c r="J8205" s="187">
        <v>2125</v>
      </c>
      <c r="K8205" s="187">
        <v>13778.15794263878</v>
      </c>
      <c r="L8205" s="187">
        <v>9838</v>
      </c>
      <c r="M8205" s="187">
        <v>32899.7421875</v>
      </c>
      <c r="N8205" s="187">
        <v>16996.5859375</v>
      </c>
      <c r="O8205" t="s">
        <v>7960</v>
      </c>
    </row>
    <row r="8206" spans="1:15" hidden="1" x14ac:dyDescent="0.45">
      <c r="A8206" s="187">
        <v>2027</v>
      </c>
      <c r="B8206" t="s">
        <v>315</v>
      </c>
      <c r="C8206" t="s">
        <v>328</v>
      </c>
      <c r="D8206" t="s">
        <v>39</v>
      </c>
      <c r="E8206" t="s">
        <v>41</v>
      </c>
      <c r="F8206" t="s">
        <v>41</v>
      </c>
      <c r="G8206" t="s">
        <v>37</v>
      </c>
      <c r="H8206" t="s">
        <v>43</v>
      </c>
      <c r="I8206" s="187">
        <v>3963.3290356220732</v>
      </c>
      <c r="J8206" s="187">
        <v>1924</v>
      </c>
      <c r="K8206" s="187">
        <v>11623.7853238072</v>
      </c>
      <c r="L8206" s="187">
        <v>8600</v>
      </c>
      <c r="M8206" s="187">
        <v>26111.115234375</v>
      </c>
      <c r="N8206" s="187">
        <v>12563.3291015625</v>
      </c>
      <c r="O8206" t="s">
        <v>7963</v>
      </c>
    </row>
    <row r="8207" spans="1:15" hidden="1" x14ac:dyDescent="0.45">
      <c r="A8207" s="187">
        <v>2027</v>
      </c>
      <c r="B8207" t="s">
        <v>313</v>
      </c>
      <c r="C8207" t="s">
        <v>328</v>
      </c>
      <c r="D8207" t="s">
        <v>39</v>
      </c>
      <c r="E8207" t="s">
        <v>41</v>
      </c>
      <c r="F8207" t="s">
        <v>41</v>
      </c>
      <c r="G8207" t="s">
        <v>37</v>
      </c>
      <c r="H8207" t="s">
        <v>43</v>
      </c>
      <c r="I8207" s="187">
        <v>3962.9083995153951</v>
      </c>
      <c r="J8207" s="187">
        <v>1804</v>
      </c>
      <c r="K8207" s="187">
        <v>13264.05086155432</v>
      </c>
      <c r="L8207" s="187">
        <v>8967</v>
      </c>
      <c r="M8207" s="187">
        <v>27997.958984375</v>
      </c>
      <c r="N8207" s="187">
        <v>12929.908203125</v>
      </c>
      <c r="O8207" t="s">
        <v>7962</v>
      </c>
    </row>
    <row r="8208" spans="1:15" hidden="1" x14ac:dyDescent="0.45">
      <c r="A8208" s="187">
        <v>2027</v>
      </c>
      <c r="B8208" t="s">
        <v>316</v>
      </c>
      <c r="C8208" t="s">
        <v>328</v>
      </c>
      <c r="D8208" t="s">
        <v>39</v>
      </c>
      <c r="E8208" t="s">
        <v>361</v>
      </c>
      <c r="F8208" t="s">
        <v>361</v>
      </c>
      <c r="G8208" t="s">
        <v>36</v>
      </c>
      <c r="H8208" t="s">
        <v>43</v>
      </c>
      <c r="I8208" s="187"/>
      <c r="J8208" s="187"/>
      <c r="K8208" s="187"/>
      <c r="L8208" s="187">
        <v>0</v>
      </c>
      <c r="M8208" s="187">
        <v>0</v>
      </c>
      <c r="N8208" s="187">
        <v>0</v>
      </c>
      <c r="O8208" t="s">
        <v>7966</v>
      </c>
    </row>
    <row r="8209" spans="1:15" hidden="1" x14ac:dyDescent="0.45">
      <c r="A8209" s="187">
        <v>2027</v>
      </c>
      <c r="B8209" t="s">
        <v>315</v>
      </c>
      <c r="C8209" t="s">
        <v>328</v>
      </c>
      <c r="D8209" t="s">
        <v>39</v>
      </c>
      <c r="E8209" t="s">
        <v>361</v>
      </c>
      <c r="F8209" t="s">
        <v>361</v>
      </c>
      <c r="G8209" t="s">
        <v>36</v>
      </c>
      <c r="H8209" t="s">
        <v>43</v>
      </c>
      <c r="I8209" s="187">
        <v>0</v>
      </c>
      <c r="J8209" s="187"/>
      <c r="K8209" s="187"/>
      <c r="L8209" s="187"/>
      <c r="M8209" s="187">
        <v>0</v>
      </c>
      <c r="N8209" s="187">
        <v>0</v>
      </c>
      <c r="O8209" t="s">
        <v>7965</v>
      </c>
    </row>
    <row r="8210" spans="1:15" hidden="1" x14ac:dyDescent="0.45">
      <c r="A8210" s="187">
        <v>2027</v>
      </c>
      <c r="B8210" t="s">
        <v>314</v>
      </c>
      <c r="C8210" t="s">
        <v>328</v>
      </c>
      <c r="D8210" t="s">
        <v>39</v>
      </c>
      <c r="E8210" t="s">
        <v>361</v>
      </c>
      <c r="F8210" t="s">
        <v>361</v>
      </c>
      <c r="G8210" t="s">
        <v>36</v>
      </c>
      <c r="H8210" t="s">
        <v>43</v>
      </c>
      <c r="I8210" s="187">
        <v>0</v>
      </c>
      <c r="J8210" s="187"/>
      <c r="K8210" s="187">
        <v>0</v>
      </c>
      <c r="L8210" s="187"/>
      <c r="M8210" s="187">
        <v>0</v>
      </c>
      <c r="N8210" s="187">
        <v>0</v>
      </c>
      <c r="O8210" t="s">
        <v>7968</v>
      </c>
    </row>
    <row r="8211" spans="1:15" hidden="1" x14ac:dyDescent="0.45">
      <c r="A8211" s="187">
        <v>2027</v>
      </c>
      <c r="B8211" t="s">
        <v>313</v>
      </c>
      <c r="C8211" t="s">
        <v>328</v>
      </c>
      <c r="D8211" t="s">
        <v>39</v>
      </c>
      <c r="E8211" t="s">
        <v>361</v>
      </c>
      <c r="F8211" t="s">
        <v>361</v>
      </c>
      <c r="G8211" t="s">
        <v>36</v>
      </c>
      <c r="H8211" t="s">
        <v>43</v>
      </c>
      <c r="I8211" s="187"/>
      <c r="J8211" s="187"/>
      <c r="K8211" s="187"/>
      <c r="L8211" s="187"/>
      <c r="M8211" s="187">
        <v>0</v>
      </c>
      <c r="N8211" s="187">
        <v>0</v>
      </c>
      <c r="O8211" t="s">
        <v>7967</v>
      </c>
    </row>
    <row r="8212" spans="1:15" hidden="1" x14ac:dyDescent="0.45">
      <c r="A8212" s="187">
        <v>2027</v>
      </c>
      <c r="B8212" t="s">
        <v>317</v>
      </c>
      <c r="C8212" t="s">
        <v>328</v>
      </c>
      <c r="D8212" t="s">
        <v>39</v>
      </c>
      <c r="E8212" t="s">
        <v>361</v>
      </c>
      <c r="F8212" t="s">
        <v>361</v>
      </c>
      <c r="G8212" t="s">
        <v>36</v>
      </c>
      <c r="H8212" t="s">
        <v>43</v>
      </c>
      <c r="I8212" s="187"/>
      <c r="J8212" s="187"/>
      <c r="K8212" s="187">
        <v>0</v>
      </c>
      <c r="L8212" s="187"/>
      <c r="M8212" s="187">
        <v>0</v>
      </c>
      <c r="N8212" s="187">
        <v>0</v>
      </c>
      <c r="O8212" t="s">
        <v>7964</v>
      </c>
    </row>
    <row r="8213" spans="1:15" hidden="1" x14ac:dyDescent="0.45">
      <c r="A8213" s="187">
        <v>2027</v>
      </c>
      <c r="B8213" t="s">
        <v>8570</v>
      </c>
      <c r="C8213" t="s">
        <v>328</v>
      </c>
      <c r="D8213" t="s">
        <v>39</v>
      </c>
      <c r="E8213" t="s">
        <v>361</v>
      </c>
      <c r="F8213" t="s">
        <v>361</v>
      </c>
      <c r="G8213" t="s">
        <v>36</v>
      </c>
      <c r="H8213" t="s">
        <v>43</v>
      </c>
      <c r="I8213" s="187"/>
      <c r="J8213" s="187"/>
      <c r="K8213" s="187"/>
      <c r="L8213" s="187">
        <v>0</v>
      </c>
      <c r="M8213" s="187">
        <v>0</v>
      </c>
      <c r="N8213" s="187">
        <v>0</v>
      </c>
      <c r="O8213" t="s">
        <v>9274</v>
      </c>
    </row>
    <row r="8214" spans="1:15" hidden="1" x14ac:dyDescent="0.45">
      <c r="A8214" s="187">
        <v>2027</v>
      </c>
      <c r="B8214" t="s">
        <v>313</v>
      </c>
      <c r="C8214" t="s">
        <v>328</v>
      </c>
      <c r="D8214" t="s">
        <v>39</v>
      </c>
      <c r="E8214" t="s">
        <v>362</v>
      </c>
      <c r="F8214" t="s">
        <v>362</v>
      </c>
      <c r="G8214" t="s">
        <v>36</v>
      </c>
      <c r="H8214" t="s">
        <v>43</v>
      </c>
      <c r="I8214" s="187">
        <v>2105.2772863070304</v>
      </c>
      <c r="J8214" s="187">
        <v>79.875018992678648</v>
      </c>
      <c r="K8214" s="187">
        <v>2921.4927189365503</v>
      </c>
      <c r="L8214" s="187">
        <v>2815.0238836419749</v>
      </c>
      <c r="M8214" s="187">
        <v>7921.6689453125</v>
      </c>
      <c r="N8214" s="187">
        <v>4920.30126953125</v>
      </c>
      <c r="O8214" t="s">
        <v>7972</v>
      </c>
    </row>
    <row r="8215" spans="1:15" hidden="1" x14ac:dyDescent="0.45">
      <c r="A8215" s="187">
        <v>2027</v>
      </c>
      <c r="B8215" t="s">
        <v>314</v>
      </c>
      <c r="C8215" t="s">
        <v>328</v>
      </c>
      <c r="D8215" t="s">
        <v>39</v>
      </c>
      <c r="E8215" t="s">
        <v>362</v>
      </c>
      <c r="F8215" t="s">
        <v>362</v>
      </c>
      <c r="G8215" t="s">
        <v>36</v>
      </c>
      <c r="H8215" t="s">
        <v>43</v>
      </c>
      <c r="I8215" s="187">
        <v>2124.9367969511527</v>
      </c>
      <c r="J8215" s="187">
        <v>83.222067765710946</v>
      </c>
      <c r="K8215" s="187">
        <v>3121.8513050439988</v>
      </c>
      <c r="L8215" s="187">
        <v>2862.8391311404566</v>
      </c>
      <c r="M8215" s="187">
        <v>8192.849609375</v>
      </c>
      <c r="N8215" s="187">
        <v>4987.77587890625</v>
      </c>
      <c r="O8215" t="s">
        <v>7973</v>
      </c>
    </row>
    <row r="8216" spans="1:15" hidden="1" x14ac:dyDescent="0.45">
      <c r="A8216" s="187">
        <v>2027</v>
      </c>
      <c r="B8216" t="s">
        <v>316</v>
      </c>
      <c r="C8216" t="s">
        <v>328</v>
      </c>
      <c r="D8216" t="s">
        <v>39</v>
      </c>
      <c r="E8216" t="s">
        <v>362</v>
      </c>
      <c r="F8216" t="s">
        <v>362</v>
      </c>
      <c r="G8216" t="s">
        <v>36</v>
      </c>
      <c r="H8216" t="s">
        <v>43</v>
      </c>
      <c r="I8216" s="187">
        <v>1105.8978379992766</v>
      </c>
      <c r="J8216" s="187">
        <v>206.23481562399866</v>
      </c>
      <c r="K8216" s="187">
        <v>3435.9334483919438</v>
      </c>
      <c r="L8216" s="187">
        <v>2926.4191529825862</v>
      </c>
      <c r="M8216" s="187">
        <v>7674.48486328125</v>
      </c>
      <c r="N8216" s="187">
        <v>4032.31689453125</v>
      </c>
      <c r="O8216" t="s">
        <v>7971</v>
      </c>
    </row>
    <row r="8217" spans="1:15" hidden="1" x14ac:dyDescent="0.45">
      <c r="A8217" s="187">
        <v>2027</v>
      </c>
      <c r="B8217" t="s">
        <v>317</v>
      </c>
      <c r="C8217" t="s">
        <v>328</v>
      </c>
      <c r="D8217" t="s">
        <v>39</v>
      </c>
      <c r="E8217" t="s">
        <v>362</v>
      </c>
      <c r="F8217" t="s">
        <v>362</v>
      </c>
      <c r="G8217" t="s">
        <v>36</v>
      </c>
      <c r="H8217" t="s">
        <v>43</v>
      </c>
      <c r="I8217" s="187">
        <v>1092.9854858581857</v>
      </c>
      <c r="J8217" s="187">
        <v>152.60881250494916</v>
      </c>
      <c r="K8217" s="187">
        <v>3428.6124360621911</v>
      </c>
      <c r="L8217" s="187">
        <v>3265.4104812702822</v>
      </c>
      <c r="M8217" s="187">
        <v>7939.6171875</v>
      </c>
      <c r="N8217" s="187">
        <v>4358.39599609375</v>
      </c>
      <c r="O8217" t="s">
        <v>7970</v>
      </c>
    </row>
    <row r="8218" spans="1:15" hidden="1" x14ac:dyDescent="0.45">
      <c r="A8218" s="187">
        <v>2027</v>
      </c>
      <c r="B8218" t="s">
        <v>315</v>
      </c>
      <c r="C8218" t="s">
        <v>328</v>
      </c>
      <c r="D8218" t="s">
        <v>39</v>
      </c>
      <c r="E8218" t="s">
        <v>362</v>
      </c>
      <c r="F8218" t="s">
        <v>362</v>
      </c>
      <c r="G8218" t="s">
        <v>36</v>
      </c>
      <c r="H8218" t="s">
        <v>43</v>
      </c>
      <c r="I8218" s="187">
        <v>2068.488181559776</v>
      </c>
      <c r="J8218" s="187">
        <v>113.41580107769006</v>
      </c>
      <c r="K8218" s="187">
        <v>3479.3133176289198</v>
      </c>
      <c r="L8218" s="187">
        <v>2806.2309638079882</v>
      </c>
      <c r="M8218" s="187">
        <v>8467.4482421875</v>
      </c>
      <c r="N8218" s="187">
        <v>4874.71923828125</v>
      </c>
      <c r="O8218" t="s">
        <v>7969</v>
      </c>
    </row>
    <row r="8219" spans="1:15" hidden="1" x14ac:dyDescent="0.45">
      <c r="A8219" s="187">
        <v>2027</v>
      </c>
      <c r="B8219" t="s">
        <v>8570</v>
      </c>
      <c r="C8219" t="s">
        <v>328</v>
      </c>
      <c r="D8219" t="s">
        <v>39</v>
      </c>
      <c r="E8219" t="s">
        <v>362</v>
      </c>
      <c r="F8219" t="s">
        <v>362</v>
      </c>
      <c r="G8219" t="s">
        <v>36</v>
      </c>
      <c r="H8219" t="s">
        <v>43</v>
      </c>
      <c r="I8219" s="187">
        <v>2283.9362346091189</v>
      </c>
      <c r="J8219" s="187">
        <v>195</v>
      </c>
      <c r="K8219" s="187">
        <v>3679.8414184151502</v>
      </c>
      <c r="L8219" s="187">
        <v>3420</v>
      </c>
      <c r="M8219" s="187">
        <v>9578.77734375</v>
      </c>
      <c r="N8219" s="187">
        <v>5703.9365234375</v>
      </c>
      <c r="O8219" t="s">
        <v>9275</v>
      </c>
    </row>
    <row r="8220" spans="1:15" hidden="1" x14ac:dyDescent="0.45">
      <c r="A8220" s="187">
        <v>2027</v>
      </c>
      <c r="B8220" t="s">
        <v>316</v>
      </c>
      <c r="C8220" t="s">
        <v>328</v>
      </c>
      <c r="D8220" t="s">
        <v>39</v>
      </c>
      <c r="E8220" t="s">
        <v>362</v>
      </c>
      <c r="F8220" t="s">
        <v>362</v>
      </c>
      <c r="G8220" t="s">
        <v>37</v>
      </c>
      <c r="H8220" t="s">
        <v>43</v>
      </c>
      <c r="I8220" s="187">
        <v>1201.24450980149</v>
      </c>
      <c r="J8220" s="187">
        <v>195</v>
      </c>
      <c r="K8220" s="187">
        <v>3665.1119318857941</v>
      </c>
      <c r="L8220" s="187">
        <v>3214</v>
      </c>
      <c r="M8220" s="187">
        <v>8275.3564453125</v>
      </c>
      <c r="N8220" s="187">
        <v>4415.24462890625</v>
      </c>
      <c r="O8220" t="s">
        <v>7978</v>
      </c>
    </row>
    <row r="8221" spans="1:15" hidden="1" x14ac:dyDescent="0.45">
      <c r="A8221" s="187">
        <v>2027</v>
      </c>
      <c r="B8221" t="s">
        <v>8570</v>
      </c>
      <c r="C8221" t="s">
        <v>328</v>
      </c>
      <c r="D8221" t="s">
        <v>39</v>
      </c>
      <c r="E8221" t="s">
        <v>362</v>
      </c>
      <c r="F8221" t="s">
        <v>362</v>
      </c>
      <c r="G8221" t="s">
        <v>37</v>
      </c>
      <c r="H8221" t="s">
        <v>43</v>
      </c>
      <c r="I8221" s="187">
        <v>2521.650152364819</v>
      </c>
      <c r="J8221" s="187">
        <v>199</v>
      </c>
      <c r="K8221" s="187">
        <v>4080.751767766847</v>
      </c>
      <c r="L8221" s="187">
        <v>3923</v>
      </c>
      <c r="M8221" s="187">
        <v>10724.40234375</v>
      </c>
      <c r="N8221" s="187">
        <v>6444.650390625</v>
      </c>
      <c r="O8221" t="s">
        <v>9276</v>
      </c>
    </row>
    <row r="8222" spans="1:15" hidden="1" x14ac:dyDescent="0.45">
      <c r="A8222" s="187">
        <v>2027</v>
      </c>
      <c r="B8222" t="s">
        <v>313</v>
      </c>
      <c r="C8222" t="s">
        <v>328</v>
      </c>
      <c r="D8222" t="s">
        <v>39</v>
      </c>
      <c r="E8222" t="s">
        <v>362</v>
      </c>
      <c r="F8222" t="s">
        <v>362</v>
      </c>
      <c r="G8222" t="s">
        <v>37</v>
      </c>
      <c r="H8222" t="s">
        <v>43</v>
      </c>
      <c r="I8222" s="187">
        <v>2244.4116594486077</v>
      </c>
      <c r="J8222" s="187">
        <v>85</v>
      </c>
      <c r="K8222" s="187">
        <v>3107.0392614804732</v>
      </c>
      <c r="L8222" s="187">
        <v>3048</v>
      </c>
      <c r="M8222" s="187">
        <v>8484.451171875</v>
      </c>
      <c r="N8222" s="187">
        <v>5292.41162109375</v>
      </c>
      <c r="O8222" t="s">
        <v>7977</v>
      </c>
    </row>
    <row r="8223" spans="1:15" hidden="1" x14ac:dyDescent="0.45">
      <c r="A8223" s="187">
        <v>2027</v>
      </c>
      <c r="B8223" t="s">
        <v>315</v>
      </c>
      <c r="C8223" t="s">
        <v>328</v>
      </c>
      <c r="D8223" t="s">
        <v>39</v>
      </c>
      <c r="E8223" t="s">
        <v>362</v>
      </c>
      <c r="F8223" t="s">
        <v>362</v>
      </c>
      <c r="G8223" t="s">
        <v>37</v>
      </c>
      <c r="H8223" t="s">
        <v>43</v>
      </c>
      <c r="I8223" s="187">
        <v>2244.1676827960591</v>
      </c>
      <c r="J8223" s="187">
        <v>121</v>
      </c>
      <c r="K8223" s="187">
        <v>3764.6807062015582</v>
      </c>
      <c r="L8223" s="187">
        <v>3120</v>
      </c>
      <c r="M8223" s="187">
        <v>9249.8486328125</v>
      </c>
      <c r="N8223" s="187">
        <v>5364.16796875</v>
      </c>
      <c r="O8223" t="s">
        <v>7975</v>
      </c>
    </row>
    <row r="8224" spans="1:15" hidden="1" x14ac:dyDescent="0.45">
      <c r="A8224" s="187">
        <v>2027</v>
      </c>
      <c r="B8224" t="s">
        <v>314</v>
      </c>
      <c r="C8224" t="s">
        <v>328</v>
      </c>
      <c r="D8224" t="s">
        <v>39</v>
      </c>
      <c r="E8224" t="s">
        <v>362</v>
      </c>
      <c r="F8224" t="s">
        <v>362</v>
      </c>
      <c r="G8224" t="s">
        <v>37</v>
      </c>
      <c r="H8224" t="s">
        <v>43</v>
      </c>
      <c r="I8224" s="187">
        <v>2289.7242867568189</v>
      </c>
      <c r="J8224" s="187">
        <v>90</v>
      </c>
      <c r="K8224" s="187">
        <v>3368.5007346917232</v>
      </c>
      <c r="L8224" s="187">
        <v>3368</v>
      </c>
      <c r="M8224" s="187">
        <v>9116.224609375</v>
      </c>
      <c r="N8224" s="187">
        <v>5657.724609375</v>
      </c>
      <c r="O8224" t="s">
        <v>7976</v>
      </c>
    </row>
    <row r="8225" spans="1:15" hidden="1" x14ac:dyDescent="0.45">
      <c r="A8225" s="187">
        <v>2027</v>
      </c>
      <c r="B8225" t="s">
        <v>317</v>
      </c>
      <c r="C8225" t="s">
        <v>328</v>
      </c>
      <c r="D8225" t="s">
        <v>39</v>
      </c>
      <c r="E8225" t="s">
        <v>362</v>
      </c>
      <c r="F8225" t="s">
        <v>362</v>
      </c>
      <c r="G8225" t="s">
        <v>37</v>
      </c>
      <c r="H8225" t="s">
        <v>43</v>
      </c>
      <c r="I8225" s="187">
        <v>1177.57524733015</v>
      </c>
      <c r="J8225" s="187">
        <v>146</v>
      </c>
      <c r="K8225" s="187">
        <v>3671.4487343233782</v>
      </c>
      <c r="L8225" s="187">
        <v>3502</v>
      </c>
      <c r="M8225" s="187">
        <v>8497.0234375</v>
      </c>
      <c r="N8225" s="187">
        <v>4679.5751953125</v>
      </c>
      <c r="O8225" t="s">
        <v>7974</v>
      </c>
    </row>
    <row r="8226" spans="1:15" hidden="1" x14ac:dyDescent="0.45">
      <c r="A8226" s="187">
        <v>2027</v>
      </c>
      <c r="B8226" t="s">
        <v>316</v>
      </c>
      <c r="C8226" t="s">
        <v>328</v>
      </c>
      <c r="D8226" t="s">
        <v>39</v>
      </c>
      <c r="E8226" t="s">
        <v>363</v>
      </c>
      <c r="F8226" t="s">
        <v>363</v>
      </c>
      <c r="G8226" t="s">
        <v>36</v>
      </c>
      <c r="H8226" t="s">
        <v>43</v>
      </c>
      <c r="I8226" s="187">
        <v>3267.7910343034573</v>
      </c>
      <c r="J8226" s="187">
        <v>47.592649759384308</v>
      </c>
      <c r="K8226" s="187">
        <v>679.93262769454975</v>
      </c>
      <c r="L8226" s="187">
        <v>2363.7682713827539</v>
      </c>
      <c r="M8226" s="187">
        <v>6359.08447265625</v>
      </c>
      <c r="N8226" s="187">
        <v>5631.55908203125</v>
      </c>
      <c r="O8226" t="s">
        <v>7982</v>
      </c>
    </row>
    <row r="8227" spans="1:15" hidden="1" x14ac:dyDescent="0.45">
      <c r="A8227" s="187">
        <v>2027</v>
      </c>
      <c r="B8227" t="s">
        <v>8570</v>
      </c>
      <c r="C8227" t="s">
        <v>328</v>
      </c>
      <c r="D8227" t="s">
        <v>39</v>
      </c>
      <c r="E8227" t="s">
        <v>363</v>
      </c>
      <c r="F8227" t="s">
        <v>363</v>
      </c>
      <c r="G8227" t="s">
        <v>36</v>
      </c>
      <c r="H8227" t="s">
        <v>43</v>
      </c>
      <c r="I8227" s="187">
        <v>2283.9362346091189</v>
      </c>
      <c r="J8227" s="187">
        <v>45</v>
      </c>
      <c r="K8227" s="187">
        <v>639.07504486214987</v>
      </c>
      <c r="L8227" s="187">
        <v>2286</v>
      </c>
      <c r="M8227" s="187">
        <v>5254.01123046875</v>
      </c>
      <c r="N8227" s="187">
        <v>4569.9365234375</v>
      </c>
      <c r="O8227" t="s">
        <v>9277</v>
      </c>
    </row>
    <row r="8228" spans="1:15" hidden="1" x14ac:dyDescent="0.45">
      <c r="A8228" s="187">
        <v>2027</v>
      </c>
      <c r="B8228" t="s">
        <v>314</v>
      </c>
      <c r="C8228" t="s">
        <v>328</v>
      </c>
      <c r="D8228" t="s">
        <v>39</v>
      </c>
      <c r="E8228" t="s">
        <v>363</v>
      </c>
      <c r="F8228" t="s">
        <v>363</v>
      </c>
      <c r="G8228" t="s">
        <v>36</v>
      </c>
      <c r="H8228" t="s">
        <v>43</v>
      </c>
      <c r="I8228" s="187">
        <v>3364.390792875141</v>
      </c>
      <c r="J8228" s="187">
        <v>55.481378510473967</v>
      </c>
      <c r="K8228" s="187">
        <v>472.407813629587</v>
      </c>
      <c r="L8228" s="187">
        <v>2335.7660352909538</v>
      </c>
      <c r="M8228" s="187">
        <v>6228.0458984375</v>
      </c>
      <c r="N8228" s="187">
        <v>5700.15673828125</v>
      </c>
      <c r="O8228" t="s">
        <v>7980</v>
      </c>
    </row>
    <row r="8229" spans="1:15" hidden="1" x14ac:dyDescent="0.45">
      <c r="A8229" s="187">
        <v>2027</v>
      </c>
      <c r="B8229" t="s">
        <v>315</v>
      </c>
      <c r="C8229" t="s">
        <v>328</v>
      </c>
      <c r="D8229" t="s">
        <v>39</v>
      </c>
      <c r="E8229" t="s">
        <v>363</v>
      </c>
      <c r="F8229" t="s">
        <v>363</v>
      </c>
      <c r="G8229" t="s">
        <v>36</v>
      </c>
      <c r="H8229" t="s">
        <v>43</v>
      </c>
      <c r="I8229" s="187">
        <v>3275.0162749291076</v>
      </c>
      <c r="J8229" s="187">
        <v>37.80526702589669</v>
      </c>
      <c r="K8229" s="187">
        <v>657.15606226567957</v>
      </c>
      <c r="L8229" s="187">
        <v>2359.0486624159535</v>
      </c>
      <c r="M8229" s="187">
        <v>6329.0263671875</v>
      </c>
      <c r="N8229" s="187">
        <v>5634.06494140625</v>
      </c>
      <c r="O8229" t="s">
        <v>7983</v>
      </c>
    </row>
    <row r="8230" spans="1:15" hidden="1" x14ac:dyDescent="0.45">
      <c r="A8230" s="187">
        <v>2027</v>
      </c>
      <c r="B8230" t="s">
        <v>317</v>
      </c>
      <c r="C8230" t="s">
        <v>328</v>
      </c>
      <c r="D8230" t="s">
        <v>39</v>
      </c>
      <c r="E8230" t="s">
        <v>363</v>
      </c>
      <c r="F8230" t="s">
        <v>363</v>
      </c>
      <c r="G8230" t="s">
        <v>36</v>
      </c>
      <c r="H8230" t="s">
        <v>43</v>
      </c>
      <c r="I8230" s="187">
        <v>3229.6366342236429</v>
      </c>
      <c r="J8230" s="187">
        <v>47.036962758374742</v>
      </c>
      <c r="K8230" s="187">
        <v>646.79259294828591</v>
      </c>
      <c r="L8230" s="187">
        <v>2307.9469726775874</v>
      </c>
      <c r="M8230" s="187">
        <v>6231.4130859375</v>
      </c>
      <c r="N8230" s="187">
        <v>5537.58349609375</v>
      </c>
      <c r="O8230" t="s">
        <v>7979</v>
      </c>
    </row>
    <row r="8231" spans="1:15" hidden="1" x14ac:dyDescent="0.45">
      <c r="A8231" s="187">
        <v>2027</v>
      </c>
      <c r="B8231" t="s">
        <v>313</v>
      </c>
      <c r="C8231" t="s">
        <v>328</v>
      </c>
      <c r="D8231" t="s">
        <v>39</v>
      </c>
      <c r="E8231" t="s">
        <v>363</v>
      </c>
      <c r="F8231" t="s">
        <v>363</v>
      </c>
      <c r="G8231" t="s">
        <v>36</v>
      </c>
      <c r="H8231" t="s">
        <v>43</v>
      </c>
      <c r="I8231" s="187">
        <v>3333.0749996812901</v>
      </c>
      <c r="J8231" s="187">
        <v>57.053584994770468</v>
      </c>
      <c r="K8231" s="187">
        <v>450.1035117338651</v>
      </c>
      <c r="L8231" s="187">
        <v>2350.6077017845432</v>
      </c>
      <c r="M8231" s="187">
        <v>6190.83984375</v>
      </c>
      <c r="N8231" s="187">
        <v>5683.6826171875</v>
      </c>
      <c r="O8231" t="s">
        <v>7981</v>
      </c>
    </row>
    <row r="8232" spans="1:15" hidden="1" x14ac:dyDescent="0.45">
      <c r="A8232" s="187">
        <v>2027</v>
      </c>
      <c r="B8232" t="s">
        <v>317</v>
      </c>
      <c r="C8232" t="s">
        <v>328</v>
      </c>
      <c r="D8232" t="s">
        <v>39</v>
      </c>
      <c r="E8232" t="s">
        <v>363</v>
      </c>
      <c r="F8232" t="s">
        <v>363</v>
      </c>
      <c r="G8232" t="s">
        <v>37</v>
      </c>
      <c r="H8232" t="s">
        <v>43</v>
      </c>
      <c r="I8232" s="187">
        <v>3480</v>
      </c>
      <c r="J8232" s="187">
        <v>45</v>
      </c>
      <c r="K8232" s="187">
        <v>692.60258808285016</v>
      </c>
      <c r="L8232" s="187">
        <v>2475</v>
      </c>
      <c r="M8232" s="187">
        <v>6692.6025390625</v>
      </c>
      <c r="N8232" s="187">
        <v>5955</v>
      </c>
      <c r="O8232" t="s">
        <v>7984</v>
      </c>
    </row>
    <row r="8233" spans="1:15" hidden="1" x14ac:dyDescent="0.45">
      <c r="A8233" s="187">
        <v>2027</v>
      </c>
      <c r="B8233" t="s">
        <v>8570</v>
      </c>
      <c r="C8233" t="s">
        <v>328</v>
      </c>
      <c r="D8233" t="s">
        <v>39</v>
      </c>
      <c r="E8233" t="s">
        <v>363</v>
      </c>
      <c r="F8233" t="s">
        <v>363</v>
      </c>
      <c r="G8233" t="s">
        <v>37</v>
      </c>
      <c r="H8233" t="s">
        <v>43</v>
      </c>
      <c r="I8233" s="187">
        <v>2521.650152364819</v>
      </c>
      <c r="J8233" s="187">
        <v>49</v>
      </c>
      <c r="K8233" s="187">
        <v>708.70081683576461</v>
      </c>
      <c r="L8233" s="187">
        <v>2623</v>
      </c>
      <c r="M8233" s="187">
        <v>5902.35107421875</v>
      </c>
      <c r="N8233" s="187">
        <v>5144.650390625</v>
      </c>
      <c r="O8233" t="s">
        <v>9278</v>
      </c>
    </row>
    <row r="8234" spans="1:15" hidden="1" x14ac:dyDescent="0.45">
      <c r="A8234" s="187">
        <v>2027</v>
      </c>
      <c r="B8234" t="s">
        <v>316</v>
      </c>
      <c r="C8234" t="s">
        <v>328</v>
      </c>
      <c r="D8234" t="s">
        <v>39</v>
      </c>
      <c r="E8234" t="s">
        <v>363</v>
      </c>
      <c r="F8234" t="s">
        <v>363</v>
      </c>
      <c r="G8234" t="s">
        <v>37</v>
      </c>
      <c r="H8234" t="s">
        <v>43</v>
      </c>
      <c r="I8234" s="187">
        <v>3549.5286311773398</v>
      </c>
      <c r="J8234" s="187">
        <v>45</v>
      </c>
      <c r="K8234" s="187">
        <v>725.28447482242518</v>
      </c>
      <c r="L8234" s="187">
        <v>2596</v>
      </c>
      <c r="M8234" s="187">
        <v>6915.81298828125</v>
      </c>
      <c r="N8234" s="187">
        <v>6145.5283203125</v>
      </c>
      <c r="O8234" t="s">
        <v>7985</v>
      </c>
    </row>
    <row r="8235" spans="1:15" hidden="1" x14ac:dyDescent="0.45">
      <c r="A8235" s="187">
        <v>2027</v>
      </c>
      <c r="B8235" t="s">
        <v>314</v>
      </c>
      <c r="C8235" t="s">
        <v>328</v>
      </c>
      <c r="D8235" t="s">
        <v>39</v>
      </c>
      <c r="E8235" t="s">
        <v>363</v>
      </c>
      <c r="F8235" t="s">
        <v>363</v>
      </c>
      <c r="G8235" t="s">
        <v>37</v>
      </c>
      <c r="H8235" t="s">
        <v>43</v>
      </c>
      <c r="I8235" s="187">
        <v>3625.2971474917372</v>
      </c>
      <c r="J8235" s="187">
        <v>60</v>
      </c>
      <c r="K8235" s="187">
        <v>509.73153805060781</v>
      </c>
      <c r="L8235" s="187">
        <v>2748</v>
      </c>
      <c r="M8235" s="187">
        <v>6943.02880859375</v>
      </c>
      <c r="N8235" s="187">
        <v>6373.296875</v>
      </c>
      <c r="O8235" t="s">
        <v>7986</v>
      </c>
    </row>
    <row r="8236" spans="1:15" hidden="1" x14ac:dyDescent="0.45">
      <c r="A8236" s="187">
        <v>2027</v>
      </c>
      <c r="B8236" t="s">
        <v>315</v>
      </c>
      <c r="C8236" t="s">
        <v>328</v>
      </c>
      <c r="D8236" t="s">
        <v>39</v>
      </c>
      <c r="E8236" t="s">
        <v>363</v>
      </c>
      <c r="F8236" t="s">
        <v>363</v>
      </c>
      <c r="G8236" t="s">
        <v>37</v>
      </c>
      <c r="H8236" t="s">
        <v>43</v>
      </c>
      <c r="I8236" s="187">
        <v>3553.1678403329761</v>
      </c>
      <c r="J8236" s="187">
        <v>40</v>
      </c>
      <c r="K8236" s="187">
        <v>711.05489006691744</v>
      </c>
      <c r="L8236" s="187">
        <v>2622</v>
      </c>
      <c r="M8236" s="187">
        <v>6926.22265625</v>
      </c>
      <c r="N8236" s="187">
        <v>6175.16796875</v>
      </c>
      <c r="O8236" t="s">
        <v>7987</v>
      </c>
    </row>
    <row r="8237" spans="1:15" hidden="1" x14ac:dyDescent="0.45">
      <c r="A8237" s="187">
        <v>2027</v>
      </c>
      <c r="B8237" t="s">
        <v>313</v>
      </c>
      <c r="C8237" t="s">
        <v>328</v>
      </c>
      <c r="D8237" t="s">
        <v>39</v>
      </c>
      <c r="E8237" t="s">
        <v>363</v>
      </c>
      <c r="F8237" t="s">
        <v>363</v>
      </c>
      <c r="G8237" t="s">
        <v>37</v>
      </c>
      <c r="H8237" t="s">
        <v>43</v>
      </c>
      <c r="I8237" s="187">
        <v>3553.3525392390361</v>
      </c>
      <c r="J8237" s="187">
        <v>61</v>
      </c>
      <c r="K8237" s="187">
        <v>478.68997708692513</v>
      </c>
      <c r="L8237" s="187">
        <v>2545</v>
      </c>
      <c r="M8237" s="187">
        <v>6638.04248046875</v>
      </c>
      <c r="N8237" s="187">
        <v>6098.3525390625</v>
      </c>
      <c r="O8237" t="s">
        <v>7988</v>
      </c>
    </row>
    <row r="8238" spans="1:15" hidden="1" x14ac:dyDescent="0.45">
      <c r="A8238" s="187">
        <v>2027</v>
      </c>
      <c r="B8238" t="s">
        <v>313</v>
      </c>
      <c r="C8238" t="s">
        <v>328</v>
      </c>
      <c r="D8238" t="s">
        <v>39</v>
      </c>
      <c r="E8238" t="s">
        <v>364</v>
      </c>
      <c r="F8238" t="s">
        <v>364</v>
      </c>
      <c r="G8238" t="s">
        <v>36</v>
      </c>
      <c r="H8238" t="s">
        <v>43</v>
      </c>
      <c r="I8238" s="187">
        <v>1777.2374297342985</v>
      </c>
      <c r="J8238" s="187">
        <v>775.92875592887833</v>
      </c>
      <c r="K8238" s="187">
        <v>5068.3204272679495</v>
      </c>
      <c r="L8238" s="187">
        <v>2959.939989528692</v>
      </c>
      <c r="M8238" s="187">
        <v>10581.4267578125</v>
      </c>
      <c r="N8238" s="187">
        <v>4737.17724609375</v>
      </c>
      <c r="O8238" t="s">
        <v>7989</v>
      </c>
    </row>
    <row r="8239" spans="1:15" hidden="1" x14ac:dyDescent="0.45">
      <c r="A8239" s="187">
        <v>2027</v>
      </c>
      <c r="B8239" t="s">
        <v>314</v>
      </c>
      <c r="C8239" t="s">
        <v>328</v>
      </c>
      <c r="D8239" t="s">
        <v>39</v>
      </c>
      <c r="E8239" t="s">
        <v>364</v>
      </c>
      <c r="F8239" t="s">
        <v>364</v>
      </c>
      <c r="G8239" t="s">
        <v>36</v>
      </c>
      <c r="H8239" t="s">
        <v>43</v>
      </c>
      <c r="I8239" s="187">
        <v>1794.267781028728</v>
      </c>
      <c r="J8239" s="187">
        <v>765.64302344454075</v>
      </c>
      <c r="K8239" s="187">
        <v>5167.2186740913885</v>
      </c>
      <c r="L8239" s="187">
        <v>2700.8335058898724</v>
      </c>
      <c r="M8239" s="187">
        <v>10427.962890625</v>
      </c>
      <c r="N8239" s="187">
        <v>4495.1015625</v>
      </c>
      <c r="O8239" t="s">
        <v>7992</v>
      </c>
    </row>
    <row r="8240" spans="1:15" hidden="1" x14ac:dyDescent="0.45">
      <c r="A8240" s="187">
        <v>2027</v>
      </c>
      <c r="B8240" t="s">
        <v>317</v>
      </c>
      <c r="C8240" t="s">
        <v>328</v>
      </c>
      <c r="D8240" t="s">
        <v>39</v>
      </c>
      <c r="E8240" t="s">
        <v>364</v>
      </c>
      <c r="F8240" t="s">
        <v>364</v>
      </c>
      <c r="G8240" t="s">
        <v>36</v>
      </c>
      <c r="H8240" t="s">
        <v>43</v>
      </c>
      <c r="I8240" s="187">
        <v>3563.3112454066554</v>
      </c>
      <c r="J8240" s="187">
        <v>909.38127999524511</v>
      </c>
      <c r="K8240" s="187">
        <v>5167.6339439426447</v>
      </c>
      <c r="L8240" s="187">
        <v>3822.5371734972541</v>
      </c>
      <c r="M8240" s="187">
        <v>13462.86328125</v>
      </c>
      <c r="N8240" s="187">
        <v>7385.8486328125</v>
      </c>
      <c r="O8240" t="s">
        <v>7993</v>
      </c>
    </row>
    <row r="8241" spans="1:15" hidden="1" x14ac:dyDescent="0.45">
      <c r="A8241" s="187">
        <v>2027</v>
      </c>
      <c r="B8241" t="s">
        <v>316</v>
      </c>
      <c r="C8241" t="s">
        <v>328</v>
      </c>
      <c r="D8241" t="s">
        <v>39</v>
      </c>
      <c r="E8241" t="s">
        <v>364</v>
      </c>
      <c r="F8241" t="s">
        <v>364</v>
      </c>
      <c r="G8241" t="s">
        <v>36</v>
      </c>
      <c r="H8241" t="s">
        <v>43</v>
      </c>
      <c r="I8241" s="187">
        <v>3033.8246373856173</v>
      </c>
      <c r="J8241" s="187">
        <v>920.12456201476334</v>
      </c>
      <c r="K8241" s="187">
        <v>5124.3235556813615</v>
      </c>
      <c r="L8241" s="187">
        <v>3062.8514156261544</v>
      </c>
      <c r="M8241" s="187">
        <v>12141.1240234375</v>
      </c>
      <c r="N8241" s="187">
        <v>6096.67626953125</v>
      </c>
      <c r="O8241" t="s">
        <v>7991</v>
      </c>
    </row>
    <row r="8242" spans="1:15" hidden="1" x14ac:dyDescent="0.45">
      <c r="A8242" s="187">
        <v>2027</v>
      </c>
      <c r="B8242" t="s">
        <v>315</v>
      </c>
      <c r="C8242" t="s">
        <v>328</v>
      </c>
      <c r="D8242" t="s">
        <v>39</v>
      </c>
      <c r="E8242" t="s">
        <v>364</v>
      </c>
      <c r="F8242" t="s">
        <v>364</v>
      </c>
      <c r="G8242" t="s">
        <v>36</v>
      </c>
      <c r="H8242" t="s">
        <v>43</v>
      </c>
      <c r="I8242" s="187">
        <v>1746.603336596427</v>
      </c>
      <c r="J8242" s="187">
        <v>739.90308322112094</v>
      </c>
      <c r="K8242" s="187">
        <v>5173.5951187557512</v>
      </c>
      <c r="L8242" s="187">
        <v>2544.8345460860742</v>
      </c>
      <c r="M8242" s="187">
        <v>10204.9365234375</v>
      </c>
      <c r="N8242" s="187">
        <v>4291.43798828125</v>
      </c>
      <c r="O8242" t="s">
        <v>7990</v>
      </c>
    </row>
    <row r="8243" spans="1:15" hidden="1" x14ac:dyDescent="0.45">
      <c r="A8243" s="187">
        <v>2027</v>
      </c>
      <c r="B8243" t="s">
        <v>8570</v>
      </c>
      <c r="C8243" t="s">
        <v>328</v>
      </c>
      <c r="D8243" t="s">
        <v>39</v>
      </c>
      <c r="E8243" t="s">
        <v>364</v>
      </c>
      <c r="F8243" t="s">
        <v>364</v>
      </c>
      <c r="G8243" t="s">
        <v>36</v>
      </c>
      <c r="H8243" t="s">
        <v>43</v>
      </c>
      <c r="I8243" s="187">
        <v>3154.0071811268781</v>
      </c>
      <c r="J8243" s="187">
        <v>1023</v>
      </c>
      <c r="K8243" s="187">
        <v>4991.3711958923286</v>
      </c>
      <c r="L8243" s="187">
        <v>3919</v>
      </c>
      <c r="M8243" s="187">
        <v>13087.3779296875</v>
      </c>
      <c r="N8243" s="187">
        <v>7073.0068359375</v>
      </c>
      <c r="O8243" t="s">
        <v>9279</v>
      </c>
    </row>
    <row r="8244" spans="1:15" hidden="1" x14ac:dyDescent="0.45">
      <c r="A8244" s="187">
        <v>2027</v>
      </c>
      <c r="B8244" t="s">
        <v>315</v>
      </c>
      <c r="C8244" t="s">
        <v>328</v>
      </c>
      <c r="D8244" t="s">
        <v>39</v>
      </c>
      <c r="E8244" t="s">
        <v>364</v>
      </c>
      <c r="F8244" t="s">
        <v>364</v>
      </c>
      <c r="G8244" t="s">
        <v>37</v>
      </c>
      <c r="H8244" t="s">
        <v>43</v>
      </c>
      <c r="I8244" s="187">
        <v>1894.944722235628</v>
      </c>
      <c r="J8244" s="187">
        <v>787</v>
      </c>
      <c r="K8244" s="187">
        <v>5597.9246325971762</v>
      </c>
      <c r="L8244" s="187">
        <v>2829</v>
      </c>
      <c r="M8244" s="187">
        <v>11108.869140625</v>
      </c>
      <c r="N8244" s="187">
        <v>4723.94482421875</v>
      </c>
      <c r="O8244" t="s">
        <v>7997</v>
      </c>
    </row>
    <row r="8245" spans="1:15" hidden="1" x14ac:dyDescent="0.45">
      <c r="A8245" s="187">
        <v>2027</v>
      </c>
      <c r="B8245" t="s">
        <v>316</v>
      </c>
      <c r="C8245" t="s">
        <v>328</v>
      </c>
      <c r="D8245" t="s">
        <v>39</v>
      </c>
      <c r="E8245" t="s">
        <v>364</v>
      </c>
      <c r="F8245" t="s">
        <v>364</v>
      </c>
      <c r="G8245" t="s">
        <v>37</v>
      </c>
      <c r="H8245" t="s">
        <v>43</v>
      </c>
      <c r="I8245" s="187">
        <v>3295.3904638724298</v>
      </c>
      <c r="J8245" s="187">
        <v>870</v>
      </c>
      <c r="K8245" s="187">
        <v>5466.1185057472567</v>
      </c>
      <c r="L8245" s="187">
        <v>3364</v>
      </c>
      <c r="M8245" s="187">
        <v>12995.5087890625</v>
      </c>
      <c r="N8245" s="187">
        <v>6659.390625</v>
      </c>
      <c r="O8245" t="s">
        <v>7995</v>
      </c>
    </row>
    <row r="8246" spans="1:15" hidden="1" x14ac:dyDescent="0.45">
      <c r="A8246" s="187">
        <v>2027</v>
      </c>
      <c r="B8246" t="s">
        <v>314</v>
      </c>
      <c r="C8246" t="s">
        <v>328</v>
      </c>
      <c r="D8246" t="s">
        <v>39</v>
      </c>
      <c r="E8246" t="s">
        <v>364</v>
      </c>
      <c r="F8246" t="s">
        <v>364</v>
      </c>
      <c r="G8246" t="s">
        <v>37</v>
      </c>
      <c r="H8246" t="s">
        <v>43</v>
      </c>
      <c r="I8246" s="187">
        <v>1933.412100097011</v>
      </c>
      <c r="J8246" s="187">
        <v>825</v>
      </c>
      <c r="K8246" s="187">
        <v>5575.4673106521714</v>
      </c>
      <c r="L8246" s="187">
        <v>3177</v>
      </c>
      <c r="M8246" s="187">
        <v>11510.8798828125</v>
      </c>
      <c r="N8246" s="187">
        <v>5110.412109375</v>
      </c>
      <c r="O8246" t="s">
        <v>7996</v>
      </c>
    </row>
    <row r="8247" spans="1:15" hidden="1" x14ac:dyDescent="0.45">
      <c r="A8247" s="187">
        <v>2027</v>
      </c>
      <c r="B8247" t="s">
        <v>8570</v>
      </c>
      <c r="C8247" t="s">
        <v>328</v>
      </c>
      <c r="D8247" t="s">
        <v>39</v>
      </c>
      <c r="E8247" t="s">
        <v>364</v>
      </c>
      <c r="F8247" t="s">
        <v>364</v>
      </c>
      <c r="G8247" t="s">
        <v>37</v>
      </c>
      <c r="H8247" t="s">
        <v>43</v>
      </c>
      <c r="I8247" s="187">
        <v>3482.2787818371312</v>
      </c>
      <c r="J8247" s="187">
        <v>1107</v>
      </c>
      <c r="K8247" s="187">
        <v>5535.1697302191242</v>
      </c>
      <c r="L8247" s="187">
        <v>4497</v>
      </c>
      <c r="M8247" s="187">
        <v>14621.4482421875</v>
      </c>
      <c r="N8247" s="187">
        <v>7979.27880859375</v>
      </c>
      <c r="O8247" t="s">
        <v>9280</v>
      </c>
    </row>
    <row r="8248" spans="1:15" hidden="1" x14ac:dyDescent="0.45">
      <c r="A8248" s="187">
        <v>2027</v>
      </c>
      <c r="B8248" t="s">
        <v>313</v>
      </c>
      <c r="C8248" t="s">
        <v>328</v>
      </c>
      <c r="D8248" t="s">
        <v>39</v>
      </c>
      <c r="E8248" t="s">
        <v>364</v>
      </c>
      <c r="F8248" t="s">
        <v>364</v>
      </c>
      <c r="G8248" t="s">
        <v>37</v>
      </c>
      <c r="H8248" t="s">
        <v>43</v>
      </c>
      <c r="I8248" s="187">
        <v>1894.692178958134</v>
      </c>
      <c r="J8248" s="187">
        <v>829</v>
      </c>
      <c r="K8248" s="187">
        <v>5390.2138640335988</v>
      </c>
      <c r="L8248" s="187">
        <v>3204</v>
      </c>
      <c r="M8248" s="187">
        <v>11317.90625</v>
      </c>
      <c r="N8248" s="187">
        <v>5098.6923828125</v>
      </c>
      <c r="O8248" t="s">
        <v>7998</v>
      </c>
    </row>
    <row r="8249" spans="1:15" hidden="1" x14ac:dyDescent="0.45">
      <c r="A8249" s="187">
        <v>2027</v>
      </c>
      <c r="B8249" t="s">
        <v>317</v>
      </c>
      <c r="C8249" t="s">
        <v>328</v>
      </c>
      <c r="D8249" t="s">
        <v>39</v>
      </c>
      <c r="E8249" t="s">
        <v>364</v>
      </c>
      <c r="F8249" t="s">
        <v>364</v>
      </c>
      <c r="G8249" t="s">
        <v>37</v>
      </c>
      <c r="H8249" t="s">
        <v>43</v>
      </c>
      <c r="I8249" s="187">
        <v>3838.5859593899449</v>
      </c>
      <c r="J8249" s="187">
        <v>870</v>
      </c>
      <c r="K8249" s="187">
        <v>5533.638886501024</v>
      </c>
      <c r="L8249" s="187">
        <v>4099</v>
      </c>
      <c r="M8249" s="187">
        <v>14341.224609375</v>
      </c>
      <c r="N8249" s="187">
        <v>7937.5859375</v>
      </c>
      <c r="O8249" t="s">
        <v>7994</v>
      </c>
    </row>
    <row r="8250" spans="1:15" hidden="1" x14ac:dyDescent="0.45">
      <c r="A8250" s="187">
        <v>2027</v>
      </c>
      <c r="B8250" t="s">
        <v>313</v>
      </c>
      <c r="C8250" t="s">
        <v>328</v>
      </c>
      <c r="D8250" t="s">
        <v>39</v>
      </c>
      <c r="E8250" t="s">
        <v>365</v>
      </c>
      <c r="F8250" t="s">
        <v>375</v>
      </c>
      <c r="G8250" t="s">
        <v>36</v>
      </c>
      <c r="H8250" t="s">
        <v>43</v>
      </c>
      <c r="I8250" s="187">
        <v>9155.5941770167992</v>
      </c>
      <c r="J8250" s="187">
        <v>1825.714719832655</v>
      </c>
      <c r="K8250" s="187">
        <v>19007.374571105807</v>
      </c>
      <c r="L8250" s="187">
        <v>13448.671054967295</v>
      </c>
      <c r="M8250" s="187">
        <v>43437.35546875</v>
      </c>
      <c r="N8250" s="187">
        <v>22604.265625</v>
      </c>
      <c r="O8250" t="s">
        <v>8000</v>
      </c>
    </row>
    <row r="8251" spans="1:15" hidden="1" x14ac:dyDescent="0.45">
      <c r="A8251" s="187">
        <v>2027</v>
      </c>
      <c r="B8251" t="s">
        <v>8570</v>
      </c>
      <c r="C8251" t="s">
        <v>328</v>
      </c>
      <c r="D8251" t="s">
        <v>39</v>
      </c>
      <c r="E8251" t="s">
        <v>365</v>
      </c>
      <c r="F8251" t="s">
        <v>375</v>
      </c>
      <c r="G8251" t="s">
        <v>36</v>
      </c>
      <c r="H8251" t="s">
        <v>43</v>
      </c>
      <c r="I8251" s="187">
        <v>11047.447231472001</v>
      </c>
      <c r="J8251" s="187">
        <v>2794</v>
      </c>
      <c r="K8251" s="187">
        <v>18707.265463172389</v>
      </c>
      <c r="L8251" s="187">
        <v>15025</v>
      </c>
      <c r="M8251" s="187">
        <v>47573.7109375</v>
      </c>
      <c r="N8251" s="187">
        <v>26072.447265625</v>
      </c>
      <c r="O8251" t="s">
        <v>9281</v>
      </c>
    </row>
    <row r="8252" spans="1:15" hidden="1" x14ac:dyDescent="0.45">
      <c r="A8252" s="187">
        <v>2027</v>
      </c>
      <c r="B8252" t="s">
        <v>315</v>
      </c>
      <c r="C8252" t="s">
        <v>328</v>
      </c>
      <c r="D8252" t="s">
        <v>39</v>
      </c>
      <c r="E8252" t="s">
        <v>365</v>
      </c>
      <c r="F8252" t="s">
        <v>375</v>
      </c>
      <c r="G8252" t="s">
        <v>36</v>
      </c>
      <c r="H8252" t="s">
        <v>43</v>
      </c>
      <c r="I8252" s="187">
        <v>8996.5734016769584</v>
      </c>
      <c r="J8252" s="187">
        <v>1982.0761426434406</v>
      </c>
      <c r="K8252" s="187">
        <v>17203.420634166061</v>
      </c>
      <c r="L8252" s="187">
        <v>12901.317410208858</v>
      </c>
      <c r="M8252" s="187">
        <v>41083.38671875</v>
      </c>
      <c r="N8252" s="187">
        <v>21897.890625</v>
      </c>
      <c r="O8252" t="s">
        <v>8003</v>
      </c>
    </row>
    <row r="8253" spans="1:15" hidden="1" x14ac:dyDescent="0.45">
      <c r="A8253" s="187">
        <v>2027</v>
      </c>
      <c r="B8253" t="s">
        <v>314</v>
      </c>
      <c r="C8253" t="s">
        <v>328</v>
      </c>
      <c r="D8253" t="s">
        <v>39</v>
      </c>
      <c r="E8253" t="s">
        <v>365</v>
      </c>
      <c r="F8253" t="s">
        <v>375</v>
      </c>
      <c r="G8253" t="s">
        <v>36</v>
      </c>
      <c r="H8253" t="s">
        <v>43</v>
      </c>
      <c r="I8253" s="187">
        <v>9242.0880322747525</v>
      </c>
      <c r="J8253" s="187">
        <v>1836.4336286966882</v>
      </c>
      <c r="K8253" s="187">
        <v>17386.570813275335</v>
      </c>
      <c r="L8253" s="187">
        <v>12965.998157897766</v>
      </c>
      <c r="M8253" s="187">
        <v>41431.08984375</v>
      </c>
      <c r="N8253" s="187">
        <v>22208.0859375</v>
      </c>
      <c r="O8253" t="s">
        <v>7999</v>
      </c>
    </row>
    <row r="8254" spans="1:15" hidden="1" x14ac:dyDescent="0.45">
      <c r="A8254" s="187">
        <v>2027</v>
      </c>
      <c r="B8254" t="s">
        <v>317</v>
      </c>
      <c r="C8254" t="s">
        <v>328</v>
      </c>
      <c r="D8254" t="s">
        <v>39</v>
      </c>
      <c r="E8254" t="s">
        <v>365</v>
      </c>
      <c r="F8254" t="s">
        <v>375</v>
      </c>
      <c r="G8254" t="s">
        <v>36</v>
      </c>
      <c r="H8254" t="s">
        <v>43</v>
      </c>
      <c r="I8254" s="187">
        <v>10967.381920263177</v>
      </c>
      <c r="J8254" s="187">
        <v>2446.9673292745615</v>
      </c>
      <c r="K8254" s="187">
        <v>19321.499864034726</v>
      </c>
      <c r="L8254" s="187">
        <v>14747.655723509095</v>
      </c>
      <c r="M8254" s="187">
        <v>47483.50390625</v>
      </c>
      <c r="N8254" s="187">
        <v>25715.037109375</v>
      </c>
      <c r="O8254" t="s">
        <v>8002</v>
      </c>
    </row>
    <row r="8255" spans="1:15" hidden="1" x14ac:dyDescent="0.45">
      <c r="A8255" s="187">
        <v>2027</v>
      </c>
      <c r="B8255" t="s">
        <v>316</v>
      </c>
      <c r="C8255" t="s">
        <v>328</v>
      </c>
      <c r="D8255" t="s">
        <v>39</v>
      </c>
      <c r="E8255" t="s">
        <v>365</v>
      </c>
      <c r="F8255" t="s">
        <v>375</v>
      </c>
      <c r="G8255" t="s">
        <v>36</v>
      </c>
      <c r="H8255" t="s">
        <v>43</v>
      </c>
      <c r="I8255" s="187">
        <v>10525.365794758383</v>
      </c>
      <c r="J8255" s="187">
        <v>2527.6985094428555</v>
      </c>
      <c r="K8255" s="187">
        <v>17331.44034146503</v>
      </c>
      <c r="L8255" s="187">
        <v>13608.324987866619</v>
      </c>
      <c r="M8255" s="187">
        <v>43992.828125</v>
      </c>
      <c r="N8255" s="187">
        <v>24133.69140625</v>
      </c>
      <c r="O8255" t="s">
        <v>8001</v>
      </c>
    </row>
    <row r="8256" spans="1:15" hidden="1" x14ac:dyDescent="0.45">
      <c r="A8256" s="187">
        <v>2027</v>
      </c>
      <c r="B8256" t="s">
        <v>315</v>
      </c>
      <c r="C8256" t="s">
        <v>328</v>
      </c>
      <c r="D8256" t="s">
        <v>39</v>
      </c>
      <c r="E8256" t="s">
        <v>365</v>
      </c>
      <c r="F8256" t="s">
        <v>375</v>
      </c>
      <c r="G8256" t="s">
        <v>37</v>
      </c>
      <c r="H8256" t="s">
        <v>43</v>
      </c>
      <c r="I8256" s="187">
        <v>9760.6645587511084</v>
      </c>
      <c r="J8256" s="187">
        <v>2108</v>
      </c>
      <c r="K8256" s="187">
        <v>18614.41607283906</v>
      </c>
      <c r="L8256" s="187">
        <v>14342</v>
      </c>
      <c r="M8256" s="187">
        <v>44825.08203125</v>
      </c>
      <c r="N8256" s="187">
        <v>24102.6640625</v>
      </c>
      <c r="O8256" t="s">
        <v>8006</v>
      </c>
    </row>
    <row r="8257" spans="1:15" hidden="1" x14ac:dyDescent="0.45">
      <c r="A8257" s="187">
        <v>2027</v>
      </c>
      <c r="B8257" t="s">
        <v>313</v>
      </c>
      <c r="C8257" t="s">
        <v>328</v>
      </c>
      <c r="D8257" t="s">
        <v>39</v>
      </c>
      <c r="E8257" t="s">
        <v>365</v>
      </c>
      <c r="F8257" t="s">
        <v>375</v>
      </c>
      <c r="G8257" t="s">
        <v>37</v>
      </c>
      <c r="H8257" t="s">
        <v>43</v>
      </c>
      <c r="I8257" s="187">
        <v>9760.6725982030403</v>
      </c>
      <c r="J8257" s="187">
        <v>1950</v>
      </c>
      <c r="K8257" s="187">
        <v>20214.549455248511</v>
      </c>
      <c r="L8257" s="187">
        <v>14560</v>
      </c>
      <c r="M8257" s="187">
        <v>46485.22265625</v>
      </c>
      <c r="N8257" s="187">
        <v>24320.671875</v>
      </c>
      <c r="O8257" t="s">
        <v>8008</v>
      </c>
    </row>
    <row r="8258" spans="1:15" hidden="1" x14ac:dyDescent="0.45">
      <c r="A8258" s="187">
        <v>2027</v>
      </c>
      <c r="B8258" t="s">
        <v>314</v>
      </c>
      <c r="C8258" t="s">
        <v>328</v>
      </c>
      <c r="D8258" t="s">
        <v>39</v>
      </c>
      <c r="E8258" t="s">
        <v>365</v>
      </c>
      <c r="F8258" t="s">
        <v>375</v>
      </c>
      <c r="G8258" t="s">
        <v>37</v>
      </c>
      <c r="H8258" t="s">
        <v>43</v>
      </c>
      <c r="I8258" s="187">
        <v>9958.8060492937584</v>
      </c>
      <c r="J8258" s="187">
        <v>1979</v>
      </c>
      <c r="K8258" s="187">
        <v>18760.238985009</v>
      </c>
      <c r="L8258" s="187">
        <v>15254</v>
      </c>
      <c r="M8258" s="187">
        <v>45952.046875</v>
      </c>
      <c r="N8258" s="187">
        <v>25212.8046875</v>
      </c>
      <c r="O8258" t="s">
        <v>8005</v>
      </c>
    </row>
    <row r="8259" spans="1:15" hidden="1" x14ac:dyDescent="0.45">
      <c r="A8259" s="187">
        <v>2027</v>
      </c>
      <c r="B8259" t="s">
        <v>8570</v>
      </c>
      <c r="C8259" t="s">
        <v>328</v>
      </c>
      <c r="D8259" t="s">
        <v>39</v>
      </c>
      <c r="E8259" t="s">
        <v>365</v>
      </c>
      <c r="F8259" t="s">
        <v>375</v>
      </c>
      <c r="G8259" t="s">
        <v>37</v>
      </c>
      <c r="H8259" t="s">
        <v>43</v>
      </c>
      <c r="I8259" s="187">
        <v>12197.27441263322</v>
      </c>
      <c r="J8259" s="187">
        <v>3018</v>
      </c>
      <c r="K8259" s="187">
        <v>20745.37946849969</v>
      </c>
      <c r="L8259" s="187">
        <v>17239</v>
      </c>
      <c r="M8259" s="187">
        <v>53199.65234375</v>
      </c>
      <c r="N8259" s="187">
        <v>29436.2734375</v>
      </c>
      <c r="O8259" t="s">
        <v>9282</v>
      </c>
    </row>
    <row r="8260" spans="1:15" hidden="1" x14ac:dyDescent="0.45">
      <c r="A8260" s="187">
        <v>2027</v>
      </c>
      <c r="B8260" t="s">
        <v>316</v>
      </c>
      <c r="C8260" t="s">
        <v>328</v>
      </c>
      <c r="D8260" t="s">
        <v>39</v>
      </c>
      <c r="E8260" t="s">
        <v>365</v>
      </c>
      <c r="F8260" t="s">
        <v>375</v>
      </c>
      <c r="G8260" t="s">
        <v>37</v>
      </c>
      <c r="H8260" t="s">
        <v>43</v>
      </c>
      <c r="I8260" s="187">
        <v>11432.826288438901</v>
      </c>
      <c r="J8260" s="187">
        <v>2390</v>
      </c>
      <c r="K8260" s="187">
        <v>18487.45610075747</v>
      </c>
      <c r="L8260" s="187">
        <v>14945</v>
      </c>
      <c r="M8260" s="187">
        <v>47255.28125</v>
      </c>
      <c r="N8260" s="187">
        <v>26377.826171875</v>
      </c>
      <c r="O8260" t="s">
        <v>8007</v>
      </c>
    </row>
    <row r="8261" spans="1:15" hidden="1" x14ac:dyDescent="0.45">
      <c r="A8261" s="187">
        <v>2027</v>
      </c>
      <c r="B8261" t="s">
        <v>317</v>
      </c>
      <c r="C8261" t="s">
        <v>328</v>
      </c>
      <c r="D8261" t="s">
        <v>39</v>
      </c>
      <c r="E8261" t="s">
        <v>365</v>
      </c>
      <c r="F8261" t="s">
        <v>375</v>
      </c>
      <c r="G8261" t="s">
        <v>37</v>
      </c>
      <c r="H8261" t="s">
        <v>43</v>
      </c>
      <c r="I8261" s="187">
        <v>11816.161206720089</v>
      </c>
      <c r="J8261" s="187">
        <v>2341</v>
      </c>
      <c r="K8261" s="187">
        <v>20689.972268347941</v>
      </c>
      <c r="L8261" s="187">
        <v>15815</v>
      </c>
      <c r="M8261" s="187">
        <v>50662.1328125</v>
      </c>
      <c r="N8261" s="187">
        <v>27631.16015625</v>
      </c>
      <c r="O8261" t="s">
        <v>8004</v>
      </c>
    </row>
    <row r="8262" spans="1:15" hidden="1" x14ac:dyDescent="0.45">
      <c r="A8262" s="187">
        <v>2028</v>
      </c>
      <c r="B8262" t="s">
        <v>317</v>
      </c>
      <c r="C8262" t="s">
        <v>322</v>
      </c>
      <c r="D8262" t="s">
        <v>35</v>
      </c>
      <c r="E8262" t="s">
        <v>348</v>
      </c>
      <c r="F8262" t="s">
        <v>382</v>
      </c>
      <c r="G8262" t="s">
        <v>36</v>
      </c>
      <c r="H8262" t="s">
        <v>43</v>
      </c>
      <c r="I8262" s="187">
        <v>15763.87890617485</v>
      </c>
      <c r="J8262" s="187">
        <v>1080.5090956866493</v>
      </c>
      <c r="K8262" s="187">
        <v>20567.425633235329</v>
      </c>
      <c r="L8262" s="187">
        <v>24301.73007108843</v>
      </c>
      <c r="M8262" s="187">
        <v>61713.54296875</v>
      </c>
      <c r="N8262" s="187">
        <v>40065.609375</v>
      </c>
      <c r="O8262" t="s">
        <v>8009</v>
      </c>
    </row>
    <row r="8263" spans="1:15" hidden="1" x14ac:dyDescent="0.45">
      <c r="A8263" s="187">
        <v>2028</v>
      </c>
      <c r="B8263" t="s">
        <v>8570</v>
      </c>
      <c r="C8263" t="s">
        <v>322</v>
      </c>
      <c r="D8263" t="s">
        <v>35</v>
      </c>
      <c r="E8263" t="s">
        <v>348</v>
      </c>
      <c r="F8263" t="s">
        <v>382</v>
      </c>
      <c r="G8263" t="s">
        <v>36</v>
      </c>
      <c r="H8263" t="s">
        <v>43</v>
      </c>
      <c r="I8263" s="187">
        <v>12272.16877098853</v>
      </c>
      <c r="J8263" s="187">
        <v>1000</v>
      </c>
      <c r="K8263" s="187">
        <v>19371.404952600831</v>
      </c>
      <c r="L8263" s="187">
        <v>19386</v>
      </c>
      <c r="M8263" s="187">
        <v>52029.57421875</v>
      </c>
      <c r="N8263" s="187">
        <v>31658.16796875</v>
      </c>
      <c r="O8263" t="s">
        <v>9283</v>
      </c>
    </row>
    <row r="8264" spans="1:15" hidden="1" x14ac:dyDescent="0.45">
      <c r="A8264" s="187">
        <v>2028</v>
      </c>
      <c r="B8264" t="s">
        <v>314</v>
      </c>
      <c r="C8264" t="s">
        <v>322</v>
      </c>
      <c r="D8264" t="s">
        <v>35</v>
      </c>
      <c r="E8264" t="s">
        <v>348</v>
      </c>
      <c r="F8264" t="s">
        <v>382</v>
      </c>
      <c r="G8264" t="s">
        <v>36</v>
      </c>
      <c r="H8264" t="s">
        <v>43</v>
      </c>
      <c r="I8264" s="187">
        <v>22827.93447880619</v>
      </c>
      <c r="J8264" s="187">
        <v>908.56011565714186</v>
      </c>
      <c r="K8264" s="187">
        <v>17129.487484399851</v>
      </c>
      <c r="L8264" s="187">
        <v>24702.351759924368</v>
      </c>
      <c r="M8264" s="187">
        <v>65568.3359375</v>
      </c>
      <c r="N8264" s="187">
        <v>47530.28515625</v>
      </c>
      <c r="O8264" t="s">
        <v>8010</v>
      </c>
    </row>
    <row r="8265" spans="1:15" hidden="1" x14ac:dyDescent="0.45">
      <c r="A8265" s="187">
        <v>2028</v>
      </c>
      <c r="B8265" t="s">
        <v>315</v>
      </c>
      <c r="C8265" t="s">
        <v>322</v>
      </c>
      <c r="D8265" t="s">
        <v>35</v>
      </c>
      <c r="E8265" t="s">
        <v>348</v>
      </c>
      <c r="F8265" t="s">
        <v>382</v>
      </c>
      <c r="G8265" t="s">
        <v>36</v>
      </c>
      <c r="H8265" t="s">
        <v>43</v>
      </c>
      <c r="I8265" s="187">
        <v>22197.518527407985</v>
      </c>
      <c r="J8265" s="187">
        <v>962.87782075725158</v>
      </c>
      <c r="K8265" s="187">
        <v>18191.081869669706</v>
      </c>
      <c r="L8265" s="187">
        <v>26696.637178571938</v>
      </c>
      <c r="M8265" s="187">
        <v>68048.1171875</v>
      </c>
      <c r="N8265" s="187">
        <v>48894.15625</v>
      </c>
      <c r="O8265" t="s">
        <v>8011</v>
      </c>
    </row>
    <row r="8266" spans="1:15" hidden="1" x14ac:dyDescent="0.45">
      <c r="A8266" s="187">
        <v>2028</v>
      </c>
      <c r="B8266" t="s">
        <v>316</v>
      </c>
      <c r="C8266" t="s">
        <v>322</v>
      </c>
      <c r="D8266" t="s">
        <v>35</v>
      </c>
      <c r="E8266" t="s">
        <v>348</v>
      </c>
      <c r="F8266" t="s">
        <v>382</v>
      </c>
      <c r="G8266" t="s">
        <v>36</v>
      </c>
      <c r="H8266" t="s">
        <v>43</v>
      </c>
      <c r="I8266" s="187">
        <v>22740.762124388864</v>
      </c>
      <c r="J8266" s="187">
        <v>990.2070009335024</v>
      </c>
      <c r="K8266" s="187">
        <v>18700.29336477679</v>
      </c>
      <c r="L8266" s="187">
        <v>27808.405064035745</v>
      </c>
      <c r="M8266" s="187">
        <v>70239.6640625</v>
      </c>
      <c r="N8266" s="187">
        <v>50549.16796875</v>
      </c>
      <c r="O8266" t="s">
        <v>8012</v>
      </c>
    </row>
    <row r="8267" spans="1:15" hidden="1" x14ac:dyDescent="0.45">
      <c r="A8267" s="187">
        <v>2028</v>
      </c>
      <c r="B8267" t="s">
        <v>315</v>
      </c>
      <c r="C8267" t="s">
        <v>322</v>
      </c>
      <c r="D8267" t="s">
        <v>35</v>
      </c>
      <c r="E8267" t="s">
        <v>348</v>
      </c>
      <c r="F8267" t="s">
        <v>382</v>
      </c>
      <c r="G8267" t="s">
        <v>37</v>
      </c>
      <c r="H8267" t="s">
        <v>43</v>
      </c>
      <c r="I8267" s="187">
        <v>23422.803078070639</v>
      </c>
      <c r="J8267" s="187">
        <v>996</v>
      </c>
      <c r="K8267" s="187">
        <v>19143.675198538211</v>
      </c>
      <c r="L8267" s="187">
        <v>28165.404766970129</v>
      </c>
      <c r="M8267" s="187">
        <v>71727.8828125</v>
      </c>
      <c r="N8267" s="187">
        <v>51588.20703125</v>
      </c>
      <c r="O8267" t="s">
        <v>8016</v>
      </c>
    </row>
    <row r="8268" spans="1:15" hidden="1" x14ac:dyDescent="0.45">
      <c r="A8268" s="187">
        <v>2028</v>
      </c>
      <c r="B8268" t="s">
        <v>8570</v>
      </c>
      <c r="C8268" t="s">
        <v>322</v>
      </c>
      <c r="D8268" t="s">
        <v>35</v>
      </c>
      <c r="E8268" t="s">
        <v>348</v>
      </c>
      <c r="F8268" t="s">
        <v>382</v>
      </c>
      <c r="G8268" t="s">
        <v>37</v>
      </c>
      <c r="H8268" t="s">
        <v>43</v>
      </c>
      <c r="I8268" s="187">
        <v>13820.455272752561</v>
      </c>
      <c r="J8268" s="187">
        <v>1000</v>
      </c>
      <c r="K8268" s="187">
        <v>21911.51295298721</v>
      </c>
      <c r="L8268" s="187">
        <v>23739</v>
      </c>
      <c r="M8268" s="187">
        <v>60470.96875</v>
      </c>
      <c r="N8268" s="187">
        <v>37559.453125</v>
      </c>
      <c r="O8268" t="s">
        <v>9284</v>
      </c>
    </row>
    <row r="8269" spans="1:15" hidden="1" x14ac:dyDescent="0.45">
      <c r="A8269" s="187">
        <v>2028</v>
      </c>
      <c r="B8269" t="s">
        <v>316</v>
      </c>
      <c r="C8269" t="s">
        <v>322</v>
      </c>
      <c r="D8269" t="s">
        <v>35</v>
      </c>
      <c r="E8269" t="s">
        <v>348</v>
      </c>
      <c r="F8269" t="s">
        <v>382</v>
      </c>
      <c r="G8269" t="s">
        <v>37</v>
      </c>
      <c r="H8269" t="s">
        <v>43</v>
      </c>
      <c r="I8269" s="187">
        <v>24193</v>
      </c>
      <c r="J8269" s="187">
        <v>899</v>
      </c>
      <c r="K8269" s="187">
        <v>19536.742896125241</v>
      </c>
      <c r="L8269" s="187">
        <v>29812.695350005521</v>
      </c>
      <c r="M8269" s="187">
        <v>74441.4375</v>
      </c>
      <c r="N8269" s="187">
        <v>54005.6953125</v>
      </c>
      <c r="O8269" t="s">
        <v>8015</v>
      </c>
    </row>
    <row r="8270" spans="1:15" hidden="1" x14ac:dyDescent="0.45">
      <c r="A8270" s="187">
        <v>2028</v>
      </c>
      <c r="B8270" t="s">
        <v>314</v>
      </c>
      <c r="C8270" t="s">
        <v>322</v>
      </c>
      <c r="D8270" t="s">
        <v>35</v>
      </c>
      <c r="E8270" t="s">
        <v>348</v>
      </c>
      <c r="F8270" t="s">
        <v>382</v>
      </c>
      <c r="G8270" t="s">
        <v>37</v>
      </c>
      <c r="H8270" t="s">
        <v>43</v>
      </c>
      <c r="I8270" s="187">
        <v>23901.333741084181</v>
      </c>
      <c r="J8270" s="187">
        <v>951</v>
      </c>
      <c r="K8270" s="187">
        <v>17959.206621881909</v>
      </c>
      <c r="L8270" s="187">
        <v>28448.81458374294</v>
      </c>
      <c r="M8270" s="187">
        <v>71260.3515625</v>
      </c>
      <c r="N8270" s="187">
        <v>52350.1484375</v>
      </c>
      <c r="O8270" t="s">
        <v>8014</v>
      </c>
    </row>
    <row r="8271" spans="1:15" hidden="1" x14ac:dyDescent="0.45">
      <c r="A8271" s="187">
        <v>2028</v>
      </c>
      <c r="B8271" t="s">
        <v>317</v>
      </c>
      <c r="C8271" t="s">
        <v>322</v>
      </c>
      <c r="D8271" t="s">
        <v>35</v>
      </c>
      <c r="E8271" t="s">
        <v>348</v>
      </c>
      <c r="F8271" t="s">
        <v>382</v>
      </c>
      <c r="G8271" t="s">
        <v>37</v>
      </c>
      <c r="H8271" t="s">
        <v>43</v>
      </c>
      <c r="I8271" s="187">
        <v>16758.5278442979</v>
      </c>
      <c r="J8271" s="187">
        <v>1000</v>
      </c>
      <c r="K8271" s="187">
        <v>21731.89058856984</v>
      </c>
      <c r="L8271" s="187">
        <v>25540</v>
      </c>
      <c r="M8271" s="187">
        <v>65030.41796875</v>
      </c>
      <c r="N8271" s="187">
        <v>42298.52734375</v>
      </c>
      <c r="O8271" t="s">
        <v>8013</v>
      </c>
    </row>
    <row r="8272" spans="1:15" hidden="1" x14ac:dyDescent="0.45">
      <c r="A8272" s="187">
        <v>2028</v>
      </c>
      <c r="B8272" t="s">
        <v>317</v>
      </c>
      <c r="C8272" t="s">
        <v>322</v>
      </c>
      <c r="D8272" t="s">
        <v>35</v>
      </c>
      <c r="E8272" t="s">
        <v>19</v>
      </c>
      <c r="F8272" t="s">
        <v>19</v>
      </c>
      <c r="G8272" t="s">
        <v>36</v>
      </c>
      <c r="H8272" t="s">
        <v>43</v>
      </c>
      <c r="I8272" s="187">
        <v>918.43273133365187</v>
      </c>
      <c r="J8272" s="187">
        <v>0</v>
      </c>
      <c r="K8272" s="187">
        <v>130.90215518525662</v>
      </c>
      <c r="L8272" s="187">
        <v>4260.4473642924586</v>
      </c>
      <c r="M8272" s="187">
        <v>5309.7822265625</v>
      </c>
      <c r="N8272" s="187">
        <v>5178.8798828125</v>
      </c>
      <c r="O8272" t="s">
        <v>8019</v>
      </c>
    </row>
    <row r="8273" spans="1:15" hidden="1" x14ac:dyDescent="0.45">
      <c r="A8273" s="187">
        <v>2028</v>
      </c>
      <c r="B8273" t="s">
        <v>315</v>
      </c>
      <c r="C8273" t="s">
        <v>322</v>
      </c>
      <c r="D8273" t="s">
        <v>35</v>
      </c>
      <c r="E8273" t="s">
        <v>19</v>
      </c>
      <c r="F8273" t="s">
        <v>19</v>
      </c>
      <c r="G8273" t="s">
        <v>36</v>
      </c>
      <c r="H8273" t="s">
        <v>43</v>
      </c>
      <c r="I8273" s="187">
        <v>1013.8537053855766</v>
      </c>
      <c r="J8273" s="187">
        <v>0</v>
      </c>
      <c r="K8273" s="187">
        <v>128.79809457448545</v>
      </c>
      <c r="L8273" s="187">
        <v>3427.8450418958155</v>
      </c>
      <c r="M8273" s="187">
        <v>4570.49658203125</v>
      </c>
      <c r="N8273" s="187">
        <v>4441.69873046875</v>
      </c>
      <c r="O8273" t="s">
        <v>8018</v>
      </c>
    </row>
    <row r="8274" spans="1:15" hidden="1" x14ac:dyDescent="0.45">
      <c r="A8274" s="187">
        <v>2028</v>
      </c>
      <c r="B8274" t="s">
        <v>316</v>
      </c>
      <c r="C8274" t="s">
        <v>322</v>
      </c>
      <c r="D8274" t="s">
        <v>35</v>
      </c>
      <c r="E8274" t="s">
        <v>19</v>
      </c>
      <c r="F8274" t="s">
        <v>19</v>
      </c>
      <c r="G8274" t="s">
        <v>36</v>
      </c>
      <c r="H8274" t="s">
        <v>43</v>
      </c>
      <c r="I8274" s="187">
        <v>1005.6157894090967</v>
      </c>
      <c r="J8274" s="187">
        <v>0</v>
      </c>
      <c r="K8274" s="187">
        <v>129.06788526897549</v>
      </c>
      <c r="L8274" s="187">
        <v>3192.0132243662847</v>
      </c>
      <c r="M8274" s="187">
        <v>4326.69677734375</v>
      </c>
      <c r="N8274" s="187">
        <v>4197.62890625</v>
      </c>
      <c r="O8274" t="s">
        <v>8020</v>
      </c>
    </row>
    <row r="8275" spans="1:15" hidden="1" x14ac:dyDescent="0.45">
      <c r="A8275" s="187">
        <v>2028</v>
      </c>
      <c r="B8275" t="s">
        <v>8570</v>
      </c>
      <c r="C8275" t="s">
        <v>322</v>
      </c>
      <c r="D8275" t="s">
        <v>35</v>
      </c>
      <c r="E8275" t="s">
        <v>19</v>
      </c>
      <c r="F8275" t="s">
        <v>19</v>
      </c>
      <c r="G8275" t="s">
        <v>36</v>
      </c>
      <c r="H8275" t="s">
        <v>43</v>
      </c>
      <c r="I8275" s="187">
        <v>611.79096000000004</v>
      </c>
      <c r="J8275" s="187">
        <v>0</v>
      </c>
      <c r="K8275" s="187">
        <v>126.76401401406061</v>
      </c>
      <c r="L8275" s="187">
        <v>2791</v>
      </c>
      <c r="M8275" s="187">
        <v>3529.554931640625</v>
      </c>
      <c r="N8275" s="187">
        <v>3402.791015625</v>
      </c>
      <c r="O8275" t="s">
        <v>9285</v>
      </c>
    </row>
    <row r="8276" spans="1:15" hidden="1" x14ac:dyDescent="0.45">
      <c r="A8276" s="187">
        <v>2028</v>
      </c>
      <c r="B8276" t="s">
        <v>314</v>
      </c>
      <c r="C8276" t="s">
        <v>322</v>
      </c>
      <c r="D8276" t="s">
        <v>35</v>
      </c>
      <c r="E8276" t="s">
        <v>19</v>
      </c>
      <c r="F8276" t="s">
        <v>19</v>
      </c>
      <c r="G8276" t="s">
        <v>36</v>
      </c>
      <c r="H8276" t="s">
        <v>43</v>
      </c>
      <c r="I8276" s="187">
        <v>1042.5144916835152</v>
      </c>
      <c r="J8276" s="187">
        <v>0</v>
      </c>
      <c r="K8276" s="187">
        <v>130.09399772886024</v>
      </c>
      <c r="L8276" s="187">
        <v>3312.7499601652707</v>
      </c>
      <c r="M8276" s="187">
        <v>4485.3583984375</v>
      </c>
      <c r="N8276" s="187">
        <v>4355.2646484375</v>
      </c>
      <c r="O8276" t="s">
        <v>8017</v>
      </c>
    </row>
    <row r="8277" spans="1:15" hidden="1" x14ac:dyDescent="0.45">
      <c r="A8277" s="187">
        <v>2028</v>
      </c>
      <c r="B8277" t="s">
        <v>316</v>
      </c>
      <c r="C8277" t="s">
        <v>322</v>
      </c>
      <c r="D8277" t="s">
        <v>35</v>
      </c>
      <c r="E8277" t="s">
        <v>19</v>
      </c>
      <c r="F8277" t="s">
        <v>19</v>
      </c>
      <c r="G8277" t="s">
        <v>37</v>
      </c>
      <c r="H8277" t="s">
        <v>43</v>
      </c>
      <c r="I8277" s="187">
        <v>1070</v>
      </c>
      <c r="J8277" s="187">
        <v>0</v>
      </c>
      <c r="K8277" s="187">
        <v>134.8409910721559</v>
      </c>
      <c r="L8277" s="187">
        <v>3422</v>
      </c>
      <c r="M8277" s="187">
        <v>4626.8408203125</v>
      </c>
      <c r="N8277" s="187">
        <v>4492</v>
      </c>
      <c r="O8277" t="s">
        <v>8023</v>
      </c>
    </row>
    <row r="8278" spans="1:15" hidden="1" x14ac:dyDescent="0.45">
      <c r="A8278" s="187">
        <v>2028</v>
      </c>
      <c r="B8278" t="s">
        <v>315</v>
      </c>
      <c r="C8278" t="s">
        <v>322</v>
      </c>
      <c r="D8278" t="s">
        <v>35</v>
      </c>
      <c r="E8278" t="s">
        <v>19</v>
      </c>
      <c r="F8278" t="s">
        <v>19</v>
      </c>
      <c r="G8278" t="s">
        <v>37</v>
      </c>
      <c r="H8278" t="s">
        <v>43</v>
      </c>
      <c r="I8278" s="187">
        <v>1069.817586226904</v>
      </c>
      <c r="J8278" s="187">
        <v>0</v>
      </c>
      <c r="K8278" s="187">
        <v>135.54272947534841</v>
      </c>
      <c r="L8278" s="187">
        <v>3616</v>
      </c>
      <c r="M8278" s="187">
        <v>4821.3603515625</v>
      </c>
      <c r="N8278" s="187">
        <v>4685.8173828125</v>
      </c>
      <c r="O8278" t="s">
        <v>8021</v>
      </c>
    </row>
    <row r="8279" spans="1:15" hidden="1" x14ac:dyDescent="0.45">
      <c r="A8279" s="187">
        <v>2028</v>
      </c>
      <c r="B8279" t="s">
        <v>317</v>
      </c>
      <c r="C8279" t="s">
        <v>322</v>
      </c>
      <c r="D8279" t="s">
        <v>35</v>
      </c>
      <c r="E8279" t="s">
        <v>19</v>
      </c>
      <c r="F8279" t="s">
        <v>19</v>
      </c>
      <c r="G8279" t="s">
        <v>37</v>
      </c>
      <c r="H8279" t="s">
        <v>43</v>
      </c>
      <c r="I8279" s="187">
        <v>976.38281750188798</v>
      </c>
      <c r="J8279" s="187">
        <v>0</v>
      </c>
      <c r="K8279" s="187">
        <v>138.313436257044</v>
      </c>
      <c r="L8279" s="187">
        <v>4477</v>
      </c>
      <c r="M8279" s="187">
        <v>5591.6962890625</v>
      </c>
      <c r="N8279" s="187">
        <v>5453.3828125</v>
      </c>
      <c r="O8279" t="s">
        <v>8022</v>
      </c>
    </row>
    <row r="8280" spans="1:15" hidden="1" x14ac:dyDescent="0.45">
      <c r="A8280" s="187">
        <v>2028</v>
      </c>
      <c r="B8280" t="s">
        <v>8570</v>
      </c>
      <c r="C8280" t="s">
        <v>322</v>
      </c>
      <c r="D8280" t="s">
        <v>35</v>
      </c>
      <c r="E8280" t="s">
        <v>19</v>
      </c>
      <c r="F8280" t="s">
        <v>19</v>
      </c>
      <c r="G8280" t="s">
        <v>37</v>
      </c>
      <c r="H8280" t="s">
        <v>43</v>
      </c>
      <c r="I8280" s="187">
        <v>688.97598759744517</v>
      </c>
      <c r="J8280" s="187">
        <v>0</v>
      </c>
      <c r="K8280" s="187">
        <v>143.38615819751459</v>
      </c>
      <c r="L8280" s="187">
        <v>3418</v>
      </c>
      <c r="M8280" s="187">
        <v>4250.3623046875</v>
      </c>
      <c r="N8280" s="187">
        <v>4106.97607421875</v>
      </c>
      <c r="O8280" t="s">
        <v>9286</v>
      </c>
    </row>
    <row r="8281" spans="1:15" hidden="1" x14ac:dyDescent="0.45">
      <c r="A8281" s="187">
        <v>2028</v>
      </c>
      <c r="B8281" t="s">
        <v>314</v>
      </c>
      <c r="C8281" t="s">
        <v>322</v>
      </c>
      <c r="D8281" t="s">
        <v>35</v>
      </c>
      <c r="E8281" t="s">
        <v>19</v>
      </c>
      <c r="F8281" t="s">
        <v>19</v>
      </c>
      <c r="G8281" t="s">
        <v>37</v>
      </c>
      <c r="H8281" t="s">
        <v>43</v>
      </c>
      <c r="I8281" s="187">
        <v>1091.534883227311</v>
      </c>
      <c r="J8281" s="187">
        <v>0</v>
      </c>
      <c r="K8281" s="187">
        <v>136.3954985580875</v>
      </c>
      <c r="L8281" s="187">
        <v>3815</v>
      </c>
      <c r="M8281" s="187">
        <v>5042.9306640625</v>
      </c>
      <c r="N8281" s="187">
        <v>4906.53515625</v>
      </c>
      <c r="O8281" t="s">
        <v>8024</v>
      </c>
    </row>
    <row r="8282" spans="1:15" hidden="1" x14ac:dyDescent="0.45">
      <c r="A8282" s="187">
        <v>2028</v>
      </c>
      <c r="B8282" t="s">
        <v>315</v>
      </c>
      <c r="C8282" t="s">
        <v>322</v>
      </c>
      <c r="D8282" t="s">
        <v>35</v>
      </c>
      <c r="E8282" t="s">
        <v>349</v>
      </c>
      <c r="F8282" t="s">
        <v>349</v>
      </c>
      <c r="G8282" t="s">
        <v>36</v>
      </c>
      <c r="H8282" t="s">
        <v>43</v>
      </c>
      <c r="I8282" s="187">
        <v>4701.1093601677576</v>
      </c>
      <c r="J8282" s="187">
        <v>464.44694883585072</v>
      </c>
      <c r="K8282" s="187">
        <v>4748.616541621348</v>
      </c>
      <c r="L8282" s="187">
        <v>2489.8887647346342</v>
      </c>
      <c r="M8282" s="187">
        <v>12404.0615234375</v>
      </c>
      <c r="N8282" s="187">
        <v>7190.998046875</v>
      </c>
      <c r="O8282" t="s">
        <v>8028</v>
      </c>
    </row>
    <row r="8283" spans="1:15" hidden="1" x14ac:dyDescent="0.45">
      <c r="A8283" s="187">
        <v>2028</v>
      </c>
      <c r="B8283" t="s">
        <v>317</v>
      </c>
      <c r="C8283" t="s">
        <v>322</v>
      </c>
      <c r="D8283" t="s">
        <v>35</v>
      </c>
      <c r="E8283" t="s">
        <v>349</v>
      </c>
      <c r="F8283" t="s">
        <v>349</v>
      </c>
      <c r="G8283" t="s">
        <v>36</v>
      </c>
      <c r="H8283" t="s">
        <v>43</v>
      </c>
      <c r="I8283" s="187">
        <v>5316.5553230712167</v>
      </c>
      <c r="J8283" s="187">
        <v>534.8520023648914</v>
      </c>
      <c r="K8283" s="187">
        <v>6825.433321462343</v>
      </c>
      <c r="L8283" s="187">
        <v>2468.9632836439937</v>
      </c>
      <c r="M8283" s="187">
        <v>15145.8037109375</v>
      </c>
      <c r="N8283" s="187">
        <v>7785.5185546875</v>
      </c>
      <c r="O8283" t="s">
        <v>8025</v>
      </c>
    </row>
    <row r="8284" spans="1:15" hidden="1" x14ac:dyDescent="0.45">
      <c r="A8284" s="187">
        <v>2028</v>
      </c>
      <c r="B8284" t="s">
        <v>314</v>
      </c>
      <c r="C8284" t="s">
        <v>322</v>
      </c>
      <c r="D8284" t="s">
        <v>35</v>
      </c>
      <c r="E8284" t="s">
        <v>349</v>
      </c>
      <c r="F8284" t="s">
        <v>349</v>
      </c>
      <c r="G8284" t="s">
        <v>36</v>
      </c>
      <c r="H8284" t="s">
        <v>43</v>
      </c>
      <c r="I8284" s="187">
        <v>4836.9177952131813</v>
      </c>
      <c r="J8284" s="187">
        <v>524.16929749450492</v>
      </c>
      <c r="K8284" s="187">
        <v>4891.92459659833</v>
      </c>
      <c r="L8284" s="187">
        <v>2010.480461056701</v>
      </c>
      <c r="M8284" s="187">
        <v>12263.4921875</v>
      </c>
      <c r="N8284" s="187">
        <v>6847.3984375</v>
      </c>
      <c r="O8284" t="s">
        <v>8026</v>
      </c>
    </row>
    <row r="8285" spans="1:15" hidden="1" x14ac:dyDescent="0.45">
      <c r="A8285" s="187">
        <v>2028</v>
      </c>
      <c r="B8285" t="s">
        <v>316</v>
      </c>
      <c r="C8285" t="s">
        <v>322</v>
      </c>
      <c r="D8285" t="s">
        <v>35</v>
      </c>
      <c r="E8285" t="s">
        <v>349</v>
      </c>
      <c r="F8285" t="s">
        <v>349</v>
      </c>
      <c r="G8285" t="s">
        <v>36</v>
      </c>
      <c r="H8285" t="s">
        <v>43</v>
      </c>
      <c r="I8285" s="187">
        <v>4662.9112022879899</v>
      </c>
      <c r="J8285" s="187">
        <v>545.21965012467604</v>
      </c>
      <c r="K8285" s="187">
        <v>4771.0705493651731</v>
      </c>
      <c r="L8285" s="187">
        <v>2339.4879532622463</v>
      </c>
      <c r="M8285" s="187">
        <v>12318.689453125</v>
      </c>
      <c r="N8285" s="187">
        <v>7002.39892578125</v>
      </c>
      <c r="O8285" t="s">
        <v>8027</v>
      </c>
    </row>
    <row r="8286" spans="1:15" hidden="1" x14ac:dyDescent="0.45">
      <c r="A8286" s="187">
        <v>2028</v>
      </c>
      <c r="B8286" t="s">
        <v>8570</v>
      </c>
      <c r="C8286" t="s">
        <v>322</v>
      </c>
      <c r="D8286" t="s">
        <v>35</v>
      </c>
      <c r="E8286" t="s">
        <v>349</v>
      </c>
      <c r="F8286" t="s">
        <v>349</v>
      </c>
      <c r="G8286" t="s">
        <v>36</v>
      </c>
      <c r="H8286" t="s">
        <v>43</v>
      </c>
      <c r="I8286" s="187">
        <v>3344.4572480000002</v>
      </c>
      <c r="J8286" s="187">
        <v>495</v>
      </c>
      <c r="K8286" s="187">
        <v>5375.8978670475744</v>
      </c>
      <c r="L8286" s="187">
        <v>2742</v>
      </c>
      <c r="M8286" s="187">
        <v>11957.35546875</v>
      </c>
      <c r="N8286" s="187">
        <v>6086.45703125</v>
      </c>
      <c r="O8286" t="s">
        <v>9287</v>
      </c>
    </row>
    <row r="8287" spans="1:15" hidden="1" x14ac:dyDescent="0.45">
      <c r="A8287" s="187">
        <v>2028</v>
      </c>
      <c r="B8287" t="s">
        <v>315</v>
      </c>
      <c r="C8287" t="s">
        <v>322</v>
      </c>
      <c r="D8287" t="s">
        <v>35</v>
      </c>
      <c r="E8287" t="s">
        <v>349</v>
      </c>
      <c r="F8287" t="s">
        <v>349</v>
      </c>
      <c r="G8287" t="s">
        <v>37</v>
      </c>
      <c r="H8287" t="s">
        <v>43</v>
      </c>
      <c r="I8287" s="187">
        <v>4960.6066847392776</v>
      </c>
      <c r="J8287" s="187">
        <v>480</v>
      </c>
      <c r="K8287" s="187">
        <v>4997.2823698173734</v>
      </c>
      <c r="L8287" s="187">
        <v>2627</v>
      </c>
      <c r="M8287" s="187">
        <v>13064.888671875</v>
      </c>
      <c r="N8287" s="187">
        <v>7587.6064453125</v>
      </c>
      <c r="O8287" t="s">
        <v>8030</v>
      </c>
    </row>
    <row r="8288" spans="1:15" hidden="1" x14ac:dyDescent="0.45">
      <c r="A8288" s="187">
        <v>2028</v>
      </c>
      <c r="B8288" t="s">
        <v>316</v>
      </c>
      <c r="C8288" t="s">
        <v>322</v>
      </c>
      <c r="D8288" t="s">
        <v>35</v>
      </c>
      <c r="E8288" t="s">
        <v>349</v>
      </c>
      <c r="F8288" t="s">
        <v>349</v>
      </c>
      <c r="G8288" t="s">
        <v>37</v>
      </c>
      <c r="H8288" t="s">
        <v>43</v>
      </c>
      <c r="I8288" s="187">
        <v>4961</v>
      </c>
      <c r="J8288" s="187">
        <v>495</v>
      </c>
      <c r="K8288" s="187">
        <v>4984.4768124221882</v>
      </c>
      <c r="L8288" s="187">
        <v>2508</v>
      </c>
      <c r="M8288" s="187">
        <v>12948.4765625</v>
      </c>
      <c r="N8288" s="187">
        <v>7469</v>
      </c>
      <c r="O8288" t="s">
        <v>8032</v>
      </c>
    </row>
    <row r="8289" spans="1:15" hidden="1" x14ac:dyDescent="0.45">
      <c r="A8289" s="187">
        <v>2028</v>
      </c>
      <c r="B8289" t="s">
        <v>314</v>
      </c>
      <c r="C8289" t="s">
        <v>322</v>
      </c>
      <c r="D8289" t="s">
        <v>35</v>
      </c>
      <c r="E8289" t="s">
        <v>349</v>
      </c>
      <c r="F8289" t="s">
        <v>349</v>
      </c>
      <c r="G8289" t="s">
        <v>37</v>
      </c>
      <c r="H8289" t="s">
        <v>43</v>
      </c>
      <c r="I8289" s="187">
        <v>5064.3559805602335</v>
      </c>
      <c r="J8289" s="187">
        <v>549</v>
      </c>
      <c r="K8289" s="187">
        <v>5128.8799322797631</v>
      </c>
      <c r="L8289" s="187">
        <v>2315</v>
      </c>
      <c r="M8289" s="187">
        <v>13057.236328125</v>
      </c>
      <c r="N8289" s="187">
        <v>7379.35595703125</v>
      </c>
      <c r="O8289" t="s">
        <v>8031</v>
      </c>
    </row>
    <row r="8290" spans="1:15" hidden="1" x14ac:dyDescent="0.45">
      <c r="A8290" s="187">
        <v>2028</v>
      </c>
      <c r="B8290" t="s">
        <v>8570</v>
      </c>
      <c r="C8290" t="s">
        <v>322</v>
      </c>
      <c r="D8290" t="s">
        <v>35</v>
      </c>
      <c r="E8290" t="s">
        <v>349</v>
      </c>
      <c r="F8290" t="s">
        <v>349</v>
      </c>
      <c r="G8290" t="s">
        <v>37</v>
      </c>
      <c r="H8290" t="s">
        <v>43</v>
      </c>
      <c r="I8290" s="187">
        <v>3766.4020655326999</v>
      </c>
      <c r="J8290" s="187">
        <v>495</v>
      </c>
      <c r="K8290" s="187">
        <v>6080.8215013818099</v>
      </c>
      <c r="L8290" s="187">
        <v>3358</v>
      </c>
      <c r="M8290" s="187">
        <v>13700.2236328125</v>
      </c>
      <c r="N8290" s="187">
        <v>7124.40234375</v>
      </c>
      <c r="O8290" t="s">
        <v>9288</v>
      </c>
    </row>
    <row r="8291" spans="1:15" hidden="1" x14ac:dyDescent="0.45">
      <c r="A8291" s="187">
        <v>2028</v>
      </c>
      <c r="B8291" t="s">
        <v>317</v>
      </c>
      <c r="C8291" t="s">
        <v>322</v>
      </c>
      <c r="D8291" t="s">
        <v>35</v>
      </c>
      <c r="E8291" t="s">
        <v>349</v>
      </c>
      <c r="F8291" t="s">
        <v>349</v>
      </c>
      <c r="G8291" t="s">
        <v>37</v>
      </c>
      <c r="H8291" t="s">
        <v>43</v>
      </c>
      <c r="I8291" s="187">
        <v>5652.0124867578679</v>
      </c>
      <c r="J8291" s="187">
        <v>495</v>
      </c>
      <c r="K8291" s="187">
        <v>7211.8685540260149</v>
      </c>
      <c r="L8291" s="187">
        <v>2595</v>
      </c>
      <c r="M8291" s="187">
        <v>15953.880859375</v>
      </c>
      <c r="N8291" s="187">
        <v>8247.0126953125</v>
      </c>
      <c r="O8291" t="s">
        <v>8029</v>
      </c>
    </row>
    <row r="8292" spans="1:15" hidden="1" x14ac:dyDescent="0.45">
      <c r="A8292" s="187">
        <v>2028</v>
      </c>
      <c r="B8292" t="s">
        <v>316</v>
      </c>
      <c r="C8292" t="s">
        <v>322</v>
      </c>
      <c r="D8292" t="s">
        <v>35</v>
      </c>
      <c r="E8292" t="s">
        <v>46</v>
      </c>
      <c r="F8292" t="s">
        <v>46</v>
      </c>
      <c r="G8292" t="s">
        <v>37</v>
      </c>
      <c r="H8292" t="s">
        <v>43</v>
      </c>
      <c r="I8292" s="187">
        <v>21792</v>
      </c>
      <c r="J8292" s="187"/>
      <c r="K8292" s="187">
        <v>18600.12609365875</v>
      </c>
      <c r="L8292" s="187">
        <v>21776</v>
      </c>
      <c r="M8292" s="187">
        <v>62168.125</v>
      </c>
      <c r="N8292" s="187">
        <v>43568</v>
      </c>
      <c r="O8292" t="s">
        <v>8033</v>
      </c>
    </row>
    <row r="8293" spans="1:15" hidden="1" x14ac:dyDescent="0.45">
      <c r="A8293" s="187">
        <v>2028</v>
      </c>
      <c r="B8293" t="s">
        <v>317</v>
      </c>
      <c r="C8293" t="s">
        <v>322</v>
      </c>
      <c r="D8293" t="s">
        <v>35</v>
      </c>
      <c r="E8293" t="s">
        <v>46</v>
      </c>
      <c r="F8293" t="s">
        <v>46</v>
      </c>
      <c r="G8293" t="s">
        <v>37</v>
      </c>
      <c r="H8293" t="s">
        <v>43</v>
      </c>
      <c r="I8293" s="187">
        <v>14560.59130856139</v>
      </c>
      <c r="J8293" s="187">
        <v>1000</v>
      </c>
      <c r="K8293" s="187">
        <v>20846.33558564289</v>
      </c>
      <c r="L8293" s="187">
        <v>7113</v>
      </c>
      <c r="M8293" s="187">
        <v>43519.92578125</v>
      </c>
      <c r="N8293" s="187">
        <v>21673.58984375</v>
      </c>
      <c r="O8293" t="s">
        <v>8034</v>
      </c>
    </row>
    <row r="8294" spans="1:15" hidden="1" x14ac:dyDescent="0.45">
      <c r="A8294" s="187">
        <v>2028</v>
      </c>
      <c r="B8294" t="s">
        <v>314</v>
      </c>
      <c r="C8294" t="s">
        <v>322</v>
      </c>
      <c r="D8294" t="s">
        <v>35</v>
      </c>
      <c r="E8294" t="s">
        <v>46</v>
      </c>
      <c r="F8294" t="s">
        <v>46</v>
      </c>
      <c r="G8294" t="s">
        <v>37</v>
      </c>
      <c r="H8294" t="s">
        <v>43</v>
      </c>
      <c r="I8294" s="187">
        <v>21607.028164161249</v>
      </c>
      <c r="J8294" s="187">
        <v>951</v>
      </c>
      <c r="K8294" s="187">
        <v>17712.842032369739</v>
      </c>
      <c r="L8294" s="187">
        <v>20236</v>
      </c>
      <c r="M8294" s="187">
        <v>60506.87109375</v>
      </c>
      <c r="N8294" s="187">
        <v>41843.02734375</v>
      </c>
      <c r="O8294" t="s">
        <v>8035</v>
      </c>
    </row>
    <row r="8295" spans="1:15" hidden="1" x14ac:dyDescent="0.45">
      <c r="A8295" s="187">
        <v>2028</v>
      </c>
      <c r="B8295" t="s">
        <v>8570</v>
      </c>
      <c r="C8295" t="s">
        <v>322</v>
      </c>
      <c r="D8295" t="s">
        <v>35</v>
      </c>
      <c r="E8295" t="s">
        <v>46</v>
      </c>
      <c r="F8295" t="s">
        <v>46</v>
      </c>
      <c r="G8295" t="s">
        <v>37</v>
      </c>
      <c r="H8295" t="s">
        <v>43</v>
      </c>
      <c r="I8295" s="187"/>
      <c r="J8295" s="187">
        <v>1000</v>
      </c>
      <c r="K8295" s="187">
        <v>21283.4946124735</v>
      </c>
      <c r="L8295" s="187">
        <v>4476</v>
      </c>
      <c r="M8295" s="187">
        <v>26759.494140625</v>
      </c>
      <c r="N8295" s="187">
        <v>4476</v>
      </c>
      <c r="O8295" t="s">
        <v>9289</v>
      </c>
    </row>
    <row r="8296" spans="1:15" hidden="1" x14ac:dyDescent="0.45">
      <c r="A8296" s="187">
        <v>2028</v>
      </c>
      <c r="B8296" t="s">
        <v>315</v>
      </c>
      <c r="C8296" t="s">
        <v>322</v>
      </c>
      <c r="D8296" t="s">
        <v>35</v>
      </c>
      <c r="E8296" t="s">
        <v>46</v>
      </c>
      <c r="F8296" t="s">
        <v>46</v>
      </c>
      <c r="G8296" t="s">
        <v>37</v>
      </c>
      <c r="H8296" t="s">
        <v>43</v>
      </c>
      <c r="I8296" s="187">
        <v>21174.145015891521</v>
      </c>
      <c r="J8296" s="187">
        <v>996</v>
      </c>
      <c r="K8296" s="187">
        <v>18315.508938898111</v>
      </c>
      <c r="L8296" s="187">
        <v>20784</v>
      </c>
      <c r="M8296" s="187">
        <v>61269.65234375</v>
      </c>
      <c r="N8296" s="187">
        <v>41958.14453125</v>
      </c>
      <c r="O8296" t="s">
        <v>8036</v>
      </c>
    </row>
    <row r="8297" spans="1:15" hidden="1" x14ac:dyDescent="0.45">
      <c r="A8297" s="187">
        <v>2028</v>
      </c>
      <c r="B8297" t="s">
        <v>8570</v>
      </c>
      <c r="C8297" t="s">
        <v>322</v>
      </c>
      <c r="D8297" t="s">
        <v>35</v>
      </c>
      <c r="E8297" t="s">
        <v>350</v>
      </c>
      <c r="F8297" t="s">
        <v>350</v>
      </c>
      <c r="G8297" t="s">
        <v>37</v>
      </c>
      <c r="H8297" t="s">
        <v>43</v>
      </c>
      <c r="I8297" s="187">
        <v>12161.491719689189</v>
      </c>
      <c r="J8297" s="187">
        <v>1000</v>
      </c>
      <c r="K8297" s="187">
        <v>21377.147215370042</v>
      </c>
      <c r="L8297" s="187">
        <v>4296</v>
      </c>
      <c r="M8297" s="187">
        <v>38834.640625</v>
      </c>
      <c r="N8297" s="187">
        <v>16457.4921875</v>
      </c>
      <c r="O8297" t="s">
        <v>9290</v>
      </c>
    </row>
    <row r="8298" spans="1:15" hidden="1" x14ac:dyDescent="0.45">
      <c r="A8298" s="187">
        <v>2028</v>
      </c>
      <c r="B8298" t="s">
        <v>317</v>
      </c>
      <c r="C8298" t="s">
        <v>322</v>
      </c>
      <c r="D8298" t="s">
        <v>35</v>
      </c>
      <c r="E8298" t="s">
        <v>350</v>
      </c>
      <c r="F8298" t="s">
        <v>350</v>
      </c>
      <c r="G8298" t="s">
        <v>37</v>
      </c>
      <c r="H8298" t="s">
        <v>43</v>
      </c>
      <c r="I8298" s="187">
        <v>14610.36524853737</v>
      </c>
      <c r="J8298" s="187">
        <v>1000</v>
      </c>
      <c r="K8298" s="187">
        <v>20796.651036001451</v>
      </c>
      <c r="L8298" s="187">
        <v>7113</v>
      </c>
      <c r="M8298" s="187">
        <v>43520.015625</v>
      </c>
      <c r="N8298" s="187">
        <v>21723.365234375</v>
      </c>
      <c r="O8298" t="s">
        <v>8037</v>
      </c>
    </row>
    <row r="8299" spans="1:15" hidden="1" x14ac:dyDescent="0.45">
      <c r="A8299" s="187">
        <v>2028</v>
      </c>
      <c r="B8299" t="s">
        <v>316</v>
      </c>
      <c r="C8299" t="s">
        <v>322</v>
      </c>
      <c r="D8299" t="s">
        <v>35</v>
      </c>
      <c r="E8299" t="s">
        <v>350</v>
      </c>
      <c r="F8299" t="s">
        <v>350</v>
      </c>
      <c r="G8299" t="s">
        <v>37</v>
      </c>
      <c r="H8299" t="s">
        <v>43</v>
      </c>
      <c r="I8299" s="187">
        <v>21992</v>
      </c>
      <c r="J8299" s="187">
        <v>899</v>
      </c>
      <c r="K8299" s="187">
        <v>18597.109799723861</v>
      </c>
      <c r="L8299" s="187">
        <v>21594.695350005521</v>
      </c>
      <c r="M8299" s="187">
        <v>63082.8046875</v>
      </c>
      <c r="N8299" s="187">
        <v>43586.6953125</v>
      </c>
      <c r="O8299" t="s">
        <v>8040</v>
      </c>
    </row>
    <row r="8300" spans="1:15" hidden="1" x14ac:dyDescent="0.45">
      <c r="A8300" s="187">
        <v>2028</v>
      </c>
      <c r="B8300" t="s">
        <v>315</v>
      </c>
      <c r="C8300" t="s">
        <v>322</v>
      </c>
      <c r="D8300" t="s">
        <v>35</v>
      </c>
      <c r="E8300" t="s">
        <v>350</v>
      </c>
      <c r="F8300" t="s">
        <v>350</v>
      </c>
      <c r="G8300" t="s">
        <v>37</v>
      </c>
      <c r="H8300" t="s">
        <v>43</v>
      </c>
      <c r="I8300" s="187">
        <v>21227.08665492824</v>
      </c>
      <c r="J8300" s="187">
        <v>996</v>
      </c>
      <c r="K8300" s="187">
        <v>18303.28059246637</v>
      </c>
      <c r="L8300" s="187">
        <v>20220.404766970129</v>
      </c>
      <c r="M8300" s="187">
        <v>60746.7734375</v>
      </c>
      <c r="N8300" s="187">
        <v>41447.4921875</v>
      </c>
      <c r="O8300" t="s">
        <v>8038</v>
      </c>
    </row>
    <row r="8301" spans="1:15" hidden="1" x14ac:dyDescent="0.45">
      <c r="A8301" s="187">
        <v>2028</v>
      </c>
      <c r="B8301" t="s">
        <v>314</v>
      </c>
      <c r="C8301" t="s">
        <v>322</v>
      </c>
      <c r="D8301" t="s">
        <v>35</v>
      </c>
      <c r="E8301" t="s">
        <v>350</v>
      </c>
      <c r="F8301" t="s">
        <v>350</v>
      </c>
      <c r="G8301" t="s">
        <v>37</v>
      </c>
      <c r="H8301" t="s">
        <v>43</v>
      </c>
      <c r="I8301" s="187">
        <v>22081.010175654661</v>
      </c>
      <c r="J8301" s="187">
        <v>951</v>
      </c>
      <c r="K8301" s="187">
        <v>17700.190111651791</v>
      </c>
      <c r="L8301" s="187">
        <v>19192.81458374294</v>
      </c>
      <c r="M8301" s="187">
        <v>59925.015625</v>
      </c>
      <c r="N8301" s="187">
        <v>41273.82421875</v>
      </c>
      <c r="O8301" t="s">
        <v>8039</v>
      </c>
    </row>
    <row r="8302" spans="1:15" hidden="1" x14ac:dyDescent="0.45">
      <c r="A8302" s="187">
        <v>2028</v>
      </c>
      <c r="B8302" t="s">
        <v>316</v>
      </c>
      <c r="C8302" t="s">
        <v>322</v>
      </c>
      <c r="D8302" t="s">
        <v>35</v>
      </c>
      <c r="E8302" t="s">
        <v>16</v>
      </c>
      <c r="F8302" t="s">
        <v>16</v>
      </c>
      <c r="G8302" t="s">
        <v>36</v>
      </c>
      <c r="H8302" t="s">
        <v>43</v>
      </c>
      <c r="I8302" s="187">
        <v>13079.197845255296</v>
      </c>
      <c r="J8302" s="187">
        <v>131.07300679764938</v>
      </c>
      <c r="K8302" s="187">
        <v>7932.3886360963315</v>
      </c>
      <c r="L8302" s="187">
        <v>17812.711478416688</v>
      </c>
      <c r="M8302" s="187">
        <v>38955.37109375</v>
      </c>
      <c r="N8302" s="187">
        <v>30891.91015625</v>
      </c>
      <c r="O8302" t="s">
        <v>8043</v>
      </c>
    </row>
    <row r="8303" spans="1:15" hidden="1" x14ac:dyDescent="0.45">
      <c r="A8303" s="187">
        <v>2028</v>
      </c>
      <c r="B8303" t="s">
        <v>317</v>
      </c>
      <c r="C8303" t="s">
        <v>322</v>
      </c>
      <c r="D8303" t="s">
        <v>35</v>
      </c>
      <c r="E8303" t="s">
        <v>16</v>
      </c>
      <c r="F8303" t="s">
        <v>16</v>
      </c>
      <c r="G8303" t="s">
        <v>36</v>
      </c>
      <c r="H8303" t="s">
        <v>43</v>
      </c>
      <c r="I8303" s="187">
        <v>5018.964749464486</v>
      </c>
      <c r="J8303" s="187">
        <v>237.71200105106286</v>
      </c>
      <c r="K8303" s="187">
        <v>8026.1767657012324</v>
      </c>
      <c r="L8303" s="187">
        <v>12700.303910700875</v>
      </c>
      <c r="M8303" s="187">
        <v>25983.158203125</v>
      </c>
      <c r="N8303" s="187">
        <v>17719.26953125</v>
      </c>
      <c r="O8303" t="s">
        <v>8042</v>
      </c>
    </row>
    <row r="8304" spans="1:15" hidden="1" x14ac:dyDescent="0.45">
      <c r="A8304" s="187">
        <v>2028</v>
      </c>
      <c r="B8304" t="s">
        <v>315</v>
      </c>
      <c r="C8304" t="s">
        <v>322</v>
      </c>
      <c r="D8304" t="s">
        <v>35</v>
      </c>
      <c r="E8304" t="s">
        <v>16</v>
      </c>
      <c r="F8304" t="s">
        <v>16</v>
      </c>
      <c r="G8304" t="s">
        <v>36</v>
      </c>
      <c r="H8304" t="s">
        <v>43</v>
      </c>
      <c r="I8304" s="187">
        <v>13186.341482043532</v>
      </c>
      <c r="J8304" s="187">
        <v>249.2154359607004</v>
      </c>
      <c r="K8304" s="187">
        <v>7743.2562143298628</v>
      </c>
      <c r="L8304" s="187">
        <v>17254.770547969947</v>
      </c>
      <c r="M8304" s="187">
        <v>38433.5859375</v>
      </c>
      <c r="N8304" s="187">
        <v>30441.11328125</v>
      </c>
      <c r="O8304" t="s">
        <v>8044</v>
      </c>
    </row>
    <row r="8305" spans="1:15" hidden="1" x14ac:dyDescent="0.45">
      <c r="A8305" s="187">
        <v>2028</v>
      </c>
      <c r="B8305" t="s">
        <v>314</v>
      </c>
      <c r="C8305" t="s">
        <v>322</v>
      </c>
      <c r="D8305" t="s">
        <v>35</v>
      </c>
      <c r="E8305" t="s">
        <v>16</v>
      </c>
      <c r="F8305" t="s">
        <v>16</v>
      </c>
      <c r="G8305" t="s">
        <v>36</v>
      </c>
      <c r="H8305" t="s">
        <v>43</v>
      </c>
      <c r="I8305" s="187">
        <v>13559.108197064576</v>
      </c>
      <c r="J8305" s="187">
        <v>139.77847933186797</v>
      </c>
      <c r="K8305" s="187">
        <v>7091.480864234155</v>
      </c>
      <c r="L8305" s="187">
        <v>17490.94704706108</v>
      </c>
      <c r="M8305" s="187">
        <v>38281.3125</v>
      </c>
      <c r="N8305" s="187">
        <v>31050.0546875</v>
      </c>
      <c r="O8305" t="s">
        <v>8041</v>
      </c>
    </row>
    <row r="8306" spans="1:15" hidden="1" x14ac:dyDescent="0.45">
      <c r="A8306" s="187">
        <v>2028</v>
      </c>
      <c r="B8306" t="s">
        <v>8570</v>
      </c>
      <c r="C8306" t="s">
        <v>322</v>
      </c>
      <c r="D8306" t="s">
        <v>35</v>
      </c>
      <c r="E8306" t="s">
        <v>16</v>
      </c>
      <c r="F8306" t="s">
        <v>16</v>
      </c>
      <c r="G8306" t="s">
        <v>36</v>
      </c>
      <c r="H8306" t="s">
        <v>43</v>
      </c>
      <c r="I8306" s="187">
        <v>4445.6246120000014</v>
      </c>
      <c r="J8306" s="187">
        <v>220</v>
      </c>
      <c r="K8306" s="187">
        <v>8267.3451948708262</v>
      </c>
      <c r="L8306" s="187">
        <v>10342</v>
      </c>
      <c r="M8306" s="187">
        <v>23274.96875</v>
      </c>
      <c r="N8306" s="187">
        <v>14787.625</v>
      </c>
      <c r="O8306" t="s">
        <v>9291</v>
      </c>
    </row>
    <row r="8307" spans="1:15" hidden="1" x14ac:dyDescent="0.45">
      <c r="A8307" s="187">
        <v>2028</v>
      </c>
      <c r="B8307" t="s">
        <v>314</v>
      </c>
      <c r="C8307" t="s">
        <v>322</v>
      </c>
      <c r="D8307" t="s">
        <v>35</v>
      </c>
      <c r="E8307" t="s">
        <v>16</v>
      </c>
      <c r="F8307" t="s">
        <v>16</v>
      </c>
      <c r="G8307" t="s">
        <v>37</v>
      </c>
      <c r="H8307" t="s">
        <v>43</v>
      </c>
      <c r="I8307" s="187">
        <v>14196.675154749209</v>
      </c>
      <c r="J8307" s="187">
        <v>146</v>
      </c>
      <c r="K8307" s="187">
        <v>7434.9784377314072</v>
      </c>
      <c r="L8307" s="187">
        <v>20144</v>
      </c>
      <c r="M8307" s="187">
        <v>41921.65234375</v>
      </c>
      <c r="N8307" s="187">
        <v>34340.67578125</v>
      </c>
      <c r="O8307" t="s">
        <v>8045</v>
      </c>
    </row>
    <row r="8308" spans="1:15" hidden="1" x14ac:dyDescent="0.45">
      <c r="A8308" s="187">
        <v>2028</v>
      </c>
      <c r="B8308" t="s">
        <v>316</v>
      </c>
      <c r="C8308" t="s">
        <v>322</v>
      </c>
      <c r="D8308" t="s">
        <v>35</v>
      </c>
      <c r="E8308" t="s">
        <v>16</v>
      </c>
      <c r="F8308" t="s">
        <v>16</v>
      </c>
      <c r="G8308" t="s">
        <v>37</v>
      </c>
      <c r="H8308" t="s">
        <v>43</v>
      </c>
      <c r="I8308" s="187">
        <v>13914</v>
      </c>
      <c r="J8308" s="187">
        <v>119</v>
      </c>
      <c r="K8308" s="187">
        <v>8287.1981905621506</v>
      </c>
      <c r="L8308" s="187">
        <v>19097</v>
      </c>
      <c r="M8308" s="187">
        <v>41417.1953125</v>
      </c>
      <c r="N8308" s="187">
        <v>33011</v>
      </c>
      <c r="O8308" t="s">
        <v>8047</v>
      </c>
    </row>
    <row r="8309" spans="1:15" hidden="1" x14ac:dyDescent="0.45">
      <c r="A8309" s="187">
        <v>2028</v>
      </c>
      <c r="B8309" t="s">
        <v>317</v>
      </c>
      <c r="C8309" t="s">
        <v>322</v>
      </c>
      <c r="D8309" t="s">
        <v>35</v>
      </c>
      <c r="E8309" t="s">
        <v>16</v>
      </c>
      <c r="F8309" t="s">
        <v>16</v>
      </c>
      <c r="G8309" t="s">
        <v>37</v>
      </c>
      <c r="H8309" t="s">
        <v>43</v>
      </c>
      <c r="I8309" s="187">
        <v>5335.6449262309052</v>
      </c>
      <c r="J8309" s="187">
        <v>220</v>
      </c>
      <c r="K8309" s="187">
        <v>8480.5944325324417</v>
      </c>
      <c r="L8309" s="187">
        <v>13347</v>
      </c>
      <c r="M8309" s="187">
        <v>27383.23828125</v>
      </c>
      <c r="N8309" s="187">
        <v>18682.64453125</v>
      </c>
      <c r="O8309" t="s">
        <v>8046</v>
      </c>
    </row>
    <row r="8310" spans="1:15" hidden="1" x14ac:dyDescent="0.45">
      <c r="A8310" s="187">
        <v>2028</v>
      </c>
      <c r="B8310" t="s">
        <v>315</v>
      </c>
      <c r="C8310" t="s">
        <v>322</v>
      </c>
      <c r="D8310" t="s">
        <v>35</v>
      </c>
      <c r="E8310" t="s">
        <v>16</v>
      </c>
      <c r="F8310" t="s">
        <v>16</v>
      </c>
      <c r="G8310" t="s">
        <v>37</v>
      </c>
      <c r="H8310" t="s">
        <v>43</v>
      </c>
      <c r="I8310" s="187">
        <v>13914.216558609431</v>
      </c>
      <c r="J8310" s="187">
        <v>258</v>
      </c>
      <c r="K8310" s="187">
        <v>8148.7392013416802</v>
      </c>
      <c r="L8310" s="187">
        <v>18204</v>
      </c>
      <c r="M8310" s="187">
        <v>40524.953125</v>
      </c>
      <c r="N8310" s="187">
        <v>32118.216796875</v>
      </c>
      <c r="O8310" t="s">
        <v>8048</v>
      </c>
    </row>
    <row r="8311" spans="1:15" hidden="1" x14ac:dyDescent="0.45">
      <c r="A8311" s="187">
        <v>2028</v>
      </c>
      <c r="B8311" t="s">
        <v>8570</v>
      </c>
      <c r="C8311" t="s">
        <v>322</v>
      </c>
      <c r="D8311" t="s">
        <v>35</v>
      </c>
      <c r="E8311" t="s">
        <v>16</v>
      </c>
      <c r="F8311" t="s">
        <v>16</v>
      </c>
      <c r="G8311" t="s">
        <v>37</v>
      </c>
      <c r="H8311" t="s">
        <v>43</v>
      </c>
      <c r="I8311" s="187">
        <v>5006.4953681895022</v>
      </c>
      <c r="J8311" s="187">
        <v>220</v>
      </c>
      <c r="K8311" s="187">
        <v>9351.4147150130793</v>
      </c>
      <c r="L8311" s="187">
        <v>12664</v>
      </c>
      <c r="M8311" s="187">
        <v>27241.91015625</v>
      </c>
      <c r="N8311" s="187">
        <v>17670.49609375</v>
      </c>
      <c r="O8311" t="s">
        <v>9292</v>
      </c>
    </row>
    <row r="8312" spans="1:15" hidden="1" x14ac:dyDescent="0.45">
      <c r="A8312" s="187">
        <v>2028</v>
      </c>
      <c r="B8312" t="s">
        <v>314</v>
      </c>
      <c r="C8312" t="s">
        <v>322</v>
      </c>
      <c r="D8312" t="s">
        <v>35</v>
      </c>
      <c r="E8312" t="s">
        <v>351</v>
      </c>
      <c r="F8312" t="s">
        <v>351</v>
      </c>
      <c r="G8312" t="s">
        <v>37</v>
      </c>
      <c r="H8312" t="s">
        <v>43</v>
      </c>
      <c r="I8312" s="187">
        <v>92.099449970476016</v>
      </c>
      <c r="J8312" s="187">
        <v>0</v>
      </c>
      <c r="K8312" s="187">
        <v>69.059776646877495</v>
      </c>
      <c r="L8312" s="187">
        <v>397</v>
      </c>
      <c r="M8312" s="187">
        <v>558.15924072265625</v>
      </c>
      <c r="N8312" s="187">
        <v>489.09945678710938</v>
      </c>
      <c r="O8312" t="s">
        <v>8049</v>
      </c>
    </row>
    <row r="8313" spans="1:15" hidden="1" x14ac:dyDescent="0.45">
      <c r="A8313" s="187">
        <v>2028</v>
      </c>
      <c r="B8313" t="s">
        <v>316</v>
      </c>
      <c r="C8313" t="s">
        <v>322</v>
      </c>
      <c r="D8313" t="s">
        <v>35</v>
      </c>
      <c r="E8313" t="s">
        <v>351</v>
      </c>
      <c r="F8313" t="s">
        <v>351</v>
      </c>
      <c r="G8313" t="s">
        <v>37</v>
      </c>
      <c r="H8313" t="s">
        <v>43</v>
      </c>
      <c r="I8313" s="187">
        <v>94</v>
      </c>
      <c r="J8313" s="187"/>
      <c r="K8313" s="187">
        <v>57.159478396569561</v>
      </c>
      <c r="L8313" s="187">
        <v>238</v>
      </c>
      <c r="M8313" s="187">
        <v>389.15948486328125</v>
      </c>
      <c r="N8313" s="187">
        <v>332</v>
      </c>
      <c r="O8313" t="s">
        <v>8051</v>
      </c>
    </row>
    <row r="8314" spans="1:15" hidden="1" x14ac:dyDescent="0.45">
      <c r="A8314" s="187">
        <v>2028</v>
      </c>
      <c r="B8314" t="s">
        <v>8570</v>
      </c>
      <c r="C8314" t="s">
        <v>322</v>
      </c>
      <c r="D8314" t="s">
        <v>35</v>
      </c>
      <c r="E8314" t="s">
        <v>351</v>
      </c>
      <c r="F8314" t="s">
        <v>351</v>
      </c>
      <c r="G8314" t="s">
        <v>37</v>
      </c>
      <c r="H8314" t="s">
        <v>43</v>
      </c>
      <c r="I8314" s="187">
        <v>51.122889411875917</v>
      </c>
      <c r="J8314" s="187"/>
      <c r="K8314" s="187">
        <v>114.62662253078901</v>
      </c>
      <c r="L8314" s="187">
        <v>207</v>
      </c>
      <c r="M8314" s="187">
        <v>372.74951171875</v>
      </c>
      <c r="N8314" s="187">
        <v>258.12289428710938</v>
      </c>
      <c r="O8314" t="s">
        <v>9293</v>
      </c>
    </row>
    <row r="8315" spans="1:15" hidden="1" x14ac:dyDescent="0.45">
      <c r="A8315" s="187">
        <v>2028</v>
      </c>
      <c r="B8315" t="s">
        <v>317</v>
      </c>
      <c r="C8315" t="s">
        <v>322</v>
      </c>
      <c r="D8315" t="s">
        <v>35</v>
      </c>
      <c r="E8315" t="s">
        <v>351</v>
      </c>
      <c r="F8315" t="s">
        <v>351</v>
      </c>
      <c r="G8315" t="s">
        <v>37</v>
      </c>
      <c r="H8315" t="s">
        <v>43</v>
      </c>
      <c r="I8315" s="187">
        <v>61.632599630745027</v>
      </c>
      <c r="J8315" s="187"/>
      <c r="K8315" s="187">
        <v>57.6</v>
      </c>
      <c r="L8315" s="187">
        <v>196</v>
      </c>
      <c r="M8315" s="187">
        <v>315.23260498046875</v>
      </c>
      <c r="N8315" s="187">
        <v>257.63259887695313</v>
      </c>
      <c r="O8315" t="s">
        <v>8052</v>
      </c>
    </row>
    <row r="8316" spans="1:15" hidden="1" x14ac:dyDescent="0.45">
      <c r="A8316" s="187">
        <v>2028</v>
      </c>
      <c r="B8316" t="s">
        <v>315</v>
      </c>
      <c r="C8316" t="s">
        <v>322</v>
      </c>
      <c r="D8316" t="s">
        <v>35</v>
      </c>
      <c r="E8316" t="s">
        <v>351</v>
      </c>
      <c r="F8316" t="s">
        <v>351</v>
      </c>
      <c r="G8316" t="s">
        <v>37</v>
      </c>
      <c r="H8316" t="s">
        <v>43</v>
      </c>
      <c r="I8316" s="187">
        <v>90.254274265430183</v>
      </c>
      <c r="J8316" s="187">
        <v>0</v>
      </c>
      <c r="K8316" s="187">
        <v>82.145920820245195</v>
      </c>
      <c r="L8316" s="187">
        <v>119</v>
      </c>
      <c r="M8316" s="187">
        <v>291.40020751953125</v>
      </c>
      <c r="N8316" s="187">
        <v>209.2542724609375</v>
      </c>
      <c r="O8316" t="s">
        <v>8050</v>
      </c>
    </row>
    <row r="8317" spans="1:15" hidden="1" x14ac:dyDescent="0.45">
      <c r="A8317" s="187">
        <v>2028</v>
      </c>
      <c r="B8317" t="s">
        <v>316</v>
      </c>
      <c r="C8317" t="s">
        <v>322</v>
      </c>
      <c r="D8317" t="s">
        <v>35</v>
      </c>
      <c r="E8317" t="s">
        <v>352</v>
      </c>
      <c r="F8317" t="s">
        <v>361</v>
      </c>
      <c r="G8317" t="s">
        <v>36</v>
      </c>
      <c r="H8317" t="s">
        <v>43</v>
      </c>
      <c r="I8317" s="187">
        <v>0</v>
      </c>
      <c r="J8317" s="187"/>
      <c r="K8317" s="187">
        <v>0</v>
      </c>
      <c r="L8317" s="187"/>
      <c r="M8317" s="187">
        <v>0</v>
      </c>
      <c r="N8317" s="187">
        <v>0</v>
      </c>
      <c r="O8317" t="s">
        <v>8054</v>
      </c>
    </row>
    <row r="8318" spans="1:15" hidden="1" x14ac:dyDescent="0.45">
      <c r="A8318" s="187">
        <v>2028</v>
      </c>
      <c r="B8318" t="s">
        <v>317</v>
      </c>
      <c r="C8318" t="s">
        <v>322</v>
      </c>
      <c r="D8318" t="s">
        <v>35</v>
      </c>
      <c r="E8318" t="s">
        <v>352</v>
      </c>
      <c r="F8318" t="s">
        <v>361</v>
      </c>
      <c r="G8318" t="s">
        <v>36</v>
      </c>
      <c r="H8318" t="s">
        <v>43</v>
      </c>
      <c r="I8318" s="187">
        <v>0</v>
      </c>
      <c r="J8318" s="187"/>
      <c r="K8318" s="187">
        <v>0</v>
      </c>
      <c r="L8318" s="187"/>
      <c r="M8318" s="187">
        <v>0</v>
      </c>
      <c r="N8318" s="187">
        <v>0</v>
      </c>
      <c r="O8318" t="s">
        <v>8053</v>
      </c>
    </row>
    <row r="8319" spans="1:15" hidden="1" x14ac:dyDescent="0.45">
      <c r="A8319" s="187">
        <v>2028</v>
      </c>
      <c r="B8319" t="s">
        <v>315</v>
      </c>
      <c r="C8319" t="s">
        <v>322</v>
      </c>
      <c r="D8319" t="s">
        <v>35</v>
      </c>
      <c r="E8319" t="s">
        <v>352</v>
      </c>
      <c r="F8319" t="s">
        <v>361</v>
      </c>
      <c r="G8319" t="s">
        <v>36</v>
      </c>
      <c r="H8319" t="s">
        <v>43</v>
      </c>
      <c r="I8319" s="187">
        <v>0</v>
      </c>
      <c r="J8319" s="187">
        <v>0</v>
      </c>
      <c r="K8319" s="187">
        <v>0</v>
      </c>
      <c r="L8319" s="187"/>
      <c r="M8319" s="187">
        <v>0</v>
      </c>
      <c r="N8319" s="187">
        <v>0</v>
      </c>
      <c r="O8319" t="s">
        <v>8056</v>
      </c>
    </row>
    <row r="8320" spans="1:15" hidden="1" x14ac:dyDescent="0.45">
      <c r="A8320" s="187">
        <v>2028</v>
      </c>
      <c r="B8320" t="s">
        <v>314</v>
      </c>
      <c r="C8320" t="s">
        <v>322</v>
      </c>
      <c r="D8320" t="s">
        <v>35</v>
      </c>
      <c r="E8320" t="s">
        <v>352</v>
      </c>
      <c r="F8320" t="s">
        <v>361</v>
      </c>
      <c r="G8320" t="s">
        <v>36</v>
      </c>
      <c r="H8320" t="s">
        <v>43</v>
      </c>
      <c r="I8320" s="187">
        <v>0</v>
      </c>
      <c r="J8320" s="187">
        <v>0</v>
      </c>
      <c r="K8320" s="187">
        <v>0</v>
      </c>
      <c r="L8320" s="187"/>
      <c r="M8320" s="187">
        <v>0</v>
      </c>
      <c r="N8320" s="187">
        <v>0</v>
      </c>
      <c r="O8320" t="s">
        <v>8055</v>
      </c>
    </row>
    <row r="8321" spans="1:15" hidden="1" x14ac:dyDescent="0.45">
      <c r="A8321" s="187">
        <v>2028</v>
      </c>
      <c r="B8321" t="s">
        <v>8570</v>
      </c>
      <c r="C8321" t="s">
        <v>322</v>
      </c>
      <c r="D8321" t="s">
        <v>35</v>
      </c>
      <c r="E8321" t="s">
        <v>352</v>
      </c>
      <c r="F8321" t="s">
        <v>361</v>
      </c>
      <c r="G8321" t="s">
        <v>36</v>
      </c>
      <c r="H8321" t="s">
        <v>43</v>
      </c>
      <c r="I8321" s="187">
        <v>0</v>
      </c>
      <c r="J8321" s="187"/>
      <c r="K8321" s="187">
        <v>0</v>
      </c>
      <c r="L8321" s="187"/>
      <c r="M8321" s="187">
        <v>0</v>
      </c>
      <c r="N8321" s="187">
        <v>0</v>
      </c>
      <c r="O8321" t="s">
        <v>9294</v>
      </c>
    </row>
    <row r="8322" spans="1:15" hidden="1" x14ac:dyDescent="0.45">
      <c r="A8322" s="187">
        <v>2028</v>
      </c>
      <c r="B8322" t="s">
        <v>315</v>
      </c>
      <c r="C8322" t="s">
        <v>322</v>
      </c>
      <c r="D8322" t="s">
        <v>35</v>
      </c>
      <c r="E8322" t="s">
        <v>353</v>
      </c>
      <c r="F8322" t="s">
        <v>383</v>
      </c>
      <c r="G8322" t="s">
        <v>36</v>
      </c>
      <c r="H8322" t="s">
        <v>43</v>
      </c>
      <c r="I8322" s="187">
        <v>22060.881633452798</v>
      </c>
      <c r="J8322" s="187">
        <v>894.90997458615141</v>
      </c>
      <c r="K8322" s="187">
        <v>17203.289110577589</v>
      </c>
      <c r="L8322" s="187">
        <v>24494.478962628295</v>
      </c>
      <c r="M8322" s="187">
        <v>64653.5625</v>
      </c>
      <c r="N8322" s="187">
        <v>46555.359375</v>
      </c>
      <c r="O8322" t="s">
        <v>8059</v>
      </c>
    </row>
    <row r="8323" spans="1:15" hidden="1" x14ac:dyDescent="0.45">
      <c r="A8323" s="187">
        <v>2028</v>
      </c>
      <c r="B8323" t="s">
        <v>316</v>
      </c>
      <c r="C8323" t="s">
        <v>322</v>
      </c>
      <c r="D8323" t="s">
        <v>35</v>
      </c>
      <c r="E8323" t="s">
        <v>353</v>
      </c>
      <c r="F8323" t="s">
        <v>383</v>
      </c>
      <c r="G8323" t="s">
        <v>36</v>
      </c>
      <c r="H8323" t="s">
        <v>43</v>
      </c>
      <c r="I8323" s="187">
        <v>21881.628130253011</v>
      </c>
      <c r="J8323" s="187">
        <v>929.62703980853848</v>
      </c>
      <c r="K8323" s="187">
        <v>17643.342655959303</v>
      </c>
      <c r="L8323" s="187">
        <v>25663.874440212021</v>
      </c>
      <c r="M8323" s="187">
        <v>66118.46875</v>
      </c>
      <c r="N8323" s="187">
        <v>47545.50390625</v>
      </c>
      <c r="O8323" t="s">
        <v>8057</v>
      </c>
    </row>
    <row r="8324" spans="1:15" hidden="1" x14ac:dyDescent="0.45">
      <c r="A8324" s="187">
        <v>2028</v>
      </c>
      <c r="B8324" t="s">
        <v>8570</v>
      </c>
      <c r="C8324" t="s">
        <v>322</v>
      </c>
      <c r="D8324" t="s">
        <v>35</v>
      </c>
      <c r="E8324" t="s">
        <v>353</v>
      </c>
      <c r="F8324" t="s">
        <v>383</v>
      </c>
      <c r="G8324" t="s">
        <v>36</v>
      </c>
      <c r="H8324" t="s">
        <v>43</v>
      </c>
      <c r="I8324" s="187">
        <v>11796.563970988531</v>
      </c>
      <c r="J8324" s="187">
        <v>945</v>
      </c>
      <c r="K8324" s="187">
        <v>16407.56523700479</v>
      </c>
      <c r="L8324" s="187">
        <v>18548</v>
      </c>
      <c r="M8324" s="187">
        <v>47697.12890625</v>
      </c>
      <c r="N8324" s="187">
        <v>30344.564453125</v>
      </c>
      <c r="O8324" t="s">
        <v>9295</v>
      </c>
    </row>
    <row r="8325" spans="1:15" hidden="1" x14ac:dyDescent="0.45">
      <c r="A8325" s="187">
        <v>2028</v>
      </c>
      <c r="B8325" t="s">
        <v>317</v>
      </c>
      <c r="C8325" t="s">
        <v>322</v>
      </c>
      <c r="D8325" t="s">
        <v>35</v>
      </c>
      <c r="E8325" t="s">
        <v>353</v>
      </c>
      <c r="F8325" t="s">
        <v>383</v>
      </c>
      <c r="G8325" t="s">
        <v>36</v>
      </c>
      <c r="H8325" t="s">
        <v>43</v>
      </c>
      <c r="I8325" s="187">
        <v>15169.199088277113</v>
      </c>
      <c r="J8325" s="187">
        <v>1021.0810954238837</v>
      </c>
      <c r="K8325" s="187">
        <v>17816.057822565825</v>
      </c>
      <c r="L8325" s="187">
        <v>21562.639513522772</v>
      </c>
      <c r="M8325" s="187">
        <v>55568.98046875</v>
      </c>
      <c r="N8325" s="187">
        <v>36731.83984375</v>
      </c>
      <c r="O8325" t="s">
        <v>8058</v>
      </c>
    </row>
    <row r="8326" spans="1:15" hidden="1" x14ac:dyDescent="0.45">
      <c r="A8326" s="187">
        <v>2028</v>
      </c>
      <c r="B8326" t="s">
        <v>314</v>
      </c>
      <c r="C8326" t="s">
        <v>322</v>
      </c>
      <c r="D8326" t="s">
        <v>35</v>
      </c>
      <c r="E8326" t="s">
        <v>353</v>
      </c>
      <c r="F8326" t="s">
        <v>383</v>
      </c>
      <c r="G8326" t="s">
        <v>36</v>
      </c>
      <c r="H8326" t="s">
        <v>43</v>
      </c>
      <c r="I8326" s="187">
        <v>22687.434975485099</v>
      </c>
      <c r="J8326" s="187">
        <v>850.31908260219677</v>
      </c>
      <c r="K8326" s="187">
        <v>16383.938308277</v>
      </c>
      <c r="L8326" s="187">
        <v>23214.875775701072</v>
      </c>
      <c r="M8326" s="187">
        <v>63136.56640625</v>
      </c>
      <c r="N8326" s="187">
        <v>45902.3125</v>
      </c>
      <c r="O8326" t="s">
        <v>8060</v>
      </c>
    </row>
    <row r="8327" spans="1:15" hidden="1" x14ac:dyDescent="0.45">
      <c r="A8327" s="187">
        <v>2028</v>
      </c>
      <c r="B8327" t="s">
        <v>8570</v>
      </c>
      <c r="C8327" t="s">
        <v>322</v>
      </c>
      <c r="D8327" t="s">
        <v>35</v>
      </c>
      <c r="E8327" t="s">
        <v>353</v>
      </c>
      <c r="F8327" t="s">
        <v>383</v>
      </c>
      <c r="G8327" t="s">
        <v>37</v>
      </c>
      <c r="H8327" t="s">
        <v>43</v>
      </c>
      <c r="I8327" s="187">
        <v>13284.847020570989</v>
      </c>
      <c r="J8327" s="187">
        <v>945</v>
      </c>
      <c r="K8327" s="187">
        <v>18559.034778184439</v>
      </c>
      <c r="L8327" s="187">
        <v>22713</v>
      </c>
      <c r="M8327" s="187">
        <v>55501.8828125</v>
      </c>
      <c r="N8327" s="187">
        <v>35997.84765625</v>
      </c>
      <c r="O8327" t="s">
        <v>9296</v>
      </c>
    </row>
    <row r="8328" spans="1:15" hidden="1" x14ac:dyDescent="0.45">
      <c r="A8328" s="187">
        <v>2028</v>
      </c>
      <c r="B8328" t="s">
        <v>314</v>
      </c>
      <c r="C8328" t="s">
        <v>322</v>
      </c>
      <c r="D8328" t="s">
        <v>35</v>
      </c>
      <c r="E8328" t="s">
        <v>353</v>
      </c>
      <c r="F8328" t="s">
        <v>383</v>
      </c>
      <c r="G8328" t="s">
        <v>37</v>
      </c>
      <c r="H8328" t="s">
        <v>43</v>
      </c>
      <c r="I8328" s="187">
        <v>23754.22776781044</v>
      </c>
      <c r="J8328" s="187">
        <v>890</v>
      </c>
      <c r="K8328" s="187">
        <v>17177.54449025316</v>
      </c>
      <c r="L8328" s="187">
        <v>26735.73296727255</v>
      </c>
      <c r="M8328" s="187">
        <v>68557.5078125</v>
      </c>
      <c r="N8328" s="187">
        <v>50489.9609375</v>
      </c>
      <c r="O8328" t="s">
        <v>8064</v>
      </c>
    </row>
    <row r="8329" spans="1:15" hidden="1" x14ac:dyDescent="0.45">
      <c r="A8329" s="187">
        <v>2028</v>
      </c>
      <c r="B8329" t="s">
        <v>316</v>
      </c>
      <c r="C8329" t="s">
        <v>322</v>
      </c>
      <c r="D8329" t="s">
        <v>35</v>
      </c>
      <c r="E8329" t="s">
        <v>353</v>
      </c>
      <c r="F8329" t="s">
        <v>383</v>
      </c>
      <c r="G8329" t="s">
        <v>37</v>
      </c>
      <c r="H8329" t="s">
        <v>43</v>
      </c>
      <c r="I8329" s="187">
        <v>23279</v>
      </c>
      <c r="J8329" s="187">
        <v>844</v>
      </c>
      <c r="K8329" s="187">
        <v>18432.51560678555</v>
      </c>
      <c r="L8329" s="187">
        <v>27513.584926775151</v>
      </c>
      <c r="M8329" s="187">
        <v>70069.1015625</v>
      </c>
      <c r="N8329" s="187">
        <v>50792.5859375</v>
      </c>
      <c r="O8329" t="s">
        <v>8063</v>
      </c>
    </row>
    <row r="8330" spans="1:15" hidden="1" x14ac:dyDescent="0.45">
      <c r="A8330" s="187">
        <v>2028</v>
      </c>
      <c r="B8330" t="s">
        <v>315</v>
      </c>
      <c r="C8330" t="s">
        <v>322</v>
      </c>
      <c r="D8330" t="s">
        <v>35</v>
      </c>
      <c r="E8330" t="s">
        <v>353</v>
      </c>
      <c r="F8330" t="s">
        <v>383</v>
      </c>
      <c r="G8330" t="s">
        <v>37</v>
      </c>
      <c r="H8330" t="s">
        <v>43</v>
      </c>
      <c r="I8330" s="187">
        <v>23278.623941273869</v>
      </c>
      <c r="J8330" s="187">
        <v>926</v>
      </c>
      <c r="K8330" s="187">
        <v>18104.155730756778</v>
      </c>
      <c r="L8330" s="187">
        <v>25842.14481356836</v>
      </c>
      <c r="M8330" s="187">
        <v>68150.921875</v>
      </c>
      <c r="N8330" s="187">
        <v>49120.76953125</v>
      </c>
      <c r="O8330" t="s">
        <v>8061</v>
      </c>
    </row>
    <row r="8331" spans="1:15" hidden="1" x14ac:dyDescent="0.45">
      <c r="A8331" s="187">
        <v>2028</v>
      </c>
      <c r="B8331" t="s">
        <v>317</v>
      </c>
      <c r="C8331" t="s">
        <v>322</v>
      </c>
      <c r="D8331" t="s">
        <v>35</v>
      </c>
      <c r="E8331" t="s">
        <v>353</v>
      </c>
      <c r="F8331" t="s">
        <v>383</v>
      </c>
      <c r="G8331" t="s">
        <v>37</v>
      </c>
      <c r="H8331" t="s">
        <v>43</v>
      </c>
      <c r="I8331" s="187">
        <v>16126.325684791491</v>
      </c>
      <c r="J8331" s="187">
        <v>945</v>
      </c>
      <c r="K8331" s="187">
        <v>18824.748717894359</v>
      </c>
      <c r="L8331" s="187">
        <v>22661</v>
      </c>
      <c r="M8331" s="187">
        <v>58557.07421875</v>
      </c>
      <c r="N8331" s="187">
        <v>38787.328125</v>
      </c>
      <c r="O8331" t="s">
        <v>8062</v>
      </c>
    </row>
    <row r="8332" spans="1:15" hidden="1" x14ac:dyDescent="0.45">
      <c r="A8332" s="187">
        <v>2028</v>
      </c>
      <c r="B8332" t="s">
        <v>315</v>
      </c>
      <c r="C8332" t="s">
        <v>322</v>
      </c>
      <c r="D8332" t="s">
        <v>35</v>
      </c>
      <c r="E8332" t="s">
        <v>38</v>
      </c>
      <c r="F8332" t="s">
        <v>38</v>
      </c>
      <c r="G8332" t="s">
        <v>36</v>
      </c>
      <c r="H8332" t="s">
        <v>43</v>
      </c>
      <c r="I8332" s="187">
        <v>136.63689395519873</v>
      </c>
      <c r="J8332" s="187">
        <v>67.967846171100106</v>
      </c>
      <c r="K8332" s="187">
        <v>987.79275909211663</v>
      </c>
      <c r="L8332" s="187">
        <v>2202.1582159436434</v>
      </c>
      <c r="M8332" s="187">
        <v>3394.5556640625</v>
      </c>
      <c r="N8332" s="187">
        <v>2338.795166015625</v>
      </c>
      <c r="O8332" t="s">
        <v>8065</v>
      </c>
    </row>
    <row r="8333" spans="1:15" hidden="1" x14ac:dyDescent="0.45">
      <c r="A8333" s="187">
        <v>2028</v>
      </c>
      <c r="B8333" t="s">
        <v>314</v>
      </c>
      <c r="C8333" t="s">
        <v>322</v>
      </c>
      <c r="D8333" t="s">
        <v>35</v>
      </c>
      <c r="E8333" t="s">
        <v>38</v>
      </c>
      <c r="F8333" t="s">
        <v>38</v>
      </c>
      <c r="G8333" t="s">
        <v>36</v>
      </c>
      <c r="H8333" t="s">
        <v>43</v>
      </c>
      <c r="I8333" s="187">
        <v>140.49950332108818</v>
      </c>
      <c r="J8333" s="187">
        <v>58.241033054944985</v>
      </c>
      <c r="K8333" s="187">
        <v>745.54917612284805</v>
      </c>
      <c r="L8333" s="187">
        <v>1487.475984223295</v>
      </c>
      <c r="M8333" s="187">
        <v>2431.765625</v>
      </c>
      <c r="N8333" s="187">
        <v>1627.9754638671875</v>
      </c>
      <c r="O8333" t="s">
        <v>8068</v>
      </c>
    </row>
    <row r="8334" spans="1:15" hidden="1" x14ac:dyDescent="0.45">
      <c r="A8334" s="187">
        <v>2028</v>
      </c>
      <c r="B8334" t="s">
        <v>8570</v>
      </c>
      <c r="C8334" t="s">
        <v>322</v>
      </c>
      <c r="D8334" t="s">
        <v>35</v>
      </c>
      <c r="E8334" t="s">
        <v>38</v>
      </c>
      <c r="F8334" t="s">
        <v>38</v>
      </c>
      <c r="G8334" t="s">
        <v>36</v>
      </c>
      <c r="H8334" t="s">
        <v>43</v>
      </c>
      <c r="I8334" s="187">
        <v>475.60480000000001</v>
      </c>
      <c r="J8334" s="187">
        <v>55</v>
      </c>
      <c r="K8334" s="187">
        <v>2963.8397155960438</v>
      </c>
      <c r="L8334" s="187">
        <v>838</v>
      </c>
      <c r="M8334" s="187">
        <v>4332.4443359375</v>
      </c>
      <c r="N8334" s="187">
        <v>1313.604736328125</v>
      </c>
      <c r="O8334" t="s">
        <v>9297</v>
      </c>
    </row>
    <row r="8335" spans="1:15" hidden="1" x14ac:dyDescent="0.45">
      <c r="A8335" s="187">
        <v>2028</v>
      </c>
      <c r="B8335" t="s">
        <v>317</v>
      </c>
      <c r="C8335" t="s">
        <v>322</v>
      </c>
      <c r="D8335" t="s">
        <v>35</v>
      </c>
      <c r="E8335" t="s">
        <v>38</v>
      </c>
      <c r="F8335" t="s">
        <v>38</v>
      </c>
      <c r="G8335" t="s">
        <v>36</v>
      </c>
      <c r="H8335" t="s">
        <v>43</v>
      </c>
      <c r="I8335" s="187">
        <v>594.67981789773773</v>
      </c>
      <c r="J8335" s="187">
        <v>59.428000262765714</v>
      </c>
      <c r="K8335" s="187">
        <v>2751.367810669502</v>
      </c>
      <c r="L8335" s="187">
        <v>2739.0905575656561</v>
      </c>
      <c r="M8335" s="187">
        <v>6144.56591796875</v>
      </c>
      <c r="N8335" s="187">
        <v>3333.770263671875</v>
      </c>
      <c r="O8335" t="s">
        <v>8066</v>
      </c>
    </row>
    <row r="8336" spans="1:15" hidden="1" x14ac:dyDescent="0.45">
      <c r="A8336" s="187">
        <v>2028</v>
      </c>
      <c r="B8336" t="s">
        <v>316</v>
      </c>
      <c r="C8336" t="s">
        <v>322</v>
      </c>
      <c r="D8336" t="s">
        <v>35</v>
      </c>
      <c r="E8336" t="s">
        <v>38</v>
      </c>
      <c r="F8336" t="s">
        <v>38</v>
      </c>
      <c r="G8336" t="s">
        <v>36</v>
      </c>
      <c r="H8336" t="s">
        <v>43</v>
      </c>
      <c r="I8336" s="187">
        <v>859.13399413585307</v>
      </c>
      <c r="J8336" s="187">
        <v>60.579961124964001</v>
      </c>
      <c r="K8336" s="187">
        <v>1056.9507088174839</v>
      </c>
      <c r="L8336" s="187">
        <v>2144.5306238237254</v>
      </c>
      <c r="M8336" s="187">
        <v>4121.1953125</v>
      </c>
      <c r="N8336" s="187">
        <v>3003.66455078125</v>
      </c>
      <c r="O8336" t="s">
        <v>8067</v>
      </c>
    </row>
    <row r="8337" spans="1:15" hidden="1" x14ac:dyDescent="0.45">
      <c r="A8337" s="187">
        <v>2028</v>
      </c>
      <c r="B8337" t="s">
        <v>316</v>
      </c>
      <c r="C8337" t="s">
        <v>322</v>
      </c>
      <c r="D8337" t="s">
        <v>35</v>
      </c>
      <c r="E8337" t="s">
        <v>38</v>
      </c>
      <c r="F8337" t="s">
        <v>38</v>
      </c>
      <c r="G8337" t="s">
        <v>37</v>
      </c>
      <c r="H8337" t="s">
        <v>43</v>
      </c>
      <c r="I8337" s="187">
        <v>914</v>
      </c>
      <c r="J8337" s="187">
        <v>55</v>
      </c>
      <c r="K8337" s="187">
        <v>1104.227289339693</v>
      </c>
      <c r="L8337" s="187">
        <v>2299.1104232303742</v>
      </c>
      <c r="M8337" s="187">
        <v>4372.337890625</v>
      </c>
      <c r="N8337" s="187">
        <v>3213.1103515625</v>
      </c>
      <c r="O8337" t="s">
        <v>8069</v>
      </c>
    </row>
    <row r="8338" spans="1:15" hidden="1" x14ac:dyDescent="0.45">
      <c r="A8338" s="187">
        <v>2028</v>
      </c>
      <c r="B8338" t="s">
        <v>317</v>
      </c>
      <c r="C8338" t="s">
        <v>322</v>
      </c>
      <c r="D8338" t="s">
        <v>35</v>
      </c>
      <c r="E8338" t="s">
        <v>38</v>
      </c>
      <c r="F8338" t="s">
        <v>38</v>
      </c>
      <c r="G8338" t="s">
        <v>37</v>
      </c>
      <c r="H8338" t="s">
        <v>43</v>
      </c>
      <c r="I8338" s="187">
        <v>632.2021595064075</v>
      </c>
      <c r="J8338" s="187">
        <v>55</v>
      </c>
      <c r="K8338" s="187">
        <v>2907.141870675478</v>
      </c>
      <c r="L8338" s="187">
        <v>2879</v>
      </c>
      <c r="M8338" s="187">
        <v>6473.34375</v>
      </c>
      <c r="N8338" s="187">
        <v>3511.2021484375</v>
      </c>
      <c r="O8338" t="s">
        <v>8070</v>
      </c>
    </row>
    <row r="8339" spans="1:15" hidden="1" x14ac:dyDescent="0.45">
      <c r="A8339" s="187">
        <v>2028</v>
      </c>
      <c r="B8339" t="s">
        <v>8570</v>
      </c>
      <c r="C8339" t="s">
        <v>322</v>
      </c>
      <c r="D8339" t="s">
        <v>35</v>
      </c>
      <c r="E8339" t="s">
        <v>38</v>
      </c>
      <c r="F8339" t="s">
        <v>38</v>
      </c>
      <c r="G8339" t="s">
        <v>37</v>
      </c>
      <c r="H8339" t="s">
        <v>43</v>
      </c>
      <c r="I8339" s="187">
        <v>535.60825218157083</v>
      </c>
      <c r="J8339" s="187">
        <v>55</v>
      </c>
      <c r="K8339" s="187">
        <v>3352.478174802774</v>
      </c>
      <c r="L8339" s="187">
        <v>1026</v>
      </c>
      <c r="M8339" s="187">
        <v>4969.08642578125</v>
      </c>
      <c r="N8339" s="187">
        <v>1561.6082763671875</v>
      </c>
      <c r="O8339" t="s">
        <v>9298</v>
      </c>
    </row>
    <row r="8340" spans="1:15" hidden="1" x14ac:dyDescent="0.45">
      <c r="A8340" s="187">
        <v>2028</v>
      </c>
      <c r="B8340" t="s">
        <v>315</v>
      </c>
      <c r="C8340" t="s">
        <v>322</v>
      </c>
      <c r="D8340" t="s">
        <v>35</v>
      </c>
      <c r="E8340" t="s">
        <v>38</v>
      </c>
      <c r="F8340" t="s">
        <v>38</v>
      </c>
      <c r="G8340" t="s">
        <v>37</v>
      </c>
      <c r="H8340" t="s">
        <v>43</v>
      </c>
      <c r="I8340" s="187">
        <v>144.17913679676309</v>
      </c>
      <c r="J8340" s="187">
        <v>70</v>
      </c>
      <c r="K8340" s="187">
        <v>1039.519467781425</v>
      </c>
      <c r="L8340" s="187">
        <v>2323.2599534017731</v>
      </c>
      <c r="M8340" s="187">
        <v>3576.95849609375</v>
      </c>
      <c r="N8340" s="187">
        <v>2467.439208984375</v>
      </c>
      <c r="O8340" t="s">
        <v>8071</v>
      </c>
    </row>
    <row r="8341" spans="1:15" hidden="1" x14ac:dyDescent="0.45">
      <c r="A8341" s="187">
        <v>2028</v>
      </c>
      <c r="B8341" t="s">
        <v>314</v>
      </c>
      <c r="C8341" t="s">
        <v>322</v>
      </c>
      <c r="D8341" t="s">
        <v>35</v>
      </c>
      <c r="E8341" t="s">
        <v>38</v>
      </c>
      <c r="F8341" t="s">
        <v>38</v>
      </c>
      <c r="G8341" t="s">
        <v>37</v>
      </c>
      <c r="H8341" t="s">
        <v>43</v>
      </c>
      <c r="I8341" s="187">
        <v>147.10597327373739</v>
      </c>
      <c r="J8341" s="187">
        <v>61</v>
      </c>
      <c r="K8341" s="187">
        <v>781.66213162875454</v>
      </c>
      <c r="L8341" s="187">
        <v>1713.0816164703899</v>
      </c>
      <c r="M8341" s="187">
        <v>2702.849853515625</v>
      </c>
      <c r="N8341" s="187">
        <v>1860.1876220703125</v>
      </c>
      <c r="O8341" t="s">
        <v>8072</v>
      </c>
    </row>
    <row r="8342" spans="1:15" hidden="1" x14ac:dyDescent="0.45">
      <c r="A8342" s="187">
        <v>2028</v>
      </c>
      <c r="B8342" t="s">
        <v>315</v>
      </c>
      <c r="C8342" t="s">
        <v>322</v>
      </c>
      <c r="D8342" t="s">
        <v>35</v>
      </c>
      <c r="E8342" t="s">
        <v>354</v>
      </c>
      <c r="F8342" t="s">
        <v>384</v>
      </c>
      <c r="G8342" t="s">
        <v>36</v>
      </c>
      <c r="H8342" t="s">
        <v>43</v>
      </c>
      <c r="I8342" s="187">
        <v>0</v>
      </c>
      <c r="J8342" s="187">
        <v>0</v>
      </c>
      <c r="K8342" s="187">
        <v>0</v>
      </c>
      <c r="L8342" s="187">
        <v>0</v>
      </c>
      <c r="M8342" s="187">
        <v>0</v>
      </c>
      <c r="N8342" s="187">
        <v>0</v>
      </c>
      <c r="O8342" t="s">
        <v>8076</v>
      </c>
    </row>
    <row r="8343" spans="1:15" hidden="1" x14ac:dyDescent="0.45">
      <c r="A8343" s="187">
        <v>2028</v>
      </c>
      <c r="B8343" t="s">
        <v>317</v>
      </c>
      <c r="C8343" t="s">
        <v>322</v>
      </c>
      <c r="D8343" t="s">
        <v>35</v>
      </c>
      <c r="E8343" t="s">
        <v>354</v>
      </c>
      <c r="F8343" t="s">
        <v>384</v>
      </c>
      <c r="G8343" t="s">
        <v>36</v>
      </c>
      <c r="H8343" t="s">
        <v>43</v>
      </c>
      <c r="I8343" s="187">
        <v>0</v>
      </c>
      <c r="J8343" s="187">
        <v>43.220363827465974</v>
      </c>
      <c r="K8343" s="187">
        <v>0</v>
      </c>
      <c r="L8343" s="187">
        <v>0</v>
      </c>
      <c r="M8343" s="187">
        <v>43.220363616943359</v>
      </c>
      <c r="N8343" s="187">
        <v>0</v>
      </c>
      <c r="O8343" t="s">
        <v>8073</v>
      </c>
    </row>
    <row r="8344" spans="1:15" hidden="1" x14ac:dyDescent="0.45">
      <c r="A8344" s="187">
        <v>2028</v>
      </c>
      <c r="B8344" t="s">
        <v>314</v>
      </c>
      <c r="C8344" t="s">
        <v>322</v>
      </c>
      <c r="D8344" t="s">
        <v>35</v>
      </c>
      <c r="E8344" t="s">
        <v>354</v>
      </c>
      <c r="F8344" t="s">
        <v>384</v>
      </c>
      <c r="G8344" t="s">
        <v>36</v>
      </c>
      <c r="H8344" t="s">
        <v>43</v>
      </c>
      <c r="I8344" s="187">
        <v>0</v>
      </c>
      <c r="J8344" s="187">
        <v>0</v>
      </c>
      <c r="K8344" s="187">
        <v>0</v>
      </c>
      <c r="L8344" s="187">
        <v>0</v>
      </c>
      <c r="M8344" s="187">
        <v>0</v>
      </c>
      <c r="N8344" s="187">
        <v>0</v>
      </c>
      <c r="O8344" t="s">
        <v>8074</v>
      </c>
    </row>
    <row r="8345" spans="1:15" hidden="1" x14ac:dyDescent="0.45">
      <c r="A8345" s="187">
        <v>2028</v>
      </c>
      <c r="B8345" t="s">
        <v>316</v>
      </c>
      <c r="C8345" t="s">
        <v>322</v>
      </c>
      <c r="D8345" t="s">
        <v>35</v>
      </c>
      <c r="E8345" t="s">
        <v>354</v>
      </c>
      <c r="F8345" t="s">
        <v>384</v>
      </c>
      <c r="G8345" t="s">
        <v>36</v>
      </c>
      <c r="H8345" t="s">
        <v>43</v>
      </c>
      <c r="I8345" s="187">
        <v>0</v>
      </c>
      <c r="J8345" s="187">
        <v>44.058153545428361</v>
      </c>
      <c r="K8345" s="187">
        <v>0</v>
      </c>
      <c r="L8345" s="187">
        <v>0</v>
      </c>
      <c r="M8345" s="187">
        <v>44.058155059814453</v>
      </c>
      <c r="N8345" s="187">
        <v>0</v>
      </c>
      <c r="O8345" t="s">
        <v>8075</v>
      </c>
    </row>
    <row r="8346" spans="1:15" hidden="1" x14ac:dyDescent="0.45">
      <c r="A8346" s="187">
        <v>2028</v>
      </c>
      <c r="B8346" t="s">
        <v>8570</v>
      </c>
      <c r="C8346" t="s">
        <v>322</v>
      </c>
      <c r="D8346" t="s">
        <v>35</v>
      </c>
      <c r="E8346" t="s">
        <v>354</v>
      </c>
      <c r="F8346" t="s">
        <v>384</v>
      </c>
      <c r="G8346" t="s">
        <v>36</v>
      </c>
      <c r="H8346" t="s">
        <v>43</v>
      </c>
      <c r="I8346" s="187">
        <v>0</v>
      </c>
      <c r="J8346" s="187">
        <v>40</v>
      </c>
      <c r="K8346" s="187">
        <v>0</v>
      </c>
      <c r="L8346" s="187">
        <v>0</v>
      </c>
      <c r="M8346" s="187">
        <v>40</v>
      </c>
      <c r="N8346" s="187">
        <v>0</v>
      </c>
      <c r="O8346" t="s">
        <v>9299</v>
      </c>
    </row>
    <row r="8347" spans="1:15" hidden="1" x14ac:dyDescent="0.45">
      <c r="A8347" s="187">
        <v>2028</v>
      </c>
      <c r="B8347" t="s">
        <v>316</v>
      </c>
      <c r="C8347" t="s">
        <v>322</v>
      </c>
      <c r="D8347" t="s">
        <v>35</v>
      </c>
      <c r="E8347" t="s">
        <v>354</v>
      </c>
      <c r="F8347" t="s">
        <v>384</v>
      </c>
      <c r="G8347" t="s">
        <v>37</v>
      </c>
      <c r="H8347" t="s">
        <v>43</v>
      </c>
      <c r="I8347" s="187">
        <v>0</v>
      </c>
      <c r="J8347" s="187">
        <v>40</v>
      </c>
      <c r="K8347" s="187">
        <v>0</v>
      </c>
      <c r="L8347" s="187">
        <v>0</v>
      </c>
      <c r="M8347" s="187">
        <v>40</v>
      </c>
      <c r="N8347" s="187">
        <v>0</v>
      </c>
      <c r="O8347" t="s">
        <v>8077</v>
      </c>
    </row>
    <row r="8348" spans="1:15" hidden="1" x14ac:dyDescent="0.45">
      <c r="A8348" s="187">
        <v>2028</v>
      </c>
      <c r="B8348" t="s">
        <v>317</v>
      </c>
      <c r="C8348" t="s">
        <v>322</v>
      </c>
      <c r="D8348" t="s">
        <v>35</v>
      </c>
      <c r="E8348" t="s">
        <v>354</v>
      </c>
      <c r="F8348" t="s">
        <v>384</v>
      </c>
      <c r="G8348" t="s">
        <v>37</v>
      </c>
      <c r="H8348" t="s">
        <v>43</v>
      </c>
      <c r="I8348" s="187">
        <v>0</v>
      </c>
      <c r="J8348" s="187">
        <v>40</v>
      </c>
      <c r="K8348" s="187">
        <v>0</v>
      </c>
      <c r="L8348" s="187">
        <v>0</v>
      </c>
      <c r="M8348" s="187">
        <v>40</v>
      </c>
      <c r="N8348" s="187">
        <v>0</v>
      </c>
      <c r="O8348" t="s">
        <v>8078</v>
      </c>
    </row>
    <row r="8349" spans="1:15" hidden="1" x14ac:dyDescent="0.45">
      <c r="A8349" s="187">
        <v>2028</v>
      </c>
      <c r="B8349" t="s">
        <v>315</v>
      </c>
      <c r="C8349" t="s">
        <v>322</v>
      </c>
      <c r="D8349" t="s">
        <v>35</v>
      </c>
      <c r="E8349" t="s">
        <v>354</v>
      </c>
      <c r="F8349" t="s">
        <v>384</v>
      </c>
      <c r="G8349" t="s">
        <v>37</v>
      </c>
      <c r="H8349" t="s">
        <v>43</v>
      </c>
      <c r="I8349" s="187">
        <v>0</v>
      </c>
      <c r="J8349" s="187">
        <v>0</v>
      </c>
      <c r="K8349" s="187">
        <v>0</v>
      </c>
      <c r="L8349" s="187">
        <v>0</v>
      </c>
      <c r="M8349" s="187">
        <v>0</v>
      </c>
      <c r="N8349" s="187">
        <v>0</v>
      </c>
      <c r="O8349" t="s">
        <v>8080</v>
      </c>
    </row>
    <row r="8350" spans="1:15" hidden="1" x14ac:dyDescent="0.45">
      <c r="A8350" s="187">
        <v>2028</v>
      </c>
      <c r="B8350" t="s">
        <v>8570</v>
      </c>
      <c r="C8350" t="s">
        <v>322</v>
      </c>
      <c r="D8350" t="s">
        <v>35</v>
      </c>
      <c r="E8350" t="s">
        <v>354</v>
      </c>
      <c r="F8350" t="s">
        <v>384</v>
      </c>
      <c r="G8350" t="s">
        <v>37</v>
      </c>
      <c r="H8350" t="s">
        <v>43</v>
      </c>
      <c r="I8350" s="187">
        <v>0</v>
      </c>
      <c r="J8350" s="187">
        <v>40</v>
      </c>
      <c r="K8350" s="187">
        <v>0</v>
      </c>
      <c r="L8350" s="187">
        <v>0</v>
      </c>
      <c r="M8350" s="187">
        <v>40</v>
      </c>
      <c r="N8350" s="187">
        <v>0</v>
      </c>
      <c r="O8350" t="s">
        <v>9300</v>
      </c>
    </row>
    <row r="8351" spans="1:15" hidden="1" x14ac:dyDescent="0.45">
      <c r="A8351" s="187">
        <v>2028</v>
      </c>
      <c r="B8351" t="s">
        <v>314</v>
      </c>
      <c r="C8351" t="s">
        <v>322</v>
      </c>
      <c r="D8351" t="s">
        <v>35</v>
      </c>
      <c r="E8351" t="s">
        <v>354</v>
      </c>
      <c r="F8351" t="s">
        <v>384</v>
      </c>
      <c r="G8351" t="s">
        <v>37</v>
      </c>
      <c r="H8351" t="s">
        <v>43</v>
      </c>
      <c r="I8351" s="187">
        <v>0</v>
      </c>
      <c r="J8351" s="187">
        <v>0</v>
      </c>
      <c r="K8351" s="187">
        <v>0</v>
      </c>
      <c r="L8351" s="187">
        <v>0</v>
      </c>
      <c r="M8351" s="187">
        <v>0</v>
      </c>
      <c r="N8351" s="187">
        <v>0</v>
      </c>
      <c r="O8351" t="s">
        <v>8079</v>
      </c>
    </row>
    <row r="8352" spans="1:15" hidden="1" x14ac:dyDescent="0.45">
      <c r="A8352" s="187">
        <v>2028</v>
      </c>
      <c r="B8352" t="s">
        <v>8570</v>
      </c>
      <c r="C8352" t="s">
        <v>322</v>
      </c>
      <c r="D8352" t="s">
        <v>35</v>
      </c>
      <c r="E8352" t="s">
        <v>354</v>
      </c>
      <c r="F8352" t="s">
        <v>385</v>
      </c>
      <c r="G8352" t="s">
        <v>36</v>
      </c>
      <c r="H8352" t="s">
        <v>43</v>
      </c>
      <c r="I8352" s="187">
        <v>61.179096000000008</v>
      </c>
      <c r="J8352" s="187">
        <v>20</v>
      </c>
      <c r="K8352" s="187">
        <v>1282.2585802519079</v>
      </c>
      <c r="L8352" s="187">
        <v>268</v>
      </c>
      <c r="M8352" s="187">
        <v>1631.4376220703125</v>
      </c>
      <c r="N8352" s="187">
        <v>329.17910766601563</v>
      </c>
      <c r="O8352" t="s">
        <v>9301</v>
      </c>
    </row>
    <row r="8353" spans="1:15" hidden="1" x14ac:dyDescent="0.45">
      <c r="A8353" s="187">
        <v>2028</v>
      </c>
      <c r="B8353" t="s">
        <v>317</v>
      </c>
      <c r="C8353" t="s">
        <v>322</v>
      </c>
      <c r="D8353" t="s">
        <v>35</v>
      </c>
      <c r="E8353" t="s">
        <v>354</v>
      </c>
      <c r="F8353" t="s">
        <v>385</v>
      </c>
      <c r="G8353" t="s">
        <v>36</v>
      </c>
      <c r="H8353" t="s">
        <v>43</v>
      </c>
      <c r="I8353" s="187">
        <v>54.025454784332467</v>
      </c>
      <c r="J8353" s="187">
        <v>21.610181913732987</v>
      </c>
      <c r="K8353" s="187">
        <v>918.47917421412285</v>
      </c>
      <c r="L8353" s="187">
        <v>346.84341971541443</v>
      </c>
      <c r="M8353" s="187">
        <v>1340.958251953125</v>
      </c>
      <c r="N8353" s="187">
        <v>400.86886596679688</v>
      </c>
      <c r="O8353" t="s">
        <v>8084</v>
      </c>
    </row>
    <row r="8354" spans="1:15" hidden="1" x14ac:dyDescent="0.45">
      <c r="A8354" s="187">
        <v>2028</v>
      </c>
      <c r="B8354" t="s">
        <v>315</v>
      </c>
      <c r="C8354" t="s">
        <v>322</v>
      </c>
      <c r="D8354" t="s">
        <v>35</v>
      </c>
      <c r="E8354" t="s">
        <v>354</v>
      </c>
      <c r="F8354" t="s">
        <v>385</v>
      </c>
      <c r="G8354" t="s">
        <v>36</v>
      </c>
      <c r="H8354" t="s">
        <v>43</v>
      </c>
      <c r="I8354" s="187">
        <v>0</v>
      </c>
      <c r="J8354" s="187">
        <v>45.311897447400071</v>
      </c>
      <c r="K8354" s="187">
        <v>1313.2354740927938</v>
      </c>
      <c r="L8354" s="187">
        <v>58.905466681620091</v>
      </c>
      <c r="M8354" s="187">
        <v>1417.452880859375</v>
      </c>
      <c r="N8354" s="187">
        <v>58.905467987060547</v>
      </c>
      <c r="O8354" t="s">
        <v>8083</v>
      </c>
    </row>
    <row r="8355" spans="1:15" hidden="1" x14ac:dyDescent="0.45">
      <c r="A8355" s="187">
        <v>2028</v>
      </c>
      <c r="B8355" t="s">
        <v>316</v>
      </c>
      <c r="C8355" t="s">
        <v>322</v>
      </c>
      <c r="D8355" t="s">
        <v>35</v>
      </c>
      <c r="E8355" t="s">
        <v>354</v>
      </c>
      <c r="F8355" t="s">
        <v>385</v>
      </c>
      <c r="G8355" t="s">
        <v>36</v>
      </c>
      <c r="H8355" t="s">
        <v>43</v>
      </c>
      <c r="I8355" s="187">
        <v>0</v>
      </c>
      <c r="J8355" s="187">
        <v>22.029076772714181</v>
      </c>
      <c r="K8355" s="187">
        <v>992.44817584756208</v>
      </c>
      <c r="L8355" s="187">
        <v>58.377053447692582</v>
      </c>
      <c r="M8355" s="187">
        <v>1072.854248046875</v>
      </c>
      <c r="N8355" s="187">
        <v>58.377052307128906</v>
      </c>
      <c r="O8355" t="s">
        <v>8081</v>
      </c>
    </row>
    <row r="8356" spans="1:15" hidden="1" x14ac:dyDescent="0.45">
      <c r="A8356" s="187">
        <v>2028</v>
      </c>
      <c r="B8356" t="s">
        <v>314</v>
      </c>
      <c r="C8356" t="s">
        <v>322</v>
      </c>
      <c r="D8356" t="s">
        <v>35</v>
      </c>
      <c r="E8356" t="s">
        <v>354</v>
      </c>
      <c r="F8356" t="s">
        <v>385</v>
      </c>
      <c r="G8356" t="s">
        <v>36</v>
      </c>
      <c r="H8356" t="s">
        <v>43</v>
      </c>
      <c r="I8356" s="187">
        <v>0</v>
      </c>
      <c r="J8356" s="187">
        <v>46.592826443955992</v>
      </c>
      <c r="K8356" s="187">
        <v>1352.9775763801463</v>
      </c>
      <c r="L8356" s="187">
        <v>0</v>
      </c>
      <c r="M8356" s="187">
        <v>1399.5704345703125</v>
      </c>
      <c r="N8356" s="187">
        <v>0</v>
      </c>
      <c r="O8356" t="s">
        <v>8082</v>
      </c>
    </row>
    <row r="8357" spans="1:15" hidden="1" x14ac:dyDescent="0.45">
      <c r="A8357" s="187">
        <v>2028</v>
      </c>
      <c r="B8357" t="s">
        <v>317</v>
      </c>
      <c r="C8357" t="s">
        <v>322</v>
      </c>
      <c r="D8357" t="s">
        <v>35</v>
      </c>
      <c r="E8357" t="s">
        <v>354</v>
      </c>
      <c r="F8357" t="s">
        <v>385</v>
      </c>
      <c r="G8357" t="s">
        <v>37</v>
      </c>
      <c r="H8357" t="s">
        <v>43</v>
      </c>
      <c r="I8357" s="187">
        <v>57.434283382464002</v>
      </c>
      <c r="J8357" s="187">
        <v>20</v>
      </c>
      <c r="K8357" s="187">
        <v>970.48066577895145</v>
      </c>
      <c r="L8357" s="187">
        <v>365</v>
      </c>
      <c r="M8357" s="187">
        <v>1412.9149169921875</v>
      </c>
      <c r="N8357" s="187">
        <v>422.43429565429688</v>
      </c>
      <c r="O8357" t="s">
        <v>8088</v>
      </c>
    </row>
    <row r="8358" spans="1:15" hidden="1" x14ac:dyDescent="0.45">
      <c r="A8358" s="187">
        <v>2028</v>
      </c>
      <c r="B8358" t="s">
        <v>316</v>
      </c>
      <c r="C8358" t="s">
        <v>322</v>
      </c>
      <c r="D8358" t="s">
        <v>35</v>
      </c>
      <c r="E8358" t="s">
        <v>354</v>
      </c>
      <c r="F8358" t="s">
        <v>385</v>
      </c>
      <c r="G8358" t="s">
        <v>37</v>
      </c>
      <c r="H8358" t="s">
        <v>43</v>
      </c>
      <c r="I8358" s="187">
        <v>0</v>
      </c>
      <c r="J8358" s="187">
        <v>20</v>
      </c>
      <c r="K8358" s="187">
        <v>1036.839608397969</v>
      </c>
      <c r="L8358" s="187">
        <v>62.5849267751463</v>
      </c>
      <c r="M8358" s="187">
        <v>1119.424560546875</v>
      </c>
      <c r="N8358" s="187">
        <v>62.584926605224609</v>
      </c>
      <c r="O8358" t="s">
        <v>8085</v>
      </c>
    </row>
    <row r="8359" spans="1:15" hidden="1" x14ac:dyDescent="0.45">
      <c r="A8359" s="187">
        <v>2028</v>
      </c>
      <c r="B8359" t="s">
        <v>315</v>
      </c>
      <c r="C8359" t="s">
        <v>322</v>
      </c>
      <c r="D8359" t="s">
        <v>35</v>
      </c>
      <c r="E8359" t="s">
        <v>354</v>
      </c>
      <c r="F8359" t="s">
        <v>385</v>
      </c>
      <c r="G8359" t="s">
        <v>37</v>
      </c>
      <c r="H8359" t="s">
        <v>43</v>
      </c>
      <c r="I8359" s="187">
        <v>0</v>
      </c>
      <c r="J8359" s="187">
        <v>47</v>
      </c>
      <c r="K8359" s="187">
        <v>1382.004300532964</v>
      </c>
      <c r="L8359" s="187">
        <v>62.144813568360178</v>
      </c>
      <c r="M8359" s="187">
        <v>1491.1490478515625</v>
      </c>
      <c r="N8359" s="187">
        <v>62.144813537597656</v>
      </c>
      <c r="O8359" t="s">
        <v>8086</v>
      </c>
    </row>
    <row r="8360" spans="1:15" hidden="1" x14ac:dyDescent="0.45">
      <c r="A8360" s="187">
        <v>2028</v>
      </c>
      <c r="B8360" t="s">
        <v>8570</v>
      </c>
      <c r="C8360" t="s">
        <v>322</v>
      </c>
      <c r="D8360" t="s">
        <v>35</v>
      </c>
      <c r="E8360" t="s">
        <v>354</v>
      </c>
      <c r="F8360" t="s">
        <v>385</v>
      </c>
      <c r="G8360" t="s">
        <v>37</v>
      </c>
      <c r="H8360" t="s">
        <v>43</v>
      </c>
      <c r="I8360" s="187">
        <v>68.897598759744525</v>
      </c>
      <c r="J8360" s="187">
        <v>20</v>
      </c>
      <c r="K8360" s="187">
        <v>1450.39688959145</v>
      </c>
      <c r="L8360" s="187">
        <v>328</v>
      </c>
      <c r="M8360" s="187">
        <v>1867.29443359375</v>
      </c>
      <c r="N8360" s="187">
        <v>396.8975830078125</v>
      </c>
      <c r="O8360" t="s">
        <v>9302</v>
      </c>
    </row>
    <row r="8361" spans="1:15" hidden="1" x14ac:dyDescent="0.45">
      <c r="A8361" s="187">
        <v>2028</v>
      </c>
      <c r="B8361" t="s">
        <v>314</v>
      </c>
      <c r="C8361" t="s">
        <v>322</v>
      </c>
      <c r="D8361" t="s">
        <v>35</v>
      </c>
      <c r="E8361" t="s">
        <v>354</v>
      </c>
      <c r="F8361" t="s">
        <v>385</v>
      </c>
      <c r="G8361" t="s">
        <v>37</v>
      </c>
      <c r="H8361" t="s">
        <v>43</v>
      </c>
      <c r="I8361" s="187">
        <v>0</v>
      </c>
      <c r="J8361" s="187">
        <v>49</v>
      </c>
      <c r="K8361" s="187">
        <v>1418.51318500411</v>
      </c>
      <c r="L8361" s="187">
        <v>0</v>
      </c>
      <c r="M8361" s="187">
        <v>1467.51318359375</v>
      </c>
      <c r="N8361" s="187">
        <v>0</v>
      </c>
      <c r="O8361" t="s">
        <v>8087</v>
      </c>
    </row>
    <row r="8362" spans="1:15" hidden="1" x14ac:dyDescent="0.45">
      <c r="A8362" s="187">
        <v>2028</v>
      </c>
      <c r="B8362" t="s">
        <v>317</v>
      </c>
      <c r="C8362" t="s">
        <v>322</v>
      </c>
      <c r="D8362" t="s">
        <v>35</v>
      </c>
      <c r="E8362" t="s">
        <v>354</v>
      </c>
      <c r="F8362" t="s">
        <v>386</v>
      </c>
      <c r="G8362" t="s">
        <v>36</v>
      </c>
      <c r="H8362" t="s">
        <v>43</v>
      </c>
      <c r="I8362" s="187">
        <v>54.025454784332467</v>
      </c>
      <c r="J8362" s="187">
        <v>21.610181913732987</v>
      </c>
      <c r="K8362" s="187">
        <v>943.64298720629051</v>
      </c>
      <c r="L8362" s="187">
        <v>848.19964011401976</v>
      </c>
      <c r="M8362" s="187">
        <v>1867.478271484375</v>
      </c>
      <c r="N8362" s="187">
        <v>902.22509765625</v>
      </c>
      <c r="O8362" t="s">
        <v>8092</v>
      </c>
    </row>
    <row r="8363" spans="1:15" hidden="1" x14ac:dyDescent="0.45">
      <c r="A8363" s="187">
        <v>2028</v>
      </c>
      <c r="B8363" t="s">
        <v>314</v>
      </c>
      <c r="C8363" t="s">
        <v>322</v>
      </c>
      <c r="D8363" t="s">
        <v>35</v>
      </c>
      <c r="E8363" t="s">
        <v>354</v>
      </c>
      <c r="F8363" t="s">
        <v>386</v>
      </c>
      <c r="G8363" t="s">
        <v>36</v>
      </c>
      <c r="H8363" t="s">
        <v>43</v>
      </c>
      <c r="I8363" s="187">
        <v>0</v>
      </c>
      <c r="J8363" s="187">
        <v>58.241033054944985</v>
      </c>
      <c r="K8363" s="187">
        <v>2081.5039636617639</v>
      </c>
      <c r="L8363" s="187">
        <v>57.076212393846085</v>
      </c>
      <c r="M8363" s="187">
        <v>2196.8212890625</v>
      </c>
      <c r="N8363" s="187">
        <v>57.076213836669922</v>
      </c>
      <c r="O8363" t="s">
        <v>8090</v>
      </c>
    </row>
    <row r="8364" spans="1:15" hidden="1" x14ac:dyDescent="0.45">
      <c r="A8364" s="187">
        <v>2028</v>
      </c>
      <c r="B8364" t="s">
        <v>316</v>
      </c>
      <c r="C8364" t="s">
        <v>322</v>
      </c>
      <c r="D8364" t="s">
        <v>35</v>
      </c>
      <c r="E8364" t="s">
        <v>354</v>
      </c>
      <c r="F8364" t="s">
        <v>386</v>
      </c>
      <c r="G8364" t="s">
        <v>36</v>
      </c>
      <c r="H8364" t="s">
        <v>43</v>
      </c>
      <c r="I8364" s="187">
        <v>0</v>
      </c>
      <c r="J8364" s="187">
        <v>22.029076772714181</v>
      </c>
      <c r="K8364" s="187">
        <v>2357.0355813776541</v>
      </c>
      <c r="L8364" s="187">
        <v>0</v>
      </c>
      <c r="M8364" s="187">
        <v>2379.064697265625</v>
      </c>
      <c r="N8364" s="187">
        <v>0</v>
      </c>
      <c r="O8364" t="s">
        <v>8091</v>
      </c>
    </row>
    <row r="8365" spans="1:15" hidden="1" x14ac:dyDescent="0.45">
      <c r="A8365" s="187">
        <v>2028</v>
      </c>
      <c r="B8365" t="s">
        <v>8570</v>
      </c>
      <c r="C8365" t="s">
        <v>322</v>
      </c>
      <c r="D8365" t="s">
        <v>35</v>
      </c>
      <c r="E8365" t="s">
        <v>354</v>
      </c>
      <c r="F8365" t="s">
        <v>386</v>
      </c>
      <c r="G8365" t="s">
        <v>36</v>
      </c>
      <c r="H8365" t="s">
        <v>43</v>
      </c>
      <c r="I8365" s="187">
        <v>61.179096000000008</v>
      </c>
      <c r="J8365" s="187">
        <v>20</v>
      </c>
      <c r="K8365" s="187">
        <v>316.62813754829739</v>
      </c>
      <c r="L8365" s="187">
        <v>0</v>
      </c>
      <c r="M8365" s="187">
        <v>397.80722045898438</v>
      </c>
      <c r="N8365" s="187">
        <v>61.179096221923828</v>
      </c>
      <c r="O8365" t="s">
        <v>9303</v>
      </c>
    </row>
    <row r="8366" spans="1:15" hidden="1" x14ac:dyDescent="0.45">
      <c r="A8366" s="187">
        <v>2028</v>
      </c>
      <c r="B8366" t="s">
        <v>315</v>
      </c>
      <c r="C8366" t="s">
        <v>322</v>
      </c>
      <c r="D8366" t="s">
        <v>35</v>
      </c>
      <c r="E8366" t="s">
        <v>354</v>
      </c>
      <c r="F8366" t="s">
        <v>386</v>
      </c>
      <c r="G8366" t="s">
        <v>36</v>
      </c>
      <c r="H8366" t="s">
        <v>43</v>
      </c>
      <c r="I8366" s="187">
        <v>0</v>
      </c>
      <c r="J8366" s="187">
        <v>56.639871809250089</v>
      </c>
      <c r="K8366" s="187">
        <v>2020.3622678350662</v>
      </c>
      <c r="L8366" s="187">
        <v>0</v>
      </c>
      <c r="M8366" s="187">
        <v>2077.002197265625</v>
      </c>
      <c r="N8366" s="187">
        <v>0</v>
      </c>
      <c r="O8366" t="s">
        <v>8089</v>
      </c>
    </row>
    <row r="8367" spans="1:15" hidden="1" x14ac:dyDescent="0.45">
      <c r="A8367" s="187">
        <v>2028</v>
      </c>
      <c r="B8367" t="s">
        <v>317</v>
      </c>
      <c r="C8367" t="s">
        <v>322</v>
      </c>
      <c r="D8367" t="s">
        <v>35</v>
      </c>
      <c r="E8367" t="s">
        <v>354</v>
      </c>
      <c r="F8367" t="s">
        <v>386</v>
      </c>
      <c r="G8367" t="s">
        <v>37</v>
      </c>
      <c r="H8367" t="s">
        <v>43</v>
      </c>
      <c r="I8367" s="187">
        <v>57.434283382464002</v>
      </c>
      <c r="J8367" s="187">
        <v>20</v>
      </c>
      <c r="K8367" s="187">
        <v>997.06917717015563</v>
      </c>
      <c r="L8367" s="187">
        <v>891</v>
      </c>
      <c r="M8367" s="187">
        <v>1965.50341796875</v>
      </c>
      <c r="N8367" s="187">
        <v>948.43426513671875</v>
      </c>
      <c r="O8367" t="s">
        <v>8095</v>
      </c>
    </row>
    <row r="8368" spans="1:15" hidden="1" x14ac:dyDescent="0.45">
      <c r="A8368" s="187">
        <v>2028</v>
      </c>
      <c r="B8368" t="s">
        <v>8570</v>
      </c>
      <c r="C8368" t="s">
        <v>322</v>
      </c>
      <c r="D8368" t="s">
        <v>35</v>
      </c>
      <c r="E8368" t="s">
        <v>354</v>
      </c>
      <c r="F8368" t="s">
        <v>386</v>
      </c>
      <c r="G8368" t="s">
        <v>37</v>
      </c>
      <c r="H8368" t="s">
        <v>43</v>
      </c>
      <c r="I8368" s="187">
        <v>68.897598759744525</v>
      </c>
      <c r="J8368" s="187">
        <v>20</v>
      </c>
      <c r="K8368" s="187">
        <v>358.1465337256426</v>
      </c>
      <c r="L8368" s="187">
        <v>0</v>
      </c>
      <c r="M8368" s="187">
        <v>447.04412841796875</v>
      </c>
      <c r="N8368" s="187">
        <v>68.897598266601563</v>
      </c>
      <c r="O8368" t="s">
        <v>9304</v>
      </c>
    </row>
    <row r="8369" spans="1:15" hidden="1" x14ac:dyDescent="0.45">
      <c r="A8369" s="187">
        <v>2028</v>
      </c>
      <c r="B8369" t="s">
        <v>316</v>
      </c>
      <c r="C8369" t="s">
        <v>322</v>
      </c>
      <c r="D8369" t="s">
        <v>35</v>
      </c>
      <c r="E8369" t="s">
        <v>354</v>
      </c>
      <c r="F8369" t="s">
        <v>386</v>
      </c>
      <c r="G8369" t="s">
        <v>37</v>
      </c>
      <c r="H8369" t="s">
        <v>43</v>
      </c>
      <c r="I8369" s="187">
        <v>0</v>
      </c>
      <c r="J8369" s="187">
        <v>20</v>
      </c>
      <c r="K8369" s="187">
        <v>2462.4639438614472</v>
      </c>
      <c r="L8369" s="187">
        <v>0</v>
      </c>
      <c r="M8369" s="187">
        <v>2482.4638671875</v>
      </c>
      <c r="N8369" s="187">
        <v>0</v>
      </c>
      <c r="O8369" t="s">
        <v>8094</v>
      </c>
    </row>
    <row r="8370" spans="1:15" hidden="1" x14ac:dyDescent="0.45">
      <c r="A8370" s="187">
        <v>2028</v>
      </c>
      <c r="B8370" t="s">
        <v>315</v>
      </c>
      <c r="C8370" t="s">
        <v>322</v>
      </c>
      <c r="D8370" t="s">
        <v>35</v>
      </c>
      <c r="E8370" t="s">
        <v>354</v>
      </c>
      <c r="F8370" t="s">
        <v>386</v>
      </c>
      <c r="G8370" t="s">
        <v>37</v>
      </c>
      <c r="H8370" t="s">
        <v>43</v>
      </c>
      <c r="I8370" s="187">
        <v>0</v>
      </c>
      <c r="J8370" s="187">
        <v>59</v>
      </c>
      <c r="K8370" s="187">
        <v>2126.1604623584062</v>
      </c>
      <c r="L8370" s="187">
        <v>0</v>
      </c>
      <c r="M8370" s="187">
        <v>2185.160400390625</v>
      </c>
      <c r="N8370" s="187">
        <v>0</v>
      </c>
      <c r="O8370" t="s">
        <v>8093</v>
      </c>
    </row>
    <row r="8371" spans="1:15" hidden="1" x14ac:dyDescent="0.45">
      <c r="A8371" s="187">
        <v>2028</v>
      </c>
      <c r="B8371" t="s">
        <v>314</v>
      </c>
      <c r="C8371" t="s">
        <v>322</v>
      </c>
      <c r="D8371" t="s">
        <v>35</v>
      </c>
      <c r="E8371" t="s">
        <v>354</v>
      </c>
      <c r="F8371" t="s">
        <v>386</v>
      </c>
      <c r="G8371" t="s">
        <v>37</v>
      </c>
      <c r="H8371" t="s">
        <v>43</v>
      </c>
      <c r="I8371" s="187">
        <v>0</v>
      </c>
      <c r="J8371" s="187">
        <v>61</v>
      </c>
      <c r="K8371" s="187">
        <v>2182.327976929399</v>
      </c>
      <c r="L8371" s="187">
        <v>65.732967272552145</v>
      </c>
      <c r="M8371" s="187">
        <v>2309.060791015625</v>
      </c>
      <c r="N8371" s="187">
        <v>65.732963562011719</v>
      </c>
      <c r="O8371" t="s">
        <v>8096</v>
      </c>
    </row>
    <row r="8372" spans="1:15" hidden="1" x14ac:dyDescent="0.45">
      <c r="A8372" s="187">
        <v>2028</v>
      </c>
      <c r="B8372" t="s">
        <v>316</v>
      </c>
      <c r="C8372" t="s">
        <v>322</v>
      </c>
      <c r="D8372" t="s">
        <v>35</v>
      </c>
      <c r="E8372" t="s">
        <v>354</v>
      </c>
      <c r="F8372" t="s">
        <v>387</v>
      </c>
      <c r="G8372" t="s">
        <v>36</v>
      </c>
      <c r="H8372" t="s">
        <v>43</v>
      </c>
      <c r="I8372" s="187">
        <v>0</v>
      </c>
      <c r="J8372" s="187">
        <v>88.116307090856722</v>
      </c>
      <c r="K8372" s="187">
        <v>3349.4837572252159</v>
      </c>
      <c r="L8372" s="187">
        <v>58.377053447692582</v>
      </c>
      <c r="M8372" s="187">
        <v>3495.97705078125</v>
      </c>
      <c r="N8372" s="187">
        <v>58.377052307128906</v>
      </c>
      <c r="O8372" t="s">
        <v>8097</v>
      </c>
    </row>
    <row r="8373" spans="1:15" hidden="1" x14ac:dyDescent="0.45">
      <c r="A8373" s="187">
        <v>2028</v>
      </c>
      <c r="B8373" t="s">
        <v>315</v>
      </c>
      <c r="C8373" t="s">
        <v>322</v>
      </c>
      <c r="D8373" t="s">
        <v>35</v>
      </c>
      <c r="E8373" t="s">
        <v>354</v>
      </c>
      <c r="F8373" t="s">
        <v>387</v>
      </c>
      <c r="G8373" t="s">
        <v>36</v>
      </c>
      <c r="H8373" t="s">
        <v>43</v>
      </c>
      <c r="I8373" s="187">
        <v>0</v>
      </c>
      <c r="J8373" s="187">
        <v>101.95176925665017</v>
      </c>
      <c r="K8373" s="187">
        <v>3333.5977419278597</v>
      </c>
      <c r="L8373" s="187">
        <v>58.905466681620091</v>
      </c>
      <c r="M8373" s="187">
        <v>3494.455078125</v>
      </c>
      <c r="N8373" s="187">
        <v>58.905467987060547</v>
      </c>
      <c r="O8373" t="s">
        <v>8099</v>
      </c>
    </row>
    <row r="8374" spans="1:15" hidden="1" x14ac:dyDescent="0.45">
      <c r="A8374" s="187">
        <v>2028</v>
      </c>
      <c r="B8374" t="s">
        <v>8570</v>
      </c>
      <c r="C8374" t="s">
        <v>322</v>
      </c>
      <c r="D8374" t="s">
        <v>35</v>
      </c>
      <c r="E8374" t="s">
        <v>354</v>
      </c>
      <c r="F8374" t="s">
        <v>387</v>
      </c>
      <c r="G8374" t="s">
        <v>36</v>
      </c>
      <c r="H8374" t="s">
        <v>43</v>
      </c>
      <c r="I8374" s="187">
        <v>122.358192</v>
      </c>
      <c r="J8374" s="187">
        <v>80</v>
      </c>
      <c r="K8374" s="187">
        <v>1598.8867178002049</v>
      </c>
      <c r="L8374" s="187">
        <v>268</v>
      </c>
      <c r="M8374" s="187">
        <v>2069.244873046875</v>
      </c>
      <c r="N8374" s="187">
        <v>390.35818481445313</v>
      </c>
      <c r="O8374" t="s">
        <v>9305</v>
      </c>
    </row>
    <row r="8375" spans="1:15" hidden="1" x14ac:dyDescent="0.45">
      <c r="A8375" s="187">
        <v>2028</v>
      </c>
      <c r="B8375" t="s">
        <v>314</v>
      </c>
      <c r="C8375" t="s">
        <v>322</v>
      </c>
      <c r="D8375" t="s">
        <v>35</v>
      </c>
      <c r="E8375" t="s">
        <v>354</v>
      </c>
      <c r="F8375" t="s">
        <v>387</v>
      </c>
      <c r="G8375" t="s">
        <v>36</v>
      </c>
      <c r="H8375" t="s">
        <v>43</v>
      </c>
      <c r="I8375" s="187">
        <v>0</v>
      </c>
      <c r="J8375" s="187">
        <v>104.83385949890098</v>
      </c>
      <c r="K8375" s="187">
        <v>3434.4815400419088</v>
      </c>
      <c r="L8375" s="187">
        <v>57.076212393846085</v>
      </c>
      <c r="M8375" s="187">
        <v>3596.3916015625</v>
      </c>
      <c r="N8375" s="187">
        <v>57.076213836669922</v>
      </c>
      <c r="O8375" t="s">
        <v>8100</v>
      </c>
    </row>
    <row r="8376" spans="1:15" hidden="1" x14ac:dyDescent="0.45">
      <c r="A8376" s="187">
        <v>2028</v>
      </c>
      <c r="B8376" t="s">
        <v>317</v>
      </c>
      <c r="C8376" t="s">
        <v>322</v>
      </c>
      <c r="D8376" t="s">
        <v>35</v>
      </c>
      <c r="E8376" t="s">
        <v>354</v>
      </c>
      <c r="F8376" t="s">
        <v>387</v>
      </c>
      <c r="G8376" t="s">
        <v>36</v>
      </c>
      <c r="H8376" t="s">
        <v>43</v>
      </c>
      <c r="I8376" s="187">
        <v>108.05090956866493</v>
      </c>
      <c r="J8376" s="187">
        <v>86.440727654931948</v>
      </c>
      <c r="K8376" s="187">
        <v>1862.1221614204128</v>
      </c>
      <c r="L8376" s="187">
        <v>1195.0430598294342</v>
      </c>
      <c r="M8376" s="187">
        <v>3251.65673828125</v>
      </c>
      <c r="N8376" s="187">
        <v>1303.093994140625</v>
      </c>
      <c r="O8376" t="s">
        <v>8098</v>
      </c>
    </row>
    <row r="8377" spans="1:15" hidden="1" x14ac:dyDescent="0.45">
      <c r="A8377" s="187">
        <v>2028</v>
      </c>
      <c r="B8377" t="s">
        <v>8570</v>
      </c>
      <c r="C8377" t="s">
        <v>322</v>
      </c>
      <c r="D8377" t="s">
        <v>35</v>
      </c>
      <c r="E8377" t="s">
        <v>354</v>
      </c>
      <c r="F8377" t="s">
        <v>387</v>
      </c>
      <c r="G8377" t="s">
        <v>37</v>
      </c>
      <c r="H8377" t="s">
        <v>43</v>
      </c>
      <c r="I8377" s="187">
        <v>137.79519751948911</v>
      </c>
      <c r="J8377" s="187">
        <v>80</v>
      </c>
      <c r="K8377" s="187">
        <v>1808.5434233170929</v>
      </c>
      <c r="L8377" s="187">
        <v>328</v>
      </c>
      <c r="M8377" s="187">
        <v>2354.338623046875</v>
      </c>
      <c r="N8377" s="187">
        <v>465.79519653320313</v>
      </c>
      <c r="O8377" t="s">
        <v>9306</v>
      </c>
    </row>
    <row r="8378" spans="1:15" hidden="1" x14ac:dyDescent="0.45">
      <c r="A8378" s="187">
        <v>2028</v>
      </c>
      <c r="B8378" t="s">
        <v>317</v>
      </c>
      <c r="C8378" t="s">
        <v>322</v>
      </c>
      <c r="D8378" t="s">
        <v>35</v>
      </c>
      <c r="E8378" t="s">
        <v>354</v>
      </c>
      <c r="F8378" t="s">
        <v>387</v>
      </c>
      <c r="G8378" t="s">
        <v>37</v>
      </c>
      <c r="H8378" t="s">
        <v>43</v>
      </c>
      <c r="I8378" s="187">
        <v>114.868566764928</v>
      </c>
      <c r="J8378" s="187">
        <v>80</v>
      </c>
      <c r="K8378" s="187">
        <v>1967.549842949107</v>
      </c>
      <c r="L8378" s="187">
        <v>1256</v>
      </c>
      <c r="M8378" s="187">
        <v>3418.41845703125</v>
      </c>
      <c r="N8378" s="187">
        <v>1370.8685302734375</v>
      </c>
      <c r="O8378" t="s">
        <v>8102</v>
      </c>
    </row>
    <row r="8379" spans="1:15" hidden="1" x14ac:dyDescent="0.45">
      <c r="A8379" s="187">
        <v>2028</v>
      </c>
      <c r="B8379" t="s">
        <v>315</v>
      </c>
      <c r="C8379" t="s">
        <v>322</v>
      </c>
      <c r="D8379" t="s">
        <v>35</v>
      </c>
      <c r="E8379" t="s">
        <v>354</v>
      </c>
      <c r="F8379" t="s">
        <v>387</v>
      </c>
      <c r="G8379" t="s">
        <v>37</v>
      </c>
      <c r="H8379" t="s">
        <v>43</v>
      </c>
      <c r="I8379" s="187">
        <v>0</v>
      </c>
      <c r="J8379" s="187">
        <v>106</v>
      </c>
      <c r="K8379" s="187">
        <v>3508.1647628913702</v>
      </c>
      <c r="L8379" s="187">
        <v>62.144813568360178</v>
      </c>
      <c r="M8379" s="187">
        <v>3676.3095703125</v>
      </c>
      <c r="N8379" s="187">
        <v>62.144813537597656</v>
      </c>
      <c r="O8379" t="s">
        <v>8101</v>
      </c>
    </row>
    <row r="8380" spans="1:15" hidden="1" x14ac:dyDescent="0.45">
      <c r="A8380" s="187">
        <v>2028</v>
      </c>
      <c r="B8380" t="s">
        <v>314</v>
      </c>
      <c r="C8380" t="s">
        <v>322</v>
      </c>
      <c r="D8380" t="s">
        <v>35</v>
      </c>
      <c r="E8380" t="s">
        <v>354</v>
      </c>
      <c r="F8380" t="s">
        <v>387</v>
      </c>
      <c r="G8380" t="s">
        <v>37</v>
      </c>
      <c r="H8380" t="s">
        <v>43</v>
      </c>
      <c r="I8380" s="187">
        <v>0</v>
      </c>
      <c r="J8380" s="187">
        <v>110</v>
      </c>
      <c r="K8380" s="187">
        <v>3600.8411619335088</v>
      </c>
      <c r="L8380" s="187">
        <v>65.732967272552145</v>
      </c>
      <c r="M8380" s="187">
        <v>3776.573974609375</v>
      </c>
      <c r="N8380" s="187">
        <v>65.732963562011719</v>
      </c>
      <c r="O8380" t="s">
        <v>8103</v>
      </c>
    </row>
    <row r="8381" spans="1:15" hidden="1" x14ac:dyDescent="0.45">
      <c r="A8381" s="187">
        <v>2028</v>
      </c>
      <c r="B8381" t="s">
        <v>316</v>
      </c>
      <c r="C8381" t="s">
        <v>322</v>
      </c>
      <c r="D8381" t="s">
        <v>35</v>
      </c>
      <c r="E8381" t="s">
        <v>354</v>
      </c>
      <c r="F8381" t="s">
        <v>387</v>
      </c>
      <c r="G8381" t="s">
        <v>37</v>
      </c>
      <c r="H8381" t="s">
        <v>43</v>
      </c>
      <c r="I8381" s="187">
        <v>0</v>
      </c>
      <c r="J8381" s="187">
        <v>80</v>
      </c>
      <c r="K8381" s="187">
        <v>3499.3035522594159</v>
      </c>
      <c r="L8381" s="187">
        <v>62.5849267751463</v>
      </c>
      <c r="M8381" s="187">
        <v>3641.888427734375</v>
      </c>
      <c r="N8381" s="187">
        <v>62.584926605224609</v>
      </c>
      <c r="O8381" t="s">
        <v>8104</v>
      </c>
    </row>
    <row r="8382" spans="1:15" hidden="1" x14ac:dyDescent="0.45">
      <c r="A8382" s="187">
        <v>2028</v>
      </c>
      <c r="B8382" t="s">
        <v>314</v>
      </c>
      <c r="C8382" t="s">
        <v>322</v>
      </c>
      <c r="D8382" t="s">
        <v>35</v>
      </c>
      <c r="E8382" t="s">
        <v>17</v>
      </c>
      <c r="F8382" t="s">
        <v>17</v>
      </c>
      <c r="G8382" t="s">
        <v>36</v>
      </c>
      <c r="H8382" t="s">
        <v>43</v>
      </c>
      <c r="I8382" s="187">
        <v>3248.8944915238289</v>
      </c>
      <c r="J8382" s="187">
        <v>81.537446276922978</v>
      </c>
      <c r="K8382" s="187">
        <v>835.95730967374629</v>
      </c>
      <c r="L8382" s="187">
        <v>343.62209502417545</v>
      </c>
      <c r="M8382" s="187">
        <v>4510.01123046875</v>
      </c>
      <c r="N8382" s="187">
        <v>3592.5166015625</v>
      </c>
      <c r="O8382" t="s">
        <v>8107</v>
      </c>
    </row>
    <row r="8383" spans="1:15" hidden="1" x14ac:dyDescent="0.45">
      <c r="A8383" s="187">
        <v>2028</v>
      </c>
      <c r="B8383" t="s">
        <v>317</v>
      </c>
      <c r="C8383" t="s">
        <v>322</v>
      </c>
      <c r="D8383" t="s">
        <v>35</v>
      </c>
      <c r="E8383" t="s">
        <v>17</v>
      </c>
      <c r="F8383" t="s">
        <v>17</v>
      </c>
      <c r="G8383" t="s">
        <v>36</v>
      </c>
      <c r="H8383" t="s">
        <v>43</v>
      </c>
      <c r="I8383" s="187">
        <v>3807.1953748390893</v>
      </c>
      <c r="J8383" s="187">
        <v>162.07636435299739</v>
      </c>
      <c r="K8383" s="187">
        <v>971.42341879657852</v>
      </c>
      <c r="L8383" s="187">
        <v>937.88189505601156</v>
      </c>
      <c r="M8383" s="187">
        <v>5878.5771484375</v>
      </c>
      <c r="N8383" s="187">
        <v>4745.0771484375</v>
      </c>
      <c r="O8383" t="s">
        <v>8105</v>
      </c>
    </row>
    <row r="8384" spans="1:15" hidden="1" x14ac:dyDescent="0.45">
      <c r="A8384" s="187">
        <v>2028</v>
      </c>
      <c r="B8384" t="s">
        <v>316</v>
      </c>
      <c r="C8384" t="s">
        <v>322</v>
      </c>
      <c r="D8384" t="s">
        <v>35</v>
      </c>
      <c r="E8384" t="s">
        <v>17</v>
      </c>
      <c r="F8384" t="s">
        <v>17</v>
      </c>
      <c r="G8384" t="s">
        <v>36</v>
      </c>
      <c r="H8384" t="s">
        <v>43</v>
      </c>
      <c r="I8384" s="187">
        <v>3133.9032933006306</v>
      </c>
      <c r="J8384" s="187">
        <v>165.21807579535636</v>
      </c>
      <c r="K8384" s="187">
        <v>1461.3318280036087</v>
      </c>
      <c r="L8384" s="187">
        <v>2261.2847307191105</v>
      </c>
      <c r="M8384" s="187">
        <v>7021.73779296875</v>
      </c>
      <c r="N8384" s="187">
        <v>5395.18798828125</v>
      </c>
      <c r="O8384" t="s">
        <v>8106</v>
      </c>
    </row>
    <row r="8385" spans="1:15" hidden="1" x14ac:dyDescent="0.45">
      <c r="A8385" s="187">
        <v>2028</v>
      </c>
      <c r="B8385" t="s">
        <v>315</v>
      </c>
      <c r="C8385" t="s">
        <v>322</v>
      </c>
      <c r="D8385" t="s">
        <v>35</v>
      </c>
      <c r="E8385" t="s">
        <v>17</v>
      </c>
      <c r="F8385" t="s">
        <v>17</v>
      </c>
      <c r="G8385" t="s">
        <v>36</v>
      </c>
      <c r="H8385" t="s">
        <v>43</v>
      </c>
      <c r="I8385" s="187">
        <v>3159.5770858559194</v>
      </c>
      <c r="J8385" s="187">
        <v>79.295820532950131</v>
      </c>
      <c r="K8385" s="187">
        <v>1249.0205181240342</v>
      </c>
      <c r="L8385" s="187">
        <v>1263.0691413462771</v>
      </c>
      <c r="M8385" s="187">
        <v>5750.962890625</v>
      </c>
      <c r="N8385" s="187">
        <v>4422.646484375</v>
      </c>
      <c r="O8385" t="s">
        <v>8108</v>
      </c>
    </row>
    <row r="8386" spans="1:15" hidden="1" x14ac:dyDescent="0.45">
      <c r="A8386" s="187">
        <v>2028</v>
      </c>
      <c r="B8386" t="s">
        <v>8570</v>
      </c>
      <c r="C8386" t="s">
        <v>322</v>
      </c>
      <c r="D8386" t="s">
        <v>35</v>
      </c>
      <c r="E8386" t="s">
        <v>17</v>
      </c>
      <c r="F8386" t="s">
        <v>17</v>
      </c>
      <c r="G8386" t="s">
        <v>36</v>
      </c>
      <c r="H8386" t="s">
        <v>43</v>
      </c>
      <c r="I8386" s="187">
        <v>3272.3329589885329</v>
      </c>
      <c r="J8386" s="187">
        <v>150</v>
      </c>
      <c r="K8386" s="187">
        <v>1038.6714432721251</v>
      </c>
      <c r="L8386" s="187">
        <v>2405</v>
      </c>
      <c r="M8386" s="187">
        <v>6866.00439453125</v>
      </c>
      <c r="N8386" s="187">
        <v>5677.3330078125</v>
      </c>
      <c r="O8386" t="s">
        <v>9307</v>
      </c>
    </row>
    <row r="8387" spans="1:15" hidden="1" x14ac:dyDescent="0.45">
      <c r="A8387" s="187">
        <v>2028</v>
      </c>
      <c r="B8387" t="s">
        <v>317</v>
      </c>
      <c r="C8387" t="s">
        <v>322</v>
      </c>
      <c r="D8387" t="s">
        <v>35</v>
      </c>
      <c r="E8387" t="s">
        <v>17</v>
      </c>
      <c r="F8387" t="s">
        <v>17</v>
      </c>
      <c r="G8387" t="s">
        <v>37</v>
      </c>
      <c r="H8387" t="s">
        <v>43</v>
      </c>
      <c r="I8387" s="187">
        <v>4047.4168875359028</v>
      </c>
      <c r="J8387" s="187">
        <v>150</v>
      </c>
      <c r="K8387" s="187">
        <v>1026.422452129751</v>
      </c>
      <c r="L8387" s="187">
        <v>986</v>
      </c>
      <c r="M8387" s="187">
        <v>6209.83935546875</v>
      </c>
      <c r="N8387" s="187">
        <v>5033.4169921875</v>
      </c>
      <c r="O8387" t="s">
        <v>8110</v>
      </c>
    </row>
    <row r="8388" spans="1:15" hidden="1" x14ac:dyDescent="0.45">
      <c r="A8388" s="187">
        <v>2028</v>
      </c>
      <c r="B8388" t="s">
        <v>316</v>
      </c>
      <c r="C8388" t="s">
        <v>322</v>
      </c>
      <c r="D8388" t="s">
        <v>35</v>
      </c>
      <c r="E8388" t="s">
        <v>17</v>
      </c>
      <c r="F8388" t="s">
        <v>17</v>
      </c>
      <c r="G8388" t="s">
        <v>37</v>
      </c>
      <c r="H8388" t="s">
        <v>43</v>
      </c>
      <c r="I8388" s="187">
        <v>3334</v>
      </c>
      <c r="J8388" s="187">
        <v>150</v>
      </c>
      <c r="K8388" s="187">
        <v>1526.696060469636</v>
      </c>
      <c r="L8388" s="187">
        <v>2424</v>
      </c>
      <c r="M8388" s="187">
        <v>7434.6962890625</v>
      </c>
      <c r="N8388" s="187">
        <v>5758</v>
      </c>
      <c r="O8388" t="s">
        <v>8111</v>
      </c>
    </row>
    <row r="8389" spans="1:15" hidden="1" x14ac:dyDescent="0.45">
      <c r="A8389" s="187">
        <v>2028</v>
      </c>
      <c r="B8389" t="s">
        <v>315</v>
      </c>
      <c r="C8389" t="s">
        <v>322</v>
      </c>
      <c r="D8389" t="s">
        <v>35</v>
      </c>
      <c r="E8389" t="s">
        <v>17</v>
      </c>
      <c r="F8389" t="s">
        <v>17</v>
      </c>
      <c r="G8389" t="s">
        <v>37</v>
      </c>
      <c r="H8389" t="s">
        <v>43</v>
      </c>
      <c r="I8389" s="187">
        <v>3333.9831116982609</v>
      </c>
      <c r="J8389" s="187">
        <v>82</v>
      </c>
      <c r="K8389" s="187">
        <v>1314.4266672310109</v>
      </c>
      <c r="L8389" s="187">
        <v>1333</v>
      </c>
      <c r="M8389" s="187">
        <v>6063.40966796875</v>
      </c>
      <c r="N8389" s="187">
        <v>4666.9833984375</v>
      </c>
      <c r="O8389" t="s">
        <v>8109</v>
      </c>
    </row>
    <row r="8390" spans="1:15" hidden="1" x14ac:dyDescent="0.45">
      <c r="A8390" s="187">
        <v>2028</v>
      </c>
      <c r="B8390" t="s">
        <v>8570</v>
      </c>
      <c r="C8390" t="s">
        <v>322</v>
      </c>
      <c r="D8390" t="s">
        <v>35</v>
      </c>
      <c r="E8390" t="s">
        <v>17</v>
      </c>
      <c r="F8390" t="s">
        <v>17</v>
      </c>
      <c r="G8390" t="s">
        <v>37</v>
      </c>
      <c r="H8390" t="s">
        <v>43</v>
      </c>
      <c r="I8390" s="187">
        <v>3685.17840173185</v>
      </c>
      <c r="J8390" s="187">
        <v>150</v>
      </c>
      <c r="K8390" s="187">
        <v>1174.8689802749409</v>
      </c>
      <c r="L8390" s="187">
        <v>2945</v>
      </c>
      <c r="M8390" s="187">
        <v>7955.04736328125</v>
      </c>
      <c r="N8390" s="187">
        <v>6630.1787109375</v>
      </c>
      <c r="O8390" t="s">
        <v>9308</v>
      </c>
    </row>
    <row r="8391" spans="1:15" hidden="1" x14ac:dyDescent="0.45">
      <c r="A8391" s="187">
        <v>2028</v>
      </c>
      <c r="B8391" t="s">
        <v>314</v>
      </c>
      <c r="C8391" t="s">
        <v>322</v>
      </c>
      <c r="D8391" t="s">
        <v>35</v>
      </c>
      <c r="E8391" t="s">
        <v>17</v>
      </c>
      <c r="F8391" t="s">
        <v>17</v>
      </c>
      <c r="G8391" t="s">
        <v>37</v>
      </c>
      <c r="H8391" t="s">
        <v>43</v>
      </c>
      <c r="I8391" s="187">
        <v>3401.6617492736882</v>
      </c>
      <c r="J8391" s="187">
        <v>85</v>
      </c>
      <c r="K8391" s="187">
        <v>876.44945975039116</v>
      </c>
      <c r="L8391" s="187">
        <v>396</v>
      </c>
      <c r="M8391" s="187">
        <v>4759.111328125</v>
      </c>
      <c r="N8391" s="187">
        <v>3797.661865234375</v>
      </c>
      <c r="O8391" t="s">
        <v>8112</v>
      </c>
    </row>
    <row r="8392" spans="1:15" hidden="1" x14ac:dyDescent="0.45">
      <c r="A8392" s="187">
        <v>2028</v>
      </c>
      <c r="B8392" t="s">
        <v>317</v>
      </c>
      <c r="C8392" t="s">
        <v>322</v>
      </c>
      <c r="D8392" t="s">
        <v>35</v>
      </c>
      <c r="E8392" t="s">
        <v>45</v>
      </c>
      <c r="F8392" t="s">
        <v>45</v>
      </c>
      <c r="G8392" t="s">
        <v>37</v>
      </c>
      <c r="H8392" t="s">
        <v>43</v>
      </c>
      <c r="I8392" s="187">
        <v>2209.7951953912789</v>
      </c>
      <c r="J8392" s="187"/>
      <c r="K8392" s="187">
        <v>992.83955256839045</v>
      </c>
      <c r="L8392" s="187">
        <v>18623</v>
      </c>
      <c r="M8392" s="187">
        <v>21825.634765625</v>
      </c>
      <c r="N8392" s="187">
        <v>20832.794921875</v>
      </c>
      <c r="O8392" t="s">
        <v>8116</v>
      </c>
    </row>
    <row r="8393" spans="1:15" hidden="1" x14ac:dyDescent="0.45">
      <c r="A8393" s="187">
        <v>2028</v>
      </c>
      <c r="B8393" t="s">
        <v>314</v>
      </c>
      <c r="C8393" t="s">
        <v>322</v>
      </c>
      <c r="D8393" t="s">
        <v>35</v>
      </c>
      <c r="E8393" t="s">
        <v>45</v>
      </c>
      <c r="F8393" t="s">
        <v>45</v>
      </c>
      <c r="G8393" t="s">
        <v>37</v>
      </c>
      <c r="H8393" t="s">
        <v>43</v>
      </c>
      <c r="I8393" s="187">
        <v>1912.4230153999999</v>
      </c>
      <c r="J8393" s="187">
        <v>0</v>
      </c>
      <c r="K8393" s="187">
        <v>328.07628687700083</v>
      </c>
      <c r="L8393" s="187">
        <v>9653</v>
      </c>
      <c r="M8393" s="187">
        <v>11893.4990234375</v>
      </c>
      <c r="N8393" s="187">
        <v>11565.4228515625</v>
      </c>
      <c r="O8393" t="s">
        <v>8114</v>
      </c>
    </row>
    <row r="8394" spans="1:15" hidden="1" x14ac:dyDescent="0.45">
      <c r="A8394" s="187">
        <v>2028</v>
      </c>
      <c r="B8394" t="s">
        <v>8570</v>
      </c>
      <c r="C8394" t="s">
        <v>322</v>
      </c>
      <c r="D8394" t="s">
        <v>35</v>
      </c>
      <c r="E8394" t="s">
        <v>45</v>
      </c>
      <c r="F8394" t="s">
        <v>45</v>
      </c>
      <c r="G8394" t="s">
        <v>37</v>
      </c>
      <c r="H8394" t="s">
        <v>43</v>
      </c>
      <c r="I8394" s="187">
        <v>1710.0864424752419</v>
      </c>
      <c r="J8394" s="187"/>
      <c r="K8394" s="187">
        <v>648.99236014796099</v>
      </c>
      <c r="L8394" s="187">
        <v>19650</v>
      </c>
      <c r="M8394" s="187">
        <v>22009.078125</v>
      </c>
      <c r="N8394" s="187">
        <v>21360.0859375</v>
      </c>
      <c r="O8394" t="s">
        <v>9309</v>
      </c>
    </row>
    <row r="8395" spans="1:15" hidden="1" x14ac:dyDescent="0.45">
      <c r="A8395" s="187">
        <v>2028</v>
      </c>
      <c r="B8395" t="s">
        <v>316</v>
      </c>
      <c r="C8395" t="s">
        <v>322</v>
      </c>
      <c r="D8395" t="s">
        <v>35</v>
      </c>
      <c r="E8395" t="s">
        <v>45</v>
      </c>
      <c r="F8395" t="s">
        <v>45</v>
      </c>
      <c r="G8395" t="s">
        <v>37</v>
      </c>
      <c r="H8395" t="s">
        <v>43</v>
      </c>
      <c r="I8395" s="187">
        <v>2295</v>
      </c>
      <c r="J8395" s="187"/>
      <c r="K8395" s="187">
        <v>996.79257479795342</v>
      </c>
      <c r="L8395" s="187">
        <v>8456</v>
      </c>
      <c r="M8395" s="187">
        <v>11747.79296875</v>
      </c>
      <c r="N8395" s="187">
        <v>10751</v>
      </c>
      <c r="O8395" t="s">
        <v>8113</v>
      </c>
    </row>
    <row r="8396" spans="1:15" hidden="1" x14ac:dyDescent="0.45">
      <c r="A8396" s="187">
        <v>2028</v>
      </c>
      <c r="B8396" t="s">
        <v>315</v>
      </c>
      <c r="C8396" t="s">
        <v>322</v>
      </c>
      <c r="D8396" t="s">
        <v>35</v>
      </c>
      <c r="E8396" t="s">
        <v>45</v>
      </c>
      <c r="F8396" t="s">
        <v>45</v>
      </c>
      <c r="G8396" t="s">
        <v>37</v>
      </c>
      <c r="H8396" t="s">
        <v>43</v>
      </c>
      <c r="I8396" s="187">
        <v>2285.970697407829</v>
      </c>
      <c r="J8396" s="187">
        <v>0</v>
      </c>
      <c r="K8396" s="187">
        <v>922.54052689208447</v>
      </c>
      <c r="L8396" s="187">
        <v>8064</v>
      </c>
      <c r="M8396" s="187">
        <v>11272.51171875</v>
      </c>
      <c r="N8396" s="187">
        <v>10349.970703125</v>
      </c>
      <c r="O8396" t="s">
        <v>8115</v>
      </c>
    </row>
    <row r="8397" spans="1:15" hidden="1" x14ac:dyDescent="0.45">
      <c r="A8397" s="187">
        <v>2028</v>
      </c>
      <c r="B8397" t="s">
        <v>8570</v>
      </c>
      <c r="C8397" t="s">
        <v>322</v>
      </c>
      <c r="D8397" t="s">
        <v>35</v>
      </c>
      <c r="E8397" t="s">
        <v>355</v>
      </c>
      <c r="F8397" t="s">
        <v>355</v>
      </c>
      <c r="G8397" t="s">
        <v>37</v>
      </c>
      <c r="H8397" t="s">
        <v>43</v>
      </c>
      <c r="I8397" s="187">
        <v>12047.46871398923</v>
      </c>
      <c r="J8397" s="187"/>
      <c r="K8397" s="187"/>
      <c r="L8397" s="187"/>
      <c r="M8397" s="187">
        <v>12047.46875</v>
      </c>
      <c r="N8397" s="187">
        <v>12047.46875</v>
      </c>
      <c r="O8397" t="s">
        <v>9310</v>
      </c>
    </row>
    <row r="8398" spans="1:15" hidden="1" x14ac:dyDescent="0.45">
      <c r="A8398" s="187">
        <v>2028</v>
      </c>
      <c r="B8398" t="s">
        <v>317</v>
      </c>
      <c r="C8398" t="s">
        <v>322</v>
      </c>
      <c r="D8398" t="s">
        <v>35</v>
      </c>
      <c r="E8398" t="s">
        <v>356</v>
      </c>
      <c r="F8398" t="s">
        <v>356</v>
      </c>
      <c r="G8398" t="s">
        <v>37</v>
      </c>
      <c r="H8398" t="s">
        <v>43</v>
      </c>
      <c r="I8398" s="187"/>
      <c r="J8398" s="187"/>
      <c r="K8398" s="187">
        <v>0</v>
      </c>
      <c r="L8398" s="187">
        <v>0</v>
      </c>
      <c r="M8398" s="187">
        <v>0</v>
      </c>
      <c r="N8398" s="187">
        <v>0</v>
      </c>
      <c r="O8398" t="s">
        <v>8117</v>
      </c>
    </row>
    <row r="8399" spans="1:15" hidden="1" x14ac:dyDescent="0.45">
      <c r="A8399" s="187">
        <v>2028</v>
      </c>
      <c r="B8399" t="s">
        <v>314</v>
      </c>
      <c r="C8399" t="s">
        <v>322</v>
      </c>
      <c r="D8399" t="s">
        <v>35</v>
      </c>
      <c r="E8399" t="s">
        <v>356</v>
      </c>
      <c r="F8399" t="s">
        <v>356</v>
      </c>
      <c r="G8399" t="s">
        <v>37</v>
      </c>
      <c r="H8399" t="s">
        <v>43</v>
      </c>
      <c r="I8399" s="187"/>
      <c r="J8399" s="187">
        <v>0</v>
      </c>
      <c r="K8399" s="187">
        <v>0</v>
      </c>
      <c r="L8399" s="187">
        <v>0</v>
      </c>
      <c r="M8399" s="187">
        <v>0</v>
      </c>
      <c r="N8399" s="187">
        <v>0</v>
      </c>
      <c r="O8399" t="s">
        <v>8119</v>
      </c>
    </row>
    <row r="8400" spans="1:15" hidden="1" x14ac:dyDescent="0.45">
      <c r="A8400" s="187">
        <v>2028</v>
      </c>
      <c r="B8400" t="s">
        <v>315</v>
      </c>
      <c r="C8400" t="s">
        <v>322</v>
      </c>
      <c r="D8400" t="s">
        <v>35</v>
      </c>
      <c r="E8400" t="s">
        <v>356</v>
      </c>
      <c r="F8400" t="s">
        <v>356</v>
      </c>
      <c r="G8400" t="s">
        <v>37</v>
      </c>
      <c r="H8400" t="s">
        <v>43</v>
      </c>
      <c r="I8400" s="187"/>
      <c r="J8400" s="187">
        <v>0</v>
      </c>
      <c r="K8400" s="187">
        <v>0</v>
      </c>
      <c r="L8400" s="187">
        <v>0</v>
      </c>
      <c r="M8400" s="187">
        <v>0</v>
      </c>
      <c r="N8400" s="187">
        <v>0</v>
      </c>
      <c r="O8400" t="s">
        <v>8120</v>
      </c>
    </row>
    <row r="8401" spans="1:15" hidden="1" x14ac:dyDescent="0.45">
      <c r="A8401" s="187">
        <v>2028</v>
      </c>
      <c r="B8401" t="s">
        <v>8570</v>
      </c>
      <c r="C8401" t="s">
        <v>322</v>
      </c>
      <c r="D8401" t="s">
        <v>35</v>
      </c>
      <c r="E8401" t="s">
        <v>356</v>
      </c>
      <c r="F8401" t="s">
        <v>356</v>
      </c>
      <c r="G8401" t="s">
        <v>37</v>
      </c>
      <c r="H8401" t="s">
        <v>43</v>
      </c>
      <c r="I8401" s="187">
        <v>0</v>
      </c>
      <c r="J8401" s="187"/>
      <c r="K8401" s="187">
        <v>0</v>
      </c>
      <c r="L8401" s="187">
        <v>0</v>
      </c>
      <c r="M8401" s="187">
        <v>0</v>
      </c>
      <c r="N8401" s="187">
        <v>0</v>
      </c>
      <c r="O8401" t="s">
        <v>9311</v>
      </c>
    </row>
    <row r="8402" spans="1:15" hidden="1" x14ac:dyDescent="0.45">
      <c r="A8402" s="187">
        <v>2028</v>
      </c>
      <c r="B8402" t="s">
        <v>316</v>
      </c>
      <c r="C8402" t="s">
        <v>322</v>
      </c>
      <c r="D8402" t="s">
        <v>35</v>
      </c>
      <c r="E8402" t="s">
        <v>356</v>
      </c>
      <c r="F8402" t="s">
        <v>356</v>
      </c>
      <c r="G8402" t="s">
        <v>37</v>
      </c>
      <c r="H8402" t="s">
        <v>43</v>
      </c>
      <c r="I8402" s="187"/>
      <c r="J8402" s="187"/>
      <c r="K8402" s="187">
        <v>0</v>
      </c>
      <c r="L8402" s="187">
        <v>0</v>
      </c>
      <c r="M8402" s="187">
        <v>0</v>
      </c>
      <c r="N8402" s="187">
        <v>0</v>
      </c>
      <c r="O8402" t="s">
        <v>8118</v>
      </c>
    </row>
    <row r="8403" spans="1:15" hidden="1" x14ac:dyDescent="0.45">
      <c r="A8403" s="187">
        <v>2028</v>
      </c>
      <c r="B8403" t="s">
        <v>8570</v>
      </c>
      <c r="C8403" t="s">
        <v>328</v>
      </c>
      <c r="D8403" t="s">
        <v>39</v>
      </c>
      <c r="E8403" t="s">
        <v>349</v>
      </c>
      <c r="F8403" t="s">
        <v>349</v>
      </c>
      <c r="G8403" t="s">
        <v>36</v>
      </c>
      <c r="H8403" t="s">
        <v>43</v>
      </c>
      <c r="I8403" s="187">
        <v>0</v>
      </c>
      <c r="J8403" s="187"/>
      <c r="K8403" s="187">
        <v>2584.8198089349639</v>
      </c>
      <c r="L8403" s="187">
        <v>0</v>
      </c>
      <c r="M8403" s="187">
        <v>2584.81982421875</v>
      </c>
      <c r="N8403" s="187">
        <v>0</v>
      </c>
      <c r="O8403" t="s">
        <v>9312</v>
      </c>
    </row>
    <row r="8404" spans="1:15" hidden="1" x14ac:dyDescent="0.45">
      <c r="A8404" s="187">
        <v>2028</v>
      </c>
      <c r="B8404" t="s">
        <v>317</v>
      </c>
      <c r="C8404" t="s">
        <v>328</v>
      </c>
      <c r="D8404" t="s">
        <v>39</v>
      </c>
      <c r="E8404" t="s">
        <v>349</v>
      </c>
      <c r="F8404" t="s">
        <v>349</v>
      </c>
      <c r="G8404" t="s">
        <v>36</v>
      </c>
      <c r="H8404" t="s">
        <v>43</v>
      </c>
      <c r="I8404" s="187">
        <v>0</v>
      </c>
      <c r="J8404" s="187">
        <v>26.131645976874857</v>
      </c>
      <c r="K8404" s="187">
        <v>2398.4676219003054</v>
      </c>
      <c r="L8404" s="187">
        <v>0</v>
      </c>
      <c r="M8404" s="187">
        <v>2424.599365234375</v>
      </c>
      <c r="N8404" s="187">
        <v>0</v>
      </c>
      <c r="O8404" t="s">
        <v>8122</v>
      </c>
    </row>
    <row r="8405" spans="1:15" hidden="1" x14ac:dyDescent="0.45">
      <c r="A8405" s="187">
        <v>2028</v>
      </c>
      <c r="B8405" t="s">
        <v>314</v>
      </c>
      <c r="C8405" t="s">
        <v>328</v>
      </c>
      <c r="D8405" t="s">
        <v>39</v>
      </c>
      <c r="E8405" t="s">
        <v>349</v>
      </c>
      <c r="F8405" t="s">
        <v>349</v>
      </c>
      <c r="G8405" t="s">
        <v>36</v>
      </c>
      <c r="H8405" t="s">
        <v>43</v>
      </c>
      <c r="I8405" s="187">
        <v>0</v>
      </c>
      <c r="J8405" s="187">
        <v>22.192551404189587</v>
      </c>
      <c r="K8405" s="187">
        <v>2985.2149833005119</v>
      </c>
      <c r="L8405" s="187">
        <v>0</v>
      </c>
      <c r="M8405" s="187">
        <v>3007.407470703125</v>
      </c>
      <c r="N8405" s="187">
        <v>0</v>
      </c>
      <c r="O8405" t="s">
        <v>8121</v>
      </c>
    </row>
    <row r="8406" spans="1:15" hidden="1" x14ac:dyDescent="0.45">
      <c r="A8406" s="187">
        <v>2028</v>
      </c>
      <c r="B8406" t="s">
        <v>315</v>
      </c>
      <c r="C8406" t="s">
        <v>328</v>
      </c>
      <c r="D8406" t="s">
        <v>39</v>
      </c>
      <c r="E8406" t="s">
        <v>349</v>
      </c>
      <c r="F8406" t="s">
        <v>349</v>
      </c>
      <c r="G8406" t="s">
        <v>36</v>
      </c>
      <c r="H8406" t="s">
        <v>43</v>
      </c>
      <c r="I8406" s="187">
        <v>0</v>
      </c>
      <c r="J8406" s="187">
        <v>21.603009729083823</v>
      </c>
      <c r="K8406" s="187">
        <v>2342.3148094846129</v>
      </c>
      <c r="L8406" s="187">
        <v>0</v>
      </c>
      <c r="M8406" s="187">
        <v>2363.917724609375</v>
      </c>
      <c r="N8406" s="187">
        <v>0</v>
      </c>
      <c r="O8406" t="s">
        <v>8124</v>
      </c>
    </row>
    <row r="8407" spans="1:15" hidden="1" x14ac:dyDescent="0.45">
      <c r="A8407" s="187">
        <v>2028</v>
      </c>
      <c r="B8407" t="s">
        <v>316</v>
      </c>
      <c r="C8407" t="s">
        <v>328</v>
      </c>
      <c r="D8407" t="s">
        <v>39</v>
      </c>
      <c r="E8407" t="s">
        <v>349</v>
      </c>
      <c r="F8407" t="s">
        <v>349</v>
      </c>
      <c r="G8407" t="s">
        <v>36</v>
      </c>
      <c r="H8407" t="s">
        <v>43</v>
      </c>
      <c r="I8407" s="187">
        <v>0</v>
      </c>
      <c r="J8407" s="187">
        <v>26.440360977435727</v>
      </c>
      <c r="K8407" s="187">
        <v>2359.8350486780114</v>
      </c>
      <c r="L8407" s="187">
        <v>0</v>
      </c>
      <c r="M8407" s="187">
        <v>2386.275390625</v>
      </c>
      <c r="N8407" s="187">
        <v>0</v>
      </c>
      <c r="O8407" t="s">
        <v>8123</v>
      </c>
    </row>
    <row r="8408" spans="1:15" hidden="1" x14ac:dyDescent="0.45">
      <c r="A8408" s="187">
        <v>2028</v>
      </c>
      <c r="B8408" t="s">
        <v>316</v>
      </c>
      <c r="C8408" t="s">
        <v>328</v>
      </c>
      <c r="D8408" t="s">
        <v>39</v>
      </c>
      <c r="E8408" t="s">
        <v>349</v>
      </c>
      <c r="F8408" t="s">
        <v>349</v>
      </c>
      <c r="G8408" t="s">
        <v>37</v>
      </c>
      <c r="H8408" t="s">
        <v>43</v>
      </c>
      <c r="I8408" s="187">
        <v>0</v>
      </c>
      <c r="J8408" s="187">
        <v>25</v>
      </c>
      <c r="K8408" s="187">
        <v>2567.581974035244</v>
      </c>
      <c r="L8408" s="187">
        <v>0</v>
      </c>
      <c r="M8408" s="187">
        <v>2592.58203125</v>
      </c>
      <c r="N8408" s="187">
        <v>0</v>
      </c>
      <c r="O8408" t="s">
        <v>8126</v>
      </c>
    </row>
    <row r="8409" spans="1:15" hidden="1" x14ac:dyDescent="0.45">
      <c r="A8409" s="187">
        <v>2028</v>
      </c>
      <c r="B8409" t="s">
        <v>314</v>
      </c>
      <c r="C8409" t="s">
        <v>328</v>
      </c>
      <c r="D8409" t="s">
        <v>39</v>
      </c>
      <c r="E8409" t="s">
        <v>349</v>
      </c>
      <c r="F8409" t="s">
        <v>349</v>
      </c>
      <c r="G8409" t="s">
        <v>37</v>
      </c>
      <c r="H8409" t="s">
        <v>43</v>
      </c>
      <c r="I8409" s="187">
        <v>0</v>
      </c>
      <c r="J8409" s="187">
        <v>24</v>
      </c>
      <c r="K8409" s="187">
        <v>3285.4905117286389</v>
      </c>
      <c r="L8409" s="187">
        <v>0</v>
      </c>
      <c r="M8409" s="187">
        <v>3309.490478515625</v>
      </c>
      <c r="N8409" s="187">
        <v>0</v>
      </c>
      <c r="O8409" t="s">
        <v>8127</v>
      </c>
    </row>
    <row r="8410" spans="1:15" hidden="1" x14ac:dyDescent="0.45">
      <c r="A8410" s="187">
        <v>2028</v>
      </c>
      <c r="B8410" t="s">
        <v>8570</v>
      </c>
      <c r="C8410" t="s">
        <v>328</v>
      </c>
      <c r="D8410" t="s">
        <v>39</v>
      </c>
      <c r="E8410" t="s">
        <v>349</v>
      </c>
      <c r="F8410" t="s">
        <v>349</v>
      </c>
      <c r="G8410" t="s">
        <v>37</v>
      </c>
      <c r="H8410" t="s">
        <v>43</v>
      </c>
      <c r="I8410" s="187">
        <v>0</v>
      </c>
      <c r="J8410" s="187">
        <v>5</v>
      </c>
      <c r="K8410" s="187">
        <v>2923.7586464791839</v>
      </c>
      <c r="L8410" s="187">
        <v>0</v>
      </c>
      <c r="M8410" s="187">
        <v>2928.758544921875</v>
      </c>
      <c r="N8410" s="187">
        <v>0</v>
      </c>
      <c r="O8410" t="s">
        <v>9313</v>
      </c>
    </row>
    <row r="8411" spans="1:15" hidden="1" x14ac:dyDescent="0.45">
      <c r="A8411" s="187">
        <v>2028</v>
      </c>
      <c r="B8411" t="s">
        <v>317</v>
      </c>
      <c r="C8411" t="s">
        <v>328</v>
      </c>
      <c r="D8411" t="s">
        <v>39</v>
      </c>
      <c r="E8411" t="s">
        <v>349</v>
      </c>
      <c r="F8411" t="s">
        <v>349</v>
      </c>
      <c r="G8411" t="s">
        <v>37</v>
      </c>
      <c r="H8411" t="s">
        <v>43</v>
      </c>
      <c r="I8411" s="187">
        <v>0</v>
      </c>
      <c r="J8411" s="187">
        <v>25</v>
      </c>
      <c r="K8411" s="187">
        <v>2619.70931405482</v>
      </c>
      <c r="L8411" s="187">
        <v>0</v>
      </c>
      <c r="M8411" s="187">
        <v>2644.709228515625</v>
      </c>
      <c r="N8411" s="187">
        <v>0</v>
      </c>
      <c r="O8411" t="s">
        <v>8125</v>
      </c>
    </row>
    <row r="8412" spans="1:15" hidden="1" x14ac:dyDescent="0.45">
      <c r="A8412" s="187">
        <v>2028</v>
      </c>
      <c r="B8412" t="s">
        <v>315</v>
      </c>
      <c r="C8412" t="s">
        <v>328</v>
      </c>
      <c r="D8412" t="s">
        <v>39</v>
      </c>
      <c r="E8412" t="s">
        <v>349</v>
      </c>
      <c r="F8412" t="s">
        <v>349</v>
      </c>
      <c r="G8412" t="s">
        <v>37</v>
      </c>
      <c r="H8412" t="s">
        <v>43</v>
      </c>
      <c r="I8412" s="187">
        <v>0</v>
      </c>
      <c r="J8412" s="187">
        <v>23</v>
      </c>
      <c r="K8412" s="187">
        <v>2585.116055218838</v>
      </c>
      <c r="L8412" s="187">
        <v>0</v>
      </c>
      <c r="M8412" s="187">
        <v>2608.115966796875</v>
      </c>
      <c r="N8412" s="187">
        <v>0</v>
      </c>
      <c r="O8412" t="s">
        <v>8128</v>
      </c>
    </row>
    <row r="8413" spans="1:15" hidden="1" x14ac:dyDescent="0.45">
      <c r="A8413" s="187">
        <v>2028</v>
      </c>
      <c r="B8413" t="s">
        <v>317</v>
      </c>
      <c r="C8413" t="s">
        <v>328</v>
      </c>
      <c r="D8413" t="s">
        <v>39</v>
      </c>
      <c r="E8413" t="s">
        <v>21</v>
      </c>
      <c r="F8413" t="s">
        <v>21</v>
      </c>
      <c r="G8413" t="s">
        <v>36</v>
      </c>
      <c r="H8413" t="s">
        <v>43</v>
      </c>
      <c r="I8413" s="187">
        <v>3081.448554774689</v>
      </c>
      <c r="J8413" s="187">
        <v>1311.8086280391178</v>
      </c>
      <c r="K8413" s="187">
        <v>7681.3231047325608</v>
      </c>
      <c r="L8413" s="187">
        <v>5351.7610960639713</v>
      </c>
      <c r="M8413" s="187">
        <v>17426.341796875</v>
      </c>
      <c r="N8413" s="187">
        <v>8433.2099609375</v>
      </c>
      <c r="O8413" t="s">
        <v>8132</v>
      </c>
    </row>
    <row r="8414" spans="1:15" hidden="1" x14ac:dyDescent="0.45">
      <c r="A8414" s="187">
        <v>2028</v>
      </c>
      <c r="B8414" t="s">
        <v>316</v>
      </c>
      <c r="C8414" t="s">
        <v>328</v>
      </c>
      <c r="D8414" t="s">
        <v>39</v>
      </c>
      <c r="E8414" t="s">
        <v>21</v>
      </c>
      <c r="F8414" t="s">
        <v>21</v>
      </c>
      <c r="G8414" t="s">
        <v>36</v>
      </c>
      <c r="H8414" t="s">
        <v>43</v>
      </c>
      <c r="I8414" s="187">
        <v>3117.8522850700328</v>
      </c>
      <c r="J8414" s="187">
        <v>1327.3061210672736</v>
      </c>
      <c r="K8414" s="187">
        <v>5506.0088669436691</v>
      </c>
      <c r="L8414" s="187">
        <v>5255.2861478751247</v>
      </c>
      <c r="M8414" s="187">
        <v>15206.453125</v>
      </c>
      <c r="N8414" s="187">
        <v>8373.138671875</v>
      </c>
      <c r="O8414" t="s">
        <v>8131</v>
      </c>
    </row>
    <row r="8415" spans="1:15" hidden="1" x14ac:dyDescent="0.45">
      <c r="A8415" s="187">
        <v>2028</v>
      </c>
      <c r="B8415" t="s">
        <v>315</v>
      </c>
      <c r="C8415" t="s">
        <v>328</v>
      </c>
      <c r="D8415" t="s">
        <v>39</v>
      </c>
      <c r="E8415" t="s">
        <v>21</v>
      </c>
      <c r="F8415" t="s">
        <v>21</v>
      </c>
      <c r="G8415" t="s">
        <v>36</v>
      </c>
      <c r="H8415" t="s">
        <v>43</v>
      </c>
      <c r="I8415" s="187">
        <v>1906.4656085916472</v>
      </c>
      <c r="J8415" s="187">
        <v>1069.3489815896492</v>
      </c>
      <c r="K8415" s="187">
        <v>5362.7360655645143</v>
      </c>
      <c r="L8415" s="187">
        <v>5191.2032378988424</v>
      </c>
      <c r="M8415" s="187">
        <v>13529.75390625</v>
      </c>
      <c r="N8415" s="187">
        <v>7097.6689453125</v>
      </c>
      <c r="O8415" t="s">
        <v>8130</v>
      </c>
    </row>
    <row r="8416" spans="1:15" hidden="1" x14ac:dyDescent="0.45">
      <c r="A8416" s="187">
        <v>2028</v>
      </c>
      <c r="B8416" t="s">
        <v>314</v>
      </c>
      <c r="C8416" t="s">
        <v>328</v>
      </c>
      <c r="D8416" t="s">
        <v>39</v>
      </c>
      <c r="E8416" t="s">
        <v>21</v>
      </c>
      <c r="F8416" t="s">
        <v>21</v>
      </c>
      <c r="G8416" t="s">
        <v>36</v>
      </c>
      <c r="H8416" t="s">
        <v>43</v>
      </c>
      <c r="I8416" s="187">
        <v>1958.4926614197309</v>
      </c>
      <c r="J8416" s="187">
        <v>909.89460757177301</v>
      </c>
      <c r="K8416" s="187">
        <v>5662.1004789853487</v>
      </c>
      <c r="L8416" s="187">
        <v>5066.5594855764821</v>
      </c>
      <c r="M8416" s="187">
        <v>13597.046875</v>
      </c>
      <c r="N8416" s="187">
        <v>7025.05224609375</v>
      </c>
      <c r="O8416" t="s">
        <v>8129</v>
      </c>
    </row>
    <row r="8417" spans="1:15" hidden="1" x14ac:dyDescent="0.45">
      <c r="A8417" s="187">
        <v>2028</v>
      </c>
      <c r="B8417" t="s">
        <v>8570</v>
      </c>
      <c r="C8417" t="s">
        <v>328</v>
      </c>
      <c r="D8417" t="s">
        <v>39</v>
      </c>
      <c r="E8417" t="s">
        <v>21</v>
      </c>
      <c r="F8417" t="s">
        <v>21</v>
      </c>
      <c r="G8417" t="s">
        <v>36</v>
      </c>
      <c r="H8417" t="s">
        <v>43</v>
      </c>
      <c r="I8417" s="187">
        <v>3354.8113170000001</v>
      </c>
      <c r="J8417" s="187">
        <v>1531</v>
      </c>
      <c r="K8417" s="187">
        <v>6846.9785184706907</v>
      </c>
      <c r="L8417" s="187">
        <v>5400</v>
      </c>
      <c r="M8417" s="187">
        <v>17132.7890625</v>
      </c>
      <c r="N8417" s="187">
        <v>8754.8115234375</v>
      </c>
      <c r="O8417" t="s">
        <v>9314</v>
      </c>
    </row>
    <row r="8418" spans="1:15" hidden="1" x14ac:dyDescent="0.45">
      <c r="A8418" s="187">
        <v>2028</v>
      </c>
      <c r="B8418" t="s">
        <v>314</v>
      </c>
      <c r="C8418" t="s">
        <v>328</v>
      </c>
      <c r="D8418" t="s">
        <v>39</v>
      </c>
      <c r="E8418" t="s">
        <v>21</v>
      </c>
      <c r="F8418" t="s">
        <v>21</v>
      </c>
      <c r="G8418" t="s">
        <v>37</v>
      </c>
      <c r="H8418" t="s">
        <v>43</v>
      </c>
      <c r="I8418" s="187">
        <v>2152.5799652471551</v>
      </c>
      <c r="J8418" s="187">
        <v>1000</v>
      </c>
      <c r="K8418" s="187">
        <v>6231.6374211658776</v>
      </c>
      <c r="L8418" s="187">
        <v>6127</v>
      </c>
      <c r="M8418" s="187">
        <v>15511.2177734375</v>
      </c>
      <c r="N8418" s="187">
        <v>8279.580078125</v>
      </c>
      <c r="O8418" t="s">
        <v>8134</v>
      </c>
    </row>
    <row r="8419" spans="1:15" hidden="1" x14ac:dyDescent="0.45">
      <c r="A8419" s="187">
        <v>2028</v>
      </c>
      <c r="B8419" t="s">
        <v>317</v>
      </c>
      <c r="C8419" t="s">
        <v>328</v>
      </c>
      <c r="D8419" t="s">
        <v>39</v>
      </c>
      <c r="E8419" t="s">
        <v>21</v>
      </c>
      <c r="F8419" t="s">
        <v>21</v>
      </c>
      <c r="G8419" t="s">
        <v>37</v>
      </c>
      <c r="H8419" t="s">
        <v>43</v>
      </c>
      <c r="I8419" s="187">
        <v>3386</v>
      </c>
      <c r="J8419" s="187">
        <v>1255</v>
      </c>
      <c r="K8419" s="187">
        <v>8389.8708900598212</v>
      </c>
      <c r="L8419" s="187">
        <v>5854</v>
      </c>
      <c r="M8419" s="187">
        <v>18884.87109375</v>
      </c>
      <c r="N8419" s="187">
        <v>9240</v>
      </c>
      <c r="O8419" t="s">
        <v>8136</v>
      </c>
    </row>
    <row r="8420" spans="1:15" hidden="1" x14ac:dyDescent="0.45">
      <c r="A8420" s="187">
        <v>2028</v>
      </c>
      <c r="B8420" t="s">
        <v>316</v>
      </c>
      <c r="C8420" t="s">
        <v>328</v>
      </c>
      <c r="D8420" t="s">
        <v>39</v>
      </c>
      <c r="E8420" t="s">
        <v>21</v>
      </c>
      <c r="F8420" t="s">
        <v>21</v>
      </c>
      <c r="G8420" t="s">
        <v>37</v>
      </c>
      <c r="H8420" t="s">
        <v>43</v>
      </c>
      <c r="I8420" s="187">
        <v>3454.3959372593899</v>
      </c>
      <c r="J8420" s="187">
        <v>1255</v>
      </c>
      <c r="K8420" s="187">
        <v>5990.7276669877674</v>
      </c>
      <c r="L8420" s="187">
        <v>5891</v>
      </c>
      <c r="M8420" s="187">
        <v>16591.125</v>
      </c>
      <c r="N8420" s="187">
        <v>9345.396484375</v>
      </c>
      <c r="O8420" t="s">
        <v>8133</v>
      </c>
    </row>
    <row r="8421" spans="1:15" hidden="1" x14ac:dyDescent="0.45">
      <c r="A8421" s="187">
        <v>2028</v>
      </c>
      <c r="B8421" t="s">
        <v>315</v>
      </c>
      <c r="C8421" t="s">
        <v>328</v>
      </c>
      <c r="D8421" t="s">
        <v>39</v>
      </c>
      <c r="E8421" t="s">
        <v>21</v>
      </c>
      <c r="F8421" t="s">
        <v>21</v>
      </c>
      <c r="G8421" t="s">
        <v>37</v>
      </c>
      <c r="H8421" t="s">
        <v>43</v>
      </c>
      <c r="I8421" s="187">
        <v>2109.7519996541751</v>
      </c>
      <c r="J8421" s="187">
        <v>1160</v>
      </c>
      <c r="K8421" s="187">
        <v>5918.6301716814532</v>
      </c>
      <c r="L8421" s="187">
        <v>5898</v>
      </c>
      <c r="M8421" s="187">
        <v>15086.3818359375</v>
      </c>
      <c r="N8421" s="187">
        <v>8007.751953125</v>
      </c>
      <c r="O8421" t="s">
        <v>8135</v>
      </c>
    </row>
    <row r="8422" spans="1:15" hidden="1" x14ac:dyDescent="0.45">
      <c r="A8422" s="187">
        <v>2028</v>
      </c>
      <c r="B8422" t="s">
        <v>8570</v>
      </c>
      <c r="C8422" t="s">
        <v>328</v>
      </c>
      <c r="D8422" t="s">
        <v>39</v>
      </c>
      <c r="E8422" t="s">
        <v>21</v>
      </c>
      <c r="F8422" t="s">
        <v>21</v>
      </c>
      <c r="G8422" t="s">
        <v>37</v>
      </c>
      <c r="H8422" t="s">
        <v>43</v>
      </c>
      <c r="I8422" s="187">
        <v>3778.0624289269672</v>
      </c>
      <c r="J8422" s="187">
        <v>1691</v>
      </c>
      <c r="K8422" s="187">
        <v>7744.8000732725777</v>
      </c>
      <c r="L8422" s="187">
        <v>6320</v>
      </c>
      <c r="M8422" s="187">
        <v>19533.86328125</v>
      </c>
      <c r="N8422" s="187">
        <v>10098.0625</v>
      </c>
      <c r="O8422" t="s">
        <v>9315</v>
      </c>
    </row>
    <row r="8423" spans="1:15" hidden="1" x14ac:dyDescent="0.45">
      <c r="A8423" s="187">
        <v>2028</v>
      </c>
      <c r="B8423" t="s">
        <v>314</v>
      </c>
      <c r="C8423" t="s">
        <v>328</v>
      </c>
      <c r="D8423" t="s">
        <v>39</v>
      </c>
      <c r="E8423" t="s">
        <v>352</v>
      </c>
      <c r="F8423" t="s">
        <v>433</v>
      </c>
      <c r="G8423" t="s">
        <v>36</v>
      </c>
      <c r="H8423" t="s">
        <v>43</v>
      </c>
      <c r="I8423" s="187">
        <v>0</v>
      </c>
      <c r="J8423" s="187">
        <v>210.82923833980107</v>
      </c>
      <c r="K8423" s="187">
        <v>123.0754515773546</v>
      </c>
      <c r="L8423" s="187">
        <v>107.63387431031948</v>
      </c>
      <c r="M8423" s="187">
        <v>441.53857421875</v>
      </c>
      <c r="N8423" s="187">
        <v>107.63387298583984</v>
      </c>
      <c r="O8423" t="s">
        <v>8139</v>
      </c>
    </row>
    <row r="8424" spans="1:15" hidden="1" x14ac:dyDescent="0.45">
      <c r="A8424" s="187">
        <v>2028</v>
      </c>
      <c r="B8424" t="s">
        <v>317</v>
      </c>
      <c r="C8424" t="s">
        <v>328</v>
      </c>
      <c r="D8424" t="s">
        <v>39</v>
      </c>
      <c r="E8424" t="s">
        <v>352</v>
      </c>
      <c r="F8424" t="s">
        <v>433</v>
      </c>
      <c r="G8424" t="s">
        <v>36</v>
      </c>
      <c r="H8424" t="s">
        <v>43</v>
      </c>
      <c r="I8424" s="187"/>
      <c r="J8424" s="187">
        <v>414.97053811277277</v>
      </c>
      <c r="K8424" s="187">
        <v>86.275209050079582</v>
      </c>
      <c r="L8424" s="187">
        <v>332.39453682584821</v>
      </c>
      <c r="M8424" s="187">
        <v>833.64031982421875</v>
      </c>
      <c r="N8424" s="187">
        <v>332.39453125</v>
      </c>
      <c r="O8424" t="s">
        <v>8138</v>
      </c>
    </row>
    <row r="8425" spans="1:15" hidden="1" x14ac:dyDescent="0.45">
      <c r="A8425" s="187">
        <v>2028</v>
      </c>
      <c r="B8425" t="s">
        <v>8570</v>
      </c>
      <c r="C8425" t="s">
        <v>328</v>
      </c>
      <c r="D8425" t="s">
        <v>39</v>
      </c>
      <c r="E8425" t="s">
        <v>352</v>
      </c>
      <c r="F8425" t="s">
        <v>433</v>
      </c>
      <c r="G8425" t="s">
        <v>36</v>
      </c>
      <c r="H8425" t="s">
        <v>43</v>
      </c>
      <c r="I8425" s="187">
        <v>0</v>
      </c>
      <c r="J8425" s="187">
        <v>397</v>
      </c>
      <c r="K8425" s="187">
        <v>87.566835797312734</v>
      </c>
      <c r="L8425" s="187">
        <v>399</v>
      </c>
      <c r="M8425" s="187">
        <v>883.56683349609375</v>
      </c>
      <c r="N8425" s="187">
        <v>399</v>
      </c>
      <c r="O8425" t="s">
        <v>9316</v>
      </c>
    </row>
    <row r="8426" spans="1:15" hidden="1" x14ac:dyDescent="0.45">
      <c r="A8426" s="187">
        <v>2028</v>
      </c>
      <c r="B8426" t="s">
        <v>316</v>
      </c>
      <c r="C8426" t="s">
        <v>328</v>
      </c>
      <c r="D8426" t="s">
        <v>39</v>
      </c>
      <c r="E8426" t="s">
        <v>352</v>
      </c>
      <c r="F8426" t="s">
        <v>433</v>
      </c>
      <c r="G8426" t="s">
        <v>36</v>
      </c>
      <c r="H8426" t="s">
        <v>43</v>
      </c>
      <c r="I8426" s="187"/>
      <c r="J8426" s="187">
        <v>301.42011514276726</v>
      </c>
      <c r="K8426" s="187">
        <v>125.42038335876676</v>
      </c>
      <c r="L8426" s="187">
        <v>309.88103065554674</v>
      </c>
      <c r="M8426" s="187">
        <v>736.72149658203125</v>
      </c>
      <c r="N8426" s="187">
        <v>309.88104248046875</v>
      </c>
      <c r="O8426" t="s">
        <v>8140</v>
      </c>
    </row>
    <row r="8427" spans="1:15" hidden="1" x14ac:dyDescent="0.45">
      <c r="A8427" s="187">
        <v>2028</v>
      </c>
      <c r="B8427" t="s">
        <v>315</v>
      </c>
      <c r="C8427" t="s">
        <v>328</v>
      </c>
      <c r="D8427" t="s">
        <v>39</v>
      </c>
      <c r="E8427" t="s">
        <v>352</v>
      </c>
      <c r="F8427" t="s">
        <v>433</v>
      </c>
      <c r="G8427" t="s">
        <v>36</v>
      </c>
      <c r="H8427" t="s">
        <v>43</v>
      </c>
      <c r="I8427" s="187">
        <v>0</v>
      </c>
      <c r="J8427" s="187">
        <v>194.4270875617544</v>
      </c>
      <c r="K8427" s="187">
        <v>121.0985840724809</v>
      </c>
      <c r="L8427" s="187">
        <v>281.91927696454388</v>
      </c>
      <c r="M8427" s="187">
        <v>597.4449462890625</v>
      </c>
      <c r="N8427" s="187">
        <v>281.91928100585938</v>
      </c>
      <c r="O8427" t="s">
        <v>8137</v>
      </c>
    </row>
    <row r="8428" spans="1:15" hidden="1" x14ac:dyDescent="0.45">
      <c r="A8428" s="187">
        <v>2028</v>
      </c>
      <c r="B8428" t="s">
        <v>315</v>
      </c>
      <c r="C8428" t="s">
        <v>328</v>
      </c>
      <c r="D8428" t="s">
        <v>39</v>
      </c>
      <c r="E8428" t="s">
        <v>352</v>
      </c>
      <c r="F8428" t="s">
        <v>361</v>
      </c>
      <c r="G8428" t="s">
        <v>36</v>
      </c>
      <c r="H8428" t="s">
        <v>43</v>
      </c>
      <c r="I8428" s="187"/>
      <c r="J8428" s="187">
        <v>0</v>
      </c>
      <c r="K8428" s="187">
        <v>0</v>
      </c>
      <c r="L8428" s="187">
        <v>0</v>
      </c>
      <c r="M8428" s="187">
        <v>0</v>
      </c>
      <c r="N8428" s="187">
        <v>0</v>
      </c>
      <c r="O8428" t="s">
        <v>8142</v>
      </c>
    </row>
    <row r="8429" spans="1:15" hidden="1" x14ac:dyDescent="0.45">
      <c r="A8429" s="187">
        <v>2028</v>
      </c>
      <c r="B8429" t="s">
        <v>316</v>
      </c>
      <c r="C8429" t="s">
        <v>328</v>
      </c>
      <c r="D8429" t="s">
        <v>39</v>
      </c>
      <c r="E8429" t="s">
        <v>352</v>
      </c>
      <c r="F8429" t="s">
        <v>361</v>
      </c>
      <c r="G8429" t="s">
        <v>36</v>
      </c>
      <c r="H8429" t="s">
        <v>43</v>
      </c>
      <c r="I8429" s="187"/>
      <c r="J8429" s="187"/>
      <c r="K8429" s="187">
        <v>0</v>
      </c>
      <c r="L8429" s="187"/>
      <c r="M8429" s="187">
        <v>0</v>
      </c>
      <c r="N8429" s="187">
        <v>0</v>
      </c>
      <c r="O8429" t="s">
        <v>8144</v>
      </c>
    </row>
    <row r="8430" spans="1:15" hidden="1" x14ac:dyDescent="0.45">
      <c r="A8430" s="187">
        <v>2028</v>
      </c>
      <c r="B8430" t="s">
        <v>8570</v>
      </c>
      <c r="C8430" t="s">
        <v>328</v>
      </c>
      <c r="D8430" t="s">
        <v>39</v>
      </c>
      <c r="E8430" t="s">
        <v>352</v>
      </c>
      <c r="F8430" t="s">
        <v>361</v>
      </c>
      <c r="G8430" t="s">
        <v>36</v>
      </c>
      <c r="H8430" t="s">
        <v>43</v>
      </c>
      <c r="I8430" s="187">
        <v>0</v>
      </c>
      <c r="J8430" s="187"/>
      <c r="K8430" s="187">
        <v>0</v>
      </c>
      <c r="L8430" s="187"/>
      <c r="M8430" s="187">
        <v>0</v>
      </c>
      <c r="N8430" s="187">
        <v>0</v>
      </c>
      <c r="O8430" t="s">
        <v>9317</v>
      </c>
    </row>
    <row r="8431" spans="1:15" hidden="1" x14ac:dyDescent="0.45">
      <c r="A8431" s="187">
        <v>2028</v>
      </c>
      <c r="B8431" t="s">
        <v>317</v>
      </c>
      <c r="C8431" t="s">
        <v>328</v>
      </c>
      <c r="D8431" t="s">
        <v>39</v>
      </c>
      <c r="E8431" t="s">
        <v>352</v>
      </c>
      <c r="F8431" t="s">
        <v>361</v>
      </c>
      <c r="G8431" t="s">
        <v>36</v>
      </c>
      <c r="H8431" t="s">
        <v>43</v>
      </c>
      <c r="I8431" s="187"/>
      <c r="J8431" s="187"/>
      <c r="K8431" s="187"/>
      <c r="L8431" s="187">
        <v>0</v>
      </c>
      <c r="M8431" s="187">
        <v>0</v>
      </c>
      <c r="N8431" s="187">
        <v>0</v>
      </c>
      <c r="O8431" t="s">
        <v>8141</v>
      </c>
    </row>
    <row r="8432" spans="1:15" hidden="1" x14ac:dyDescent="0.45">
      <c r="A8432" s="187">
        <v>2028</v>
      </c>
      <c r="B8432" t="s">
        <v>314</v>
      </c>
      <c r="C8432" t="s">
        <v>328</v>
      </c>
      <c r="D8432" t="s">
        <v>39</v>
      </c>
      <c r="E8432" t="s">
        <v>352</v>
      </c>
      <c r="F8432" t="s">
        <v>361</v>
      </c>
      <c r="G8432" t="s">
        <v>36</v>
      </c>
      <c r="H8432" t="s">
        <v>43</v>
      </c>
      <c r="I8432" s="187"/>
      <c r="J8432" s="187">
        <v>0</v>
      </c>
      <c r="K8432" s="187"/>
      <c r="L8432" s="187">
        <v>0</v>
      </c>
      <c r="M8432" s="187">
        <v>0</v>
      </c>
      <c r="N8432" s="187">
        <v>0</v>
      </c>
      <c r="O8432" t="s">
        <v>8143</v>
      </c>
    </row>
    <row r="8433" spans="1:15" hidden="1" x14ac:dyDescent="0.45">
      <c r="A8433" s="187">
        <v>2028</v>
      </c>
      <c r="B8433" t="s">
        <v>8570</v>
      </c>
      <c r="C8433" t="s">
        <v>328</v>
      </c>
      <c r="D8433" t="s">
        <v>39</v>
      </c>
      <c r="E8433" t="s">
        <v>40</v>
      </c>
      <c r="F8433" t="s">
        <v>40</v>
      </c>
      <c r="G8433" t="s">
        <v>36</v>
      </c>
      <c r="H8433" t="s">
        <v>43</v>
      </c>
      <c r="I8433" s="187">
        <v>4610.2254659999999</v>
      </c>
      <c r="J8433" s="187">
        <v>250</v>
      </c>
      <c r="K8433" s="187">
        <v>6961.8908837595263</v>
      </c>
      <c r="L8433" s="187">
        <v>5684</v>
      </c>
      <c r="M8433" s="187">
        <v>17506.1171875</v>
      </c>
      <c r="N8433" s="187">
        <v>10294.2255859375</v>
      </c>
      <c r="O8433" t="s">
        <v>9318</v>
      </c>
    </row>
    <row r="8434" spans="1:15" hidden="1" x14ac:dyDescent="0.45">
      <c r="A8434" s="187">
        <v>2028</v>
      </c>
      <c r="B8434" t="s">
        <v>314</v>
      </c>
      <c r="C8434" t="s">
        <v>328</v>
      </c>
      <c r="D8434" t="s">
        <v>39</v>
      </c>
      <c r="E8434" t="s">
        <v>40</v>
      </c>
      <c r="F8434" t="s">
        <v>40</v>
      </c>
      <c r="G8434" t="s">
        <v>36</v>
      </c>
      <c r="H8434" t="s">
        <v>43</v>
      </c>
      <c r="I8434" s="187">
        <v>5489.3275898262937</v>
      </c>
      <c r="J8434" s="187">
        <v>160.89599768037451</v>
      </c>
      <c r="K8434" s="187">
        <v>6606.4310453641492</v>
      </c>
      <c r="L8434" s="187">
        <v>5200.8244215718296</v>
      </c>
      <c r="M8434" s="187">
        <v>17457.478515625</v>
      </c>
      <c r="N8434" s="187">
        <v>10690.15234375</v>
      </c>
      <c r="O8434" t="s">
        <v>8147</v>
      </c>
    </row>
    <row r="8435" spans="1:15" hidden="1" x14ac:dyDescent="0.45">
      <c r="A8435" s="187">
        <v>2028</v>
      </c>
      <c r="B8435" t="s">
        <v>317</v>
      </c>
      <c r="C8435" t="s">
        <v>328</v>
      </c>
      <c r="D8435" t="s">
        <v>39</v>
      </c>
      <c r="E8435" t="s">
        <v>40</v>
      </c>
      <c r="F8435" t="s">
        <v>40</v>
      </c>
      <c r="G8435" t="s">
        <v>36</v>
      </c>
      <c r="H8435" t="s">
        <v>43</v>
      </c>
      <c r="I8435" s="187">
        <v>4322.6221200818281</v>
      </c>
      <c r="J8435" s="187">
        <v>236.23007963094872</v>
      </c>
      <c r="K8435" s="187">
        <v>6506.7915843461915</v>
      </c>
      <c r="L8435" s="187">
        <v>5355.9421594202713</v>
      </c>
      <c r="M8435" s="187">
        <v>16421.5859375</v>
      </c>
      <c r="N8435" s="187">
        <v>9678.564453125</v>
      </c>
      <c r="O8435" t="s">
        <v>8146</v>
      </c>
    </row>
    <row r="8436" spans="1:15" hidden="1" x14ac:dyDescent="0.45">
      <c r="A8436" s="187">
        <v>2028</v>
      </c>
      <c r="B8436" t="s">
        <v>316</v>
      </c>
      <c r="C8436" t="s">
        <v>328</v>
      </c>
      <c r="D8436" t="s">
        <v>39</v>
      </c>
      <c r="E8436" t="s">
        <v>40</v>
      </c>
      <c r="F8436" t="s">
        <v>40</v>
      </c>
      <c r="G8436" t="s">
        <v>36</v>
      </c>
      <c r="H8436" t="s">
        <v>43</v>
      </c>
      <c r="I8436" s="187">
        <v>4373.6888723027332</v>
      </c>
      <c r="J8436" s="187">
        <v>290.84397075179299</v>
      </c>
      <c r="K8436" s="187">
        <v>6512.5314109588753</v>
      </c>
      <c r="L8436" s="187">
        <v>5291.2450388044381</v>
      </c>
      <c r="M8436" s="187">
        <v>16468.30859375</v>
      </c>
      <c r="N8436" s="187">
        <v>9664.93359375</v>
      </c>
      <c r="O8436" t="s">
        <v>8148</v>
      </c>
    </row>
    <row r="8437" spans="1:15" hidden="1" x14ac:dyDescent="0.45">
      <c r="A8437" s="187">
        <v>2028</v>
      </c>
      <c r="B8437" t="s">
        <v>315</v>
      </c>
      <c r="C8437" t="s">
        <v>328</v>
      </c>
      <c r="D8437" t="s">
        <v>39</v>
      </c>
      <c r="E8437" t="s">
        <v>40</v>
      </c>
      <c r="F8437" t="s">
        <v>40</v>
      </c>
      <c r="G8437" t="s">
        <v>36</v>
      </c>
      <c r="H8437" t="s">
        <v>43</v>
      </c>
      <c r="I8437" s="187">
        <v>5343.5044564888831</v>
      </c>
      <c r="J8437" s="187">
        <v>172.82407783267058</v>
      </c>
      <c r="K8437" s="187">
        <v>6510.9107682297272</v>
      </c>
      <c r="L8437" s="187">
        <v>5167.4399271968505</v>
      </c>
      <c r="M8437" s="187">
        <v>17194.6796875</v>
      </c>
      <c r="N8437" s="187">
        <v>10510.9443359375</v>
      </c>
      <c r="O8437" t="s">
        <v>8145</v>
      </c>
    </row>
    <row r="8438" spans="1:15" hidden="1" x14ac:dyDescent="0.45">
      <c r="A8438" s="187">
        <v>2028</v>
      </c>
      <c r="B8438" t="s">
        <v>8570</v>
      </c>
      <c r="C8438" t="s">
        <v>328</v>
      </c>
      <c r="D8438" t="s">
        <v>39</v>
      </c>
      <c r="E8438" t="s">
        <v>40</v>
      </c>
      <c r="F8438" t="s">
        <v>40</v>
      </c>
      <c r="G8438" t="s">
        <v>37</v>
      </c>
      <c r="H8438" t="s">
        <v>43</v>
      </c>
      <c r="I8438" s="187">
        <v>5191.8626641430619</v>
      </c>
      <c r="J8438" s="187">
        <v>264</v>
      </c>
      <c r="K8438" s="187">
        <v>7874.7805154060061</v>
      </c>
      <c r="L8438" s="187">
        <v>6652</v>
      </c>
      <c r="M8438" s="187">
        <v>19982.64453125</v>
      </c>
      <c r="N8438" s="187">
        <v>11843.86328125</v>
      </c>
      <c r="O8438" t="s">
        <v>9319</v>
      </c>
    </row>
    <row r="8439" spans="1:15" hidden="1" x14ac:dyDescent="0.45">
      <c r="A8439" s="187">
        <v>2028</v>
      </c>
      <c r="B8439" t="s">
        <v>315</v>
      </c>
      <c r="C8439" t="s">
        <v>328</v>
      </c>
      <c r="D8439" t="s">
        <v>39</v>
      </c>
      <c r="E8439" t="s">
        <v>40</v>
      </c>
      <c r="F8439" t="s">
        <v>40</v>
      </c>
      <c r="G8439" t="s">
        <v>37</v>
      </c>
      <c r="H8439" t="s">
        <v>43</v>
      </c>
      <c r="I8439" s="187">
        <v>5913.2822335916153</v>
      </c>
      <c r="J8439" s="187">
        <v>187</v>
      </c>
      <c r="K8439" s="187">
        <v>7185.8231408063211</v>
      </c>
      <c r="L8439" s="187">
        <v>5871</v>
      </c>
      <c r="M8439" s="187">
        <v>19157.10546875</v>
      </c>
      <c r="N8439" s="187">
        <v>11784.2822265625</v>
      </c>
      <c r="O8439" t="s">
        <v>8150</v>
      </c>
    </row>
    <row r="8440" spans="1:15" hidden="1" x14ac:dyDescent="0.45">
      <c r="A8440" s="187">
        <v>2028</v>
      </c>
      <c r="B8440" t="s">
        <v>316</v>
      </c>
      <c r="C8440" t="s">
        <v>328</v>
      </c>
      <c r="D8440" t="s">
        <v>39</v>
      </c>
      <c r="E8440" t="s">
        <v>40</v>
      </c>
      <c r="F8440" t="s">
        <v>40</v>
      </c>
      <c r="G8440" t="s">
        <v>37</v>
      </c>
      <c r="H8440" t="s">
        <v>43</v>
      </c>
      <c r="I8440" s="187">
        <v>4845.7886037983999</v>
      </c>
      <c r="J8440" s="187">
        <v>275</v>
      </c>
      <c r="K8440" s="187">
        <v>7085.8589313196944</v>
      </c>
      <c r="L8440" s="187">
        <v>5932</v>
      </c>
      <c r="M8440" s="187">
        <v>18138.6484375</v>
      </c>
      <c r="N8440" s="187">
        <v>10777.7890625</v>
      </c>
      <c r="O8440" t="s">
        <v>8151</v>
      </c>
    </row>
    <row r="8441" spans="1:15" hidden="1" x14ac:dyDescent="0.45">
      <c r="A8441" s="187">
        <v>2028</v>
      </c>
      <c r="B8441" t="s">
        <v>317</v>
      </c>
      <c r="C8441" t="s">
        <v>328</v>
      </c>
      <c r="D8441" t="s">
        <v>39</v>
      </c>
      <c r="E8441" t="s">
        <v>40</v>
      </c>
      <c r="F8441" t="s">
        <v>40</v>
      </c>
      <c r="G8441" t="s">
        <v>37</v>
      </c>
      <c r="H8441" t="s">
        <v>43</v>
      </c>
      <c r="I8441" s="187">
        <v>4750.126752276753</v>
      </c>
      <c r="J8441" s="187">
        <v>226</v>
      </c>
      <c r="K8441" s="187">
        <v>7106.9971353708625</v>
      </c>
      <c r="L8441" s="187">
        <v>5857</v>
      </c>
      <c r="M8441" s="187">
        <v>17940.125</v>
      </c>
      <c r="N8441" s="187">
        <v>10607.126953125</v>
      </c>
      <c r="O8441" t="s">
        <v>8149</v>
      </c>
    </row>
    <row r="8442" spans="1:15" hidden="1" x14ac:dyDescent="0.45">
      <c r="A8442" s="187">
        <v>2028</v>
      </c>
      <c r="B8442" t="s">
        <v>314</v>
      </c>
      <c r="C8442" t="s">
        <v>328</v>
      </c>
      <c r="D8442" t="s">
        <v>39</v>
      </c>
      <c r="E8442" t="s">
        <v>40</v>
      </c>
      <c r="F8442" t="s">
        <v>40</v>
      </c>
      <c r="G8442" t="s">
        <v>37</v>
      </c>
      <c r="H8442" t="s">
        <v>43</v>
      </c>
      <c r="I8442" s="187">
        <v>6033.3218629335279</v>
      </c>
      <c r="J8442" s="187">
        <v>176</v>
      </c>
      <c r="K8442" s="187">
        <v>7270.9559068122944</v>
      </c>
      <c r="L8442" s="187">
        <v>6290</v>
      </c>
      <c r="M8442" s="187">
        <v>19770.27734375</v>
      </c>
      <c r="N8442" s="187">
        <v>12323.322265625</v>
      </c>
      <c r="O8442" t="s">
        <v>8152</v>
      </c>
    </row>
    <row r="8443" spans="1:15" hidden="1" x14ac:dyDescent="0.45">
      <c r="A8443" s="187">
        <v>2028</v>
      </c>
      <c r="B8443" t="s">
        <v>314</v>
      </c>
      <c r="C8443" t="s">
        <v>328</v>
      </c>
      <c r="D8443" t="s">
        <v>39</v>
      </c>
      <c r="E8443" t="s">
        <v>41</v>
      </c>
      <c r="F8443" t="s">
        <v>41</v>
      </c>
      <c r="G8443" t="s">
        <v>36</v>
      </c>
      <c r="H8443" t="s">
        <v>43</v>
      </c>
      <c r="I8443" s="187">
        <v>3752.7604424484589</v>
      </c>
      <c r="J8443" s="187">
        <v>1675.5376310163138</v>
      </c>
      <c r="K8443" s="187">
        <v>10829.319154193981</v>
      </c>
      <c r="L8443" s="187">
        <v>7767.3929914663549</v>
      </c>
      <c r="M8443" s="187">
        <v>24025.009765625</v>
      </c>
      <c r="N8443" s="187">
        <v>11520.1533203125</v>
      </c>
      <c r="O8443" t="s">
        <v>8155</v>
      </c>
    </row>
    <row r="8444" spans="1:15" hidden="1" x14ac:dyDescent="0.45">
      <c r="A8444" s="187">
        <v>2028</v>
      </c>
      <c r="B8444" t="s">
        <v>8570</v>
      </c>
      <c r="C8444" t="s">
        <v>328</v>
      </c>
      <c r="D8444" t="s">
        <v>39</v>
      </c>
      <c r="E8444" t="s">
        <v>41</v>
      </c>
      <c r="F8444" t="s">
        <v>41</v>
      </c>
      <c r="G8444" t="s">
        <v>36</v>
      </c>
      <c r="H8444" t="s">
        <v>43</v>
      </c>
      <c r="I8444" s="187">
        <v>6538.062234</v>
      </c>
      <c r="J8444" s="187">
        <v>2554</v>
      </c>
      <c r="K8444" s="187">
        <v>11838.33665703439</v>
      </c>
      <c r="L8444" s="187">
        <v>9319</v>
      </c>
      <c r="M8444" s="187">
        <v>30249.3984375</v>
      </c>
      <c r="N8444" s="187">
        <v>15857.0625</v>
      </c>
      <c r="O8444" t="s">
        <v>9320</v>
      </c>
    </row>
    <row r="8445" spans="1:15" hidden="1" x14ac:dyDescent="0.45">
      <c r="A8445" s="187">
        <v>2028</v>
      </c>
      <c r="B8445" t="s">
        <v>316</v>
      </c>
      <c r="C8445" t="s">
        <v>328</v>
      </c>
      <c r="D8445" t="s">
        <v>39</v>
      </c>
      <c r="E8445" t="s">
        <v>41</v>
      </c>
      <c r="F8445" t="s">
        <v>41</v>
      </c>
      <c r="G8445" t="s">
        <v>36</v>
      </c>
      <c r="H8445" t="s">
        <v>43</v>
      </c>
      <c r="I8445" s="187">
        <v>6151.6769224556501</v>
      </c>
      <c r="J8445" s="187">
        <v>2247.4306830820369</v>
      </c>
      <c r="K8445" s="187">
        <v>10630.332224232629</v>
      </c>
      <c r="L8445" s="187">
        <v>8318.1375635012791</v>
      </c>
      <c r="M8445" s="187">
        <v>27347.576171875</v>
      </c>
      <c r="N8445" s="187">
        <v>14469.814453125</v>
      </c>
      <c r="O8445" t="s">
        <v>8154</v>
      </c>
    </row>
    <row r="8446" spans="1:15" hidden="1" x14ac:dyDescent="0.45">
      <c r="A8446" s="187">
        <v>2028</v>
      </c>
      <c r="B8446" t="s">
        <v>315</v>
      </c>
      <c r="C8446" t="s">
        <v>328</v>
      </c>
      <c r="D8446" t="s">
        <v>39</v>
      </c>
      <c r="E8446" t="s">
        <v>41</v>
      </c>
      <c r="F8446" t="s">
        <v>41</v>
      </c>
      <c r="G8446" t="s">
        <v>36</v>
      </c>
      <c r="H8446" t="s">
        <v>43</v>
      </c>
      <c r="I8446" s="187">
        <v>3653.0689451880744</v>
      </c>
      <c r="J8446" s="187">
        <v>1809.25206481077</v>
      </c>
      <c r="K8446" s="187">
        <v>10536.33122838073</v>
      </c>
      <c r="L8446" s="187">
        <v>7736.037783984917</v>
      </c>
      <c r="M8446" s="187">
        <v>23734.689453125</v>
      </c>
      <c r="N8446" s="187">
        <v>11389.1064453125</v>
      </c>
      <c r="O8446" t="s">
        <v>8156</v>
      </c>
    </row>
    <row r="8447" spans="1:15" hidden="1" x14ac:dyDescent="0.45">
      <c r="A8447" s="187">
        <v>2028</v>
      </c>
      <c r="B8447" t="s">
        <v>317</v>
      </c>
      <c r="C8447" t="s">
        <v>328</v>
      </c>
      <c r="D8447" t="s">
        <v>39</v>
      </c>
      <c r="E8447" t="s">
        <v>41</v>
      </c>
      <c r="F8447" t="s">
        <v>41</v>
      </c>
      <c r="G8447" t="s">
        <v>36</v>
      </c>
      <c r="H8447" t="s">
        <v>43</v>
      </c>
      <c r="I8447" s="187">
        <v>6644.759800181344</v>
      </c>
      <c r="J8447" s="187">
        <v>2221.1899080343628</v>
      </c>
      <c r="K8447" s="187">
        <v>12848.96041360472</v>
      </c>
      <c r="L8447" s="187">
        <v>9174.2982695612245</v>
      </c>
      <c r="M8447" s="187">
        <v>30889.208984375</v>
      </c>
      <c r="N8447" s="187">
        <v>15819.0576171875</v>
      </c>
      <c r="O8447" t="s">
        <v>8153</v>
      </c>
    </row>
    <row r="8448" spans="1:15" hidden="1" x14ac:dyDescent="0.45">
      <c r="A8448" s="187">
        <v>2028</v>
      </c>
      <c r="B8448" t="s">
        <v>8570</v>
      </c>
      <c r="C8448" t="s">
        <v>328</v>
      </c>
      <c r="D8448" t="s">
        <v>39</v>
      </c>
      <c r="E8448" t="s">
        <v>41</v>
      </c>
      <c r="F8448" t="s">
        <v>41</v>
      </c>
      <c r="G8448" t="s">
        <v>37</v>
      </c>
      <c r="H8448" t="s">
        <v>43</v>
      </c>
      <c r="I8448" s="187">
        <v>7362.9199827400334</v>
      </c>
      <c r="J8448" s="187">
        <v>2820</v>
      </c>
      <c r="K8448" s="187">
        <v>13390.658428603319</v>
      </c>
      <c r="L8448" s="187">
        <v>10907</v>
      </c>
      <c r="M8448" s="187">
        <v>34480.578125</v>
      </c>
      <c r="N8448" s="187">
        <v>18269.919921875</v>
      </c>
      <c r="O8448" t="s">
        <v>9321</v>
      </c>
    </row>
    <row r="8449" spans="1:15" hidden="1" x14ac:dyDescent="0.45">
      <c r="A8449" s="187">
        <v>2028</v>
      </c>
      <c r="B8449" t="s">
        <v>316</v>
      </c>
      <c r="C8449" t="s">
        <v>328</v>
      </c>
      <c r="D8449" t="s">
        <v>39</v>
      </c>
      <c r="E8449" t="s">
        <v>41</v>
      </c>
      <c r="F8449" t="s">
        <v>41</v>
      </c>
      <c r="G8449" t="s">
        <v>37</v>
      </c>
      <c r="H8449" t="s">
        <v>43</v>
      </c>
      <c r="I8449" s="187">
        <v>6815.6942104092705</v>
      </c>
      <c r="J8449" s="187">
        <v>2125</v>
      </c>
      <c r="K8449" s="187">
        <v>11566.16832699219</v>
      </c>
      <c r="L8449" s="187">
        <v>9325</v>
      </c>
      <c r="M8449" s="187">
        <v>29831.86328125</v>
      </c>
      <c r="N8449" s="187">
        <v>16140.6943359375</v>
      </c>
      <c r="O8449" t="s">
        <v>8160</v>
      </c>
    </row>
    <row r="8450" spans="1:15" hidden="1" x14ac:dyDescent="0.45">
      <c r="A8450" s="187">
        <v>2028</v>
      </c>
      <c r="B8450" t="s">
        <v>315</v>
      </c>
      <c r="C8450" t="s">
        <v>328</v>
      </c>
      <c r="D8450" t="s">
        <v>39</v>
      </c>
      <c r="E8450" t="s">
        <v>41</v>
      </c>
      <c r="F8450" t="s">
        <v>41</v>
      </c>
      <c r="G8450" t="s">
        <v>37</v>
      </c>
      <c r="H8450" t="s">
        <v>43</v>
      </c>
      <c r="I8450" s="187">
        <v>4042.595616334514</v>
      </c>
      <c r="J8450" s="187">
        <v>1963</v>
      </c>
      <c r="K8450" s="187">
        <v>11628.513345558291</v>
      </c>
      <c r="L8450" s="187">
        <v>8789</v>
      </c>
      <c r="M8450" s="187">
        <v>26423.109375</v>
      </c>
      <c r="N8450" s="187">
        <v>12831.595703125</v>
      </c>
      <c r="O8450" t="s">
        <v>8159</v>
      </c>
    </row>
    <row r="8451" spans="1:15" hidden="1" x14ac:dyDescent="0.45">
      <c r="A8451" s="187">
        <v>2028</v>
      </c>
      <c r="B8451" t="s">
        <v>314</v>
      </c>
      <c r="C8451" t="s">
        <v>328</v>
      </c>
      <c r="D8451" t="s">
        <v>39</v>
      </c>
      <c r="E8451" t="s">
        <v>41</v>
      </c>
      <c r="F8451" t="s">
        <v>41</v>
      </c>
      <c r="G8451" t="s">
        <v>37</v>
      </c>
      <c r="H8451" t="s">
        <v>43</v>
      </c>
      <c r="I8451" s="187">
        <v>4124.6603073461056</v>
      </c>
      <c r="J8451" s="187">
        <v>1841</v>
      </c>
      <c r="K8451" s="187">
        <v>11918.61407926072</v>
      </c>
      <c r="L8451" s="187">
        <v>9393</v>
      </c>
      <c r="M8451" s="187">
        <v>27277.2734375</v>
      </c>
      <c r="N8451" s="187">
        <v>13517.66015625</v>
      </c>
      <c r="O8451" t="s">
        <v>8157</v>
      </c>
    </row>
    <row r="8452" spans="1:15" hidden="1" x14ac:dyDescent="0.45">
      <c r="A8452" s="187">
        <v>2028</v>
      </c>
      <c r="B8452" t="s">
        <v>317</v>
      </c>
      <c r="C8452" t="s">
        <v>328</v>
      </c>
      <c r="D8452" t="s">
        <v>39</v>
      </c>
      <c r="E8452" t="s">
        <v>41</v>
      </c>
      <c r="F8452" t="s">
        <v>41</v>
      </c>
      <c r="G8452" t="s">
        <v>37</v>
      </c>
      <c r="H8452" t="s">
        <v>43</v>
      </c>
      <c r="I8452" s="187">
        <v>7301.3576785777441</v>
      </c>
      <c r="J8452" s="187">
        <v>2125</v>
      </c>
      <c r="K8452" s="187">
        <v>14034.18622961135</v>
      </c>
      <c r="L8452" s="187">
        <v>10035</v>
      </c>
      <c r="M8452" s="187">
        <v>33495.54296875</v>
      </c>
      <c r="N8452" s="187">
        <v>17336.357421875</v>
      </c>
      <c r="O8452" t="s">
        <v>8158</v>
      </c>
    </row>
    <row r="8453" spans="1:15" hidden="1" x14ac:dyDescent="0.45">
      <c r="A8453" s="187">
        <v>2028</v>
      </c>
      <c r="B8453" t="s">
        <v>8570</v>
      </c>
      <c r="C8453" t="s">
        <v>328</v>
      </c>
      <c r="D8453" t="s">
        <v>39</v>
      </c>
      <c r="E8453" t="s">
        <v>361</v>
      </c>
      <c r="F8453" t="s">
        <v>361</v>
      </c>
      <c r="G8453" t="s">
        <v>36</v>
      </c>
      <c r="H8453" t="s">
        <v>43</v>
      </c>
      <c r="I8453" s="187"/>
      <c r="J8453" s="187"/>
      <c r="K8453" s="187"/>
      <c r="L8453" s="187">
        <v>0</v>
      </c>
      <c r="M8453" s="187">
        <v>0</v>
      </c>
      <c r="N8453" s="187">
        <v>0</v>
      </c>
      <c r="O8453" t="s">
        <v>9322</v>
      </c>
    </row>
    <row r="8454" spans="1:15" hidden="1" x14ac:dyDescent="0.45">
      <c r="A8454" s="187">
        <v>2028</v>
      </c>
      <c r="B8454" t="s">
        <v>314</v>
      </c>
      <c r="C8454" t="s">
        <v>328</v>
      </c>
      <c r="D8454" t="s">
        <v>39</v>
      </c>
      <c r="E8454" t="s">
        <v>361</v>
      </c>
      <c r="F8454" t="s">
        <v>361</v>
      </c>
      <c r="G8454" t="s">
        <v>36</v>
      </c>
      <c r="H8454" t="s">
        <v>43</v>
      </c>
      <c r="I8454" s="187">
        <v>0</v>
      </c>
      <c r="J8454" s="187"/>
      <c r="K8454" s="187">
        <v>0</v>
      </c>
      <c r="L8454" s="187"/>
      <c r="M8454" s="187">
        <v>0</v>
      </c>
      <c r="N8454" s="187">
        <v>0</v>
      </c>
      <c r="O8454" t="s">
        <v>8161</v>
      </c>
    </row>
    <row r="8455" spans="1:15" hidden="1" x14ac:dyDescent="0.45">
      <c r="A8455" s="187">
        <v>2028</v>
      </c>
      <c r="B8455" t="s">
        <v>317</v>
      </c>
      <c r="C8455" t="s">
        <v>328</v>
      </c>
      <c r="D8455" t="s">
        <v>39</v>
      </c>
      <c r="E8455" t="s">
        <v>361</v>
      </c>
      <c r="F8455" t="s">
        <v>361</v>
      </c>
      <c r="G8455" t="s">
        <v>36</v>
      </c>
      <c r="H8455" t="s">
        <v>43</v>
      </c>
      <c r="I8455" s="187"/>
      <c r="J8455" s="187"/>
      <c r="K8455" s="187">
        <v>0</v>
      </c>
      <c r="L8455" s="187"/>
      <c r="M8455" s="187">
        <v>0</v>
      </c>
      <c r="N8455" s="187">
        <v>0</v>
      </c>
      <c r="O8455" t="s">
        <v>8162</v>
      </c>
    </row>
    <row r="8456" spans="1:15" hidden="1" x14ac:dyDescent="0.45">
      <c r="A8456" s="187">
        <v>2028</v>
      </c>
      <c r="B8456" t="s">
        <v>316</v>
      </c>
      <c r="C8456" t="s">
        <v>328</v>
      </c>
      <c r="D8456" t="s">
        <v>39</v>
      </c>
      <c r="E8456" t="s">
        <v>361</v>
      </c>
      <c r="F8456" t="s">
        <v>361</v>
      </c>
      <c r="G8456" t="s">
        <v>36</v>
      </c>
      <c r="H8456" t="s">
        <v>43</v>
      </c>
      <c r="I8456" s="187"/>
      <c r="J8456" s="187"/>
      <c r="K8456" s="187"/>
      <c r="L8456" s="187">
        <v>0</v>
      </c>
      <c r="M8456" s="187">
        <v>0</v>
      </c>
      <c r="N8456" s="187">
        <v>0</v>
      </c>
      <c r="O8456" t="s">
        <v>8164</v>
      </c>
    </row>
    <row r="8457" spans="1:15" hidden="1" x14ac:dyDescent="0.45">
      <c r="A8457" s="187">
        <v>2028</v>
      </c>
      <c r="B8457" t="s">
        <v>315</v>
      </c>
      <c r="C8457" t="s">
        <v>328</v>
      </c>
      <c r="D8457" t="s">
        <v>39</v>
      </c>
      <c r="E8457" t="s">
        <v>361</v>
      </c>
      <c r="F8457" t="s">
        <v>361</v>
      </c>
      <c r="G8457" t="s">
        <v>36</v>
      </c>
      <c r="H8457" t="s">
        <v>43</v>
      </c>
      <c r="I8457" s="187">
        <v>0</v>
      </c>
      <c r="J8457" s="187"/>
      <c r="K8457" s="187"/>
      <c r="L8457" s="187"/>
      <c r="M8457" s="187">
        <v>0</v>
      </c>
      <c r="N8457" s="187">
        <v>0</v>
      </c>
      <c r="O8457" t="s">
        <v>8163</v>
      </c>
    </row>
    <row r="8458" spans="1:15" hidden="1" x14ac:dyDescent="0.45">
      <c r="A8458" s="187">
        <v>2028</v>
      </c>
      <c r="B8458" t="s">
        <v>317</v>
      </c>
      <c r="C8458" t="s">
        <v>328</v>
      </c>
      <c r="D8458" t="s">
        <v>39</v>
      </c>
      <c r="E8458" t="s">
        <v>362</v>
      </c>
      <c r="F8458" t="s">
        <v>362</v>
      </c>
      <c r="G8458" t="s">
        <v>36</v>
      </c>
      <c r="H8458" t="s">
        <v>43</v>
      </c>
      <c r="I8458" s="187">
        <v>1092.9854858581857</v>
      </c>
      <c r="J8458" s="187">
        <v>163.0614708956991</v>
      </c>
      <c r="K8458" s="187">
        <v>3456.306926242949</v>
      </c>
      <c r="L8458" s="187">
        <v>3047.9951867426835</v>
      </c>
      <c r="M8458" s="187">
        <v>7760.34912109375</v>
      </c>
      <c r="N8458" s="187">
        <v>4140.98046875</v>
      </c>
      <c r="O8458" t="s">
        <v>8165</v>
      </c>
    </row>
    <row r="8459" spans="1:15" hidden="1" x14ac:dyDescent="0.45">
      <c r="A8459" s="187">
        <v>2028</v>
      </c>
      <c r="B8459" t="s">
        <v>315</v>
      </c>
      <c r="C8459" t="s">
        <v>328</v>
      </c>
      <c r="D8459" t="s">
        <v>39</v>
      </c>
      <c r="E8459" t="s">
        <v>362</v>
      </c>
      <c r="F8459" t="s">
        <v>362</v>
      </c>
      <c r="G8459" t="s">
        <v>36</v>
      </c>
      <c r="H8459" t="s">
        <v>43</v>
      </c>
      <c r="I8459" s="187">
        <v>2068.488181559776</v>
      </c>
      <c r="J8459" s="187">
        <v>113.41580107769006</v>
      </c>
      <c r="K8459" s="187">
        <v>3506.3359843958378</v>
      </c>
      <c r="L8459" s="187">
        <v>2808.391264780897</v>
      </c>
      <c r="M8459" s="187">
        <v>8496.6318359375</v>
      </c>
      <c r="N8459" s="187">
        <v>4876.87939453125</v>
      </c>
      <c r="O8459" t="s">
        <v>8167</v>
      </c>
    </row>
    <row r="8460" spans="1:15" hidden="1" x14ac:dyDescent="0.45">
      <c r="A8460" s="187">
        <v>2028</v>
      </c>
      <c r="B8460" t="s">
        <v>8570</v>
      </c>
      <c r="C8460" t="s">
        <v>328</v>
      </c>
      <c r="D8460" t="s">
        <v>39</v>
      </c>
      <c r="E8460" t="s">
        <v>362</v>
      </c>
      <c r="F8460" t="s">
        <v>362</v>
      </c>
      <c r="G8460" t="s">
        <v>36</v>
      </c>
      <c r="H8460" t="s">
        <v>43</v>
      </c>
      <c r="I8460" s="187">
        <v>2305.1127329999999</v>
      </c>
      <c r="J8460" s="187">
        <v>205</v>
      </c>
      <c r="K8460" s="187">
        <v>3729.3908250922759</v>
      </c>
      <c r="L8460" s="187">
        <v>3398</v>
      </c>
      <c r="M8460" s="187">
        <v>9637.50390625</v>
      </c>
      <c r="N8460" s="187">
        <v>5703.11279296875</v>
      </c>
      <c r="O8460" t="s">
        <v>9323</v>
      </c>
    </row>
    <row r="8461" spans="1:15" hidden="1" x14ac:dyDescent="0.45">
      <c r="A8461" s="187">
        <v>2028</v>
      </c>
      <c r="B8461" t="s">
        <v>316</v>
      </c>
      <c r="C8461" t="s">
        <v>328</v>
      </c>
      <c r="D8461" t="s">
        <v>39</v>
      </c>
      <c r="E8461" t="s">
        <v>362</v>
      </c>
      <c r="F8461" t="s">
        <v>362</v>
      </c>
      <c r="G8461" t="s">
        <v>36</v>
      </c>
      <c r="H8461" t="s">
        <v>43</v>
      </c>
      <c r="I8461" s="187">
        <v>1105.8978379992766</v>
      </c>
      <c r="J8461" s="187">
        <v>216.81096001497295</v>
      </c>
      <c r="K8461" s="187">
        <v>3466.679446903493</v>
      </c>
      <c r="L8461" s="187">
        <v>2927.4767674216837</v>
      </c>
      <c r="M8461" s="187">
        <v>7716.86474609375</v>
      </c>
      <c r="N8461" s="187">
        <v>4033.37451171875</v>
      </c>
      <c r="O8461" t="s">
        <v>8166</v>
      </c>
    </row>
    <row r="8462" spans="1:15" hidden="1" x14ac:dyDescent="0.45">
      <c r="A8462" s="187">
        <v>2028</v>
      </c>
      <c r="B8462" t="s">
        <v>314</v>
      </c>
      <c r="C8462" t="s">
        <v>328</v>
      </c>
      <c r="D8462" t="s">
        <v>39</v>
      </c>
      <c r="E8462" t="s">
        <v>362</v>
      </c>
      <c r="F8462" t="s">
        <v>362</v>
      </c>
      <c r="G8462" t="s">
        <v>36</v>
      </c>
      <c r="H8462" t="s">
        <v>43</v>
      </c>
      <c r="I8462" s="187">
        <v>2124.9367969511527</v>
      </c>
      <c r="J8462" s="187">
        <v>83.222067765710946</v>
      </c>
      <c r="K8462" s="187">
        <v>3145.2651898318286</v>
      </c>
      <c r="L8462" s="187">
        <v>2865.0583862808753</v>
      </c>
      <c r="M8462" s="187">
        <v>8218.482421875</v>
      </c>
      <c r="N8462" s="187">
        <v>4989.9951171875</v>
      </c>
      <c r="O8462" t="s">
        <v>8168</v>
      </c>
    </row>
    <row r="8463" spans="1:15" hidden="1" x14ac:dyDescent="0.45">
      <c r="A8463" s="187">
        <v>2028</v>
      </c>
      <c r="B8463" t="s">
        <v>314</v>
      </c>
      <c r="C8463" t="s">
        <v>328</v>
      </c>
      <c r="D8463" t="s">
        <v>39</v>
      </c>
      <c r="E8463" t="s">
        <v>362</v>
      </c>
      <c r="F8463" t="s">
        <v>362</v>
      </c>
      <c r="G8463" t="s">
        <v>37</v>
      </c>
      <c r="H8463" t="s">
        <v>43</v>
      </c>
      <c r="I8463" s="187">
        <v>2335.518772491956</v>
      </c>
      <c r="J8463" s="187">
        <v>91</v>
      </c>
      <c r="K8463" s="187">
        <v>3461.639780005949</v>
      </c>
      <c r="L8463" s="187">
        <v>3465</v>
      </c>
      <c r="M8463" s="187">
        <v>9353.158203125</v>
      </c>
      <c r="N8463" s="187">
        <v>5800.5185546875</v>
      </c>
      <c r="O8463" t="s">
        <v>8172</v>
      </c>
    </row>
    <row r="8464" spans="1:15" hidden="1" x14ac:dyDescent="0.45">
      <c r="A8464" s="187">
        <v>2028</v>
      </c>
      <c r="B8464" t="s">
        <v>316</v>
      </c>
      <c r="C8464" t="s">
        <v>328</v>
      </c>
      <c r="D8464" t="s">
        <v>39</v>
      </c>
      <c r="E8464" t="s">
        <v>362</v>
      </c>
      <c r="F8464" t="s">
        <v>362</v>
      </c>
      <c r="G8464" t="s">
        <v>37</v>
      </c>
      <c r="H8464" t="s">
        <v>43</v>
      </c>
      <c r="I8464" s="187">
        <v>1225.2693999975199</v>
      </c>
      <c r="J8464" s="187">
        <v>205</v>
      </c>
      <c r="K8464" s="187">
        <v>3771.866877989733</v>
      </c>
      <c r="L8464" s="187">
        <v>3282</v>
      </c>
      <c r="M8464" s="187">
        <v>8484.13671875</v>
      </c>
      <c r="N8464" s="187">
        <v>4507.26953125</v>
      </c>
      <c r="O8464" t="s">
        <v>8169</v>
      </c>
    </row>
    <row r="8465" spans="1:15" hidden="1" x14ac:dyDescent="0.45">
      <c r="A8465" s="187">
        <v>2028</v>
      </c>
      <c r="B8465" t="s">
        <v>8570</v>
      </c>
      <c r="C8465" t="s">
        <v>328</v>
      </c>
      <c r="D8465" t="s">
        <v>39</v>
      </c>
      <c r="E8465" t="s">
        <v>362</v>
      </c>
      <c r="F8465" t="s">
        <v>362</v>
      </c>
      <c r="G8465" t="s">
        <v>37</v>
      </c>
      <c r="H8465" t="s">
        <v>43</v>
      </c>
      <c r="I8465" s="187">
        <v>2595.931332071531</v>
      </c>
      <c r="J8465" s="187">
        <v>209</v>
      </c>
      <c r="K8465" s="187">
        <v>4218.4134589468522</v>
      </c>
      <c r="L8465" s="187">
        <v>3977</v>
      </c>
      <c r="M8465" s="187">
        <v>11000.3447265625</v>
      </c>
      <c r="N8465" s="187">
        <v>6572.931640625</v>
      </c>
      <c r="O8465" t="s">
        <v>9324</v>
      </c>
    </row>
    <row r="8466" spans="1:15" hidden="1" x14ac:dyDescent="0.45">
      <c r="A8466" s="187">
        <v>2028</v>
      </c>
      <c r="B8466" t="s">
        <v>315</v>
      </c>
      <c r="C8466" t="s">
        <v>328</v>
      </c>
      <c r="D8466" t="s">
        <v>39</v>
      </c>
      <c r="E8466" t="s">
        <v>362</v>
      </c>
      <c r="F8466" t="s">
        <v>362</v>
      </c>
      <c r="G8466" t="s">
        <v>37</v>
      </c>
      <c r="H8466" t="s">
        <v>43</v>
      </c>
      <c r="I8466" s="187">
        <v>2289.0510364519801</v>
      </c>
      <c r="J8466" s="187">
        <v>123</v>
      </c>
      <c r="K8466" s="187">
        <v>3869.798120880117</v>
      </c>
      <c r="L8466" s="187">
        <v>3191</v>
      </c>
      <c r="M8466" s="187">
        <v>9472.849609375</v>
      </c>
      <c r="N8466" s="187">
        <v>5480.05078125</v>
      </c>
      <c r="O8466" t="s">
        <v>8170</v>
      </c>
    </row>
    <row r="8467" spans="1:15" hidden="1" x14ac:dyDescent="0.45">
      <c r="A8467" s="187">
        <v>2028</v>
      </c>
      <c r="B8467" t="s">
        <v>317</v>
      </c>
      <c r="C8467" t="s">
        <v>328</v>
      </c>
      <c r="D8467" t="s">
        <v>39</v>
      </c>
      <c r="E8467" t="s">
        <v>362</v>
      </c>
      <c r="F8467" t="s">
        <v>362</v>
      </c>
      <c r="G8467" t="s">
        <v>37</v>
      </c>
      <c r="H8467" t="s">
        <v>43</v>
      </c>
      <c r="I8467" s="187">
        <v>1201.126752276753</v>
      </c>
      <c r="J8467" s="187">
        <v>156</v>
      </c>
      <c r="K8467" s="187">
        <v>3775.1268202390602</v>
      </c>
      <c r="L8467" s="187">
        <v>3333</v>
      </c>
      <c r="M8467" s="187">
        <v>8465.25390625</v>
      </c>
      <c r="N8467" s="187">
        <v>4534.126953125</v>
      </c>
      <c r="O8467" t="s">
        <v>8171</v>
      </c>
    </row>
    <row r="8468" spans="1:15" hidden="1" x14ac:dyDescent="0.45">
      <c r="A8468" s="187">
        <v>2028</v>
      </c>
      <c r="B8468" t="s">
        <v>316</v>
      </c>
      <c r="C8468" t="s">
        <v>328</v>
      </c>
      <c r="D8468" t="s">
        <v>39</v>
      </c>
      <c r="E8468" t="s">
        <v>363</v>
      </c>
      <c r="F8468" t="s">
        <v>363</v>
      </c>
      <c r="G8468" t="s">
        <v>36</v>
      </c>
      <c r="H8468" t="s">
        <v>43</v>
      </c>
      <c r="I8468" s="187">
        <v>3267.7910343034573</v>
      </c>
      <c r="J8468" s="187">
        <v>47.592649759384308</v>
      </c>
      <c r="K8468" s="187">
        <v>686.01691537737258</v>
      </c>
      <c r="L8468" s="187">
        <v>2363.7682713827539</v>
      </c>
      <c r="M8468" s="187">
        <v>6365.16845703125</v>
      </c>
      <c r="N8468" s="187">
        <v>5631.55908203125</v>
      </c>
      <c r="O8468" t="s">
        <v>8176</v>
      </c>
    </row>
    <row r="8469" spans="1:15" hidden="1" x14ac:dyDescent="0.45">
      <c r="A8469" s="187">
        <v>2028</v>
      </c>
      <c r="B8469" t="s">
        <v>8570</v>
      </c>
      <c r="C8469" t="s">
        <v>328</v>
      </c>
      <c r="D8469" t="s">
        <v>39</v>
      </c>
      <c r="E8469" t="s">
        <v>363</v>
      </c>
      <c r="F8469" t="s">
        <v>363</v>
      </c>
      <c r="G8469" t="s">
        <v>36</v>
      </c>
      <c r="H8469" t="s">
        <v>43</v>
      </c>
      <c r="I8469" s="187">
        <v>2305.1127329999999</v>
      </c>
      <c r="J8469" s="187">
        <v>45</v>
      </c>
      <c r="K8469" s="187">
        <v>647.68024973228682</v>
      </c>
      <c r="L8469" s="187">
        <v>2286</v>
      </c>
      <c r="M8469" s="187">
        <v>5283.79296875</v>
      </c>
      <c r="N8469" s="187">
        <v>4591.11279296875</v>
      </c>
      <c r="O8469" t="s">
        <v>9325</v>
      </c>
    </row>
    <row r="8470" spans="1:15" hidden="1" x14ac:dyDescent="0.45">
      <c r="A8470" s="187">
        <v>2028</v>
      </c>
      <c r="B8470" t="s">
        <v>317</v>
      </c>
      <c r="C8470" t="s">
        <v>328</v>
      </c>
      <c r="D8470" t="s">
        <v>39</v>
      </c>
      <c r="E8470" t="s">
        <v>363</v>
      </c>
      <c r="F8470" t="s">
        <v>363</v>
      </c>
      <c r="G8470" t="s">
        <v>36</v>
      </c>
      <c r="H8470" t="s">
        <v>43</v>
      </c>
      <c r="I8470" s="187">
        <v>3229.6366342236429</v>
      </c>
      <c r="J8470" s="187">
        <v>47.036962758374742</v>
      </c>
      <c r="K8470" s="187">
        <v>652.01703620293563</v>
      </c>
      <c r="L8470" s="187">
        <v>2307.9469726775874</v>
      </c>
      <c r="M8470" s="187">
        <v>6236.6376953125</v>
      </c>
      <c r="N8470" s="187">
        <v>5537.58349609375</v>
      </c>
      <c r="O8470" t="s">
        <v>8173</v>
      </c>
    </row>
    <row r="8471" spans="1:15" hidden="1" x14ac:dyDescent="0.45">
      <c r="A8471" s="187">
        <v>2028</v>
      </c>
      <c r="B8471" t="s">
        <v>314</v>
      </c>
      <c r="C8471" t="s">
        <v>328</v>
      </c>
      <c r="D8471" t="s">
        <v>39</v>
      </c>
      <c r="E8471" t="s">
        <v>363</v>
      </c>
      <c r="F8471" t="s">
        <v>363</v>
      </c>
      <c r="G8471" t="s">
        <v>36</v>
      </c>
      <c r="H8471" t="s">
        <v>43</v>
      </c>
      <c r="I8471" s="187">
        <v>3364.390792875141</v>
      </c>
      <c r="J8471" s="187">
        <v>55.481378510473967</v>
      </c>
      <c r="K8471" s="187">
        <v>475.95087223180889</v>
      </c>
      <c r="L8471" s="187">
        <v>2335.7660352909538</v>
      </c>
      <c r="M8471" s="187">
        <v>6231.58935546875</v>
      </c>
      <c r="N8471" s="187">
        <v>5700.15673828125</v>
      </c>
      <c r="O8471" t="s">
        <v>8175</v>
      </c>
    </row>
    <row r="8472" spans="1:15" hidden="1" x14ac:dyDescent="0.45">
      <c r="A8472" s="187">
        <v>2028</v>
      </c>
      <c r="B8472" t="s">
        <v>315</v>
      </c>
      <c r="C8472" t="s">
        <v>328</v>
      </c>
      <c r="D8472" t="s">
        <v>39</v>
      </c>
      <c r="E8472" t="s">
        <v>363</v>
      </c>
      <c r="F8472" t="s">
        <v>363</v>
      </c>
      <c r="G8472" t="s">
        <v>36</v>
      </c>
      <c r="H8472" t="s">
        <v>43</v>
      </c>
      <c r="I8472" s="187">
        <v>3275.0162749291076</v>
      </c>
      <c r="J8472" s="187">
        <v>37.80526702589669</v>
      </c>
      <c r="K8472" s="187">
        <v>662.25997434927626</v>
      </c>
      <c r="L8472" s="187">
        <v>2359.0486624159535</v>
      </c>
      <c r="M8472" s="187">
        <v>6334.13037109375</v>
      </c>
      <c r="N8472" s="187">
        <v>5634.06494140625</v>
      </c>
      <c r="O8472" t="s">
        <v>8174</v>
      </c>
    </row>
    <row r="8473" spans="1:15" hidden="1" x14ac:dyDescent="0.45">
      <c r="A8473" s="187">
        <v>2028</v>
      </c>
      <c r="B8473" t="s">
        <v>316</v>
      </c>
      <c r="C8473" t="s">
        <v>328</v>
      </c>
      <c r="D8473" t="s">
        <v>39</v>
      </c>
      <c r="E8473" t="s">
        <v>363</v>
      </c>
      <c r="F8473" t="s">
        <v>363</v>
      </c>
      <c r="G8473" t="s">
        <v>37</v>
      </c>
      <c r="H8473" t="s">
        <v>43</v>
      </c>
      <c r="I8473" s="187">
        <v>3620.5192038008799</v>
      </c>
      <c r="J8473" s="187">
        <v>45</v>
      </c>
      <c r="K8473" s="187">
        <v>746.41007929471573</v>
      </c>
      <c r="L8473" s="187">
        <v>2650</v>
      </c>
      <c r="M8473" s="187">
        <v>7061.92919921875</v>
      </c>
      <c r="N8473" s="187">
        <v>6270.51953125</v>
      </c>
      <c r="O8473" t="s">
        <v>8178</v>
      </c>
    </row>
    <row r="8474" spans="1:15" hidden="1" x14ac:dyDescent="0.45">
      <c r="A8474" s="187">
        <v>2028</v>
      </c>
      <c r="B8474" t="s">
        <v>314</v>
      </c>
      <c r="C8474" t="s">
        <v>328</v>
      </c>
      <c r="D8474" t="s">
        <v>39</v>
      </c>
      <c r="E8474" t="s">
        <v>363</v>
      </c>
      <c r="F8474" t="s">
        <v>363</v>
      </c>
      <c r="G8474" t="s">
        <v>37</v>
      </c>
      <c r="H8474" t="s">
        <v>43</v>
      </c>
      <c r="I8474" s="187">
        <v>3697.8030904415718</v>
      </c>
      <c r="J8474" s="187">
        <v>61</v>
      </c>
      <c r="K8474" s="187">
        <v>523.82561507770708</v>
      </c>
      <c r="L8474" s="187">
        <v>2825</v>
      </c>
      <c r="M8474" s="187">
        <v>7107.62841796875</v>
      </c>
      <c r="N8474" s="187">
        <v>6522.802734375</v>
      </c>
      <c r="O8474" t="s">
        <v>8177</v>
      </c>
    </row>
    <row r="8475" spans="1:15" hidden="1" x14ac:dyDescent="0.45">
      <c r="A8475" s="187">
        <v>2028</v>
      </c>
      <c r="B8475" t="s">
        <v>8570</v>
      </c>
      <c r="C8475" t="s">
        <v>328</v>
      </c>
      <c r="D8475" t="s">
        <v>39</v>
      </c>
      <c r="E8475" t="s">
        <v>363</v>
      </c>
      <c r="F8475" t="s">
        <v>363</v>
      </c>
      <c r="G8475" t="s">
        <v>37</v>
      </c>
      <c r="H8475" t="s">
        <v>43</v>
      </c>
      <c r="I8475" s="187">
        <v>2595.931332071531</v>
      </c>
      <c r="J8475" s="187">
        <v>50</v>
      </c>
      <c r="K8475" s="187">
        <v>732.60840997996888</v>
      </c>
      <c r="L8475" s="187">
        <v>2675</v>
      </c>
      <c r="M8475" s="187">
        <v>6053.5400390625</v>
      </c>
      <c r="N8475" s="187">
        <v>5270.931640625</v>
      </c>
      <c r="O8475" t="s">
        <v>9326</v>
      </c>
    </row>
    <row r="8476" spans="1:15" hidden="1" x14ac:dyDescent="0.45">
      <c r="A8476" s="187">
        <v>2028</v>
      </c>
      <c r="B8476" t="s">
        <v>315</v>
      </c>
      <c r="C8476" t="s">
        <v>328</v>
      </c>
      <c r="D8476" t="s">
        <v>39</v>
      </c>
      <c r="E8476" t="s">
        <v>363</v>
      </c>
      <c r="F8476" t="s">
        <v>363</v>
      </c>
      <c r="G8476" t="s">
        <v>37</v>
      </c>
      <c r="H8476" t="s">
        <v>43</v>
      </c>
      <c r="I8476" s="187">
        <v>3624.2311971396362</v>
      </c>
      <c r="J8476" s="187">
        <v>41</v>
      </c>
      <c r="K8476" s="187">
        <v>730.90896470736595</v>
      </c>
      <c r="L8476" s="187">
        <v>2680</v>
      </c>
      <c r="M8476" s="187">
        <v>7076.14013671875</v>
      </c>
      <c r="N8476" s="187">
        <v>6304.2314453125</v>
      </c>
      <c r="O8476" t="s">
        <v>8180</v>
      </c>
    </row>
    <row r="8477" spans="1:15" hidden="1" x14ac:dyDescent="0.45">
      <c r="A8477" s="187">
        <v>2028</v>
      </c>
      <c r="B8477" t="s">
        <v>317</v>
      </c>
      <c r="C8477" t="s">
        <v>328</v>
      </c>
      <c r="D8477" t="s">
        <v>39</v>
      </c>
      <c r="E8477" t="s">
        <v>363</v>
      </c>
      <c r="F8477" t="s">
        <v>363</v>
      </c>
      <c r="G8477" t="s">
        <v>37</v>
      </c>
      <c r="H8477" t="s">
        <v>43</v>
      </c>
      <c r="I8477" s="187">
        <v>3549</v>
      </c>
      <c r="J8477" s="187">
        <v>45</v>
      </c>
      <c r="K8477" s="187">
        <v>712.16100107698162</v>
      </c>
      <c r="L8477" s="187">
        <v>2524</v>
      </c>
      <c r="M8477" s="187">
        <v>6830.1611328125</v>
      </c>
      <c r="N8477" s="187">
        <v>6073</v>
      </c>
      <c r="O8477" t="s">
        <v>8179</v>
      </c>
    </row>
    <row r="8478" spans="1:15" hidden="1" x14ac:dyDescent="0.45">
      <c r="A8478" s="187">
        <v>2028</v>
      </c>
      <c r="B8478" t="s">
        <v>316</v>
      </c>
      <c r="C8478" t="s">
        <v>328</v>
      </c>
      <c r="D8478" t="s">
        <v>39</v>
      </c>
      <c r="E8478" t="s">
        <v>364</v>
      </c>
      <c r="F8478" t="s">
        <v>364</v>
      </c>
      <c r="G8478" t="s">
        <v>36</v>
      </c>
      <c r="H8478" t="s">
        <v>43</v>
      </c>
      <c r="I8478" s="187">
        <v>3033.8246373856173</v>
      </c>
      <c r="J8478" s="187">
        <v>920.12456201476334</v>
      </c>
      <c r="K8478" s="187">
        <v>5124.3233572889585</v>
      </c>
      <c r="L8478" s="187">
        <v>3062.8514156261544</v>
      </c>
      <c r="M8478" s="187">
        <v>12141.1240234375</v>
      </c>
      <c r="N8478" s="187">
        <v>6096.67626953125</v>
      </c>
      <c r="O8478" t="s">
        <v>8182</v>
      </c>
    </row>
    <row r="8479" spans="1:15" hidden="1" x14ac:dyDescent="0.45">
      <c r="A8479" s="187">
        <v>2028</v>
      </c>
      <c r="B8479" t="s">
        <v>8570</v>
      </c>
      <c r="C8479" t="s">
        <v>328</v>
      </c>
      <c r="D8479" t="s">
        <v>39</v>
      </c>
      <c r="E8479" t="s">
        <v>364</v>
      </c>
      <c r="F8479" t="s">
        <v>364</v>
      </c>
      <c r="G8479" t="s">
        <v>36</v>
      </c>
      <c r="H8479" t="s">
        <v>43</v>
      </c>
      <c r="I8479" s="187">
        <v>3183.2509169999998</v>
      </c>
      <c r="J8479" s="187">
        <v>1023</v>
      </c>
      <c r="K8479" s="187">
        <v>4991.3581385637044</v>
      </c>
      <c r="L8479" s="187">
        <v>3919</v>
      </c>
      <c r="M8479" s="187">
        <v>13116.609375</v>
      </c>
      <c r="N8479" s="187">
        <v>7102.2509765625</v>
      </c>
      <c r="O8479" t="s">
        <v>9327</v>
      </c>
    </row>
    <row r="8480" spans="1:15" hidden="1" x14ac:dyDescent="0.45">
      <c r="A8480" s="187">
        <v>2028</v>
      </c>
      <c r="B8480" t="s">
        <v>315</v>
      </c>
      <c r="C8480" t="s">
        <v>328</v>
      </c>
      <c r="D8480" t="s">
        <v>39</v>
      </c>
      <c r="E8480" t="s">
        <v>364</v>
      </c>
      <c r="F8480" t="s">
        <v>364</v>
      </c>
      <c r="G8480" t="s">
        <v>36</v>
      </c>
      <c r="H8480" t="s">
        <v>43</v>
      </c>
      <c r="I8480" s="187">
        <v>1746.603336596427</v>
      </c>
      <c r="J8480" s="187">
        <v>739.90308322112094</v>
      </c>
      <c r="K8480" s="187">
        <v>5173.5951628162156</v>
      </c>
      <c r="L8480" s="187">
        <v>2544.8345460860742</v>
      </c>
      <c r="M8480" s="187">
        <v>10204.9365234375</v>
      </c>
      <c r="N8480" s="187">
        <v>4291.43798828125</v>
      </c>
      <c r="O8480" t="s">
        <v>8184</v>
      </c>
    </row>
    <row r="8481" spans="1:15" hidden="1" x14ac:dyDescent="0.45">
      <c r="A8481" s="187">
        <v>2028</v>
      </c>
      <c r="B8481" t="s">
        <v>317</v>
      </c>
      <c r="C8481" t="s">
        <v>328</v>
      </c>
      <c r="D8481" t="s">
        <v>39</v>
      </c>
      <c r="E8481" t="s">
        <v>364</v>
      </c>
      <c r="F8481" t="s">
        <v>364</v>
      </c>
      <c r="G8481" t="s">
        <v>36</v>
      </c>
      <c r="H8481" t="s">
        <v>43</v>
      </c>
      <c r="I8481" s="187">
        <v>3563.3112454066554</v>
      </c>
      <c r="J8481" s="187">
        <v>909.38127999524511</v>
      </c>
      <c r="K8481" s="187">
        <v>5167.6373088721548</v>
      </c>
      <c r="L8481" s="187">
        <v>3822.5371734972541</v>
      </c>
      <c r="M8481" s="187">
        <v>13462.8671875</v>
      </c>
      <c r="N8481" s="187">
        <v>7385.8486328125</v>
      </c>
      <c r="O8481" t="s">
        <v>8183</v>
      </c>
    </row>
    <row r="8482" spans="1:15" hidden="1" x14ac:dyDescent="0.45">
      <c r="A8482" s="187">
        <v>2028</v>
      </c>
      <c r="B8482" t="s">
        <v>314</v>
      </c>
      <c r="C8482" t="s">
        <v>328</v>
      </c>
      <c r="D8482" t="s">
        <v>39</v>
      </c>
      <c r="E8482" t="s">
        <v>364</v>
      </c>
      <c r="F8482" t="s">
        <v>364</v>
      </c>
      <c r="G8482" t="s">
        <v>36</v>
      </c>
      <c r="H8482" t="s">
        <v>43</v>
      </c>
      <c r="I8482" s="187">
        <v>1794.267781028728</v>
      </c>
      <c r="J8482" s="187">
        <v>765.64302344454075</v>
      </c>
      <c r="K8482" s="187">
        <v>5167.2186752086327</v>
      </c>
      <c r="L8482" s="187">
        <v>2700.8335058898724</v>
      </c>
      <c r="M8482" s="187">
        <v>10427.962890625</v>
      </c>
      <c r="N8482" s="187">
        <v>4495.1015625</v>
      </c>
      <c r="O8482" t="s">
        <v>8181</v>
      </c>
    </row>
    <row r="8483" spans="1:15" hidden="1" x14ac:dyDescent="0.45">
      <c r="A8483" s="187">
        <v>2028</v>
      </c>
      <c r="B8483" t="s">
        <v>317</v>
      </c>
      <c r="C8483" t="s">
        <v>328</v>
      </c>
      <c r="D8483" t="s">
        <v>39</v>
      </c>
      <c r="E8483" t="s">
        <v>364</v>
      </c>
      <c r="F8483" t="s">
        <v>364</v>
      </c>
      <c r="G8483" t="s">
        <v>37</v>
      </c>
      <c r="H8483" t="s">
        <v>43</v>
      </c>
      <c r="I8483" s="187">
        <v>3915.357678577745</v>
      </c>
      <c r="J8483" s="187">
        <v>870</v>
      </c>
      <c r="K8483" s="187">
        <v>5644.3153395515283</v>
      </c>
      <c r="L8483" s="187">
        <v>4181</v>
      </c>
      <c r="M8483" s="187">
        <v>14610.6728515625</v>
      </c>
      <c r="N8483" s="187">
        <v>8096.357421875</v>
      </c>
      <c r="O8483" t="s">
        <v>8187</v>
      </c>
    </row>
    <row r="8484" spans="1:15" hidden="1" x14ac:dyDescent="0.45">
      <c r="A8484" s="187">
        <v>2028</v>
      </c>
      <c r="B8484" t="s">
        <v>315</v>
      </c>
      <c r="C8484" t="s">
        <v>328</v>
      </c>
      <c r="D8484" t="s">
        <v>39</v>
      </c>
      <c r="E8484" t="s">
        <v>364</v>
      </c>
      <c r="F8484" t="s">
        <v>364</v>
      </c>
      <c r="G8484" t="s">
        <v>37</v>
      </c>
      <c r="H8484" t="s">
        <v>43</v>
      </c>
      <c r="I8484" s="187">
        <v>1932.8436166803399</v>
      </c>
      <c r="J8484" s="187">
        <v>803</v>
      </c>
      <c r="K8484" s="187">
        <v>5709.8831738768349</v>
      </c>
      <c r="L8484" s="187">
        <v>2891</v>
      </c>
      <c r="M8484" s="187">
        <v>11336.7265625</v>
      </c>
      <c r="N8484" s="187">
        <v>4823.84375</v>
      </c>
      <c r="O8484" t="s">
        <v>8188</v>
      </c>
    </row>
    <row r="8485" spans="1:15" hidden="1" x14ac:dyDescent="0.45">
      <c r="A8485" s="187">
        <v>2028</v>
      </c>
      <c r="B8485" t="s">
        <v>316</v>
      </c>
      <c r="C8485" t="s">
        <v>328</v>
      </c>
      <c r="D8485" t="s">
        <v>39</v>
      </c>
      <c r="E8485" t="s">
        <v>364</v>
      </c>
      <c r="F8485" t="s">
        <v>364</v>
      </c>
      <c r="G8485" t="s">
        <v>37</v>
      </c>
      <c r="H8485" t="s">
        <v>43</v>
      </c>
      <c r="I8485" s="187">
        <v>3361.2982731498801</v>
      </c>
      <c r="J8485" s="187">
        <v>870</v>
      </c>
      <c r="K8485" s="187">
        <v>5575.4406600044213</v>
      </c>
      <c r="L8485" s="187">
        <v>3434</v>
      </c>
      <c r="M8485" s="187">
        <v>13240.7392578125</v>
      </c>
      <c r="N8485" s="187">
        <v>6795.29833984375</v>
      </c>
      <c r="O8485" t="s">
        <v>8185</v>
      </c>
    </row>
    <row r="8486" spans="1:15" hidden="1" x14ac:dyDescent="0.45">
      <c r="A8486" s="187">
        <v>2028</v>
      </c>
      <c r="B8486" t="s">
        <v>314</v>
      </c>
      <c r="C8486" t="s">
        <v>328</v>
      </c>
      <c r="D8486" t="s">
        <v>39</v>
      </c>
      <c r="E8486" t="s">
        <v>364</v>
      </c>
      <c r="F8486" t="s">
        <v>364</v>
      </c>
      <c r="G8486" t="s">
        <v>37</v>
      </c>
      <c r="H8486" t="s">
        <v>43</v>
      </c>
      <c r="I8486" s="187">
        <v>1972.0803420989521</v>
      </c>
      <c r="J8486" s="187">
        <v>841</v>
      </c>
      <c r="K8486" s="187">
        <v>5686.976658094839</v>
      </c>
      <c r="L8486" s="187">
        <v>3266</v>
      </c>
      <c r="M8486" s="187">
        <v>11766.056640625</v>
      </c>
      <c r="N8486" s="187">
        <v>5238.080078125</v>
      </c>
      <c r="O8486" t="s">
        <v>8186</v>
      </c>
    </row>
    <row r="8487" spans="1:15" hidden="1" x14ac:dyDescent="0.45">
      <c r="A8487" s="187">
        <v>2028</v>
      </c>
      <c r="B8487" t="s">
        <v>8570</v>
      </c>
      <c r="C8487" t="s">
        <v>328</v>
      </c>
      <c r="D8487" t="s">
        <v>39</v>
      </c>
      <c r="E8487" t="s">
        <v>364</v>
      </c>
      <c r="F8487" t="s">
        <v>364</v>
      </c>
      <c r="G8487" t="s">
        <v>37</v>
      </c>
      <c r="H8487" t="s">
        <v>43</v>
      </c>
      <c r="I8487" s="187">
        <v>3584.8575538130672</v>
      </c>
      <c r="J8487" s="187">
        <v>1129</v>
      </c>
      <c r="K8487" s="187">
        <v>5645.8583553307408</v>
      </c>
      <c r="L8487" s="187">
        <v>4587</v>
      </c>
      <c r="M8487" s="187">
        <v>14946.7158203125</v>
      </c>
      <c r="N8487" s="187">
        <v>8171.857421875</v>
      </c>
      <c r="O8487" t="s">
        <v>9328</v>
      </c>
    </row>
    <row r="8488" spans="1:15" hidden="1" x14ac:dyDescent="0.45">
      <c r="A8488" s="187">
        <v>2028</v>
      </c>
      <c r="B8488" t="s">
        <v>316</v>
      </c>
      <c r="C8488" t="s">
        <v>328</v>
      </c>
      <c r="D8488" t="s">
        <v>39</v>
      </c>
      <c r="E8488" t="s">
        <v>365</v>
      </c>
      <c r="F8488" t="s">
        <v>375</v>
      </c>
      <c r="G8488" t="s">
        <v>36</v>
      </c>
      <c r="H8488" t="s">
        <v>43</v>
      </c>
      <c r="I8488" s="187">
        <v>10525.365794758383</v>
      </c>
      <c r="J8488" s="187">
        <v>2538.2746538338297</v>
      </c>
      <c r="K8488" s="187">
        <v>17142.863635191508</v>
      </c>
      <c r="L8488" s="187">
        <v>13609.382602305717</v>
      </c>
      <c r="M8488" s="187">
        <v>43815.88671875</v>
      </c>
      <c r="N8488" s="187">
        <v>24134.748046875</v>
      </c>
      <c r="O8488" t="s">
        <v>8189</v>
      </c>
    </row>
    <row r="8489" spans="1:15" hidden="1" x14ac:dyDescent="0.45">
      <c r="A8489" s="187">
        <v>2028</v>
      </c>
      <c r="B8489" t="s">
        <v>314</v>
      </c>
      <c r="C8489" t="s">
        <v>328</v>
      </c>
      <c r="D8489" t="s">
        <v>39</v>
      </c>
      <c r="E8489" t="s">
        <v>365</v>
      </c>
      <c r="F8489" t="s">
        <v>375</v>
      </c>
      <c r="G8489" t="s">
        <v>36</v>
      </c>
      <c r="H8489" t="s">
        <v>43</v>
      </c>
      <c r="I8489" s="187">
        <v>9242.0880322747525</v>
      </c>
      <c r="J8489" s="187">
        <v>1836.4336286966882</v>
      </c>
      <c r="K8489" s="187">
        <v>17435.750199558126</v>
      </c>
      <c r="L8489" s="187">
        <v>12968.217413038185</v>
      </c>
      <c r="M8489" s="187">
        <v>41482.48828125</v>
      </c>
      <c r="N8489" s="187">
        <v>22210.3046875</v>
      </c>
      <c r="O8489" t="s">
        <v>8190</v>
      </c>
    </row>
    <row r="8490" spans="1:15" hidden="1" x14ac:dyDescent="0.45">
      <c r="A8490" s="187">
        <v>2028</v>
      </c>
      <c r="B8490" t="s">
        <v>317</v>
      </c>
      <c r="C8490" t="s">
        <v>328</v>
      </c>
      <c r="D8490" t="s">
        <v>39</v>
      </c>
      <c r="E8490" t="s">
        <v>365</v>
      </c>
      <c r="F8490" t="s">
        <v>375</v>
      </c>
      <c r="G8490" t="s">
        <v>36</v>
      </c>
      <c r="H8490" t="s">
        <v>43</v>
      </c>
      <c r="I8490" s="187">
        <v>10967.381920263177</v>
      </c>
      <c r="J8490" s="187">
        <v>2457.4199876653115</v>
      </c>
      <c r="K8490" s="187">
        <v>19355.751997950905</v>
      </c>
      <c r="L8490" s="187">
        <v>14530.240428981497</v>
      </c>
      <c r="M8490" s="187">
        <v>47310.796875</v>
      </c>
      <c r="N8490" s="187">
        <v>25497.623046875</v>
      </c>
      <c r="O8490" t="s">
        <v>8191</v>
      </c>
    </row>
    <row r="8491" spans="1:15" hidden="1" x14ac:dyDescent="0.45">
      <c r="A8491" s="187">
        <v>2028</v>
      </c>
      <c r="B8491" t="s">
        <v>315</v>
      </c>
      <c r="C8491" t="s">
        <v>328</v>
      </c>
      <c r="D8491" t="s">
        <v>39</v>
      </c>
      <c r="E8491" t="s">
        <v>365</v>
      </c>
      <c r="F8491" t="s">
        <v>375</v>
      </c>
      <c r="G8491" t="s">
        <v>36</v>
      </c>
      <c r="H8491" t="s">
        <v>43</v>
      </c>
      <c r="I8491" s="187">
        <v>8996.5734016769584</v>
      </c>
      <c r="J8491" s="187">
        <v>1982.0761426434406</v>
      </c>
      <c r="K8491" s="187">
        <v>17047.241996610453</v>
      </c>
      <c r="L8491" s="187">
        <v>12903.477711181768</v>
      </c>
      <c r="M8491" s="187">
        <v>40929.3671875</v>
      </c>
      <c r="N8491" s="187">
        <v>21900.05078125</v>
      </c>
      <c r="O8491" t="s">
        <v>8192</v>
      </c>
    </row>
    <row r="8492" spans="1:15" hidden="1" x14ac:dyDescent="0.45">
      <c r="A8492" s="187">
        <v>2028</v>
      </c>
      <c r="B8492" t="s">
        <v>8570</v>
      </c>
      <c r="C8492" t="s">
        <v>328</v>
      </c>
      <c r="D8492" t="s">
        <v>39</v>
      </c>
      <c r="E8492" t="s">
        <v>365</v>
      </c>
      <c r="F8492" t="s">
        <v>375</v>
      </c>
      <c r="G8492" t="s">
        <v>36</v>
      </c>
      <c r="H8492" t="s">
        <v>43</v>
      </c>
      <c r="I8492" s="187">
        <v>11148.287700000001</v>
      </c>
      <c r="J8492" s="187">
        <v>2804</v>
      </c>
      <c r="K8492" s="187">
        <v>18800.22754079392</v>
      </c>
      <c r="L8492" s="187">
        <v>15003</v>
      </c>
      <c r="M8492" s="187">
        <v>47755.515625</v>
      </c>
      <c r="N8492" s="187">
        <v>26151.2890625</v>
      </c>
      <c r="O8492" t="s">
        <v>9329</v>
      </c>
    </row>
    <row r="8493" spans="1:15" hidden="1" x14ac:dyDescent="0.45">
      <c r="A8493" s="187">
        <v>2028</v>
      </c>
      <c r="B8493" t="s">
        <v>317</v>
      </c>
      <c r="C8493" t="s">
        <v>328</v>
      </c>
      <c r="D8493" t="s">
        <v>39</v>
      </c>
      <c r="E8493" t="s">
        <v>365</v>
      </c>
      <c r="F8493" t="s">
        <v>375</v>
      </c>
      <c r="G8493" t="s">
        <v>37</v>
      </c>
      <c r="H8493" t="s">
        <v>43</v>
      </c>
      <c r="I8493" s="187">
        <v>12051.4844308545</v>
      </c>
      <c r="J8493" s="187">
        <v>2351</v>
      </c>
      <c r="K8493" s="187">
        <v>21141.183364982211</v>
      </c>
      <c r="L8493" s="187">
        <v>15892</v>
      </c>
      <c r="M8493" s="187">
        <v>51435.66796875</v>
      </c>
      <c r="N8493" s="187">
        <v>27943.484375</v>
      </c>
      <c r="O8493" t="s">
        <v>8194</v>
      </c>
    </row>
    <row r="8494" spans="1:15" hidden="1" x14ac:dyDescent="0.45">
      <c r="A8494" s="187">
        <v>2028</v>
      </c>
      <c r="B8494" t="s">
        <v>8570</v>
      </c>
      <c r="C8494" t="s">
        <v>328</v>
      </c>
      <c r="D8494" t="s">
        <v>39</v>
      </c>
      <c r="E8494" t="s">
        <v>365</v>
      </c>
      <c r="F8494" t="s">
        <v>375</v>
      </c>
      <c r="G8494" t="s">
        <v>37</v>
      </c>
      <c r="H8494" t="s">
        <v>43</v>
      </c>
      <c r="I8494" s="187">
        <v>12554.782646883101</v>
      </c>
      <c r="J8494" s="187">
        <v>3084</v>
      </c>
      <c r="K8494" s="187">
        <v>21265.438944009318</v>
      </c>
      <c r="L8494" s="187">
        <v>17559</v>
      </c>
      <c r="M8494" s="187">
        <v>54463.22265625</v>
      </c>
      <c r="N8494" s="187">
        <v>30113.78125</v>
      </c>
      <c r="O8494" t="s">
        <v>9330</v>
      </c>
    </row>
    <row r="8495" spans="1:15" hidden="1" x14ac:dyDescent="0.45">
      <c r="A8495" s="187">
        <v>2028</v>
      </c>
      <c r="B8495" t="s">
        <v>315</v>
      </c>
      <c r="C8495" t="s">
        <v>328</v>
      </c>
      <c r="D8495" t="s">
        <v>39</v>
      </c>
      <c r="E8495" t="s">
        <v>365</v>
      </c>
      <c r="F8495" t="s">
        <v>375</v>
      </c>
      <c r="G8495" t="s">
        <v>37</v>
      </c>
      <c r="H8495" t="s">
        <v>43</v>
      </c>
      <c r="I8495" s="187">
        <v>9955.8778499261298</v>
      </c>
      <c r="J8495" s="187">
        <v>2150</v>
      </c>
      <c r="K8495" s="187">
        <v>18814.336486364609</v>
      </c>
      <c r="L8495" s="187">
        <v>14660</v>
      </c>
      <c r="M8495" s="187">
        <v>45580.21484375</v>
      </c>
      <c r="N8495" s="187">
        <v>24615.87890625</v>
      </c>
      <c r="O8495" t="s">
        <v>8193</v>
      </c>
    </row>
    <row r="8496" spans="1:15" hidden="1" x14ac:dyDescent="0.45">
      <c r="A8496" s="187">
        <v>2028</v>
      </c>
      <c r="B8496" t="s">
        <v>314</v>
      </c>
      <c r="C8496" t="s">
        <v>328</v>
      </c>
      <c r="D8496" t="s">
        <v>39</v>
      </c>
      <c r="E8496" t="s">
        <v>365</v>
      </c>
      <c r="F8496" t="s">
        <v>375</v>
      </c>
      <c r="G8496" t="s">
        <v>37</v>
      </c>
      <c r="H8496" t="s">
        <v>43</v>
      </c>
      <c r="I8496" s="187">
        <v>10157.982170279631</v>
      </c>
      <c r="J8496" s="187">
        <v>2017</v>
      </c>
      <c r="K8496" s="187">
        <v>19189.569986073009</v>
      </c>
      <c r="L8496" s="187">
        <v>15683</v>
      </c>
      <c r="M8496" s="187">
        <v>47047.5546875</v>
      </c>
      <c r="N8496" s="187">
        <v>25840.982421875</v>
      </c>
      <c r="O8496" t="s">
        <v>8195</v>
      </c>
    </row>
    <row r="8497" spans="1:15" hidden="1" x14ac:dyDescent="0.45">
      <c r="A8497" s="187">
        <v>2028</v>
      </c>
      <c r="B8497" t="s">
        <v>316</v>
      </c>
      <c r="C8497" t="s">
        <v>328</v>
      </c>
      <c r="D8497" t="s">
        <v>39</v>
      </c>
      <c r="E8497" t="s">
        <v>365</v>
      </c>
      <c r="F8497" t="s">
        <v>375</v>
      </c>
      <c r="G8497" t="s">
        <v>37</v>
      </c>
      <c r="H8497" t="s">
        <v>43</v>
      </c>
      <c r="I8497" s="187">
        <v>11661.482814207669</v>
      </c>
      <c r="J8497" s="187">
        <v>2400</v>
      </c>
      <c r="K8497" s="187">
        <v>18652.027258311879</v>
      </c>
      <c r="L8497" s="187">
        <v>15257</v>
      </c>
      <c r="M8497" s="187">
        <v>47970.5078125</v>
      </c>
      <c r="N8497" s="187">
        <v>26918.482421875</v>
      </c>
      <c r="O8497" t="s">
        <v>8196</v>
      </c>
    </row>
    <row r="8498" spans="1:15" hidden="1" x14ac:dyDescent="0.45">
      <c r="A8498" s="187">
        <v>2029</v>
      </c>
      <c r="B8498" t="s">
        <v>317</v>
      </c>
      <c r="C8498" t="s">
        <v>322</v>
      </c>
      <c r="D8498" t="s">
        <v>35</v>
      </c>
      <c r="E8498" t="s">
        <v>348</v>
      </c>
      <c r="F8498" t="s">
        <v>382</v>
      </c>
      <c r="G8498" t="s">
        <v>36</v>
      </c>
      <c r="H8498" t="s">
        <v>43</v>
      </c>
      <c r="I8498" s="187">
        <v>15843.859355895767</v>
      </c>
      <c r="J8498" s="187">
        <v>1080.5090956866493</v>
      </c>
      <c r="K8498" s="187">
        <v>20786.011201110727</v>
      </c>
      <c r="L8498" s="187">
        <v>20796.558564680938</v>
      </c>
      <c r="M8498" s="187">
        <v>58506.9375</v>
      </c>
      <c r="N8498" s="187">
        <v>36640.41796875</v>
      </c>
      <c r="O8498" t="s">
        <v>8197</v>
      </c>
    </row>
    <row r="8499" spans="1:15" hidden="1" x14ac:dyDescent="0.45">
      <c r="A8499" s="187">
        <v>2029</v>
      </c>
      <c r="B8499" t="s">
        <v>315</v>
      </c>
      <c r="C8499" t="s">
        <v>322</v>
      </c>
      <c r="D8499" t="s">
        <v>35</v>
      </c>
      <c r="E8499" t="s">
        <v>348</v>
      </c>
      <c r="F8499" t="s">
        <v>382</v>
      </c>
      <c r="G8499" t="s">
        <v>36</v>
      </c>
      <c r="H8499" t="s">
        <v>43</v>
      </c>
      <c r="I8499" s="187">
        <v>22197.519660205424</v>
      </c>
      <c r="J8499" s="187">
        <v>962.87782075725158</v>
      </c>
      <c r="K8499" s="187">
        <v>18108.369913681694</v>
      </c>
      <c r="L8499" s="187">
        <v>26446.288945175053</v>
      </c>
      <c r="M8499" s="187">
        <v>67715.0546875</v>
      </c>
      <c r="N8499" s="187">
        <v>48643.80859375</v>
      </c>
      <c r="O8499" t="s">
        <v>8199</v>
      </c>
    </row>
    <row r="8500" spans="1:15" hidden="1" x14ac:dyDescent="0.45">
      <c r="A8500" s="187">
        <v>2029</v>
      </c>
      <c r="B8500" t="s">
        <v>316</v>
      </c>
      <c r="C8500" t="s">
        <v>322</v>
      </c>
      <c r="D8500" t="s">
        <v>35</v>
      </c>
      <c r="E8500" t="s">
        <v>348</v>
      </c>
      <c r="F8500" t="s">
        <v>382</v>
      </c>
      <c r="G8500" t="s">
        <v>36</v>
      </c>
      <c r="H8500" t="s">
        <v>43</v>
      </c>
      <c r="I8500" s="187">
        <v>22356.354734705004</v>
      </c>
      <c r="J8500" s="187">
        <v>990.2070009335024</v>
      </c>
      <c r="K8500" s="187">
        <v>18582.021023846941</v>
      </c>
      <c r="L8500" s="187">
        <v>26509.790988284247</v>
      </c>
      <c r="M8500" s="187">
        <v>68438.375</v>
      </c>
      <c r="N8500" s="187">
        <v>48866.14453125</v>
      </c>
      <c r="O8500" t="s">
        <v>8198</v>
      </c>
    </row>
    <row r="8501" spans="1:15" hidden="1" x14ac:dyDescent="0.45">
      <c r="A8501" s="187">
        <v>2029</v>
      </c>
      <c r="B8501" t="s">
        <v>8570</v>
      </c>
      <c r="C8501" t="s">
        <v>322</v>
      </c>
      <c r="D8501" t="s">
        <v>35</v>
      </c>
      <c r="E8501" t="s">
        <v>348</v>
      </c>
      <c r="F8501" t="s">
        <v>382</v>
      </c>
      <c r="G8501" t="s">
        <v>36</v>
      </c>
      <c r="H8501" t="s">
        <v>43</v>
      </c>
      <c r="I8501" s="187">
        <v>11930.19764698853</v>
      </c>
      <c r="J8501" s="187">
        <v>1000</v>
      </c>
      <c r="K8501" s="187">
        <v>18240.920074318688</v>
      </c>
      <c r="L8501" s="187">
        <v>17022</v>
      </c>
      <c r="M8501" s="187">
        <v>48193.1171875</v>
      </c>
      <c r="N8501" s="187">
        <v>28952.197265625</v>
      </c>
      <c r="O8501" t="s">
        <v>9331</v>
      </c>
    </row>
    <row r="8502" spans="1:15" hidden="1" x14ac:dyDescent="0.45">
      <c r="A8502" s="187">
        <v>2029</v>
      </c>
      <c r="B8502" t="s">
        <v>8570</v>
      </c>
      <c r="C8502" t="s">
        <v>322</v>
      </c>
      <c r="D8502" t="s">
        <v>35</v>
      </c>
      <c r="E8502" t="s">
        <v>348</v>
      </c>
      <c r="F8502" t="s">
        <v>382</v>
      </c>
      <c r="G8502" t="s">
        <v>37</v>
      </c>
      <c r="H8502" t="s">
        <v>43</v>
      </c>
      <c r="I8502" s="187">
        <v>13704.04704931889</v>
      </c>
      <c r="J8502" s="187">
        <v>1000</v>
      </c>
      <c r="K8502" s="187">
        <v>21045.447173812729</v>
      </c>
      <c r="L8502" s="187">
        <v>21262</v>
      </c>
      <c r="M8502" s="187">
        <v>57011.4921875</v>
      </c>
      <c r="N8502" s="187">
        <v>34966.046875</v>
      </c>
      <c r="O8502" t="s">
        <v>9332</v>
      </c>
    </row>
    <row r="8503" spans="1:15" hidden="1" x14ac:dyDescent="0.45">
      <c r="A8503" s="187">
        <v>2029</v>
      </c>
      <c r="B8503" t="s">
        <v>317</v>
      </c>
      <c r="C8503" t="s">
        <v>322</v>
      </c>
      <c r="D8503" t="s">
        <v>35</v>
      </c>
      <c r="E8503" t="s">
        <v>348</v>
      </c>
      <c r="F8503" t="s">
        <v>382</v>
      </c>
      <c r="G8503" t="s">
        <v>37</v>
      </c>
      <c r="H8503" t="s">
        <v>43</v>
      </c>
      <c r="I8503" s="187">
        <v>17180.425893424672</v>
      </c>
      <c r="J8503" s="187">
        <v>1000</v>
      </c>
      <c r="K8503" s="187">
        <v>22402.10884121008</v>
      </c>
      <c r="L8503" s="187">
        <v>22293</v>
      </c>
      <c r="M8503" s="187">
        <v>62875.53515625</v>
      </c>
      <c r="N8503" s="187">
        <v>39473.42578125</v>
      </c>
      <c r="O8503" t="s">
        <v>8202</v>
      </c>
    </row>
    <row r="8504" spans="1:15" hidden="1" x14ac:dyDescent="0.45">
      <c r="A8504" s="187">
        <v>2029</v>
      </c>
      <c r="B8504" t="s">
        <v>315</v>
      </c>
      <c r="C8504" t="s">
        <v>322</v>
      </c>
      <c r="D8504" t="s">
        <v>35</v>
      </c>
      <c r="E8504" t="s">
        <v>348</v>
      </c>
      <c r="F8504" t="s">
        <v>382</v>
      </c>
      <c r="G8504" t="s">
        <v>37</v>
      </c>
      <c r="H8504" t="s">
        <v>43</v>
      </c>
      <c r="I8504" s="187">
        <v>23891.2603588655</v>
      </c>
      <c r="J8504" s="187">
        <v>1017</v>
      </c>
      <c r="K8504" s="187">
        <v>19437.764591236701</v>
      </c>
      <c r="L8504" s="187">
        <v>28458.560908128638</v>
      </c>
      <c r="M8504" s="187">
        <v>72804.5859375</v>
      </c>
      <c r="N8504" s="187">
        <v>52349.8203125</v>
      </c>
      <c r="O8504" t="s">
        <v>8200</v>
      </c>
    </row>
    <row r="8505" spans="1:15" hidden="1" x14ac:dyDescent="0.45">
      <c r="A8505" s="187">
        <v>2029</v>
      </c>
      <c r="B8505" t="s">
        <v>316</v>
      </c>
      <c r="C8505" t="s">
        <v>322</v>
      </c>
      <c r="D8505" t="s">
        <v>35</v>
      </c>
      <c r="E8505" t="s">
        <v>348</v>
      </c>
      <c r="F8505" t="s">
        <v>382</v>
      </c>
      <c r="G8505" t="s">
        <v>37</v>
      </c>
      <c r="H8505" t="s">
        <v>43</v>
      </c>
      <c r="I8505" s="187">
        <v>24260</v>
      </c>
      <c r="J8505" s="187">
        <v>899</v>
      </c>
      <c r="K8505" s="187">
        <v>19801.443932180649</v>
      </c>
      <c r="L8505" s="187">
        <v>29045.295038646851</v>
      </c>
      <c r="M8505" s="187">
        <v>74005.7421875</v>
      </c>
      <c r="N8505" s="187">
        <v>53305.296875</v>
      </c>
      <c r="O8505" t="s">
        <v>8201</v>
      </c>
    </row>
    <row r="8506" spans="1:15" hidden="1" x14ac:dyDescent="0.45">
      <c r="A8506" s="187">
        <v>2029</v>
      </c>
      <c r="B8506" t="s">
        <v>315</v>
      </c>
      <c r="C8506" t="s">
        <v>322</v>
      </c>
      <c r="D8506" t="s">
        <v>35</v>
      </c>
      <c r="E8506" t="s">
        <v>19</v>
      </c>
      <c r="F8506" t="s">
        <v>19</v>
      </c>
      <c r="G8506" t="s">
        <v>36</v>
      </c>
      <c r="H8506" t="s">
        <v>43</v>
      </c>
      <c r="I8506" s="187">
        <v>1013.8537053855766</v>
      </c>
      <c r="J8506" s="187">
        <v>0</v>
      </c>
      <c r="K8506" s="187">
        <v>128.7830063924367</v>
      </c>
      <c r="L8506" s="187">
        <v>3427.8450418958155</v>
      </c>
      <c r="M8506" s="187">
        <v>4570.48193359375</v>
      </c>
      <c r="N8506" s="187">
        <v>4441.69873046875</v>
      </c>
      <c r="O8506" t="s">
        <v>8205</v>
      </c>
    </row>
    <row r="8507" spans="1:15" hidden="1" x14ac:dyDescent="0.45">
      <c r="A8507" s="187">
        <v>2029</v>
      </c>
      <c r="B8507" t="s">
        <v>8570</v>
      </c>
      <c r="C8507" t="s">
        <v>322</v>
      </c>
      <c r="D8507" t="s">
        <v>35</v>
      </c>
      <c r="E8507" t="s">
        <v>19</v>
      </c>
      <c r="F8507" t="s">
        <v>19</v>
      </c>
      <c r="G8507" t="s">
        <v>36</v>
      </c>
      <c r="H8507" t="s">
        <v>43</v>
      </c>
      <c r="I8507" s="187">
        <v>611.79096000000004</v>
      </c>
      <c r="J8507" s="187">
        <v>0</v>
      </c>
      <c r="K8507" s="187">
        <v>127.692981846308</v>
      </c>
      <c r="L8507" s="187">
        <v>2791</v>
      </c>
      <c r="M8507" s="187">
        <v>3530.48388671875</v>
      </c>
      <c r="N8507" s="187">
        <v>3402.791015625</v>
      </c>
      <c r="O8507" t="s">
        <v>9333</v>
      </c>
    </row>
    <row r="8508" spans="1:15" hidden="1" x14ac:dyDescent="0.45">
      <c r="A8508" s="187">
        <v>2029</v>
      </c>
      <c r="B8508" t="s">
        <v>316</v>
      </c>
      <c r="C8508" t="s">
        <v>322</v>
      </c>
      <c r="D8508" t="s">
        <v>35</v>
      </c>
      <c r="E8508" t="s">
        <v>19</v>
      </c>
      <c r="F8508" t="s">
        <v>19</v>
      </c>
      <c r="G8508" t="s">
        <v>36</v>
      </c>
      <c r="H8508" t="s">
        <v>43</v>
      </c>
      <c r="I8508" s="187">
        <v>1005.6157894090967</v>
      </c>
      <c r="J8508" s="187">
        <v>0</v>
      </c>
      <c r="K8508" s="187">
        <v>129.17643900883527</v>
      </c>
      <c r="L8508" s="187">
        <v>3192.0132243662847</v>
      </c>
      <c r="M8508" s="187">
        <v>4326.8056640625</v>
      </c>
      <c r="N8508" s="187">
        <v>4197.62890625</v>
      </c>
      <c r="O8508" t="s">
        <v>8203</v>
      </c>
    </row>
    <row r="8509" spans="1:15" hidden="1" x14ac:dyDescent="0.45">
      <c r="A8509" s="187">
        <v>2029</v>
      </c>
      <c r="B8509" t="s">
        <v>317</v>
      </c>
      <c r="C8509" t="s">
        <v>322</v>
      </c>
      <c r="D8509" t="s">
        <v>35</v>
      </c>
      <c r="E8509" t="s">
        <v>19</v>
      </c>
      <c r="F8509" t="s">
        <v>19</v>
      </c>
      <c r="G8509" t="s">
        <v>36</v>
      </c>
      <c r="H8509" t="s">
        <v>43</v>
      </c>
      <c r="I8509" s="187">
        <v>918.43273133365187</v>
      </c>
      <c r="J8509" s="187">
        <v>0</v>
      </c>
      <c r="K8509" s="187">
        <v>130.73272157620096</v>
      </c>
      <c r="L8509" s="187">
        <v>3065.4043044630239</v>
      </c>
      <c r="M8509" s="187">
        <v>4114.56982421875</v>
      </c>
      <c r="N8509" s="187">
        <v>3983.837158203125</v>
      </c>
      <c r="O8509" t="s">
        <v>8204</v>
      </c>
    </row>
    <row r="8510" spans="1:15" hidden="1" x14ac:dyDescent="0.45">
      <c r="A8510" s="187">
        <v>2029</v>
      </c>
      <c r="B8510" t="s">
        <v>316</v>
      </c>
      <c r="C8510" t="s">
        <v>322</v>
      </c>
      <c r="D8510" t="s">
        <v>35</v>
      </c>
      <c r="E8510" t="s">
        <v>19</v>
      </c>
      <c r="F8510" t="s">
        <v>19</v>
      </c>
      <c r="G8510" t="s">
        <v>37</v>
      </c>
      <c r="H8510" t="s">
        <v>43</v>
      </c>
      <c r="I8510" s="187">
        <v>1091</v>
      </c>
      <c r="J8510" s="187">
        <v>0</v>
      </c>
      <c r="K8510" s="187">
        <v>137.6534883428229</v>
      </c>
      <c r="L8510" s="187">
        <v>3497</v>
      </c>
      <c r="M8510" s="187">
        <v>4725.6533203125</v>
      </c>
      <c r="N8510" s="187">
        <v>4588</v>
      </c>
      <c r="O8510" t="s">
        <v>8208</v>
      </c>
    </row>
    <row r="8511" spans="1:15" hidden="1" x14ac:dyDescent="0.45">
      <c r="A8511" s="187">
        <v>2029</v>
      </c>
      <c r="B8511" t="s">
        <v>315</v>
      </c>
      <c r="C8511" t="s">
        <v>322</v>
      </c>
      <c r="D8511" t="s">
        <v>35</v>
      </c>
      <c r="E8511" t="s">
        <v>19</v>
      </c>
      <c r="F8511" t="s">
        <v>19</v>
      </c>
      <c r="G8511" t="s">
        <v>37</v>
      </c>
      <c r="H8511" t="s">
        <v>43</v>
      </c>
      <c r="I8511" s="187">
        <v>1091.2139379514431</v>
      </c>
      <c r="J8511" s="187">
        <v>0</v>
      </c>
      <c r="K8511" s="187">
        <v>138.23738821000089</v>
      </c>
      <c r="L8511" s="187">
        <v>3689</v>
      </c>
      <c r="M8511" s="187">
        <v>4918.451171875</v>
      </c>
      <c r="N8511" s="187">
        <v>4780.2138671875</v>
      </c>
      <c r="O8511" t="s">
        <v>8207</v>
      </c>
    </row>
    <row r="8512" spans="1:15" hidden="1" x14ac:dyDescent="0.45">
      <c r="A8512" s="187">
        <v>2029</v>
      </c>
      <c r="B8512" t="s">
        <v>8570</v>
      </c>
      <c r="C8512" t="s">
        <v>322</v>
      </c>
      <c r="D8512" t="s">
        <v>35</v>
      </c>
      <c r="E8512" t="s">
        <v>19</v>
      </c>
      <c r="F8512" t="s">
        <v>19</v>
      </c>
      <c r="G8512" t="s">
        <v>37</v>
      </c>
      <c r="H8512" t="s">
        <v>43</v>
      </c>
      <c r="I8512" s="187">
        <v>702.75550734939407</v>
      </c>
      <c r="J8512" s="187">
        <v>0</v>
      </c>
      <c r="K8512" s="187">
        <v>147.32567726650041</v>
      </c>
      <c r="L8512" s="187">
        <v>3486</v>
      </c>
      <c r="M8512" s="187">
        <v>4336.0810546875</v>
      </c>
      <c r="N8512" s="187">
        <v>4188.75537109375</v>
      </c>
      <c r="O8512" t="s">
        <v>9334</v>
      </c>
    </row>
    <row r="8513" spans="1:15" hidden="1" x14ac:dyDescent="0.45">
      <c r="A8513" s="187">
        <v>2029</v>
      </c>
      <c r="B8513" t="s">
        <v>317</v>
      </c>
      <c r="C8513" t="s">
        <v>322</v>
      </c>
      <c r="D8513" t="s">
        <v>35</v>
      </c>
      <c r="E8513" t="s">
        <v>19</v>
      </c>
      <c r="F8513" t="s">
        <v>19</v>
      </c>
      <c r="G8513" t="s">
        <v>37</v>
      </c>
      <c r="H8513" t="s">
        <v>43</v>
      </c>
      <c r="I8513" s="187">
        <v>995.91047385192587</v>
      </c>
      <c r="J8513" s="187">
        <v>0</v>
      </c>
      <c r="K8513" s="187">
        <v>140.89709803010061</v>
      </c>
      <c r="L8513" s="187">
        <v>3286</v>
      </c>
      <c r="M8513" s="187">
        <v>4422.8076171875</v>
      </c>
      <c r="N8513" s="187">
        <v>4281.91064453125</v>
      </c>
      <c r="O8513" t="s">
        <v>8206</v>
      </c>
    </row>
    <row r="8514" spans="1:15" hidden="1" x14ac:dyDescent="0.45">
      <c r="A8514" s="187">
        <v>2029</v>
      </c>
      <c r="B8514" t="s">
        <v>315</v>
      </c>
      <c r="C8514" t="s">
        <v>322</v>
      </c>
      <c r="D8514" t="s">
        <v>35</v>
      </c>
      <c r="E8514" t="s">
        <v>349</v>
      </c>
      <c r="F8514" t="s">
        <v>349</v>
      </c>
      <c r="G8514" t="s">
        <v>36</v>
      </c>
      <c r="H8514" t="s">
        <v>43</v>
      </c>
      <c r="I8514" s="187">
        <v>4701.1093601677576</v>
      </c>
      <c r="J8514" s="187">
        <v>430.46302575030069</v>
      </c>
      <c r="K8514" s="187">
        <v>4748.0602601709425</v>
      </c>
      <c r="L8514" s="187">
        <v>2489.8887647346342</v>
      </c>
      <c r="M8514" s="187">
        <v>12369.521484375</v>
      </c>
      <c r="N8514" s="187">
        <v>7190.998046875</v>
      </c>
      <c r="O8514" t="s">
        <v>8211</v>
      </c>
    </row>
    <row r="8515" spans="1:15" hidden="1" x14ac:dyDescent="0.45">
      <c r="A8515" s="187">
        <v>2029</v>
      </c>
      <c r="B8515" t="s">
        <v>316</v>
      </c>
      <c r="C8515" t="s">
        <v>322</v>
      </c>
      <c r="D8515" t="s">
        <v>35</v>
      </c>
      <c r="E8515" t="s">
        <v>349</v>
      </c>
      <c r="F8515" t="s">
        <v>349</v>
      </c>
      <c r="G8515" t="s">
        <v>36</v>
      </c>
      <c r="H8515" t="s">
        <v>43</v>
      </c>
      <c r="I8515" s="187">
        <v>4662.9112022879899</v>
      </c>
      <c r="J8515" s="187">
        <v>545.21965012467604</v>
      </c>
      <c r="K8515" s="187">
        <v>4650.9229419761268</v>
      </c>
      <c r="L8515" s="187">
        <v>2339.4879532622463</v>
      </c>
      <c r="M8515" s="187">
        <v>12198.5419921875</v>
      </c>
      <c r="N8515" s="187">
        <v>7002.39892578125</v>
      </c>
      <c r="O8515" t="s">
        <v>8209</v>
      </c>
    </row>
    <row r="8516" spans="1:15" hidden="1" x14ac:dyDescent="0.45">
      <c r="A8516" s="187">
        <v>2029</v>
      </c>
      <c r="B8516" t="s">
        <v>8570</v>
      </c>
      <c r="C8516" t="s">
        <v>322</v>
      </c>
      <c r="D8516" t="s">
        <v>35</v>
      </c>
      <c r="E8516" t="s">
        <v>349</v>
      </c>
      <c r="F8516" t="s">
        <v>349</v>
      </c>
      <c r="G8516" t="s">
        <v>36</v>
      </c>
      <c r="H8516" t="s">
        <v>43</v>
      </c>
      <c r="I8516" s="187">
        <v>3344.4572480000002</v>
      </c>
      <c r="J8516" s="187">
        <v>495</v>
      </c>
      <c r="K8516" s="187">
        <v>5565.7821808381732</v>
      </c>
      <c r="L8516" s="187">
        <v>2396</v>
      </c>
      <c r="M8516" s="187">
        <v>11801.2392578125</v>
      </c>
      <c r="N8516" s="187">
        <v>5740.45703125</v>
      </c>
      <c r="O8516" t="s">
        <v>9335</v>
      </c>
    </row>
    <row r="8517" spans="1:15" hidden="1" x14ac:dyDescent="0.45">
      <c r="A8517" s="187">
        <v>2029</v>
      </c>
      <c r="B8517" t="s">
        <v>317</v>
      </c>
      <c r="C8517" t="s">
        <v>322</v>
      </c>
      <c r="D8517" t="s">
        <v>35</v>
      </c>
      <c r="E8517" t="s">
        <v>349</v>
      </c>
      <c r="F8517" t="s">
        <v>349</v>
      </c>
      <c r="G8517" t="s">
        <v>36</v>
      </c>
      <c r="H8517" t="s">
        <v>43</v>
      </c>
      <c r="I8517" s="187">
        <v>5316.5553230712167</v>
      </c>
      <c r="J8517" s="187">
        <v>534.8520023648914</v>
      </c>
      <c r="K8517" s="187">
        <v>6798.7023342190805</v>
      </c>
      <c r="L8517" s="187">
        <v>2699.1117210252501</v>
      </c>
      <c r="M8517" s="187">
        <v>15349.220703125</v>
      </c>
      <c r="N8517" s="187">
        <v>8015.6669921875</v>
      </c>
      <c r="O8517" t="s">
        <v>8210</v>
      </c>
    </row>
    <row r="8518" spans="1:15" hidden="1" x14ac:dyDescent="0.45">
      <c r="A8518" s="187">
        <v>2029</v>
      </c>
      <c r="B8518" t="s">
        <v>316</v>
      </c>
      <c r="C8518" t="s">
        <v>322</v>
      </c>
      <c r="D8518" t="s">
        <v>35</v>
      </c>
      <c r="E8518" t="s">
        <v>349</v>
      </c>
      <c r="F8518" t="s">
        <v>349</v>
      </c>
      <c r="G8518" t="s">
        <v>37</v>
      </c>
      <c r="H8518" t="s">
        <v>43</v>
      </c>
      <c r="I8518" s="187">
        <v>5060</v>
      </c>
      <c r="J8518" s="187">
        <v>495</v>
      </c>
      <c r="K8518" s="187">
        <v>4956.1341982254953</v>
      </c>
      <c r="L8518" s="187">
        <v>2563</v>
      </c>
      <c r="M8518" s="187">
        <v>13074.1337890625</v>
      </c>
      <c r="N8518" s="187">
        <v>7623</v>
      </c>
      <c r="O8518" t="s">
        <v>8214</v>
      </c>
    </row>
    <row r="8519" spans="1:15" hidden="1" x14ac:dyDescent="0.45">
      <c r="A8519" s="187">
        <v>2029</v>
      </c>
      <c r="B8519" t="s">
        <v>317</v>
      </c>
      <c r="C8519" t="s">
        <v>322</v>
      </c>
      <c r="D8519" t="s">
        <v>35</v>
      </c>
      <c r="E8519" t="s">
        <v>349</v>
      </c>
      <c r="F8519" t="s">
        <v>349</v>
      </c>
      <c r="G8519" t="s">
        <v>37</v>
      </c>
      <c r="H8519" t="s">
        <v>43</v>
      </c>
      <c r="I8519" s="187">
        <v>5765.0527364930249</v>
      </c>
      <c r="J8519" s="187">
        <v>495</v>
      </c>
      <c r="K8519" s="187">
        <v>7327.2966225490272</v>
      </c>
      <c r="L8519" s="187">
        <v>2893</v>
      </c>
      <c r="M8519" s="187">
        <v>16480.349609375</v>
      </c>
      <c r="N8519" s="187">
        <v>8658.052734375</v>
      </c>
      <c r="O8519" t="s">
        <v>8212</v>
      </c>
    </row>
    <row r="8520" spans="1:15" hidden="1" x14ac:dyDescent="0.45">
      <c r="A8520" s="187">
        <v>2029</v>
      </c>
      <c r="B8520" t="s">
        <v>315</v>
      </c>
      <c r="C8520" t="s">
        <v>322</v>
      </c>
      <c r="D8520" t="s">
        <v>35</v>
      </c>
      <c r="E8520" t="s">
        <v>349</v>
      </c>
      <c r="F8520" t="s">
        <v>349</v>
      </c>
      <c r="G8520" t="s">
        <v>37</v>
      </c>
      <c r="H8520" t="s">
        <v>43</v>
      </c>
      <c r="I8520" s="187">
        <v>5059.8188184340634</v>
      </c>
      <c r="J8520" s="187">
        <v>454</v>
      </c>
      <c r="K8520" s="187">
        <v>5096.6308973221439</v>
      </c>
      <c r="L8520" s="187">
        <v>2679</v>
      </c>
      <c r="M8520" s="187">
        <v>13289.4501953125</v>
      </c>
      <c r="N8520" s="187">
        <v>7738.81884765625</v>
      </c>
      <c r="O8520" t="s">
        <v>8213</v>
      </c>
    </row>
    <row r="8521" spans="1:15" hidden="1" x14ac:dyDescent="0.45">
      <c r="A8521" s="187">
        <v>2029</v>
      </c>
      <c r="B8521" t="s">
        <v>8570</v>
      </c>
      <c r="C8521" t="s">
        <v>322</v>
      </c>
      <c r="D8521" t="s">
        <v>35</v>
      </c>
      <c r="E8521" t="s">
        <v>349</v>
      </c>
      <c r="F8521" t="s">
        <v>349</v>
      </c>
      <c r="G8521" t="s">
        <v>37</v>
      </c>
      <c r="H8521" t="s">
        <v>43</v>
      </c>
      <c r="I8521" s="187">
        <v>3841.730106843353</v>
      </c>
      <c r="J8521" s="187">
        <v>495</v>
      </c>
      <c r="K8521" s="187">
        <v>6421.5168089405179</v>
      </c>
      <c r="L8521" s="187">
        <v>2993</v>
      </c>
      <c r="M8521" s="187">
        <v>13751.2470703125</v>
      </c>
      <c r="N8521" s="187">
        <v>6834.73046875</v>
      </c>
      <c r="O8521" t="s">
        <v>9336</v>
      </c>
    </row>
    <row r="8522" spans="1:15" hidden="1" x14ac:dyDescent="0.45">
      <c r="A8522" s="187">
        <v>2029</v>
      </c>
      <c r="B8522" t="s">
        <v>317</v>
      </c>
      <c r="C8522" t="s">
        <v>322</v>
      </c>
      <c r="D8522" t="s">
        <v>35</v>
      </c>
      <c r="E8522" t="s">
        <v>46</v>
      </c>
      <c r="F8522" t="s">
        <v>46</v>
      </c>
      <c r="G8522" t="s">
        <v>37</v>
      </c>
      <c r="H8522" t="s">
        <v>43</v>
      </c>
      <c r="I8522" s="187">
        <v>14702.510102810649</v>
      </c>
      <c r="J8522" s="187">
        <v>1000</v>
      </c>
      <c r="K8522" s="187">
        <v>21339.48837573795</v>
      </c>
      <c r="L8522" s="187">
        <v>5578</v>
      </c>
      <c r="M8522" s="187">
        <v>42620</v>
      </c>
      <c r="N8522" s="187">
        <v>20280.509765625</v>
      </c>
      <c r="O8522" t="s">
        <v>8217</v>
      </c>
    </row>
    <row r="8523" spans="1:15" hidden="1" x14ac:dyDescent="0.45">
      <c r="A8523" s="187">
        <v>2029</v>
      </c>
      <c r="B8523" t="s">
        <v>316</v>
      </c>
      <c r="C8523" t="s">
        <v>322</v>
      </c>
      <c r="D8523" t="s">
        <v>35</v>
      </c>
      <c r="E8523" t="s">
        <v>46</v>
      </c>
      <c r="F8523" t="s">
        <v>46</v>
      </c>
      <c r="G8523" t="s">
        <v>37</v>
      </c>
      <c r="H8523" t="s">
        <v>43</v>
      </c>
      <c r="I8523" s="187">
        <v>22016</v>
      </c>
      <c r="J8523" s="187"/>
      <c r="K8523" s="187">
        <v>18812.816077905001</v>
      </c>
      <c r="L8523" s="187">
        <v>20659</v>
      </c>
      <c r="M8523" s="187">
        <v>61487.81640625</v>
      </c>
      <c r="N8523" s="187">
        <v>42675</v>
      </c>
      <c r="O8523" t="s">
        <v>8215</v>
      </c>
    </row>
    <row r="8524" spans="1:15" hidden="1" x14ac:dyDescent="0.45">
      <c r="A8524" s="187">
        <v>2029</v>
      </c>
      <c r="B8524" t="s">
        <v>315</v>
      </c>
      <c r="C8524" t="s">
        <v>322</v>
      </c>
      <c r="D8524" t="s">
        <v>35</v>
      </c>
      <c r="E8524" t="s">
        <v>46</v>
      </c>
      <c r="F8524" t="s">
        <v>46</v>
      </c>
      <c r="G8524" t="s">
        <v>37</v>
      </c>
      <c r="H8524" t="s">
        <v>43</v>
      </c>
      <c r="I8524" s="187">
        <v>21559.57000366283</v>
      </c>
      <c r="J8524" s="187">
        <v>1017</v>
      </c>
      <c r="K8524" s="187">
        <v>18548.289284708611</v>
      </c>
      <c r="L8524" s="187">
        <v>20913</v>
      </c>
      <c r="M8524" s="187">
        <v>62037.859375</v>
      </c>
      <c r="N8524" s="187">
        <v>42472.5703125</v>
      </c>
      <c r="O8524" t="s">
        <v>8216</v>
      </c>
    </row>
    <row r="8525" spans="1:15" hidden="1" x14ac:dyDescent="0.45">
      <c r="A8525" s="187">
        <v>2029</v>
      </c>
      <c r="B8525" t="s">
        <v>8570</v>
      </c>
      <c r="C8525" t="s">
        <v>322</v>
      </c>
      <c r="D8525" t="s">
        <v>35</v>
      </c>
      <c r="E8525" t="s">
        <v>46</v>
      </c>
      <c r="F8525" t="s">
        <v>46</v>
      </c>
      <c r="G8525" t="s">
        <v>37</v>
      </c>
      <c r="H8525" t="s">
        <v>43</v>
      </c>
      <c r="I8525" s="187"/>
      <c r="J8525" s="187">
        <v>1000</v>
      </c>
      <c r="K8525" s="187">
        <v>20680.316600949809</v>
      </c>
      <c r="L8525" s="187">
        <v>4617</v>
      </c>
      <c r="M8525" s="187">
        <v>26297.31640625</v>
      </c>
      <c r="N8525" s="187">
        <v>4617</v>
      </c>
      <c r="O8525" t="s">
        <v>9337</v>
      </c>
    </row>
    <row r="8526" spans="1:15" hidden="1" x14ac:dyDescent="0.45">
      <c r="A8526" s="187">
        <v>2029</v>
      </c>
      <c r="B8526" t="s">
        <v>316</v>
      </c>
      <c r="C8526" t="s">
        <v>322</v>
      </c>
      <c r="D8526" t="s">
        <v>35</v>
      </c>
      <c r="E8526" t="s">
        <v>350</v>
      </c>
      <c r="F8526" t="s">
        <v>350</v>
      </c>
      <c r="G8526" t="s">
        <v>37</v>
      </c>
      <c r="H8526" t="s">
        <v>43</v>
      </c>
      <c r="I8526" s="187">
        <v>22031</v>
      </c>
      <c r="J8526" s="187">
        <v>899</v>
      </c>
      <c r="K8526" s="187">
        <v>18850.88189170168</v>
      </c>
      <c r="L8526" s="187">
        <v>20602.295038646851</v>
      </c>
      <c r="M8526" s="187">
        <v>62383.1796875</v>
      </c>
      <c r="N8526" s="187">
        <v>42633.296875</v>
      </c>
      <c r="O8526" t="s">
        <v>8218</v>
      </c>
    </row>
    <row r="8527" spans="1:15" hidden="1" x14ac:dyDescent="0.45">
      <c r="A8527" s="187">
        <v>2029</v>
      </c>
      <c r="B8527" t="s">
        <v>8570</v>
      </c>
      <c r="C8527" t="s">
        <v>322</v>
      </c>
      <c r="D8527" t="s">
        <v>35</v>
      </c>
      <c r="E8527" t="s">
        <v>350</v>
      </c>
      <c r="F8527" t="s">
        <v>350</v>
      </c>
      <c r="G8527" t="s">
        <v>37</v>
      </c>
      <c r="H8527" t="s">
        <v>43</v>
      </c>
      <c r="I8527" s="187">
        <v>12010.226895199899</v>
      </c>
      <c r="J8527" s="187">
        <v>1000</v>
      </c>
      <c r="K8527" s="187">
        <v>20557.34649252272</v>
      </c>
      <c r="L8527" s="187">
        <v>4619</v>
      </c>
      <c r="M8527" s="187">
        <v>38186.57421875</v>
      </c>
      <c r="N8527" s="187">
        <v>16629.2265625</v>
      </c>
      <c r="O8527" t="s">
        <v>9338</v>
      </c>
    </row>
    <row r="8528" spans="1:15" hidden="1" x14ac:dyDescent="0.45">
      <c r="A8528" s="187">
        <v>2029</v>
      </c>
      <c r="B8528" t="s">
        <v>317</v>
      </c>
      <c r="C8528" t="s">
        <v>322</v>
      </c>
      <c r="D8528" t="s">
        <v>35</v>
      </c>
      <c r="E8528" t="s">
        <v>350</v>
      </c>
      <c r="F8528" t="s">
        <v>350</v>
      </c>
      <c r="G8528" t="s">
        <v>37</v>
      </c>
      <c r="H8528" t="s">
        <v>43</v>
      </c>
      <c r="I8528" s="187">
        <v>14877.42656043532</v>
      </c>
      <c r="J8528" s="187">
        <v>1000</v>
      </c>
      <c r="K8528" s="187">
        <v>21435.283200397342</v>
      </c>
      <c r="L8528" s="187">
        <v>5576</v>
      </c>
      <c r="M8528" s="187">
        <v>42888.7109375</v>
      </c>
      <c r="N8528" s="187">
        <v>20453.42578125</v>
      </c>
      <c r="O8528" t="s">
        <v>8219</v>
      </c>
    </row>
    <row r="8529" spans="1:15" hidden="1" x14ac:dyDescent="0.45">
      <c r="A8529" s="187">
        <v>2029</v>
      </c>
      <c r="B8529" t="s">
        <v>315</v>
      </c>
      <c r="C8529" t="s">
        <v>322</v>
      </c>
      <c r="D8529" t="s">
        <v>35</v>
      </c>
      <c r="E8529" t="s">
        <v>350</v>
      </c>
      <c r="F8529" t="s">
        <v>350</v>
      </c>
      <c r="G8529" t="s">
        <v>37</v>
      </c>
      <c r="H8529" t="s">
        <v>43</v>
      </c>
      <c r="I8529" s="187">
        <v>21651.629612466379</v>
      </c>
      <c r="J8529" s="187">
        <v>1017</v>
      </c>
      <c r="K8529" s="187">
        <v>18591.526112751351</v>
      </c>
      <c r="L8529" s="187">
        <v>20341.560908128638</v>
      </c>
      <c r="M8529" s="187">
        <v>61601.71875</v>
      </c>
      <c r="N8529" s="187">
        <v>41993.19140625</v>
      </c>
      <c r="O8529" t="s">
        <v>8220</v>
      </c>
    </row>
    <row r="8530" spans="1:15" hidden="1" x14ac:dyDescent="0.45">
      <c r="A8530" s="187">
        <v>2029</v>
      </c>
      <c r="B8530" t="s">
        <v>316</v>
      </c>
      <c r="C8530" t="s">
        <v>322</v>
      </c>
      <c r="D8530" t="s">
        <v>35</v>
      </c>
      <c r="E8530" t="s">
        <v>16</v>
      </c>
      <c r="F8530" t="s">
        <v>16</v>
      </c>
      <c r="G8530" t="s">
        <v>36</v>
      </c>
      <c r="H8530" t="s">
        <v>43</v>
      </c>
      <c r="I8530" s="187">
        <v>13079.197845255296</v>
      </c>
      <c r="J8530" s="187">
        <v>131.07300679764938</v>
      </c>
      <c r="K8530" s="187">
        <v>7939.0602449994731</v>
      </c>
      <c r="L8530" s="187">
        <v>17812.711478416688</v>
      </c>
      <c r="M8530" s="187">
        <v>38962.04296875</v>
      </c>
      <c r="N8530" s="187">
        <v>30891.91015625</v>
      </c>
      <c r="O8530" t="s">
        <v>8222</v>
      </c>
    </row>
    <row r="8531" spans="1:15" hidden="1" x14ac:dyDescent="0.45">
      <c r="A8531" s="187">
        <v>2029</v>
      </c>
      <c r="B8531" t="s">
        <v>315</v>
      </c>
      <c r="C8531" t="s">
        <v>322</v>
      </c>
      <c r="D8531" t="s">
        <v>35</v>
      </c>
      <c r="E8531" t="s">
        <v>16</v>
      </c>
      <c r="F8531" t="s">
        <v>16</v>
      </c>
      <c r="G8531" t="s">
        <v>36</v>
      </c>
      <c r="H8531" t="s">
        <v>43</v>
      </c>
      <c r="I8531" s="187">
        <v>13186.341482043532</v>
      </c>
      <c r="J8531" s="187">
        <v>249.2154359607004</v>
      </c>
      <c r="K8531" s="187">
        <v>7742.3491377213459</v>
      </c>
      <c r="L8531" s="187">
        <v>17254.770547969947</v>
      </c>
      <c r="M8531" s="187">
        <v>38432.67578125</v>
      </c>
      <c r="N8531" s="187">
        <v>30441.11328125</v>
      </c>
      <c r="O8531" t="s">
        <v>8221</v>
      </c>
    </row>
    <row r="8532" spans="1:15" hidden="1" x14ac:dyDescent="0.45">
      <c r="A8532" s="187">
        <v>2029</v>
      </c>
      <c r="B8532" t="s">
        <v>317</v>
      </c>
      <c r="C8532" t="s">
        <v>322</v>
      </c>
      <c r="D8532" t="s">
        <v>35</v>
      </c>
      <c r="E8532" t="s">
        <v>16</v>
      </c>
      <c r="F8532" t="s">
        <v>16</v>
      </c>
      <c r="G8532" t="s">
        <v>36</v>
      </c>
      <c r="H8532" t="s">
        <v>43</v>
      </c>
      <c r="I8532" s="187">
        <v>5018.964749464486</v>
      </c>
      <c r="J8532" s="187">
        <v>237.71200105106286</v>
      </c>
      <c r="K8532" s="187">
        <v>8015.7880590034174</v>
      </c>
      <c r="L8532" s="187">
        <v>12311.320636253682</v>
      </c>
      <c r="M8532" s="187">
        <v>25583.78515625</v>
      </c>
      <c r="N8532" s="187">
        <v>17330.28515625</v>
      </c>
      <c r="O8532" t="s">
        <v>8223</v>
      </c>
    </row>
    <row r="8533" spans="1:15" hidden="1" x14ac:dyDescent="0.45">
      <c r="A8533" s="187">
        <v>2029</v>
      </c>
      <c r="B8533" t="s">
        <v>8570</v>
      </c>
      <c r="C8533" t="s">
        <v>322</v>
      </c>
      <c r="D8533" t="s">
        <v>35</v>
      </c>
      <c r="E8533" t="s">
        <v>16</v>
      </c>
      <c r="F8533" t="s">
        <v>16</v>
      </c>
      <c r="G8533" t="s">
        <v>36</v>
      </c>
      <c r="H8533" t="s">
        <v>43</v>
      </c>
      <c r="I8533" s="187">
        <v>4103.6534880000008</v>
      </c>
      <c r="J8533" s="187">
        <v>220</v>
      </c>
      <c r="K8533" s="187">
        <v>8327.9309833838724</v>
      </c>
      <c r="L8533" s="187">
        <v>9951</v>
      </c>
      <c r="M8533" s="187">
        <v>22602.583984375</v>
      </c>
      <c r="N8533" s="187">
        <v>14054.6533203125</v>
      </c>
      <c r="O8533" t="s">
        <v>9339</v>
      </c>
    </row>
    <row r="8534" spans="1:15" hidden="1" x14ac:dyDescent="0.45">
      <c r="A8534" s="187">
        <v>2029</v>
      </c>
      <c r="B8534" t="s">
        <v>8570</v>
      </c>
      <c r="C8534" t="s">
        <v>322</v>
      </c>
      <c r="D8534" t="s">
        <v>35</v>
      </c>
      <c r="E8534" t="s">
        <v>16</v>
      </c>
      <c r="F8534" t="s">
        <v>16</v>
      </c>
      <c r="G8534" t="s">
        <v>37</v>
      </c>
      <c r="H8534" t="s">
        <v>43</v>
      </c>
      <c r="I8534" s="187">
        <v>4713.8079466645777</v>
      </c>
      <c r="J8534" s="187">
        <v>220</v>
      </c>
      <c r="K8534" s="187">
        <v>9608.3438151082319</v>
      </c>
      <c r="L8534" s="187">
        <v>12429</v>
      </c>
      <c r="M8534" s="187">
        <v>26971.15234375</v>
      </c>
      <c r="N8534" s="187">
        <v>17142.80859375</v>
      </c>
      <c r="O8534" t="s">
        <v>9340</v>
      </c>
    </row>
    <row r="8535" spans="1:15" hidden="1" x14ac:dyDescent="0.45">
      <c r="A8535" s="187">
        <v>2029</v>
      </c>
      <c r="B8535" t="s">
        <v>315</v>
      </c>
      <c r="C8535" t="s">
        <v>322</v>
      </c>
      <c r="D8535" t="s">
        <v>35</v>
      </c>
      <c r="E8535" t="s">
        <v>16</v>
      </c>
      <c r="F8535" t="s">
        <v>16</v>
      </c>
      <c r="G8535" t="s">
        <v>37</v>
      </c>
      <c r="H8535" t="s">
        <v>43</v>
      </c>
      <c r="I8535" s="187">
        <v>14192.500889781621</v>
      </c>
      <c r="J8535" s="187">
        <v>263</v>
      </c>
      <c r="K8535" s="187">
        <v>8310.7403172986324</v>
      </c>
      <c r="L8535" s="187">
        <v>18568</v>
      </c>
      <c r="M8535" s="187">
        <v>41334.2421875</v>
      </c>
      <c r="N8535" s="187">
        <v>32760.5</v>
      </c>
      <c r="O8535" t="s">
        <v>8226</v>
      </c>
    </row>
    <row r="8536" spans="1:15" hidden="1" x14ac:dyDescent="0.45">
      <c r="A8536" s="187">
        <v>2029</v>
      </c>
      <c r="B8536" t="s">
        <v>317</v>
      </c>
      <c r="C8536" t="s">
        <v>322</v>
      </c>
      <c r="D8536" t="s">
        <v>35</v>
      </c>
      <c r="E8536" t="s">
        <v>16</v>
      </c>
      <c r="F8536" t="s">
        <v>16</v>
      </c>
      <c r="G8536" t="s">
        <v>37</v>
      </c>
      <c r="H8536" t="s">
        <v>43</v>
      </c>
      <c r="I8536" s="187">
        <v>5442.3578247555242</v>
      </c>
      <c r="J8536" s="187">
        <v>220</v>
      </c>
      <c r="K8536" s="187">
        <v>8639.0098999018646</v>
      </c>
      <c r="L8536" s="187">
        <v>13197</v>
      </c>
      <c r="M8536" s="187">
        <v>27498.3671875</v>
      </c>
      <c r="N8536" s="187">
        <v>18639.357421875</v>
      </c>
      <c r="O8536" t="s">
        <v>8224</v>
      </c>
    </row>
    <row r="8537" spans="1:15" hidden="1" x14ac:dyDescent="0.45">
      <c r="A8537" s="187">
        <v>2029</v>
      </c>
      <c r="B8537" t="s">
        <v>316</v>
      </c>
      <c r="C8537" t="s">
        <v>322</v>
      </c>
      <c r="D8537" t="s">
        <v>35</v>
      </c>
      <c r="E8537" t="s">
        <v>16</v>
      </c>
      <c r="F8537" t="s">
        <v>16</v>
      </c>
      <c r="G8537" t="s">
        <v>37</v>
      </c>
      <c r="H8537" t="s">
        <v>43</v>
      </c>
      <c r="I8537" s="187">
        <v>14193</v>
      </c>
      <c r="J8537" s="187">
        <v>119</v>
      </c>
      <c r="K8537" s="187">
        <v>8460.0515796325435</v>
      </c>
      <c r="L8537" s="187">
        <v>19517</v>
      </c>
      <c r="M8537" s="187">
        <v>42289.05078125</v>
      </c>
      <c r="N8537" s="187">
        <v>33710</v>
      </c>
      <c r="O8537" t="s">
        <v>8225</v>
      </c>
    </row>
    <row r="8538" spans="1:15" hidden="1" x14ac:dyDescent="0.45">
      <c r="A8538" s="187">
        <v>2029</v>
      </c>
      <c r="B8538" t="s">
        <v>316</v>
      </c>
      <c r="C8538" t="s">
        <v>322</v>
      </c>
      <c r="D8538" t="s">
        <v>35</v>
      </c>
      <c r="E8538" t="s">
        <v>351</v>
      </c>
      <c r="F8538" t="s">
        <v>351</v>
      </c>
      <c r="G8538" t="s">
        <v>37</v>
      </c>
      <c r="H8538" t="s">
        <v>43</v>
      </c>
      <c r="I8538" s="187">
        <v>94</v>
      </c>
      <c r="J8538" s="187"/>
      <c r="K8538" s="187">
        <v>73.128608206557885</v>
      </c>
      <c r="L8538" s="187">
        <v>200</v>
      </c>
      <c r="M8538" s="187">
        <v>367.12860107421875</v>
      </c>
      <c r="N8538" s="187">
        <v>294</v>
      </c>
      <c r="O8538" t="s">
        <v>8229</v>
      </c>
    </row>
    <row r="8539" spans="1:15" hidden="1" x14ac:dyDescent="0.45">
      <c r="A8539" s="187">
        <v>2029</v>
      </c>
      <c r="B8539" t="s">
        <v>8570</v>
      </c>
      <c r="C8539" t="s">
        <v>322</v>
      </c>
      <c r="D8539" t="s">
        <v>35</v>
      </c>
      <c r="E8539" t="s">
        <v>351</v>
      </c>
      <c r="F8539" t="s">
        <v>351</v>
      </c>
      <c r="G8539" t="s">
        <v>37</v>
      </c>
      <c r="H8539" t="s">
        <v>43</v>
      </c>
      <c r="I8539" s="187">
        <v>50.468017205758628</v>
      </c>
      <c r="J8539" s="187"/>
      <c r="K8539" s="187">
        <v>112.88800715619131</v>
      </c>
      <c r="L8539" s="187">
        <v>152</v>
      </c>
      <c r="M8539" s="187">
        <v>315.35601806640625</v>
      </c>
      <c r="N8539" s="187">
        <v>202.468017578125</v>
      </c>
      <c r="O8539" t="s">
        <v>9341</v>
      </c>
    </row>
    <row r="8540" spans="1:15" hidden="1" x14ac:dyDescent="0.45">
      <c r="A8540" s="187">
        <v>2029</v>
      </c>
      <c r="B8540" t="s">
        <v>317</v>
      </c>
      <c r="C8540" t="s">
        <v>322</v>
      </c>
      <c r="D8540" t="s">
        <v>35</v>
      </c>
      <c r="E8540" t="s">
        <v>351</v>
      </c>
      <c r="F8540" t="s">
        <v>351</v>
      </c>
      <c r="G8540" t="s">
        <v>37</v>
      </c>
      <c r="H8540" t="s">
        <v>43</v>
      </c>
      <c r="I8540" s="187">
        <v>62.758334767911883</v>
      </c>
      <c r="J8540" s="187"/>
      <c r="K8540" s="187">
        <v>57.6</v>
      </c>
      <c r="L8540" s="187">
        <v>160</v>
      </c>
      <c r="M8540" s="187">
        <v>280.35833740234375</v>
      </c>
      <c r="N8540" s="187">
        <v>222.75833129882813</v>
      </c>
      <c r="O8540" t="s">
        <v>8228</v>
      </c>
    </row>
    <row r="8541" spans="1:15" hidden="1" x14ac:dyDescent="0.45">
      <c r="A8541" s="187">
        <v>2029</v>
      </c>
      <c r="B8541" t="s">
        <v>315</v>
      </c>
      <c r="C8541" t="s">
        <v>322</v>
      </c>
      <c r="D8541" t="s">
        <v>35</v>
      </c>
      <c r="E8541" t="s">
        <v>351</v>
      </c>
      <c r="F8541" t="s">
        <v>351</v>
      </c>
      <c r="G8541" t="s">
        <v>37</v>
      </c>
      <c r="H8541" t="s">
        <v>43</v>
      </c>
      <c r="I8541" s="187">
        <v>92.059364956865636</v>
      </c>
      <c r="J8541" s="187">
        <v>0</v>
      </c>
      <c r="K8541" s="187">
        <v>91.385369097235227</v>
      </c>
      <c r="L8541" s="187">
        <v>109</v>
      </c>
      <c r="M8541" s="187">
        <v>292.44473266601563</v>
      </c>
      <c r="N8541" s="187">
        <v>201.05935668945313</v>
      </c>
      <c r="O8541" t="s">
        <v>8227</v>
      </c>
    </row>
    <row r="8542" spans="1:15" hidden="1" x14ac:dyDescent="0.45">
      <c r="A8542" s="187">
        <v>2029</v>
      </c>
      <c r="B8542" t="s">
        <v>8570</v>
      </c>
      <c r="C8542" t="s">
        <v>322</v>
      </c>
      <c r="D8542" t="s">
        <v>35</v>
      </c>
      <c r="E8542" t="s">
        <v>352</v>
      </c>
      <c r="F8542" t="s">
        <v>361</v>
      </c>
      <c r="G8542" t="s">
        <v>36</v>
      </c>
      <c r="H8542" t="s">
        <v>43</v>
      </c>
      <c r="I8542" s="187">
        <v>0</v>
      </c>
      <c r="J8542" s="187"/>
      <c r="K8542" s="187">
        <v>0</v>
      </c>
      <c r="L8542" s="187"/>
      <c r="M8542" s="187">
        <v>0</v>
      </c>
      <c r="N8542" s="187">
        <v>0</v>
      </c>
      <c r="O8542" t="s">
        <v>9342</v>
      </c>
    </row>
    <row r="8543" spans="1:15" hidden="1" x14ac:dyDescent="0.45">
      <c r="A8543" s="187">
        <v>2029</v>
      </c>
      <c r="B8543" t="s">
        <v>315</v>
      </c>
      <c r="C8543" t="s">
        <v>322</v>
      </c>
      <c r="D8543" t="s">
        <v>35</v>
      </c>
      <c r="E8543" t="s">
        <v>352</v>
      </c>
      <c r="F8543" t="s">
        <v>361</v>
      </c>
      <c r="G8543" t="s">
        <v>36</v>
      </c>
      <c r="H8543" t="s">
        <v>43</v>
      </c>
      <c r="I8543" s="187">
        <v>0</v>
      </c>
      <c r="J8543" s="187">
        <v>0</v>
      </c>
      <c r="K8543" s="187">
        <v>0</v>
      </c>
      <c r="L8543" s="187"/>
      <c r="M8543" s="187">
        <v>0</v>
      </c>
      <c r="N8543" s="187">
        <v>0</v>
      </c>
      <c r="O8543" t="s">
        <v>8230</v>
      </c>
    </row>
    <row r="8544" spans="1:15" hidden="1" x14ac:dyDescent="0.45">
      <c r="A8544" s="187">
        <v>2029</v>
      </c>
      <c r="B8544" t="s">
        <v>317</v>
      </c>
      <c r="C8544" t="s">
        <v>322</v>
      </c>
      <c r="D8544" t="s">
        <v>35</v>
      </c>
      <c r="E8544" t="s">
        <v>352</v>
      </c>
      <c r="F8544" t="s">
        <v>361</v>
      </c>
      <c r="G8544" t="s">
        <v>36</v>
      </c>
      <c r="H8544" t="s">
        <v>43</v>
      </c>
      <c r="I8544" s="187">
        <v>0</v>
      </c>
      <c r="J8544" s="187"/>
      <c r="K8544" s="187">
        <v>0</v>
      </c>
      <c r="L8544" s="187"/>
      <c r="M8544" s="187">
        <v>0</v>
      </c>
      <c r="N8544" s="187">
        <v>0</v>
      </c>
      <c r="O8544" t="s">
        <v>8231</v>
      </c>
    </row>
    <row r="8545" spans="1:15" hidden="1" x14ac:dyDescent="0.45">
      <c r="A8545" s="187">
        <v>2029</v>
      </c>
      <c r="B8545" t="s">
        <v>316</v>
      </c>
      <c r="C8545" t="s">
        <v>322</v>
      </c>
      <c r="D8545" t="s">
        <v>35</v>
      </c>
      <c r="E8545" t="s">
        <v>352</v>
      </c>
      <c r="F8545" t="s">
        <v>361</v>
      </c>
      <c r="G8545" t="s">
        <v>36</v>
      </c>
      <c r="H8545" t="s">
        <v>43</v>
      </c>
      <c r="I8545" s="187">
        <v>0</v>
      </c>
      <c r="J8545" s="187"/>
      <c r="K8545" s="187">
        <v>0</v>
      </c>
      <c r="L8545" s="187"/>
      <c r="M8545" s="187">
        <v>0</v>
      </c>
      <c r="N8545" s="187">
        <v>0</v>
      </c>
      <c r="O8545" t="s">
        <v>8232</v>
      </c>
    </row>
    <row r="8546" spans="1:15" hidden="1" x14ac:dyDescent="0.45">
      <c r="A8546" s="187">
        <v>2029</v>
      </c>
      <c r="B8546" t="s">
        <v>315</v>
      </c>
      <c r="C8546" t="s">
        <v>322</v>
      </c>
      <c r="D8546" t="s">
        <v>35</v>
      </c>
      <c r="E8546" t="s">
        <v>353</v>
      </c>
      <c r="F8546" t="s">
        <v>383</v>
      </c>
      <c r="G8546" t="s">
        <v>36</v>
      </c>
      <c r="H8546" t="s">
        <v>43</v>
      </c>
      <c r="I8546" s="187">
        <v>22060.882766250223</v>
      </c>
      <c r="J8546" s="187">
        <v>860.92605150060137</v>
      </c>
      <c r="K8546" s="187">
        <v>17173.812415229557</v>
      </c>
      <c r="L8546" s="187">
        <v>24739.163208844253</v>
      </c>
      <c r="M8546" s="187">
        <v>64834.78515625</v>
      </c>
      <c r="N8546" s="187">
        <v>46800.046875</v>
      </c>
      <c r="O8546" t="s">
        <v>8235</v>
      </c>
    </row>
    <row r="8547" spans="1:15" hidden="1" x14ac:dyDescent="0.45">
      <c r="A8547" s="187">
        <v>2029</v>
      </c>
      <c r="B8547" t="s">
        <v>317</v>
      </c>
      <c r="C8547" t="s">
        <v>322</v>
      </c>
      <c r="D8547" t="s">
        <v>35</v>
      </c>
      <c r="E8547" t="s">
        <v>353</v>
      </c>
      <c r="F8547" t="s">
        <v>383</v>
      </c>
      <c r="G8547" t="s">
        <v>36</v>
      </c>
      <c r="H8547" t="s">
        <v>43</v>
      </c>
      <c r="I8547" s="187">
        <v>15169.199088277113</v>
      </c>
      <c r="J8547" s="187">
        <v>1021.0810954238837</v>
      </c>
      <c r="K8547" s="187">
        <v>17853.82784225656</v>
      </c>
      <c r="L8547" s="187">
        <v>18852.722701540657</v>
      </c>
      <c r="M8547" s="187">
        <v>52896.83203125</v>
      </c>
      <c r="N8547" s="187">
        <v>34021.921875</v>
      </c>
      <c r="O8547" t="s">
        <v>8233</v>
      </c>
    </row>
    <row r="8548" spans="1:15" hidden="1" x14ac:dyDescent="0.45">
      <c r="A8548" s="187">
        <v>2029</v>
      </c>
      <c r="B8548" t="s">
        <v>316</v>
      </c>
      <c r="C8548" t="s">
        <v>322</v>
      </c>
      <c r="D8548" t="s">
        <v>35</v>
      </c>
      <c r="E8548" t="s">
        <v>353</v>
      </c>
      <c r="F8548" t="s">
        <v>383</v>
      </c>
      <c r="G8548" t="s">
        <v>36</v>
      </c>
      <c r="H8548" t="s">
        <v>43</v>
      </c>
      <c r="I8548" s="187">
        <v>21881.628130253011</v>
      </c>
      <c r="J8548" s="187">
        <v>929.62703980853848</v>
      </c>
      <c r="K8548" s="187">
        <v>17496.773284067349</v>
      </c>
      <c r="L8548" s="187">
        <v>24857.610230330683</v>
      </c>
      <c r="M8548" s="187">
        <v>65165.63671875</v>
      </c>
      <c r="N8548" s="187">
        <v>46739.23828125</v>
      </c>
      <c r="O8548" t="s">
        <v>8234</v>
      </c>
    </row>
    <row r="8549" spans="1:15" hidden="1" x14ac:dyDescent="0.45">
      <c r="A8549" s="187">
        <v>2029</v>
      </c>
      <c r="B8549" t="s">
        <v>8570</v>
      </c>
      <c r="C8549" t="s">
        <v>322</v>
      </c>
      <c r="D8549" t="s">
        <v>35</v>
      </c>
      <c r="E8549" t="s">
        <v>353</v>
      </c>
      <c r="F8549" t="s">
        <v>383</v>
      </c>
      <c r="G8549" t="s">
        <v>36</v>
      </c>
      <c r="H8549" t="s">
        <v>43</v>
      </c>
      <c r="I8549" s="187">
        <v>11454.592846988529</v>
      </c>
      <c r="J8549" s="187">
        <v>945</v>
      </c>
      <c r="K8549" s="187">
        <v>15841.86391173674</v>
      </c>
      <c r="L8549" s="187">
        <v>16268</v>
      </c>
      <c r="M8549" s="187">
        <v>44509.45703125</v>
      </c>
      <c r="N8549" s="187">
        <v>27722.59375</v>
      </c>
      <c r="O8549" t="s">
        <v>9343</v>
      </c>
    </row>
    <row r="8550" spans="1:15" hidden="1" x14ac:dyDescent="0.45">
      <c r="A8550" s="187">
        <v>2029</v>
      </c>
      <c r="B8550" t="s">
        <v>316</v>
      </c>
      <c r="C8550" t="s">
        <v>322</v>
      </c>
      <c r="D8550" t="s">
        <v>35</v>
      </c>
      <c r="E8550" t="s">
        <v>353</v>
      </c>
      <c r="F8550" t="s">
        <v>383</v>
      </c>
      <c r="G8550" t="s">
        <v>37</v>
      </c>
      <c r="H8550" t="s">
        <v>43</v>
      </c>
      <c r="I8550" s="187">
        <v>23745</v>
      </c>
      <c r="J8550" s="187">
        <v>844</v>
      </c>
      <c r="K8550" s="187">
        <v>18644.978107274241</v>
      </c>
      <c r="L8550" s="187">
        <v>27235.05555286762</v>
      </c>
      <c r="M8550" s="187">
        <v>70469.03125</v>
      </c>
      <c r="N8550" s="187">
        <v>50980.0546875</v>
      </c>
      <c r="O8550" t="s">
        <v>8237</v>
      </c>
    </row>
    <row r="8551" spans="1:15" hidden="1" x14ac:dyDescent="0.45">
      <c r="A8551" s="187">
        <v>2029</v>
      </c>
      <c r="B8551" t="s">
        <v>8570</v>
      </c>
      <c r="C8551" t="s">
        <v>322</v>
      </c>
      <c r="D8551" t="s">
        <v>35</v>
      </c>
      <c r="E8551" t="s">
        <v>353</v>
      </c>
      <c r="F8551" t="s">
        <v>383</v>
      </c>
      <c r="G8551" t="s">
        <v>37</v>
      </c>
      <c r="H8551" t="s">
        <v>43</v>
      </c>
      <c r="I8551" s="187">
        <v>13157.726632093691</v>
      </c>
      <c r="J8551" s="187">
        <v>945</v>
      </c>
      <c r="K8551" s="187">
        <v>18277.538015123318</v>
      </c>
      <c r="L8551" s="187">
        <v>20320</v>
      </c>
      <c r="M8551" s="187">
        <v>52700.265625</v>
      </c>
      <c r="N8551" s="187">
        <v>33477.7265625</v>
      </c>
      <c r="O8551" t="s">
        <v>9344</v>
      </c>
    </row>
    <row r="8552" spans="1:15" hidden="1" x14ac:dyDescent="0.45">
      <c r="A8552" s="187">
        <v>2029</v>
      </c>
      <c r="B8552" t="s">
        <v>317</v>
      </c>
      <c r="C8552" t="s">
        <v>322</v>
      </c>
      <c r="D8552" t="s">
        <v>35</v>
      </c>
      <c r="E8552" t="s">
        <v>353</v>
      </c>
      <c r="F8552" t="s">
        <v>383</v>
      </c>
      <c r="G8552" t="s">
        <v>37</v>
      </c>
      <c r="H8552" t="s">
        <v>43</v>
      </c>
      <c r="I8552" s="187">
        <v>16448.852198487319</v>
      </c>
      <c r="J8552" s="187">
        <v>945</v>
      </c>
      <c r="K8552" s="187">
        <v>19241.950304206799</v>
      </c>
      <c r="L8552" s="187">
        <v>20209</v>
      </c>
      <c r="M8552" s="187">
        <v>56844.80078125</v>
      </c>
      <c r="N8552" s="187">
        <v>36657.8515625</v>
      </c>
      <c r="O8552" t="s">
        <v>8236</v>
      </c>
    </row>
    <row r="8553" spans="1:15" hidden="1" x14ac:dyDescent="0.45">
      <c r="A8553" s="187">
        <v>2029</v>
      </c>
      <c r="B8553" t="s">
        <v>315</v>
      </c>
      <c r="C8553" t="s">
        <v>322</v>
      </c>
      <c r="D8553" t="s">
        <v>35</v>
      </c>
      <c r="E8553" t="s">
        <v>353</v>
      </c>
      <c r="F8553" t="s">
        <v>383</v>
      </c>
      <c r="G8553" t="s">
        <v>37</v>
      </c>
      <c r="H8553" t="s">
        <v>43</v>
      </c>
      <c r="I8553" s="187">
        <v>23744.1976393328</v>
      </c>
      <c r="J8553" s="187">
        <v>909</v>
      </c>
      <c r="K8553" s="187">
        <v>18434.598169384299</v>
      </c>
      <c r="L8553" s="187">
        <v>26621.53631719654</v>
      </c>
      <c r="M8553" s="187">
        <v>69709.3359375</v>
      </c>
      <c r="N8553" s="187">
        <v>50365.734375</v>
      </c>
      <c r="O8553" t="s">
        <v>8238</v>
      </c>
    </row>
    <row r="8554" spans="1:15" hidden="1" x14ac:dyDescent="0.45">
      <c r="A8554" s="187">
        <v>2029</v>
      </c>
      <c r="B8554" t="s">
        <v>316</v>
      </c>
      <c r="C8554" t="s">
        <v>322</v>
      </c>
      <c r="D8554" t="s">
        <v>35</v>
      </c>
      <c r="E8554" t="s">
        <v>38</v>
      </c>
      <c r="F8554" t="s">
        <v>38</v>
      </c>
      <c r="G8554" t="s">
        <v>36</v>
      </c>
      <c r="H8554" t="s">
        <v>43</v>
      </c>
      <c r="I8554" s="187">
        <v>474.72660445199062</v>
      </c>
      <c r="J8554" s="187">
        <v>60.579961124964001</v>
      </c>
      <c r="K8554" s="187">
        <v>1085.247739779589</v>
      </c>
      <c r="L8554" s="187">
        <v>1652.1807579535637</v>
      </c>
      <c r="M8554" s="187">
        <v>3272.735107421875</v>
      </c>
      <c r="N8554" s="187">
        <v>2126.907470703125</v>
      </c>
      <c r="O8554" t="s">
        <v>8241</v>
      </c>
    </row>
    <row r="8555" spans="1:15" hidden="1" x14ac:dyDescent="0.45">
      <c r="A8555" s="187">
        <v>2029</v>
      </c>
      <c r="B8555" t="s">
        <v>8570</v>
      </c>
      <c r="C8555" t="s">
        <v>322</v>
      </c>
      <c r="D8555" t="s">
        <v>35</v>
      </c>
      <c r="E8555" t="s">
        <v>38</v>
      </c>
      <c r="F8555" t="s">
        <v>38</v>
      </c>
      <c r="G8555" t="s">
        <v>36</v>
      </c>
      <c r="H8555" t="s">
        <v>43</v>
      </c>
      <c r="I8555" s="187">
        <v>475.60480000000001</v>
      </c>
      <c r="J8555" s="187">
        <v>55</v>
      </c>
      <c r="K8555" s="187">
        <v>2399.0561625819441</v>
      </c>
      <c r="L8555" s="187">
        <v>754</v>
      </c>
      <c r="M8555" s="187">
        <v>3683.660888671875</v>
      </c>
      <c r="N8555" s="187">
        <v>1229.604736328125</v>
      </c>
      <c r="O8555" t="s">
        <v>9345</v>
      </c>
    </row>
    <row r="8556" spans="1:15" hidden="1" x14ac:dyDescent="0.45">
      <c r="A8556" s="187">
        <v>2029</v>
      </c>
      <c r="B8556" t="s">
        <v>315</v>
      </c>
      <c r="C8556" t="s">
        <v>322</v>
      </c>
      <c r="D8556" t="s">
        <v>35</v>
      </c>
      <c r="E8556" t="s">
        <v>38</v>
      </c>
      <c r="F8556" t="s">
        <v>38</v>
      </c>
      <c r="G8556" t="s">
        <v>36</v>
      </c>
      <c r="H8556" t="s">
        <v>43</v>
      </c>
      <c r="I8556" s="187">
        <v>136.63689395519873</v>
      </c>
      <c r="J8556" s="187">
        <v>101.95176925665017</v>
      </c>
      <c r="K8556" s="187">
        <v>934.5574984521362</v>
      </c>
      <c r="L8556" s="187">
        <v>1707.1257363307977</v>
      </c>
      <c r="M8556" s="187">
        <v>2880.27197265625</v>
      </c>
      <c r="N8556" s="187">
        <v>1843.7625732421875</v>
      </c>
      <c r="O8556" t="s">
        <v>8240</v>
      </c>
    </row>
    <row r="8557" spans="1:15" hidden="1" x14ac:dyDescent="0.45">
      <c r="A8557" s="187">
        <v>2029</v>
      </c>
      <c r="B8557" t="s">
        <v>317</v>
      </c>
      <c r="C8557" t="s">
        <v>322</v>
      </c>
      <c r="D8557" t="s">
        <v>35</v>
      </c>
      <c r="E8557" t="s">
        <v>38</v>
      </c>
      <c r="F8557" t="s">
        <v>38</v>
      </c>
      <c r="G8557" t="s">
        <v>36</v>
      </c>
      <c r="H8557" t="s">
        <v>43</v>
      </c>
      <c r="I8557" s="187">
        <v>674.66026761865521</v>
      </c>
      <c r="J8557" s="187">
        <v>59.428000262765714</v>
      </c>
      <c r="K8557" s="187">
        <v>2932.1833588541676</v>
      </c>
      <c r="L8557" s="187">
        <v>1943.8358631402821</v>
      </c>
      <c r="M8557" s="187">
        <v>5610.107421875</v>
      </c>
      <c r="N8557" s="187">
        <v>2618.49609375</v>
      </c>
      <c r="O8557" t="s">
        <v>8239</v>
      </c>
    </row>
    <row r="8558" spans="1:15" hidden="1" x14ac:dyDescent="0.45">
      <c r="A8558" s="187">
        <v>2029</v>
      </c>
      <c r="B8558" t="s">
        <v>316</v>
      </c>
      <c r="C8558" t="s">
        <v>322</v>
      </c>
      <c r="D8558" t="s">
        <v>35</v>
      </c>
      <c r="E8558" t="s">
        <v>38</v>
      </c>
      <c r="F8558" t="s">
        <v>38</v>
      </c>
      <c r="G8558" t="s">
        <v>37</v>
      </c>
      <c r="H8558" t="s">
        <v>43</v>
      </c>
      <c r="I8558" s="187">
        <v>515</v>
      </c>
      <c r="J8558" s="187">
        <v>55</v>
      </c>
      <c r="K8558" s="187">
        <v>1156.465824906405</v>
      </c>
      <c r="L8558" s="187">
        <v>1810.239485779231</v>
      </c>
      <c r="M8558" s="187">
        <v>3536.705322265625</v>
      </c>
      <c r="N8558" s="187">
        <v>2325.239501953125</v>
      </c>
      <c r="O8558" t="s">
        <v>8244</v>
      </c>
    </row>
    <row r="8559" spans="1:15" hidden="1" x14ac:dyDescent="0.45">
      <c r="A8559" s="187">
        <v>2029</v>
      </c>
      <c r="B8559" t="s">
        <v>8570</v>
      </c>
      <c r="C8559" t="s">
        <v>322</v>
      </c>
      <c r="D8559" t="s">
        <v>35</v>
      </c>
      <c r="E8559" t="s">
        <v>38</v>
      </c>
      <c r="F8559" t="s">
        <v>38</v>
      </c>
      <c r="G8559" t="s">
        <v>37</v>
      </c>
      <c r="H8559" t="s">
        <v>43</v>
      </c>
      <c r="I8559" s="187">
        <v>546.32041722520228</v>
      </c>
      <c r="J8559" s="187">
        <v>55</v>
      </c>
      <c r="K8559" s="187">
        <v>2767.9091586894092</v>
      </c>
      <c r="L8559" s="187">
        <v>942</v>
      </c>
      <c r="M8559" s="187">
        <v>4311.2294921875</v>
      </c>
      <c r="N8559" s="187">
        <v>1488.3204345703125</v>
      </c>
      <c r="O8559" t="s">
        <v>9346</v>
      </c>
    </row>
    <row r="8560" spans="1:15" hidden="1" x14ac:dyDescent="0.45">
      <c r="A8560" s="187">
        <v>2029</v>
      </c>
      <c r="B8560" t="s">
        <v>315</v>
      </c>
      <c r="C8560" t="s">
        <v>322</v>
      </c>
      <c r="D8560" t="s">
        <v>35</v>
      </c>
      <c r="E8560" t="s">
        <v>38</v>
      </c>
      <c r="F8560" t="s">
        <v>38</v>
      </c>
      <c r="G8560" t="s">
        <v>37</v>
      </c>
      <c r="H8560" t="s">
        <v>43</v>
      </c>
      <c r="I8560" s="187">
        <v>147.0627195326984</v>
      </c>
      <c r="J8560" s="187">
        <v>108</v>
      </c>
      <c r="K8560" s="187">
        <v>1003.166421852398</v>
      </c>
      <c r="L8560" s="187">
        <v>1837.024590932099</v>
      </c>
      <c r="M8560" s="187">
        <v>3095.253662109375</v>
      </c>
      <c r="N8560" s="187">
        <v>1984.0872802734375</v>
      </c>
      <c r="O8560" t="s">
        <v>8243</v>
      </c>
    </row>
    <row r="8561" spans="1:15" hidden="1" x14ac:dyDescent="0.45">
      <c r="A8561" s="187">
        <v>2029</v>
      </c>
      <c r="B8561" t="s">
        <v>317</v>
      </c>
      <c r="C8561" t="s">
        <v>322</v>
      </c>
      <c r="D8561" t="s">
        <v>35</v>
      </c>
      <c r="E8561" t="s">
        <v>38</v>
      </c>
      <c r="F8561" t="s">
        <v>38</v>
      </c>
      <c r="G8561" t="s">
        <v>37</v>
      </c>
      <c r="H8561" t="s">
        <v>43</v>
      </c>
      <c r="I8561" s="187">
        <v>731.57369493734984</v>
      </c>
      <c r="J8561" s="187">
        <v>55</v>
      </c>
      <c r="K8561" s="187">
        <v>3160.1585370032872</v>
      </c>
      <c r="L8561" s="187">
        <v>2084</v>
      </c>
      <c r="M8561" s="187">
        <v>6030.732421875</v>
      </c>
      <c r="N8561" s="187">
        <v>2815.57373046875</v>
      </c>
      <c r="O8561" t="s">
        <v>8242</v>
      </c>
    </row>
    <row r="8562" spans="1:15" hidden="1" x14ac:dyDescent="0.45">
      <c r="A8562" s="187">
        <v>2029</v>
      </c>
      <c r="B8562" t="s">
        <v>315</v>
      </c>
      <c r="C8562" t="s">
        <v>322</v>
      </c>
      <c r="D8562" t="s">
        <v>35</v>
      </c>
      <c r="E8562" t="s">
        <v>354</v>
      </c>
      <c r="F8562" t="s">
        <v>384</v>
      </c>
      <c r="G8562" t="s">
        <v>36</v>
      </c>
      <c r="H8562" t="s">
        <v>43</v>
      </c>
      <c r="I8562" s="187">
        <v>0</v>
      </c>
      <c r="J8562" s="187">
        <v>0</v>
      </c>
      <c r="K8562" s="187">
        <v>0</v>
      </c>
      <c r="L8562" s="187">
        <v>0</v>
      </c>
      <c r="M8562" s="187">
        <v>0</v>
      </c>
      <c r="N8562" s="187">
        <v>0</v>
      </c>
      <c r="O8562" t="s">
        <v>8247</v>
      </c>
    </row>
    <row r="8563" spans="1:15" hidden="1" x14ac:dyDescent="0.45">
      <c r="A8563" s="187">
        <v>2029</v>
      </c>
      <c r="B8563" t="s">
        <v>8570</v>
      </c>
      <c r="C8563" t="s">
        <v>322</v>
      </c>
      <c r="D8563" t="s">
        <v>35</v>
      </c>
      <c r="E8563" t="s">
        <v>354</v>
      </c>
      <c r="F8563" t="s">
        <v>384</v>
      </c>
      <c r="G8563" t="s">
        <v>36</v>
      </c>
      <c r="H8563" t="s">
        <v>43</v>
      </c>
      <c r="I8563" s="187">
        <v>0</v>
      </c>
      <c r="J8563" s="187">
        <v>40</v>
      </c>
      <c r="K8563" s="187">
        <v>0</v>
      </c>
      <c r="L8563" s="187">
        <v>0</v>
      </c>
      <c r="M8563" s="187">
        <v>40</v>
      </c>
      <c r="N8563" s="187">
        <v>0</v>
      </c>
      <c r="O8563" t="s">
        <v>9347</v>
      </c>
    </row>
    <row r="8564" spans="1:15" hidden="1" x14ac:dyDescent="0.45">
      <c r="A8564" s="187">
        <v>2029</v>
      </c>
      <c r="B8564" t="s">
        <v>316</v>
      </c>
      <c r="C8564" t="s">
        <v>322</v>
      </c>
      <c r="D8564" t="s">
        <v>35</v>
      </c>
      <c r="E8564" t="s">
        <v>354</v>
      </c>
      <c r="F8564" t="s">
        <v>384</v>
      </c>
      <c r="G8564" t="s">
        <v>36</v>
      </c>
      <c r="H8564" t="s">
        <v>43</v>
      </c>
      <c r="I8564" s="187">
        <v>0</v>
      </c>
      <c r="J8564" s="187">
        <v>44.058153545428361</v>
      </c>
      <c r="K8564" s="187">
        <v>0</v>
      </c>
      <c r="L8564" s="187">
        <v>0</v>
      </c>
      <c r="M8564" s="187">
        <v>44.058155059814453</v>
      </c>
      <c r="N8564" s="187">
        <v>0</v>
      </c>
      <c r="O8564" t="s">
        <v>8245</v>
      </c>
    </row>
    <row r="8565" spans="1:15" hidden="1" x14ac:dyDescent="0.45">
      <c r="A8565" s="187">
        <v>2029</v>
      </c>
      <c r="B8565" t="s">
        <v>317</v>
      </c>
      <c r="C8565" t="s">
        <v>322</v>
      </c>
      <c r="D8565" t="s">
        <v>35</v>
      </c>
      <c r="E8565" t="s">
        <v>354</v>
      </c>
      <c r="F8565" t="s">
        <v>384</v>
      </c>
      <c r="G8565" t="s">
        <v>36</v>
      </c>
      <c r="H8565" t="s">
        <v>43</v>
      </c>
      <c r="I8565" s="187">
        <v>0</v>
      </c>
      <c r="J8565" s="187">
        <v>43.220363827465974</v>
      </c>
      <c r="K8565" s="187">
        <v>0</v>
      </c>
      <c r="L8565" s="187">
        <v>0</v>
      </c>
      <c r="M8565" s="187">
        <v>43.220363616943359</v>
      </c>
      <c r="N8565" s="187">
        <v>0</v>
      </c>
      <c r="O8565" t="s">
        <v>8246</v>
      </c>
    </row>
    <row r="8566" spans="1:15" hidden="1" x14ac:dyDescent="0.45">
      <c r="A8566" s="187">
        <v>2029</v>
      </c>
      <c r="B8566" t="s">
        <v>8570</v>
      </c>
      <c r="C8566" t="s">
        <v>322</v>
      </c>
      <c r="D8566" t="s">
        <v>35</v>
      </c>
      <c r="E8566" t="s">
        <v>354</v>
      </c>
      <c r="F8566" t="s">
        <v>384</v>
      </c>
      <c r="G8566" t="s">
        <v>37</v>
      </c>
      <c r="H8566" t="s">
        <v>43</v>
      </c>
      <c r="I8566" s="187">
        <v>0</v>
      </c>
      <c r="J8566" s="187">
        <v>40</v>
      </c>
      <c r="K8566" s="187">
        <v>0</v>
      </c>
      <c r="L8566" s="187">
        <v>0</v>
      </c>
      <c r="M8566" s="187">
        <v>40</v>
      </c>
      <c r="N8566" s="187">
        <v>0</v>
      </c>
      <c r="O8566" t="s">
        <v>9348</v>
      </c>
    </row>
    <row r="8567" spans="1:15" hidden="1" x14ac:dyDescent="0.45">
      <c r="A8567" s="187">
        <v>2029</v>
      </c>
      <c r="B8567" t="s">
        <v>316</v>
      </c>
      <c r="C8567" t="s">
        <v>322</v>
      </c>
      <c r="D8567" t="s">
        <v>35</v>
      </c>
      <c r="E8567" t="s">
        <v>354</v>
      </c>
      <c r="F8567" t="s">
        <v>384</v>
      </c>
      <c r="G8567" t="s">
        <v>37</v>
      </c>
      <c r="H8567" t="s">
        <v>43</v>
      </c>
      <c r="I8567" s="187">
        <v>0</v>
      </c>
      <c r="J8567" s="187">
        <v>40</v>
      </c>
      <c r="K8567" s="187">
        <v>0</v>
      </c>
      <c r="L8567" s="187">
        <v>0</v>
      </c>
      <c r="M8567" s="187">
        <v>40</v>
      </c>
      <c r="N8567" s="187">
        <v>0</v>
      </c>
      <c r="O8567" t="s">
        <v>8248</v>
      </c>
    </row>
    <row r="8568" spans="1:15" hidden="1" x14ac:dyDescent="0.45">
      <c r="A8568" s="187">
        <v>2029</v>
      </c>
      <c r="B8568" t="s">
        <v>315</v>
      </c>
      <c r="C8568" t="s">
        <v>322</v>
      </c>
      <c r="D8568" t="s">
        <v>35</v>
      </c>
      <c r="E8568" t="s">
        <v>354</v>
      </c>
      <c r="F8568" t="s">
        <v>384</v>
      </c>
      <c r="G8568" t="s">
        <v>37</v>
      </c>
      <c r="H8568" t="s">
        <v>43</v>
      </c>
      <c r="I8568" s="187">
        <v>0</v>
      </c>
      <c r="J8568" s="187">
        <v>0</v>
      </c>
      <c r="K8568" s="187">
        <v>0</v>
      </c>
      <c r="L8568" s="187">
        <v>0</v>
      </c>
      <c r="M8568" s="187">
        <v>0</v>
      </c>
      <c r="N8568" s="187">
        <v>0</v>
      </c>
      <c r="O8568" t="s">
        <v>8250</v>
      </c>
    </row>
    <row r="8569" spans="1:15" hidden="1" x14ac:dyDescent="0.45">
      <c r="A8569" s="187">
        <v>2029</v>
      </c>
      <c r="B8569" t="s">
        <v>317</v>
      </c>
      <c r="C8569" t="s">
        <v>322</v>
      </c>
      <c r="D8569" t="s">
        <v>35</v>
      </c>
      <c r="E8569" t="s">
        <v>354</v>
      </c>
      <c r="F8569" t="s">
        <v>384</v>
      </c>
      <c r="G8569" t="s">
        <v>37</v>
      </c>
      <c r="H8569" t="s">
        <v>43</v>
      </c>
      <c r="I8569" s="187">
        <v>0</v>
      </c>
      <c r="J8569" s="187">
        <v>40</v>
      </c>
      <c r="K8569" s="187">
        <v>0</v>
      </c>
      <c r="L8569" s="187">
        <v>0</v>
      </c>
      <c r="M8569" s="187">
        <v>40</v>
      </c>
      <c r="N8569" s="187">
        <v>0</v>
      </c>
      <c r="O8569" t="s">
        <v>8249</v>
      </c>
    </row>
    <row r="8570" spans="1:15" hidden="1" x14ac:dyDescent="0.45">
      <c r="A8570" s="187">
        <v>2029</v>
      </c>
      <c r="B8570" t="s">
        <v>317</v>
      </c>
      <c r="C8570" t="s">
        <v>322</v>
      </c>
      <c r="D8570" t="s">
        <v>35</v>
      </c>
      <c r="E8570" t="s">
        <v>354</v>
      </c>
      <c r="F8570" t="s">
        <v>385</v>
      </c>
      <c r="G8570" t="s">
        <v>36</v>
      </c>
      <c r="H8570" t="s">
        <v>43</v>
      </c>
      <c r="I8570" s="187">
        <v>54.025454784332467</v>
      </c>
      <c r="J8570" s="187">
        <v>21.610181913732987</v>
      </c>
      <c r="K8570" s="187">
        <v>760.16199314473101</v>
      </c>
      <c r="L8570" s="187">
        <v>293.89847402676861</v>
      </c>
      <c r="M8570" s="187">
        <v>1129.696044921875</v>
      </c>
      <c r="N8570" s="187">
        <v>347.92391967773438</v>
      </c>
      <c r="O8570" t="s">
        <v>8253</v>
      </c>
    </row>
    <row r="8571" spans="1:15" hidden="1" x14ac:dyDescent="0.45">
      <c r="A8571" s="187">
        <v>2029</v>
      </c>
      <c r="B8571" t="s">
        <v>316</v>
      </c>
      <c r="C8571" t="s">
        <v>322</v>
      </c>
      <c r="D8571" t="s">
        <v>35</v>
      </c>
      <c r="E8571" t="s">
        <v>354</v>
      </c>
      <c r="F8571" t="s">
        <v>385</v>
      </c>
      <c r="G8571" t="s">
        <v>36</v>
      </c>
      <c r="H8571" t="s">
        <v>43</v>
      </c>
      <c r="I8571" s="187">
        <v>0</v>
      </c>
      <c r="J8571" s="187">
        <v>22.029076772714181</v>
      </c>
      <c r="K8571" s="187">
        <v>993.28288357428153</v>
      </c>
      <c r="L8571" s="187">
        <v>58.377053447692582</v>
      </c>
      <c r="M8571" s="187">
        <v>1073.68896484375</v>
      </c>
      <c r="N8571" s="187">
        <v>58.377052307128906</v>
      </c>
      <c r="O8571" t="s">
        <v>8252</v>
      </c>
    </row>
    <row r="8572" spans="1:15" hidden="1" x14ac:dyDescent="0.45">
      <c r="A8572" s="187">
        <v>2029</v>
      </c>
      <c r="B8572" t="s">
        <v>8570</v>
      </c>
      <c r="C8572" t="s">
        <v>322</v>
      </c>
      <c r="D8572" t="s">
        <v>35</v>
      </c>
      <c r="E8572" t="s">
        <v>354</v>
      </c>
      <c r="F8572" t="s">
        <v>385</v>
      </c>
      <c r="G8572" t="s">
        <v>36</v>
      </c>
      <c r="H8572" t="s">
        <v>43</v>
      </c>
      <c r="I8572" s="187">
        <v>61.179096000000008</v>
      </c>
      <c r="J8572" s="187">
        <v>20</v>
      </c>
      <c r="K8572" s="187">
        <v>1090.593921925157</v>
      </c>
      <c r="L8572" s="187">
        <v>496</v>
      </c>
      <c r="M8572" s="187">
        <v>1667.7730712890625</v>
      </c>
      <c r="N8572" s="187">
        <v>557.1790771484375</v>
      </c>
      <c r="O8572" t="s">
        <v>9349</v>
      </c>
    </row>
    <row r="8573" spans="1:15" hidden="1" x14ac:dyDescent="0.45">
      <c r="A8573" s="187">
        <v>2029</v>
      </c>
      <c r="B8573" t="s">
        <v>315</v>
      </c>
      <c r="C8573" t="s">
        <v>322</v>
      </c>
      <c r="D8573" t="s">
        <v>35</v>
      </c>
      <c r="E8573" t="s">
        <v>354</v>
      </c>
      <c r="F8573" t="s">
        <v>385</v>
      </c>
      <c r="G8573" t="s">
        <v>36</v>
      </c>
      <c r="H8573" t="s">
        <v>43</v>
      </c>
      <c r="I8573" s="187">
        <v>0</v>
      </c>
      <c r="J8573" s="187">
        <v>45.311897447400071</v>
      </c>
      <c r="K8573" s="187">
        <v>1313.0816338052375</v>
      </c>
      <c r="L8573" s="187">
        <v>58.905466681620091</v>
      </c>
      <c r="M8573" s="187">
        <v>1417.299072265625</v>
      </c>
      <c r="N8573" s="187">
        <v>58.905467987060547</v>
      </c>
      <c r="O8573" t="s">
        <v>8251</v>
      </c>
    </row>
    <row r="8574" spans="1:15" hidden="1" x14ac:dyDescent="0.45">
      <c r="A8574" s="187">
        <v>2029</v>
      </c>
      <c r="B8574" t="s">
        <v>316</v>
      </c>
      <c r="C8574" t="s">
        <v>322</v>
      </c>
      <c r="D8574" t="s">
        <v>35</v>
      </c>
      <c r="E8574" t="s">
        <v>354</v>
      </c>
      <c r="F8574" t="s">
        <v>385</v>
      </c>
      <c r="G8574" t="s">
        <v>37</v>
      </c>
      <c r="H8574" t="s">
        <v>43</v>
      </c>
      <c r="I8574" s="187">
        <v>0</v>
      </c>
      <c r="J8574" s="187">
        <v>20</v>
      </c>
      <c r="K8574" s="187">
        <v>1058.465884989027</v>
      </c>
      <c r="L8574" s="187">
        <v>63.961795164199501</v>
      </c>
      <c r="M8574" s="187">
        <v>1142.427734375</v>
      </c>
      <c r="N8574" s="187">
        <v>63.961795806884766</v>
      </c>
      <c r="O8574" t="s">
        <v>8254</v>
      </c>
    </row>
    <row r="8575" spans="1:15" hidden="1" x14ac:dyDescent="0.45">
      <c r="A8575" s="187">
        <v>2029</v>
      </c>
      <c r="B8575" t="s">
        <v>315</v>
      </c>
      <c r="C8575" t="s">
        <v>322</v>
      </c>
      <c r="D8575" t="s">
        <v>35</v>
      </c>
      <c r="E8575" t="s">
        <v>354</v>
      </c>
      <c r="F8575" t="s">
        <v>385</v>
      </c>
      <c r="G8575" t="s">
        <v>37</v>
      </c>
      <c r="H8575" t="s">
        <v>43</v>
      </c>
      <c r="I8575" s="187">
        <v>0</v>
      </c>
      <c r="J8575" s="187">
        <v>48</v>
      </c>
      <c r="K8575" s="187">
        <v>1409.4792523372639</v>
      </c>
      <c r="L8575" s="187">
        <v>63.387709839727378</v>
      </c>
      <c r="M8575" s="187">
        <v>1520.866943359375</v>
      </c>
      <c r="N8575" s="187">
        <v>63.387710571289063</v>
      </c>
      <c r="O8575" t="s">
        <v>8256</v>
      </c>
    </row>
    <row r="8576" spans="1:15" hidden="1" x14ac:dyDescent="0.45">
      <c r="A8576" s="187">
        <v>2029</v>
      </c>
      <c r="B8576" t="s">
        <v>8570</v>
      </c>
      <c r="C8576" t="s">
        <v>322</v>
      </c>
      <c r="D8576" t="s">
        <v>35</v>
      </c>
      <c r="E8576" t="s">
        <v>354</v>
      </c>
      <c r="F8576" t="s">
        <v>385</v>
      </c>
      <c r="G8576" t="s">
        <v>37</v>
      </c>
      <c r="H8576" t="s">
        <v>43</v>
      </c>
      <c r="I8576" s="187">
        <v>70.275550734939401</v>
      </c>
      <c r="J8576" s="187">
        <v>20</v>
      </c>
      <c r="K8576" s="187">
        <v>1258.2718787453709</v>
      </c>
      <c r="L8576" s="187">
        <v>620</v>
      </c>
      <c r="M8576" s="187">
        <v>1968.5474853515625</v>
      </c>
      <c r="N8576" s="187">
        <v>690.27557373046875</v>
      </c>
      <c r="O8576" t="s">
        <v>9350</v>
      </c>
    </row>
    <row r="8577" spans="1:15" hidden="1" x14ac:dyDescent="0.45">
      <c r="A8577" s="187">
        <v>2029</v>
      </c>
      <c r="B8577" t="s">
        <v>317</v>
      </c>
      <c r="C8577" t="s">
        <v>322</v>
      </c>
      <c r="D8577" t="s">
        <v>35</v>
      </c>
      <c r="E8577" t="s">
        <v>354</v>
      </c>
      <c r="F8577" t="s">
        <v>385</v>
      </c>
      <c r="G8577" t="s">
        <v>37</v>
      </c>
      <c r="H8577" t="s">
        <v>43</v>
      </c>
      <c r="I8577" s="187">
        <v>58.582969050113277</v>
      </c>
      <c r="J8577" s="187">
        <v>20</v>
      </c>
      <c r="K8577" s="187">
        <v>819.2640493944059</v>
      </c>
      <c r="L8577" s="187">
        <v>315</v>
      </c>
      <c r="M8577" s="187">
        <v>1212.8470458984375</v>
      </c>
      <c r="N8577" s="187">
        <v>373.58297729492188</v>
      </c>
      <c r="O8577" t="s">
        <v>8255</v>
      </c>
    </row>
    <row r="8578" spans="1:15" hidden="1" x14ac:dyDescent="0.45">
      <c r="A8578" s="187">
        <v>2029</v>
      </c>
      <c r="B8578" t="s">
        <v>317</v>
      </c>
      <c r="C8578" t="s">
        <v>322</v>
      </c>
      <c r="D8578" t="s">
        <v>35</v>
      </c>
      <c r="E8578" t="s">
        <v>354</v>
      </c>
      <c r="F8578" t="s">
        <v>386</v>
      </c>
      <c r="G8578" t="s">
        <v>36</v>
      </c>
      <c r="H8578" t="s">
        <v>43</v>
      </c>
      <c r="I8578" s="187">
        <v>54.025454784332467</v>
      </c>
      <c r="J8578" s="187">
        <v>21.610181913732987</v>
      </c>
      <c r="K8578" s="187">
        <v>942.42157998991479</v>
      </c>
      <c r="L8578" s="187">
        <v>0</v>
      </c>
      <c r="M8578" s="187">
        <v>1018.0571899414063</v>
      </c>
      <c r="N8578" s="187">
        <v>54.025455474853516</v>
      </c>
      <c r="O8578" t="s">
        <v>8257</v>
      </c>
    </row>
    <row r="8579" spans="1:15" hidden="1" x14ac:dyDescent="0.45">
      <c r="A8579" s="187">
        <v>2029</v>
      </c>
      <c r="B8579" t="s">
        <v>8570</v>
      </c>
      <c r="C8579" t="s">
        <v>322</v>
      </c>
      <c r="D8579" t="s">
        <v>35</v>
      </c>
      <c r="E8579" t="s">
        <v>354</v>
      </c>
      <c r="F8579" t="s">
        <v>386</v>
      </c>
      <c r="G8579" t="s">
        <v>36</v>
      </c>
      <c r="H8579" t="s">
        <v>43</v>
      </c>
      <c r="I8579" s="187">
        <v>61.179096000000008</v>
      </c>
      <c r="J8579" s="187">
        <v>20</v>
      </c>
      <c r="K8579" s="187">
        <v>120.3279487586863</v>
      </c>
      <c r="L8579" s="187">
        <v>0</v>
      </c>
      <c r="M8579" s="187">
        <v>201.50703430175781</v>
      </c>
      <c r="N8579" s="187">
        <v>61.179096221923828</v>
      </c>
      <c r="O8579" t="s">
        <v>9351</v>
      </c>
    </row>
    <row r="8580" spans="1:15" hidden="1" x14ac:dyDescent="0.45">
      <c r="A8580" s="187">
        <v>2029</v>
      </c>
      <c r="B8580" t="s">
        <v>316</v>
      </c>
      <c r="C8580" t="s">
        <v>322</v>
      </c>
      <c r="D8580" t="s">
        <v>35</v>
      </c>
      <c r="E8580" t="s">
        <v>354</v>
      </c>
      <c r="F8580" t="s">
        <v>386</v>
      </c>
      <c r="G8580" t="s">
        <v>36</v>
      </c>
      <c r="H8580" t="s">
        <v>43</v>
      </c>
      <c r="I8580" s="187">
        <v>0</v>
      </c>
      <c r="J8580" s="187">
        <v>22.029076772714181</v>
      </c>
      <c r="K8580" s="187">
        <v>2210.0544159527758</v>
      </c>
      <c r="L8580" s="187">
        <v>692.81446450186104</v>
      </c>
      <c r="M8580" s="187">
        <v>2924.89794921875</v>
      </c>
      <c r="N8580" s="187">
        <v>692.814453125</v>
      </c>
      <c r="O8580" t="s">
        <v>8258</v>
      </c>
    </row>
    <row r="8581" spans="1:15" hidden="1" x14ac:dyDescent="0.45">
      <c r="A8581" s="187">
        <v>2029</v>
      </c>
      <c r="B8581" t="s">
        <v>315</v>
      </c>
      <c r="C8581" t="s">
        <v>322</v>
      </c>
      <c r="D8581" t="s">
        <v>35</v>
      </c>
      <c r="E8581" t="s">
        <v>354</v>
      </c>
      <c r="F8581" t="s">
        <v>386</v>
      </c>
      <c r="G8581" t="s">
        <v>36</v>
      </c>
      <c r="H8581" t="s">
        <v>43</v>
      </c>
      <c r="I8581" s="187">
        <v>0</v>
      </c>
      <c r="J8581" s="187">
        <v>56.639871809250089</v>
      </c>
      <c r="K8581" s="187">
        <v>2020.1255904695965</v>
      </c>
      <c r="L8581" s="187">
        <v>688.7408412004811</v>
      </c>
      <c r="M8581" s="187">
        <v>2765.506103515625</v>
      </c>
      <c r="N8581" s="187">
        <v>688.7408447265625</v>
      </c>
      <c r="O8581" t="s">
        <v>8259</v>
      </c>
    </row>
    <row r="8582" spans="1:15" hidden="1" x14ac:dyDescent="0.45">
      <c r="A8582" s="187">
        <v>2029</v>
      </c>
      <c r="B8582" t="s">
        <v>315</v>
      </c>
      <c r="C8582" t="s">
        <v>322</v>
      </c>
      <c r="D8582" t="s">
        <v>35</v>
      </c>
      <c r="E8582" t="s">
        <v>354</v>
      </c>
      <c r="F8582" t="s">
        <v>386</v>
      </c>
      <c r="G8582" t="s">
        <v>37</v>
      </c>
      <c r="H8582" t="s">
        <v>43</v>
      </c>
      <c r="I8582" s="187">
        <v>0</v>
      </c>
      <c r="J8582" s="187">
        <v>60</v>
      </c>
      <c r="K8582" s="187">
        <v>2168.4296189804072</v>
      </c>
      <c r="L8582" s="187">
        <v>741.14860735681248</v>
      </c>
      <c r="M8582" s="187">
        <v>2969.578369140625</v>
      </c>
      <c r="N8582" s="187">
        <v>741.14862060546875</v>
      </c>
      <c r="O8582" t="s">
        <v>8261</v>
      </c>
    </row>
    <row r="8583" spans="1:15" hidden="1" x14ac:dyDescent="0.45">
      <c r="A8583" s="187">
        <v>2029</v>
      </c>
      <c r="B8583" t="s">
        <v>317</v>
      </c>
      <c r="C8583" t="s">
        <v>322</v>
      </c>
      <c r="D8583" t="s">
        <v>35</v>
      </c>
      <c r="E8583" t="s">
        <v>354</v>
      </c>
      <c r="F8583" t="s">
        <v>386</v>
      </c>
      <c r="G8583" t="s">
        <v>37</v>
      </c>
      <c r="H8583" t="s">
        <v>43</v>
      </c>
      <c r="I8583" s="187">
        <v>58.582969050113277</v>
      </c>
      <c r="J8583" s="187">
        <v>20</v>
      </c>
      <c r="K8583" s="187">
        <v>1015.694189951706</v>
      </c>
      <c r="L8583" s="187">
        <v>0</v>
      </c>
      <c r="M8583" s="187">
        <v>1094.277099609375</v>
      </c>
      <c r="N8583" s="187">
        <v>58.582969665527344</v>
      </c>
      <c r="O8583" t="s">
        <v>8260</v>
      </c>
    </row>
    <row r="8584" spans="1:15" hidden="1" x14ac:dyDescent="0.45">
      <c r="A8584" s="187">
        <v>2029</v>
      </c>
      <c r="B8584" t="s">
        <v>316</v>
      </c>
      <c r="C8584" t="s">
        <v>322</v>
      </c>
      <c r="D8584" t="s">
        <v>35</v>
      </c>
      <c r="E8584" t="s">
        <v>354</v>
      </c>
      <c r="F8584" t="s">
        <v>386</v>
      </c>
      <c r="G8584" t="s">
        <v>37</v>
      </c>
      <c r="H8584" t="s">
        <v>43</v>
      </c>
      <c r="I8584" s="187">
        <v>0</v>
      </c>
      <c r="J8584" s="187">
        <v>20</v>
      </c>
      <c r="K8584" s="187">
        <v>2355.086594100585</v>
      </c>
      <c r="L8584" s="187">
        <v>759.09375770342422</v>
      </c>
      <c r="M8584" s="187">
        <v>3134.180419921875</v>
      </c>
      <c r="N8584" s="187">
        <v>759.09375</v>
      </c>
      <c r="O8584" t="s">
        <v>8262</v>
      </c>
    </row>
    <row r="8585" spans="1:15" hidden="1" x14ac:dyDescent="0.45">
      <c r="A8585" s="187">
        <v>2029</v>
      </c>
      <c r="B8585" t="s">
        <v>8570</v>
      </c>
      <c r="C8585" t="s">
        <v>322</v>
      </c>
      <c r="D8585" t="s">
        <v>35</v>
      </c>
      <c r="E8585" t="s">
        <v>354</v>
      </c>
      <c r="F8585" t="s">
        <v>386</v>
      </c>
      <c r="G8585" t="s">
        <v>37</v>
      </c>
      <c r="H8585" t="s">
        <v>43</v>
      </c>
      <c r="I8585" s="187">
        <v>70.275550734939401</v>
      </c>
      <c r="J8585" s="187">
        <v>20</v>
      </c>
      <c r="K8585" s="187">
        <v>138.8282761404931</v>
      </c>
      <c r="L8585" s="187">
        <v>0</v>
      </c>
      <c r="M8585" s="187">
        <v>229.10382080078125</v>
      </c>
      <c r="N8585" s="187">
        <v>70.275550842285156</v>
      </c>
      <c r="O8585" t="s">
        <v>9352</v>
      </c>
    </row>
    <row r="8586" spans="1:15" hidden="1" x14ac:dyDescent="0.45">
      <c r="A8586" s="187">
        <v>2029</v>
      </c>
      <c r="B8586" t="s">
        <v>317</v>
      </c>
      <c r="C8586" t="s">
        <v>322</v>
      </c>
      <c r="D8586" t="s">
        <v>35</v>
      </c>
      <c r="E8586" t="s">
        <v>354</v>
      </c>
      <c r="F8586" t="s">
        <v>387</v>
      </c>
      <c r="G8586" t="s">
        <v>36</v>
      </c>
      <c r="H8586" t="s">
        <v>43</v>
      </c>
      <c r="I8586" s="187">
        <v>108.05090956866493</v>
      </c>
      <c r="J8586" s="187">
        <v>86.440727654931948</v>
      </c>
      <c r="K8586" s="187">
        <v>1702.5835731346463</v>
      </c>
      <c r="L8586" s="187">
        <v>293.89847402676861</v>
      </c>
      <c r="M8586" s="187">
        <v>2190.9736328125</v>
      </c>
      <c r="N8586" s="187">
        <v>401.94937133789063</v>
      </c>
      <c r="O8586" t="s">
        <v>8263</v>
      </c>
    </row>
    <row r="8587" spans="1:15" hidden="1" x14ac:dyDescent="0.45">
      <c r="A8587" s="187">
        <v>2029</v>
      </c>
      <c r="B8587" t="s">
        <v>315</v>
      </c>
      <c r="C8587" t="s">
        <v>322</v>
      </c>
      <c r="D8587" t="s">
        <v>35</v>
      </c>
      <c r="E8587" t="s">
        <v>354</v>
      </c>
      <c r="F8587" t="s">
        <v>387</v>
      </c>
      <c r="G8587" t="s">
        <v>36</v>
      </c>
      <c r="H8587" t="s">
        <v>43</v>
      </c>
      <c r="I8587" s="187">
        <v>0</v>
      </c>
      <c r="J8587" s="187">
        <v>101.95176925665017</v>
      </c>
      <c r="K8587" s="187">
        <v>3333.2072242748341</v>
      </c>
      <c r="L8587" s="187">
        <v>747.64630788210115</v>
      </c>
      <c r="M8587" s="187">
        <v>4182.80517578125</v>
      </c>
      <c r="N8587" s="187">
        <v>747.64630126953125</v>
      </c>
      <c r="O8587" t="s">
        <v>8265</v>
      </c>
    </row>
    <row r="8588" spans="1:15" hidden="1" x14ac:dyDescent="0.45">
      <c r="A8588" s="187">
        <v>2029</v>
      </c>
      <c r="B8588" t="s">
        <v>8570</v>
      </c>
      <c r="C8588" t="s">
        <v>322</v>
      </c>
      <c r="D8588" t="s">
        <v>35</v>
      </c>
      <c r="E8588" t="s">
        <v>354</v>
      </c>
      <c r="F8588" t="s">
        <v>387</v>
      </c>
      <c r="G8588" t="s">
        <v>36</v>
      </c>
      <c r="H8588" t="s">
        <v>43</v>
      </c>
      <c r="I8588" s="187">
        <v>122.358192</v>
      </c>
      <c r="J8588" s="187">
        <v>80</v>
      </c>
      <c r="K8588" s="187">
        <v>1210.9218706838431</v>
      </c>
      <c r="L8588" s="187">
        <v>496</v>
      </c>
      <c r="M8588" s="187">
        <v>1909.280029296875</v>
      </c>
      <c r="N8588" s="187">
        <v>618.35821533203125</v>
      </c>
      <c r="O8588" t="s">
        <v>9353</v>
      </c>
    </row>
    <row r="8589" spans="1:15" hidden="1" x14ac:dyDescent="0.45">
      <c r="A8589" s="187">
        <v>2029</v>
      </c>
      <c r="B8589" t="s">
        <v>316</v>
      </c>
      <c r="C8589" t="s">
        <v>322</v>
      </c>
      <c r="D8589" t="s">
        <v>35</v>
      </c>
      <c r="E8589" t="s">
        <v>354</v>
      </c>
      <c r="F8589" t="s">
        <v>387</v>
      </c>
      <c r="G8589" t="s">
        <v>36</v>
      </c>
      <c r="H8589" t="s">
        <v>43</v>
      </c>
      <c r="I8589" s="187">
        <v>0</v>
      </c>
      <c r="J8589" s="187">
        <v>88.116307090856722</v>
      </c>
      <c r="K8589" s="187">
        <v>3203.3372995270579</v>
      </c>
      <c r="L8589" s="187">
        <v>751.1915179495536</v>
      </c>
      <c r="M8589" s="187">
        <v>4042.64501953125</v>
      </c>
      <c r="N8589" s="187">
        <v>751.1915283203125</v>
      </c>
      <c r="O8589" t="s">
        <v>8264</v>
      </c>
    </row>
    <row r="8590" spans="1:15" hidden="1" x14ac:dyDescent="0.45">
      <c r="A8590" s="187">
        <v>2029</v>
      </c>
      <c r="B8590" t="s">
        <v>8570</v>
      </c>
      <c r="C8590" t="s">
        <v>322</v>
      </c>
      <c r="D8590" t="s">
        <v>35</v>
      </c>
      <c r="E8590" t="s">
        <v>354</v>
      </c>
      <c r="F8590" t="s">
        <v>387</v>
      </c>
      <c r="G8590" t="s">
        <v>37</v>
      </c>
      <c r="H8590" t="s">
        <v>43</v>
      </c>
      <c r="I8590" s="187">
        <v>140.5511014698788</v>
      </c>
      <c r="J8590" s="187">
        <v>80</v>
      </c>
      <c r="K8590" s="187">
        <v>1397.100154885864</v>
      </c>
      <c r="L8590" s="187">
        <v>620</v>
      </c>
      <c r="M8590" s="187">
        <v>2237.6513671875</v>
      </c>
      <c r="N8590" s="187">
        <v>760.55108642578125</v>
      </c>
      <c r="O8590" t="s">
        <v>9354</v>
      </c>
    </row>
    <row r="8591" spans="1:15" hidden="1" x14ac:dyDescent="0.45">
      <c r="A8591" s="187">
        <v>2029</v>
      </c>
      <c r="B8591" t="s">
        <v>317</v>
      </c>
      <c r="C8591" t="s">
        <v>322</v>
      </c>
      <c r="D8591" t="s">
        <v>35</v>
      </c>
      <c r="E8591" t="s">
        <v>354</v>
      </c>
      <c r="F8591" t="s">
        <v>387</v>
      </c>
      <c r="G8591" t="s">
        <v>37</v>
      </c>
      <c r="H8591" t="s">
        <v>43</v>
      </c>
      <c r="I8591" s="187">
        <v>117.1659381002266</v>
      </c>
      <c r="J8591" s="187">
        <v>80</v>
      </c>
      <c r="K8591" s="187">
        <v>1834.9582393461119</v>
      </c>
      <c r="L8591" s="187">
        <v>315</v>
      </c>
      <c r="M8591" s="187">
        <v>2347.1240234375</v>
      </c>
      <c r="N8591" s="187">
        <v>432.16595458984375</v>
      </c>
      <c r="O8591" t="s">
        <v>8267</v>
      </c>
    </row>
    <row r="8592" spans="1:15" hidden="1" x14ac:dyDescent="0.45">
      <c r="A8592" s="187">
        <v>2029</v>
      </c>
      <c r="B8592" t="s">
        <v>316</v>
      </c>
      <c r="C8592" t="s">
        <v>322</v>
      </c>
      <c r="D8592" t="s">
        <v>35</v>
      </c>
      <c r="E8592" t="s">
        <v>354</v>
      </c>
      <c r="F8592" t="s">
        <v>387</v>
      </c>
      <c r="G8592" t="s">
        <v>37</v>
      </c>
      <c r="H8592" t="s">
        <v>43</v>
      </c>
      <c r="I8592" s="187">
        <v>0</v>
      </c>
      <c r="J8592" s="187">
        <v>80</v>
      </c>
      <c r="K8592" s="187">
        <v>3413.552479089612</v>
      </c>
      <c r="L8592" s="187">
        <v>823.05555286762376</v>
      </c>
      <c r="M8592" s="187">
        <v>4316.60791015625</v>
      </c>
      <c r="N8592" s="187">
        <v>823.0555419921875</v>
      </c>
      <c r="O8592" t="s">
        <v>8266</v>
      </c>
    </row>
    <row r="8593" spans="1:15" hidden="1" x14ac:dyDescent="0.45">
      <c r="A8593" s="187">
        <v>2029</v>
      </c>
      <c r="B8593" t="s">
        <v>315</v>
      </c>
      <c r="C8593" t="s">
        <v>322</v>
      </c>
      <c r="D8593" t="s">
        <v>35</v>
      </c>
      <c r="E8593" t="s">
        <v>354</v>
      </c>
      <c r="F8593" t="s">
        <v>387</v>
      </c>
      <c r="G8593" t="s">
        <v>37</v>
      </c>
      <c r="H8593" t="s">
        <v>43</v>
      </c>
      <c r="I8593" s="187">
        <v>0</v>
      </c>
      <c r="J8593" s="187">
        <v>108</v>
      </c>
      <c r="K8593" s="187">
        <v>3577.9088713176711</v>
      </c>
      <c r="L8593" s="187">
        <v>804.53631719653981</v>
      </c>
      <c r="M8593" s="187">
        <v>4490.4453125</v>
      </c>
      <c r="N8593" s="187">
        <v>804.53631591796875</v>
      </c>
      <c r="O8593" t="s">
        <v>8268</v>
      </c>
    </row>
    <row r="8594" spans="1:15" hidden="1" x14ac:dyDescent="0.45">
      <c r="A8594" s="187">
        <v>2029</v>
      </c>
      <c r="B8594" t="s">
        <v>316</v>
      </c>
      <c r="C8594" t="s">
        <v>322</v>
      </c>
      <c r="D8594" t="s">
        <v>35</v>
      </c>
      <c r="E8594" t="s">
        <v>17</v>
      </c>
      <c r="F8594" t="s">
        <v>17</v>
      </c>
      <c r="G8594" t="s">
        <v>36</v>
      </c>
      <c r="H8594" t="s">
        <v>43</v>
      </c>
      <c r="I8594" s="187">
        <v>3133.9032933006306</v>
      </c>
      <c r="J8594" s="187">
        <v>165.21807579535636</v>
      </c>
      <c r="K8594" s="187">
        <v>1574.2763585558537</v>
      </c>
      <c r="L8594" s="187">
        <v>762.20605633591072</v>
      </c>
      <c r="M8594" s="187">
        <v>5635.603515625</v>
      </c>
      <c r="N8594" s="187">
        <v>3896.109375</v>
      </c>
      <c r="O8594" t="s">
        <v>8269</v>
      </c>
    </row>
    <row r="8595" spans="1:15" hidden="1" x14ac:dyDescent="0.45">
      <c r="A8595" s="187">
        <v>2029</v>
      </c>
      <c r="B8595" t="s">
        <v>8570</v>
      </c>
      <c r="C8595" t="s">
        <v>322</v>
      </c>
      <c r="D8595" t="s">
        <v>35</v>
      </c>
      <c r="E8595" t="s">
        <v>17</v>
      </c>
      <c r="F8595" t="s">
        <v>17</v>
      </c>
      <c r="G8595" t="s">
        <v>36</v>
      </c>
      <c r="H8595" t="s">
        <v>43</v>
      </c>
      <c r="I8595" s="187">
        <v>3272.3329589885329</v>
      </c>
      <c r="J8595" s="187">
        <v>150</v>
      </c>
      <c r="K8595" s="187">
        <v>609.53589498454517</v>
      </c>
      <c r="L8595" s="187">
        <v>634</v>
      </c>
      <c r="M8595" s="187">
        <v>4665.869140625</v>
      </c>
      <c r="N8595" s="187">
        <v>3906.3330078125</v>
      </c>
      <c r="O8595" t="s">
        <v>9355</v>
      </c>
    </row>
    <row r="8596" spans="1:15" hidden="1" x14ac:dyDescent="0.45">
      <c r="A8596" s="187">
        <v>2029</v>
      </c>
      <c r="B8596" t="s">
        <v>315</v>
      </c>
      <c r="C8596" t="s">
        <v>322</v>
      </c>
      <c r="D8596" t="s">
        <v>35</v>
      </c>
      <c r="E8596" t="s">
        <v>17</v>
      </c>
      <c r="F8596" t="s">
        <v>17</v>
      </c>
      <c r="G8596" t="s">
        <v>36</v>
      </c>
      <c r="H8596" t="s">
        <v>43</v>
      </c>
      <c r="I8596" s="187">
        <v>3159.5782186533556</v>
      </c>
      <c r="J8596" s="187">
        <v>79.295820532950131</v>
      </c>
      <c r="K8596" s="187">
        <v>1221.4127866699944</v>
      </c>
      <c r="L8596" s="187">
        <v>819.01254636175634</v>
      </c>
      <c r="M8596" s="187">
        <v>5279.29931640625</v>
      </c>
      <c r="N8596" s="187">
        <v>3978.590576171875</v>
      </c>
      <c r="O8596" t="s">
        <v>8271</v>
      </c>
    </row>
    <row r="8597" spans="1:15" hidden="1" x14ac:dyDescent="0.45">
      <c r="A8597" s="187">
        <v>2029</v>
      </c>
      <c r="B8597" t="s">
        <v>317</v>
      </c>
      <c r="C8597" t="s">
        <v>322</v>
      </c>
      <c r="D8597" t="s">
        <v>35</v>
      </c>
      <c r="E8597" t="s">
        <v>17</v>
      </c>
      <c r="F8597" t="s">
        <v>17</v>
      </c>
      <c r="G8597" t="s">
        <v>36</v>
      </c>
      <c r="H8597" t="s">
        <v>43</v>
      </c>
      <c r="I8597" s="187">
        <v>3807.1953748390893</v>
      </c>
      <c r="J8597" s="187">
        <v>162.07636435299739</v>
      </c>
      <c r="K8597" s="187">
        <v>1206.0211543232147</v>
      </c>
      <c r="L8597" s="187">
        <v>482.98756577193222</v>
      </c>
      <c r="M8597" s="187">
        <v>5658.28076171875</v>
      </c>
      <c r="N8597" s="187">
        <v>4290.18310546875</v>
      </c>
      <c r="O8597" t="s">
        <v>8270</v>
      </c>
    </row>
    <row r="8598" spans="1:15" hidden="1" x14ac:dyDescent="0.45">
      <c r="A8598" s="187">
        <v>2029</v>
      </c>
      <c r="B8598" t="s">
        <v>317</v>
      </c>
      <c r="C8598" t="s">
        <v>322</v>
      </c>
      <c r="D8598" t="s">
        <v>35</v>
      </c>
      <c r="E8598" t="s">
        <v>17</v>
      </c>
      <c r="F8598" t="s">
        <v>17</v>
      </c>
      <c r="G8598" t="s">
        <v>37</v>
      </c>
      <c r="H8598" t="s">
        <v>43</v>
      </c>
      <c r="I8598" s="187">
        <v>4128.3652252866204</v>
      </c>
      <c r="J8598" s="187">
        <v>150</v>
      </c>
      <c r="K8598" s="187">
        <v>1299.7884443796879</v>
      </c>
      <c r="L8598" s="187">
        <v>518</v>
      </c>
      <c r="M8598" s="187">
        <v>6096.15380859375</v>
      </c>
      <c r="N8598" s="187">
        <v>4646.365234375</v>
      </c>
      <c r="O8598" t="s">
        <v>8272</v>
      </c>
    </row>
    <row r="8599" spans="1:15" hidden="1" x14ac:dyDescent="0.45">
      <c r="A8599" s="187">
        <v>2029</v>
      </c>
      <c r="B8599" t="s">
        <v>316</v>
      </c>
      <c r="C8599" t="s">
        <v>322</v>
      </c>
      <c r="D8599" t="s">
        <v>35</v>
      </c>
      <c r="E8599" t="s">
        <v>17</v>
      </c>
      <c r="F8599" t="s">
        <v>17</v>
      </c>
      <c r="G8599" t="s">
        <v>37</v>
      </c>
      <c r="H8599" t="s">
        <v>43</v>
      </c>
      <c r="I8599" s="187">
        <v>3401</v>
      </c>
      <c r="J8599" s="187">
        <v>150</v>
      </c>
      <c r="K8599" s="187">
        <v>1677.5863619837669</v>
      </c>
      <c r="L8599" s="187">
        <v>835</v>
      </c>
      <c r="M8599" s="187">
        <v>6063.58642578125</v>
      </c>
      <c r="N8599" s="187">
        <v>4236</v>
      </c>
      <c r="O8599" t="s">
        <v>8274</v>
      </c>
    </row>
    <row r="8600" spans="1:15" hidden="1" x14ac:dyDescent="0.45">
      <c r="A8600" s="187">
        <v>2029</v>
      </c>
      <c r="B8600" t="s">
        <v>315</v>
      </c>
      <c r="C8600" t="s">
        <v>322</v>
      </c>
      <c r="D8600" t="s">
        <v>35</v>
      </c>
      <c r="E8600" t="s">
        <v>17</v>
      </c>
      <c r="F8600" t="s">
        <v>17</v>
      </c>
      <c r="G8600" t="s">
        <v>37</v>
      </c>
      <c r="H8600" t="s">
        <v>43</v>
      </c>
      <c r="I8600" s="187">
        <v>3400.6639931656759</v>
      </c>
      <c r="J8600" s="187">
        <v>84</v>
      </c>
      <c r="K8600" s="187">
        <v>1311.080695235851</v>
      </c>
      <c r="L8600" s="187">
        <v>881</v>
      </c>
      <c r="M8600" s="187">
        <v>5676.74462890625</v>
      </c>
      <c r="N8600" s="187">
        <v>4281.6640625</v>
      </c>
      <c r="O8600" t="s">
        <v>8273</v>
      </c>
    </row>
    <row r="8601" spans="1:15" hidden="1" x14ac:dyDescent="0.45">
      <c r="A8601" s="187">
        <v>2029</v>
      </c>
      <c r="B8601" t="s">
        <v>8570</v>
      </c>
      <c r="C8601" t="s">
        <v>322</v>
      </c>
      <c r="D8601" t="s">
        <v>35</v>
      </c>
      <c r="E8601" t="s">
        <v>17</v>
      </c>
      <c r="F8601" t="s">
        <v>17</v>
      </c>
      <c r="G8601" t="s">
        <v>37</v>
      </c>
      <c r="H8601" t="s">
        <v>43</v>
      </c>
      <c r="I8601" s="187">
        <v>3758.8819697664871</v>
      </c>
      <c r="J8601" s="187">
        <v>150</v>
      </c>
      <c r="K8601" s="187">
        <v>703.25155892220209</v>
      </c>
      <c r="L8601" s="187">
        <v>792</v>
      </c>
      <c r="M8601" s="187">
        <v>5404.1337890625</v>
      </c>
      <c r="N8601" s="187">
        <v>4550.8818359375</v>
      </c>
      <c r="O8601" t="s">
        <v>9356</v>
      </c>
    </row>
    <row r="8602" spans="1:15" hidden="1" x14ac:dyDescent="0.45">
      <c r="A8602" s="187">
        <v>2029</v>
      </c>
      <c r="B8602" t="s">
        <v>315</v>
      </c>
      <c r="C8602" t="s">
        <v>322</v>
      </c>
      <c r="D8602" t="s">
        <v>35</v>
      </c>
      <c r="E8602" t="s">
        <v>45</v>
      </c>
      <c r="F8602" t="s">
        <v>45</v>
      </c>
      <c r="G8602" t="s">
        <v>37</v>
      </c>
      <c r="H8602" t="s">
        <v>43</v>
      </c>
      <c r="I8602" s="187">
        <v>2331.6901113559852</v>
      </c>
      <c r="J8602" s="187">
        <v>0</v>
      </c>
      <c r="K8602" s="187">
        <v>937.62384758257622</v>
      </c>
      <c r="L8602" s="187">
        <v>8226</v>
      </c>
      <c r="M8602" s="187">
        <v>11495.314453125</v>
      </c>
      <c r="N8602" s="187">
        <v>10557.6904296875</v>
      </c>
      <c r="O8602" t="s">
        <v>8275</v>
      </c>
    </row>
    <row r="8603" spans="1:15" hidden="1" x14ac:dyDescent="0.45">
      <c r="A8603" s="187">
        <v>2029</v>
      </c>
      <c r="B8603" t="s">
        <v>316</v>
      </c>
      <c r="C8603" t="s">
        <v>322</v>
      </c>
      <c r="D8603" t="s">
        <v>35</v>
      </c>
      <c r="E8603" t="s">
        <v>45</v>
      </c>
      <c r="F8603" t="s">
        <v>45</v>
      </c>
      <c r="G8603" t="s">
        <v>37</v>
      </c>
      <c r="H8603" t="s">
        <v>43</v>
      </c>
      <c r="I8603" s="187">
        <v>2323</v>
      </c>
      <c r="J8603" s="187"/>
      <c r="K8603" s="187">
        <v>1023.690648685524</v>
      </c>
      <c r="L8603" s="187">
        <v>8643</v>
      </c>
      <c r="M8603" s="187">
        <v>11989.6904296875</v>
      </c>
      <c r="N8603" s="187">
        <v>10966</v>
      </c>
      <c r="O8603" t="s">
        <v>8276</v>
      </c>
    </row>
    <row r="8604" spans="1:15" hidden="1" x14ac:dyDescent="0.45">
      <c r="A8604" s="187">
        <v>2029</v>
      </c>
      <c r="B8604" t="s">
        <v>317</v>
      </c>
      <c r="C8604" t="s">
        <v>322</v>
      </c>
      <c r="D8604" t="s">
        <v>35</v>
      </c>
      <c r="E8604" t="s">
        <v>45</v>
      </c>
      <c r="F8604" t="s">
        <v>45</v>
      </c>
      <c r="G8604" t="s">
        <v>37</v>
      </c>
      <c r="H8604" t="s">
        <v>43</v>
      </c>
      <c r="I8604" s="187">
        <v>2365.7576677572652</v>
      </c>
      <c r="J8604" s="187"/>
      <c r="K8604" s="187">
        <v>1024.4256408127439</v>
      </c>
      <c r="L8604" s="187">
        <v>16877</v>
      </c>
      <c r="M8604" s="187">
        <v>20267.18359375</v>
      </c>
      <c r="N8604" s="187">
        <v>19242.7578125</v>
      </c>
      <c r="O8604" t="s">
        <v>8277</v>
      </c>
    </row>
    <row r="8605" spans="1:15" hidden="1" x14ac:dyDescent="0.45">
      <c r="A8605" s="187">
        <v>2029</v>
      </c>
      <c r="B8605" t="s">
        <v>8570</v>
      </c>
      <c r="C8605" t="s">
        <v>322</v>
      </c>
      <c r="D8605" t="s">
        <v>35</v>
      </c>
      <c r="E8605" t="s">
        <v>45</v>
      </c>
      <c r="F8605" t="s">
        <v>45</v>
      </c>
      <c r="G8605" t="s">
        <v>37</v>
      </c>
      <c r="H8605" t="s">
        <v>43</v>
      </c>
      <c r="I8605" s="187">
        <v>1744.2881713247471</v>
      </c>
      <c r="J8605" s="187"/>
      <c r="K8605" s="187">
        <v>600.98868844620142</v>
      </c>
      <c r="L8605" s="187">
        <v>16795</v>
      </c>
      <c r="M8605" s="187">
        <v>19140.27734375</v>
      </c>
      <c r="N8605" s="187">
        <v>18539.2890625</v>
      </c>
      <c r="O8605" t="s">
        <v>9357</v>
      </c>
    </row>
    <row r="8606" spans="1:15" hidden="1" x14ac:dyDescent="0.45">
      <c r="A8606" s="187">
        <v>2029</v>
      </c>
      <c r="B8606" t="s">
        <v>8570</v>
      </c>
      <c r="C8606" t="s">
        <v>322</v>
      </c>
      <c r="D8606" t="s">
        <v>35</v>
      </c>
      <c r="E8606" t="s">
        <v>355</v>
      </c>
      <c r="F8606" t="s">
        <v>355</v>
      </c>
      <c r="G8606" t="s">
        <v>37</v>
      </c>
      <c r="H8606" t="s">
        <v>43</v>
      </c>
      <c r="I8606" s="187">
        <v>11897.771242302009</v>
      </c>
      <c r="J8606" s="187"/>
      <c r="K8606" s="187"/>
      <c r="L8606" s="187"/>
      <c r="M8606" s="187">
        <v>11897.771484375</v>
      </c>
      <c r="N8606" s="187">
        <v>11897.771484375</v>
      </c>
      <c r="O8606" t="s">
        <v>9358</v>
      </c>
    </row>
    <row r="8607" spans="1:15" hidden="1" x14ac:dyDescent="0.45">
      <c r="A8607" s="187">
        <v>2029</v>
      </c>
      <c r="B8607" t="s">
        <v>8570</v>
      </c>
      <c r="C8607" t="s">
        <v>322</v>
      </c>
      <c r="D8607" t="s">
        <v>35</v>
      </c>
      <c r="E8607" t="s">
        <v>356</v>
      </c>
      <c r="F8607" t="s">
        <v>356</v>
      </c>
      <c r="G8607" t="s">
        <v>37</v>
      </c>
      <c r="H8607" t="s">
        <v>43</v>
      </c>
      <c r="I8607" s="187">
        <v>0</v>
      </c>
      <c r="J8607" s="187"/>
      <c r="K8607" s="187">
        <v>0</v>
      </c>
      <c r="L8607" s="187">
        <v>0</v>
      </c>
      <c r="M8607" s="187">
        <v>0</v>
      </c>
      <c r="N8607" s="187">
        <v>0</v>
      </c>
      <c r="O8607" t="s">
        <v>9359</v>
      </c>
    </row>
    <row r="8608" spans="1:15" hidden="1" x14ac:dyDescent="0.45">
      <c r="A8608" s="187">
        <v>2029</v>
      </c>
      <c r="B8608" t="s">
        <v>315</v>
      </c>
      <c r="C8608" t="s">
        <v>322</v>
      </c>
      <c r="D8608" t="s">
        <v>35</v>
      </c>
      <c r="E8608" t="s">
        <v>356</v>
      </c>
      <c r="F8608" t="s">
        <v>356</v>
      </c>
      <c r="G8608" t="s">
        <v>37</v>
      </c>
      <c r="H8608" t="s">
        <v>43</v>
      </c>
      <c r="I8608" s="187"/>
      <c r="J8608" s="187">
        <v>0</v>
      </c>
      <c r="K8608" s="187">
        <v>0</v>
      </c>
      <c r="L8608" s="187">
        <v>0</v>
      </c>
      <c r="M8608" s="187">
        <v>0</v>
      </c>
      <c r="N8608" s="187">
        <v>0</v>
      </c>
      <c r="O8608" t="s">
        <v>8278</v>
      </c>
    </row>
    <row r="8609" spans="1:15" hidden="1" x14ac:dyDescent="0.45">
      <c r="A8609" s="187">
        <v>2029</v>
      </c>
      <c r="B8609" t="s">
        <v>316</v>
      </c>
      <c r="C8609" t="s">
        <v>322</v>
      </c>
      <c r="D8609" t="s">
        <v>35</v>
      </c>
      <c r="E8609" t="s">
        <v>356</v>
      </c>
      <c r="F8609" t="s">
        <v>356</v>
      </c>
      <c r="G8609" t="s">
        <v>37</v>
      </c>
      <c r="H8609" t="s">
        <v>43</v>
      </c>
      <c r="I8609" s="187"/>
      <c r="J8609" s="187"/>
      <c r="K8609" s="187">
        <v>0</v>
      </c>
      <c r="L8609" s="187">
        <v>0</v>
      </c>
      <c r="M8609" s="187">
        <v>0</v>
      </c>
      <c r="N8609" s="187">
        <v>0</v>
      </c>
      <c r="O8609" t="s">
        <v>8280</v>
      </c>
    </row>
    <row r="8610" spans="1:15" hidden="1" x14ac:dyDescent="0.45">
      <c r="A8610" s="187">
        <v>2029</v>
      </c>
      <c r="B8610" t="s">
        <v>317</v>
      </c>
      <c r="C8610" t="s">
        <v>322</v>
      </c>
      <c r="D8610" t="s">
        <v>35</v>
      </c>
      <c r="E8610" t="s">
        <v>356</v>
      </c>
      <c r="F8610" t="s">
        <v>356</v>
      </c>
      <c r="G8610" t="s">
        <v>37</v>
      </c>
      <c r="H8610" t="s">
        <v>43</v>
      </c>
      <c r="I8610" s="187"/>
      <c r="J8610" s="187"/>
      <c r="K8610" s="187">
        <v>0</v>
      </c>
      <c r="L8610" s="187">
        <v>0</v>
      </c>
      <c r="M8610" s="187">
        <v>0</v>
      </c>
      <c r="N8610" s="187">
        <v>0</v>
      </c>
      <c r="O8610" t="s">
        <v>8279</v>
      </c>
    </row>
    <row r="8611" spans="1:15" hidden="1" x14ac:dyDescent="0.45">
      <c r="A8611" s="187">
        <v>2029</v>
      </c>
      <c r="B8611" t="s">
        <v>316</v>
      </c>
      <c r="C8611" t="s">
        <v>328</v>
      </c>
      <c r="D8611" t="s">
        <v>39</v>
      </c>
      <c r="E8611" t="s">
        <v>349</v>
      </c>
      <c r="F8611" t="s">
        <v>349</v>
      </c>
      <c r="G8611" t="s">
        <v>36</v>
      </c>
      <c r="H8611" t="s">
        <v>43</v>
      </c>
      <c r="I8611" s="187">
        <v>0</v>
      </c>
      <c r="J8611" s="187">
        <v>26.440360977435727</v>
      </c>
      <c r="K8611" s="187">
        <v>2346.6660174063954</v>
      </c>
      <c r="L8611" s="187">
        <v>0</v>
      </c>
      <c r="M8611" s="187">
        <v>2373.1064453125</v>
      </c>
      <c r="N8611" s="187">
        <v>0</v>
      </c>
      <c r="O8611" t="s">
        <v>8282</v>
      </c>
    </row>
    <row r="8612" spans="1:15" hidden="1" x14ac:dyDescent="0.45">
      <c r="A8612" s="187">
        <v>2029</v>
      </c>
      <c r="B8612" t="s">
        <v>317</v>
      </c>
      <c r="C8612" t="s">
        <v>328</v>
      </c>
      <c r="D8612" t="s">
        <v>39</v>
      </c>
      <c r="E8612" t="s">
        <v>349</v>
      </c>
      <c r="F8612" t="s">
        <v>349</v>
      </c>
      <c r="G8612" t="s">
        <v>36</v>
      </c>
      <c r="H8612" t="s">
        <v>43</v>
      </c>
      <c r="I8612" s="187">
        <v>0</v>
      </c>
      <c r="J8612" s="187">
        <v>26.131645976874857</v>
      </c>
      <c r="K8612" s="187">
        <v>2417.8411554338518</v>
      </c>
      <c r="L8612" s="187">
        <v>0</v>
      </c>
      <c r="M8612" s="187">
        <v>2443.972900390625</v>
      </c>
      <c r="N8612" s="187">
        <v>0</v>
      </c>
      <c r="O8612" t="s">
        <v>8283</v>
      </c>
    </row>
    <row r="8613" spans="1:15" hidden="1" x14ac:dyDescent="0.45">
      <c r="A8613" s="187">
        <v>2029</v>
      </c>
      <c r="B8613" t="s">
        <v>315</v>
      </c>
      <c r="C8613" t="s">
        <v>328</v>
      </c>
      <c r="D8613" t="s">
        <v>39</v>
      </c>
      <c r="E8613" t="s">
        <v>349</v>
      </c>
      <c r="F8613" t="s">
        <v>349</v>
      </c>
      <c r="G8613" t="s">
        <v>36</v>
      </c>
      <c r="H8613" t="s">
        <v>43</v>
      </c>
      <c r="I8613" s="187">
        <v>0</v>
      </c>
      <c r="J8613" s="187">
        <v>21.603009729083823</v>
      </c>
      <c r="K8613" s="187">
        <v>2360.506787838277</v>
      </c>
      <c r="L8613" s="187">
        <v>0</v>
      </c>
      <c r="M8613" s="187">
        <v>2382.10986328125</v>
      </c>
      <c r="N8613" s="187">
        <v>0</v>
      </c>
      <c r="O8613" t="s">
        <v>8281</v>
      </c>
    </row>
    <row r="8614" spans="1:15" hidden="1" x14ac:dyDescent="0.45">
      <c r="A8614" s="187">
        <v>2029</v>
      </c>
      <c r="B8614" t="s">
        <v>8570</v>
      </c>
      <c r="C8614" t="s">
        <v>328</v>
      </c>
      <c r="D8614" t="s">
        <v>39</v>
      </c>
      <c r="E8614" t="s">
        <v>349</v>
      </c>
      <c r="F8614" t="s">
        <v>349</v>
      </c>
      <c r="G8614" t="s">
        <v>36</v>
      </c>
      <c r="H8614" t="s">
        <v>43</v>
      </c>
      <c r="I8614" s="187">
        <v>0</v>
      </c>
      <c r="J8614" s="187"/>
      <c r="K8614" s="187">
        <v>2619.6246478769558</v>
      </c>
      <c r="L8614" s="187">
        <v>0</v>
      </c>
      <c r="M8614" s="187">
        <v>2619.624755859375</v>
      </c>
      <c r="N8614" s="187">
        <v>0</v>
      </c>
      <c r="O8614" t="s">
        <v>9360</v>
      </c>
    </row>
    <row r="8615" spans="1:15" hidden="1" x14ac:dyDescent="0.45">
      <c r="A8615" s="187">
        <v>2029</v>
      </c>
      <c r="B8615" t="s">
        <v>8570</v>
      </c>
      <c r="C8615" t="s">
        <v>328</v>
      </c>
      <c r="D8615" t="s">
        <v>39</v>
      </c>
      <c r="E8615" t="s">
        <v>349</v>
      </c>
      <c r="F8615" t="s">
        <v>349</v>
      </c>
      <c r="G8615" t="s">
        <v>37</v>
      </c>
      <c r="H8615" t="s">
        <v>43</v>
      </c>
      <c r="I8615" s="187">
        <v>0</v>
      </c>
      <c r="J8615" s="187">
        <v>5</v>
      </c>
      <c r="K8615" s="187">
        <v>3022.389874934609</v>
      </c>
      <c r="L8615" s="187">
        <v>0</v>
      </c>
      <c r="M8615" s="187">
        <v>3027.389892578125</v>
      </c>
      <c r="N8615" s="187">
        <v>0</v>
      </c>
      <c r="O8615" t="s">
        <v>9361</v>
      </c>
    </row>
    <row r="8616" spans="1:15" hidden="1" x14ac:dyDescent="0.45">
      <c r="A8616" s="187">
        <v>2029</v>
      </c>
      <c r="B8616" t="s">
        <v>317</v>
      </c>
      <c r="C8616" t="s">
        <v>328</v>
      </c>
      <c r="D8616" t="s">
        <v>39</v>
      </c>
      <c r="E8616" t="s">
        <v>349</v>
      </c>
      <c r="F8616" t="s">
        <v>349</v>
      </c>
      <c r="G8616" t="s">
        <v>37</v>
      </c>
      <c r="H8616" t="s">
        <v>43</v>
      </c>
      <c r="I8616" s="187">
        <v>0</v>
      </c>
      <c r="J8616" s="187">
        <v>25</v>
      </c>
      <c r="K8616" s="187">
        <v>2693.6873175599521</v>
      </c>
      <c r="L8616" s="187">
        <v>0</v>
      </c>
      <c r="M8616" s="187">
        <v>2718.687255859375</v>
      </c>
      <c r="N8616" s="187">
        <v>0</v>
      </c>
      <c r="O8616" t="s">
        <v>8286</v>
      </c>
    </row>
    <row r="8617" spans="1:15" hidden="1" x14ac:dyDescent="0.45">
      <c r="A8617" s="187">
        <v>2029</v>
      </c>
      <c r="B8617" t="s">
        <v>316</v>
      </c>
      <c r="C8617" t="s">
        <v>328</v>
      </c>
      <c r="D8617" t="s">
        <v>39</v>
      </c>
      <c r="E8617" t="s">
        <v>349</v>
      </c>
      <c r="F8617" t="s">
        <v>349</v>
      </c>
      <c r="G8617" t="s">
        <v>37</v>
      </c>
      <c r="H8617" t="s">
        <v>43</v>
      </c>
      <c r="I8617" s="187">
        <v>0</v>
      </c>
      <c r="J8617" s="187">
        <v>25</v>
      </c>
      <c r="K8617" s="187">
        <v>2604.318685801406</v>
      </c>
      <c r="L8617" s="187">
        <v>0</v>
      </c>
      <c r="M8617" s="187">
        <v>2629.318603515625</v>
      </c>
      <c r="N8617" s="187">
        <v>0</v>
      </c>
      <c r="O8617" t="s">
        <v>8284</v>
      </c>
    </row>
    <row r="8618" spans="1:15" hidden="1" x14ac:dyDescent="0.45">
      <c r="A8618" s="187">
        <v>2029</v>
      </c>
      <c r="B8618" t="s">
        <v>315</v>
      </c>
      <c r="C8618" t="s">
        <v>328</v>
      </c>
      <c r="D8618" t="s">
        <v>39</v>
      </c>
      <c r="E8618" t="s">
        <v>349</v>
      </c>
      <c r="F8618" t="s">
        <v>349</v>
      </c>
      <c r="G8618" t="s">
        <v>37</v>
      </c>
      <c r="H8618" t="s">
        <v>43</v>
      </c>
      <c r="I8618" s="187">
        <v>0</v>
      </c>
      <c r="J8618" s="187">
        <v>24</v>
      </c>
      <c r="K8618" s="187">
        <v>2657.2976657126578</v>
      </c>
      <c r="L8618" s="187">
        <v>0</v>
      </c>
      <c r="M8618" s="187">
        <v>2681.297607421875</v>
      </c>
      <c r="N8618" s="187">
        <v>0</v>
      </c>
      <c r="O8618" t="s">
        <v>8285</v>
      </c>
    </row>
    <row r="8619" spans="1:15" hidden="1" x14ac:dyDescent="0.45">
      <c r="A8619" s="187">
        <v>2029</v>
      </c>
      <c r="B8619" t="s">
        <v>315</v>
      </c>
      <c r="C8619" t="s">
        <v>328</v>
      </c>
      <c r="D8619" t="s">
        <v>39</v>
      </c>
      <c r="E8619" t="s">
        <v>21</v>
      </c>
      <c r="F8619" t="s">
        <v>21</v>
      </c>
      <c r="G8619" t="s">
        <v>36</v>
      </c>
      <c r="H8619" t="s">
        <v>43</v>
      </c>
      <c r="I8619" s="187">
        <v>1906.4666887421338</v>
      </c>
      <c r="J8619" s="187">
        <v>1069.3489815896492</v>
      </c>
      <c r="K8619" s="187">
        <v>5156.3790151601279</v>
      </c>
      <c r="L8619" s="187">
        <v>5191.2032378988424</v>
      </c>
      <c r="M8619" s="187">
        <v>13323.3984375</v>
      </c>
      <c r="N8619" s="187">
        <v>7097.669921875</v>
      </c>
      <c r="O8619" t="s">
        <v>8287</v>
      </c>
    </row>
    <row r="8620" spans="1:15" hidden="1" x14ac:dyDescent="0.45">
      <c r="A8620" s="187">
        <v>2029</v>
      </c>
      <c r="B8620" t="s">
        <v>317</v>
      </c>
      <c r="C8620" t="s">
        <v>328</v>
      </c>
      <c r="D8620" t="s">
        <v>39</v>
      </c>
      <c r="E8620" t="s">
        <v>21</v>
      </c>
      <c r="F8620" t="s">
        <v>21</v>
      </c>
      <c r="G8620" t="s">
        <v>36</v>
      </c>
      <c r="H8620" t="s">
        <v>43</v>
      </c>
      <c r="I8620" s="187">
        <v>3081.448554774689</v>
      </c>
      <c r="J8620" s="187">
        <v>1311.8086280391178</v>
      </c>
      <c r="K8620" s="187">
        <v>7665.1282830613809</v>
      </c>
      <c r="L8620" s="187">
        <v>5351.7610960639713</v>
      </c>
      <c r="M8620" s="187">
        <v>17410.146484375</v>
      </c>
      <c r="N8620" s="187">
        <v>8433.2099609375</v>
      </c>
      <c r="O8620" t="s">
        <v>8288</v>
      </c>
    </row>
    <row r="8621" spans="1:15" hidden="1" x14ac:dyDescent="0.45">
      <c r="A8621" s="187">
        <v>2029</v>
      </c>
      <c r="B8621" t="s">
        <v>316</v>
      </c>
      <c r="C8621" t="s">
        <v>328</v>
      </c>
      <c r="D8621" t="s">
        <v>39</v>
      </c>
      <c r="E8621" t="s">
        <v>21</v>
      </c>
      <c r="F8621" t="s">
        <v>21</v>
      </c>
      <c r="G8621" t="s">
        <v>36</v>
      </c>
      <c r="H8621" t="s">
        <v>43</v>
      </c>
      <c r="I8621" s="187">
        <v>3117.8522850700328</v>
      </c>
      <c r="J8621" s="187">
        <v>1327.3061210672736</v>
      </c>
      <c r="K8621" s="187">
        <v>5293.844890091028</v>
      </c>
      <c r="L8621" s="187">
        <v>5255.2861478751247</v>
      </c>
      <c r="M8621" s="187">
        <v>14994.2890625</v>
      </c>
      <c r="N8621" s="187">
        <v>8373.138671875</v>
      </c>
      <c r="O8621" t="s">
        <v>8289</v>
      </c>
    </row>
    <row r="8622" spans="1:15" hidden="1" x14ac:dyDescent="0.45">
      <c r="A8622" s="187">
        <v>2029</v>
      </c>
      <c r="B8622" t="s">
        <v>8570</v>
      </c>
      <c r="C8622" t="s">
        <v>328</v>
      </c>
      <c r="D8622" t="s">
        <v>39</v>
      </c>
      <c r="E8622" t="s">
        <v>21</v>
      </c>
      <c r="F8622" t="s">
        <v>21</v>
      </c>
      <c r="G8622" t="s">
        <v>36</v>
      </c>
      <c r="H8622" t="s">
        <v>43</v>
      </c>
      <c r="I8622" s="187">
        <v>3354.8113170000001</v>
      </c>
      <c r="J8622" s="187">
        <v>1531</v>
      </c>
      <c r="K8622" s="187">
        <v>6825.955339991071</v>
      </c>
      <c r="L8622" s="187">
        <v>5400</v>
      </c>
      <c r="M8622" s="187">
        <v>17111.765625</v>
      </c>
      <c r="N8622" s="187">
        <v>8754.8115234375</v>
      </c>
      <c r="O8622" t="s">
        <v>9362</v>
      </c>
    </row>
    <row r="8623" spans="1:15" hidden="1" x14ac:dyDescent="0.45">
      <c r="A8623" s="187">
        <v>2029</v>
      </c>
      <c r="B8623" t="s">
        <v>317</v>
      </c>
      <c r="C8623" t="s">
        <v>328</v>
      </c>
      <c r="D8623" t="s">
        <v>39</v>
      </c>
      <c r="E8623" t="s">
        <v>21</v>
      </c>
      <c r="F8623" t="s">
        <v>21</v>
      </c>
      <c r="G8623" t="s">
        <v>37</v>
      </c>
      <c r="H8623" t="s">
        <v>43</v>
      </c>
      <c r="I8623" s="187">
        <v>3454</v>
      </c>
      <c r="J8623" s="187">
        <v>1255</v>
      </c>
      <c r="K8623" s="187">
        <v>8539.6258547214602</v>
      </c>
      <c r="L8623" s="187">
        <v>5971</v>
      </c>
      <c r="M8623" s="187">
        <v>19219.625</v>
      </c>
      <c r="N8623" s="187">
        <v>9425</v>
      </c>
      <c r="O8623" t="s">
        <v>8291</v>
      </c>
    </row>
    <row r="8624" spans="1:15" hidden="1" x14ac:dyDescent="0.45">
      <c r="A8624" s="187">
        <v>2029</v>
      </c>
      <c r="B8624" t="s">
        <v>315</v>
      </c>
      <c r="C8624" t="s">
        <v>328</v>
      </c>
      <c r="D8624" t="s">
        <v>39</v>
      </c>
      <c r="E8624" t="s">
        <v>21</v>
      </c>
      <c r="F8624" t="s">
        <v>21</v>
      </c>
      <c r="G8624" t="s">
        <v>37</v>
      </c>
      <c r="H8624" t="s">
        <v>43</v>
      </c>
      <c r="I8624" s="187">
        <v>2151.9482588807082</v>
      </c>
      <c r="J8624" s="187">
        <v>1183</v>
      </c>
      <c r="K8624" s="187">
        <v>5804.7000716582961</v>
      </c>
      <c r="L8624" s="187">
        <v>6027</v>
      </c>
      <c r="M8624" s="187">
        <v>15166.6484375</v>
      </c>
      <c r="N8624" s="187">
        <v>8178.9482421875</v>
      </c>
      <c r="O8624" t="s">
        <v>8290</v>
      </c>
    </row>
    <row r="8625" spans="1:15" hidden="1" x14ac:dyDescent="0.45">
      <c r="A8625" s="187">
        <v>2029</v>
      </c>
      <c r="B8625" t="s">
        <v>316</v>
      </c>
      <c r="C8625" t="s">
        <v>328</v>
      </c>
      <c r="D8625" t="s">
        <v>39</v>
      </c>
      <c r="E8625" t="s">
        <v>21</v>
      </c>
      <c r="F8625" t="s">
        <v>21</v>
      </c>
      <c r="G8625" t="s">
        <v>37</v>
      </c>
      <c r="H8625" t="s">
        <v>43</v>
      </c>
      <c r="I8625" s="187">
        <v>3523.48385600458</v>
      </c>
      <c r="J8625" s="187">
        <v>1255</v>
      </c>
      <c r="K8625" s="187">
        <v>5875.0836568707809</v>
      </c>
      <c r="L8625" s="187">
        <v>6014</v>
      </c>
      <c r="M8625" s="187">
        <v>16667.56640625</v>
      </c>
      <c r="N8625" s="187">
        <v>9537.484375</v>
      </c>
      <c r="O8625" t="s">
        <v>8292</v>
      </c>
    </row>
    <row r="8626" spans="1:15" hidden="1" x14ac:dyDescent="0.45">
      <c r="A8626" s="187">
        <v>2029</v>
      </c>
      <c r="B8626" t="s">
        <v>8570</v>
      </c>
      <c r="C8626" t="s">
        <v>328</v>
      </c>
      <c r="D8626" t="s">
        <v>39</v>
      </c>
      <c r="E8626" t="s">
        <v>21</v>
      </c>
      <c r="F8626" t="s">
        <v>21</v>
      </c>
      <c r="G8626" t="s">
        <v>37</v>
      </c>
      <c r="H8626" t="s">
        <v>43</v>
      </c>
      <c r="I8626" s="187">
        <v>3853.6236775055058</v>
      </c>
      <c r="J8626" s="187">
        <v>1725</v>
      </c>
      <c r="K8626" s="187">
        <v>7875.4405991197036</v>
      </c>
      <c r="L8626" s="187">
        <v>6447</v>
      </c>
      <c r="M8626" s="187">
        <v>19901.064453125</v>
      </c>
      <c r="N8626" s="187">
        <v>10300.6240234375</v>
      </c>
      <c r="O8626" t="s">
        <v>9363</v>
      </c>
    </row>
    <row r="8627" spans="1:15" hidden="1" x14ac:dyDescent="0.45">
      <c r="A8627" s="187">
        <v>2029</v>
      </c>
      <c r="B8627" t="s">
        <v>316</v>
      </c>
      <c r="C8627" t="s">
        <v>328</v>
      </c>
      <c r="D8627" t="s">
        <v>39</v>
      </c>
      <c r="E8627" t="s">
        <v>352</v>
      </c>
      <c r="F8627" t="s">
        <v>433</v>
      </c>
      <c r="G8627" t="s">
        <v>36</v>
      </c>
      <c r="H8627" t="s">
        <v>43</v>
      </c>
      <c r="I8627" s="187"/>
      <c r="J8627" s="187">
        <v>301.42011514276726</v>
      </c>
      <c r="K8627" s="187">
        <v>127.92879102594212</v>
      </c>
      <c r="L8627" s="187">
        <v>316.22671729013132</v>
      </c>
      <c r="M8627" s="187">
        <v>745.57562255859375</v>
      </c>
      <c r="N8627" s="187">
        <v>316.22671508789063</v>
      </c>
      <c r="O8627" t="s">
        <v>8293</v>
      </c>
    </row>
    <row r="8628" spans="1:15" hidden="1" x14ac:dyDescent="0.45">
      <c r="A8628" s="187">
        <v>2029</v>
      </c>
      <c r="B8628" t="s">
        <v>317</v>
      </c>
      <c r="C8628" t="s">
        <v>328</v>
      </c>
      <c r="D8628" t="s">
        <v>39</v>
      </c>
      <c r="E8628" t="s">
        <v>352</v>
      </c>
      <c r="F8628" t="s">
        <v>433</v>
      </c>
      <c r="G8628" t="s">
        <v>36</v>
      </c>
      <c r="H8628" t="s">
        <v>43</v>
      </c>
      <c r="I8628" s="187"/>
      <c r="J8628" s="187">
        <v>414.97053811277277</v>
      </c>
      <c r="K8628" s="187">
        <v>88.000713231081178</v>
      </c>
      <c r="L8628" s="187">
        <v>339.71139769937315</v>
      </c>
      <c r="M8628" s="187">
        <v>842.68267822265625</v>
      </c>
      <c r="N8628" s="187">
        <v>339.71139526367188</v>
      </c>
      <c r="O8628" t="s">
        <v>8295</v>
      </c>
    </row>
    <row r="8629" spans="1:15" hidden="1" x14ac:dyDescent="0.45">
      <c r="A8629" s="187">
        <v>2029</v>
      </c>
      <c r="B8629" t="s">
        <v>315</v>
      </c>
      <c r="C8629" t="s">
        <v>328</v>
      </c>
      <c r="D8629" t="s">
        <v>39</v>
      </c>
      <c r="E8629" t="s">
        <v>352</v>
      </c>
      <c r="F8629" t="s">
        <v>433</v>
      </c>
      <c r="G8629" t="s">
        <v>36</v>
      </c>
      <c r="H8629" t="s">
        <v>43</v>
      </c>
      <c r="I8629" s="187">
        <v>0</v>
      </c>
      <c r="J8629" s="187">
        <v>194.4270875617544</v>
      </c>
      <c r="K8629" s="187">
        <v>123.51658908435996</v>
      </c>
      <c r="L8629" s="187">
        <v>287.32002939681485</v>
      </c>
      <c r="M8629" s="187">
        <v>605.26373291015625</v>
      </c>
      <c r="N8629" s="187">
        <v>287.32003784179688</v>
      </c>
      <c r="O8629" t="s">
        <v>8294</v>
      </c>
    </row>
    <row r="8630" spans="1:15" hidden="1" x14ac:dyDescent="0.45">
      <c r="A8630" s="187">
        <v>2029</v>
      </c>
      <c r="B8630" t="s">
        <v>8570</v>
      </c>
      <c r="C8630" t="s">
        <v>328</v>
      </c>
      <c r="D8630" t="s">
        <v>39</v>
      </c>
      <c r="E8630" t="s">
        <v>352</v>
      </c>
      <c r="F8630" t="s">
        <v>433</v>
      </c>
      <c r="G8630" t="s">
        <v>36</v>
      </c>
      <c r="H8630" t="s">
        <v>43</v>
      </c>
      <c r="I8630" s="187">
        <v>0</v>
      </c>
      <c r="J8630" s="187">
        <v>397</v>
      </c>
      <c r="K8630" s="187">
        <v>89.572715564934484</v>
      </c>
      <c r="L8630" s="187">
        <v>407</v>
      </c>
      <c r="M8630" s="187">
        <v>893.57275390625</v>
      </c>
      <c r="N8630" s="187">
        <v>407</v>
      </c>
      <c r="O8630" t="s">
        <v>9364</v>
      </c>
    </row>
    <row r="8631" spans="1:15" hidden="1" x14ac:dyDescent="0.45">
      <c r="A8631" s="187">
        <v>2029</v>
      </c>
      <c r="B8631" t="s">
        <v>315</v>
      </c>
      <c r="C8631" t="s">
        <v>328</v>
      </c>
      <c r="D8631" t="s">
        <v>39</v>
      </c>
      <c r="E8631" t="s">
        <v>352</v>
      </c>
      <c r="F8631" t="s">
        <v>361</v>
      </c>
      <c r="G8631" t="s">
        <v>36</v>
      </c>
      <c r="H8631" t="s">
        <v>43</v>
      </c>
      <c r="I8631" s="187"/>
      <c r="J8631" s="187">
        <v>0</v>
      </c>
      <c r="K8631" s="187">
        <v>0</v>
      </c>
      <c r="L8631" s="187">
        <v>0</v>
      </c>
      <c r="M8631" s="187">
        <v>0</v>
      </c>
      <c r="N8631" s="187">
        <v>0</v>
      </c>
      <c r="O8631" t="s">
        <v>8298</v>
      </c>
    </row>
    <row r="8632" spans="1:15" hidden="1" x14ac:dyDescent="0.45">
      <c r="A8632" s="187">
        <v>2029</v>
      </c>
      <c r="B8632" t="s">
        <v>8570</v>
      </c>
      <c r="C8632" t="s">
        <v>328</v>
      </c>
      <c r="D8632" t="s">
        <v>39</v>
      </c>
      <c r="E8632" t="s">
        <v>352</v>
      </c>
      <c r="F8632" t="s">
        <v>361</v>
      </c>
      <c r="G8632" t="s">
        <v>36</v>
      </c>
      <c r="H8632" t="s">
        <v>43</v>
      </c>
      <c r="I8632" s="187">
        <v>0</v>
      </c>
      <c r="J8632" s="187"/>
      <c r="K8632" s="187">
        <v>0</v>
      </c>
      <c r="L8632" s="187"/>
      <c r="M8632" s="187">
        <v>0</v>
      </c>
      <c r="N8632" s="187">
        <v>0</v>
      </c>
      <c r="O8632" t="s">
        <v>9365</v>
      </c>
    </row>
    <row r="8633" spans="1:15" hidden="1" x14ac:dyDescent="0.45">
      <c r="A8633" s="187">
        <v>2029</v>
      </c>
      <c r="B8633" t="s">
        <v>316</v>
      </c>
      <c r="C8633" t="s">
        <v>328</v>
      </c>
      <c r="D8633" t="s">
        <v>39</v>
      </c>
      <c r="E8633" t="s">
        <v>352</v>
      </c>
      <c r="F8633" t="s">
        <v>361</v>
      </c>
      <c r="G8633" t="s">
        <v>36</v>
      </c>
      <c r="H8633" t="s">
        <v>43</v>
      </c>
      <c r="I8633" s="187"/>
      <c r="J8633" s="187"/>
      <c r="K8633" s="187">
        <v>0</v>
      </c>
      <c r="L8633" s="187"/>
      <c r="M8633" s="187">
        <v>0</v>
      </c>
      <c r="N8633" s="187">
        <v>0</v>
      </c>
      <c r="O8633" t="s">
        <v>8297</v>
      </c>
    </row>
    <row r="8634" spans="1:15" hidden="1" x14ac:dyDescent="0.45">
      <c r="A8634" s="187">
        <v>2029</v>
      </c>
      <c r="B8634" t="s">
        <v>317</v>
      </c>
      <c r="C8634" t="s">
        <v>328</v>
      </c>
      <c r="D8634" t="s">
        <v>39</v>
      </c>
      <c r="E8634" t="s">
        <v>352</v>
      </c>
      <c r="F8634" t="s">
        <v>361</v>
      </c>
      <c r="G8634" t="s">
        <v>36</v>
      </c>
      <c r="H8634" t="s">
        <v>43</v>
      </c>
      <c r="I8634" s="187"/>
      <c r="J8634" s="187"/>
      <c r="K8634" s="187"/>
      <c r="L8634" s="187">
        <v>0</v>
      </c>
      <c r="M8634" s="187">
        <v>0</v>
      </c>
      <c r="N8634" s="187">
        <v>0</v>
      </c>
      <c r="O8634" t="s">
        <v>8296</v>
      </c>
    </row>
    <row r="8635" spans="1:15" hidden="1" x14ac:dyDescent="0.45">
      <c r="A8635" s="187">
        <v>2029</v>
      </c>
      <c r="B8635" t="s">
        <v>316</v>
      </c>
      <c r="C8635" t="s">
        <v>328</v>
      </c>
      <c r="D8635" t="s">
        <v>39</v>
      </c>
      <c r="E8635" t="s">
        <v>40</v>
      </c>
      <c r="F8635" t="s">
        <v>40</v>
      </c>
      <c r="G8635" t="s">
        <v>36</v>
      </c>
      <c r="H8635" t="s">
        <v>43</v>
      </c>
      <c r="I8635" s="187">
        <v>4373.6888723027332</v>
      </c>
      <c r="J8635" s="187">
        <v>301.42011514276726</v>
      </c>
      <c r="K8635" s="187">
        <v>6536.5222368531076</v>
      </c>
      <c r="L8635" s="187">
        <v>5293.3602676826322</v>
      </c>
      <c r="M8635" s="187">
        <v>16504.990234375</v>
      </c>
      <c r="N8635" s="187">
        <v>9667.048828125</v>
      </c>
      <c r="O8635" t="s">
        <v>8299</v>
      </c>
    </row>
    <row r="8636" spans="1:15" hidden="1" x14ac:dyDescent="0.45">
      <c r="A8636" s="187">
        <v>2029</v>
      </c>
      <c r="B8636" t="s">
        <v>317</v>
      </c>
      <c r="C8636" t="s">
        <v>328</v>
      </c>
      <c r="D8636" t="s">
        <v>39</v>
      </c>
      <c r="E8636" t="s">
        <v>40</v>
      </c>
      <c r="F8636" t="s">
        <v>40</v>
      </c>
      <c r="G8636" t="s">
        <v>36</v>
      </c>
      <c r="H8636" t="s">
        <v>43</v>
      </c>
      <c r="I8636" s="187">
        <v>4322.6221200818281</v>
      </c>
      <c r="J8636" s="187">
        <v>246.68273802169867</v>
      </c>
      <c r="K8636" s="187">
        <v>6559.3499527828044</v>
      </c>
      <c r="L8636" s="187">
        <v>5416.5675780866204</v>
      </c>
      <c r="M8636" s="187">
        <v>16545.22265625</v>
      </c>
      <c r="N8636" s="187">
        <v>9739.189453125</v>
      </c>
      <c r="O8636" t="s">
        <v>8301</v>
      </c>
    </row>
    <row r="8637" spans="1:15" hidden="1" x14ac:dyDescent="0.45">
      <c r="A8637" s="187">
        <v>2029</v>
      </c>
      <c r="B8637" t="s">
        <v>315</v>
      </c>
      <c r="C8637" t="s">
        <v>328</v>
      </c>
      <c r="D8637" t="s">
        <v>39</v>
      </c>
      <c r="E8637" t="s">
        <v>40</v>
      </c>
      <c r="F8637" t="s">
        <v>40</v>
      </c>
      <c r="G8637" t="s">
        <v>36</v>
      </c>
      <c r="H8637" t="s">
        <v>43</v>
      </c>
      <c r="I8637" s="187">
        <v>5343.5066167898567</v>
      </c>
      <c r="J8637" s="187">
        <v>172.82407783267058</v>
      </c>
      <c r="K8637" s="187">
        <v>6561.4788418629778</v>
      </c>
      <c r="L8637" s="187">
        <v>5169.6002281697583</v>
      </c>
      <c r="M8637" s="187">
        <v>17247.41015625</v>
      </c>
      <c r="N8637" s="187">
        <v>10513.107421875</v>
      </c>
      <c r="O8637" t="s">
        <v>8300</v>
      </c>
    </row>
    <row r="8638" spans="1:15" hidden="1" x14ac:dyDescent="0.45">
      <c r="A8638" s="187">
        <v>2029</v>
      </c>
      <c r="B8638" t="s">
        <v>8570</v>
      </c>
      <c r="C8638" t="s">
        <v>328</v>
      </c>
      <c r="D8638" t="s">
        <v>39</v>
      </c>
      <c r="E8638" t="s">
        <v>40</v>
      </c>
      <c r="F8638" t="s">
        <v>40</v>
      </c>
      <c r="G8638" t="s">
        <v>36</v>
      </c>
      <c r="H8638" t="s">
        <v>43</v>
      </c>
      <c r="I8638" s="187">
        <v>4610.2254659999999</v>
      </c>
      <c r="J8638" s="187">
        <v>260</v>
      </c>
      <c r="K8638" s="187">
        <v>7055.6333914977404</v>
      </c>
      <c r="L8638" s="187">
        <v>5586</v>
      </c>
      <c r="M8638" s="187">
        <v>17511.859375</v>
      </c>
      <c r="N8638" s="187">
        <v>10196.2255859375</v>
      </c>
      <c r="O8638" t="s">
        <v>9366</v>
      </c>
    </row>
    <row r="8639" spans="1:15" hidden="1" x14ac:dyDescent="0.45">
      <c r="A8639" s="187">
        <v>2029</v>
      </c>
      <c r="B8639" t="s">
        <v>315</v>
      </c>
      <c r="C8639" t="s">
        <v>328</v>
      </c>
      <c r="D8639" t="s">
        <v>39</v>
      </c>
      <c r="E8639" t="s">
        <v>40</v>
      </c>
      <c r="F8639" t="s">
        <v>40</v>
      </c>
      <c r="G8639" t="s">
        <v>37</v>
      </c>
      <c r="H8639" t="s">
        <v>43</v>
      </c>
      <c r="I8639" s="187">
        <v>6031.5503167303486</v>
      </c>
      <c r="J8639" s="187">
        <v>191</v>
      </c>
      <c r="K8639" s="187">
        <v>7386.4656945439156</v>
      </c>
      <c r="L8639" s="187">
        <v>6002</v>
      </c>
      <c r="M8639" s="187">
        <v>19611.015625</v>
      </c>
      <c r="N8639" s="187">
        <v>12033.55078125</v>
      </c>
      <c r="O8639" t="s">
        <v>8302</v>
      </c>
    </row>
    <row r="8640" spans="1:15" hidden="1" x14ac:dyDescent="0.45">
      <c r="A8640" s="187">
        <v>2029</v>
      </c>
      <c r="B8640" t="s">
        <v>317</v>
      </c>
      <c r="C8640" t="s">
        <v>328</v>
      </c>
      <c r="D8640" t="s">
        <v>39</v>
      </c>
      <c r="E8640" t="s">
        <v>40</v>
      </c>
      <c r="F8640" t="s">
        <v>40</v>
      </c>
      <c r="G8640" t="s">
        <v>37</v>
      </c>
      <c r="H8640" t="s">
        <v>43</v>
      </c>
      <c r="I8640" s="187">
        <v>4845.1492873222878</v>
      </c>
      <c r="J8640" s="187">
        <v>236</v>
      </c>
      <c r="K8640" s="187">
        <v>7307.6917147925951</v>
      </c>
      <c r="L8640" s="187">
        <v>6044</v>
      </c>
      <c r="M8640" s="187">
        <v>18432.83984375</v>
      </c>
      <c r="N8640" s="187">
        <v>10889.1494140625</v>
      </c>
      <c r="O8640" t="s">
        <v>8303</v>
      </c>
    </row>
    <row r="8641" spans="1:15" hidden="1" x14ac:dyDescent="0.45">
      <c r="A8641" s="187">
        <v>2029</v>
      </c>
      <c r="B8641" t="s">
        <v>8570</v>
      </c>
      <c r="C8641" t="s">
        <v>328</v>
      </c>
      <c r="D8641" t="s">
        <v>39</v>
      </c>
      <c r="E8641" t="s">
        <v>40</v>
      </c>
      <c r="F8641" t="s">
        <v>40</v>
      </c>
      <c r="G8641" t="s">
        <v>37</v>
      </c>
      <c r="H8641" t="s">
        <v>43</v>
      </c>
      <c r="I8641" s="187">
        <v>5295.6999174259226</v>
      </c>
      <c r="J8641" s="187">
        <v>275</v>
      </c>
      <c r="K8641" s="187">
        <v>8140.4314702092142</v>
      </c>
      <c r="L8641" s="187">
        <v>6668</v>
      </c>
      <c r="M8641" s="187">
        <v>20379.130859375</v>
      </c>
      <c r="N8641" s="187">
        <v>11963.69921875</v>
      </c>
      <c r="O8641" t="s">
        <v>9367</v>
      </c>
    </row>
    <row r="8642" spans="1:15" hidden="1" x14ac:dyDescent="0.45">
      <c r="A8642" s="187">
        <v>2029</v>
      </c>
      <c r="B8642" t="s">
        <v>316</v>
      </c>
      <c r="C8642" t="s">
        <v>328</v>
      </c>
      <c r="D8642" t="s">
        <v>39</v>
      </c>
      <c r="E8642" t="s">
        <v>40</v>
      </c>
      <c r="F8642" t="s">
        <v>40</v>
      </c>
      <c r="G8642" t="s">
        <v>37</v>
      </c>
      <c r="H8642" t="s">
        <v>43</v>
      </c>
      <c r="I8642" s="187">
        <v>4942.7043758743703</v>
      </c>
      <c r="J8642" s="187">
        <v>285</v>
      </c>
      <c r="K8642" s="187">
        <v>7254.2010134051707</v>
      </c>
      <c r="L8642" s="187">
        <v>6057</v>
      </c>
      <c r="M8642" s="187">
        <v>18538.90625</v>
      </c>
      <c r="N8642" s="187">
        <v>10999.705078125</v>
      </c>
      <c r="O8642" t="s">
        <v>8304</v>
      </c>
    </row>
    <row r="8643" spans="1:15" hidden="1" x14ac:dyDescent="0.45">
      <c r="A8643" s="187">
        <v>2029</v>
      </c>
      <c r="B8643" t="s">
        <v>316</v>
      </c>
      <c r="C8643" t="s">
        <v>328</v>
      </c>
      <c r="D8643" t="s">
        <v>39</v>
      </c>
      <c r="E8643" t="s">
        <v>41</v>
      </c>
      <c r="F8643" t="s">
        <v>41</v>
      </c>
      <c r="G8643" t="s">
        <v>36</v>
      </c>
      <c r="H8643" t="s">
        <v>43</v>
      </c>
      <c r="I8643" s="187">
        <v>6151.6769224556501</v>
      </c>
      <c r="J8643" s="187">
        <v>2247.4306830820369</v>
      </c>
      <c r="K8643" s="187">
        <v>10418.168314737128</v>
      </c>
      <c r="L8643" s="187">
        <v>8318.1375635012791</v>
      </c>
      <c r="M8643" s="187">
        <v>27135.412109375</v>
      </c>
      <c r="N8643" s="187">
        <v>14469.814453125</v>
      </c>
      <c r="O8643" t="s">
        <v>8306</v>
      </c>
    </row>
    <row r="8644" spans="1:15" hidden="1" x14ac:dyDescent="0.45">
      <c r="A8644" s="187">
        <v>2029</v>
      </c>
      <c r="B8644" t="s">
        <v>8570</v>
      </c>
      <c r="C8644" t="s">
        <v>328</v>
      </c>
      <c r="D8644" t="s">
        <v>39</v>
      </c>
      <c r="E8644" t="s">
        <v>41</v>
      </c>
      <c r="F8644" t="s">
        <v>41</v>
      </c>
      <c r="G8644" t="s">
        <v>36</v>
      </c>
      <c r="H8644" t="s">
        <v>43</v>
      </c>
      <c r="I8644" s="187">
        <v>6538.062234</v>
      </c>
      <c r="J8644" s="187">
        <v>2554</v>
      </c>
      <c r="K8644" s="187">
        <v>11817.312269326831</v>
      </c>
      <c r="L8644" s="187">
        <v>9319</v>
      </c>
      <c r="M8644" s="187">
        <v>30228.375</v>
      </c>
      <c r="N8644" s="187">
        <v>15857.0625</v>
      </c>
      <c r="O8644" t="s">
        <v>9368</v>
      </c>
    </row>
    <row r="8645" spans="1:15" hidden="1" x14ac:dyDescent="0.45">
      <c r="A8645" s="187">
        <v>2029</v>
      </c>
      <c r="B8645" t="s">
        <v>315</v>
      </c>
      <c r="C8645" t="s">
        <v>328</v>
      </c>
      <c r="D8645" t="s">
        <v>39</v>
      </c>
      <c r="E8645" t="s">
        <v>41</v>
      </c>
      <c r="F8645" t="s">
        <v>41</v>
      </c>
      <c r="G8645" t="s">
        <v>36</v>
      </c>
      <c r="H8645" t="s">
        <v>43</v>
      </c>
      <c r="I8645" s="187">
        <v>3653.0711054890471</v>
      </c>
      <c r="J8645" s="187">
        <v>1809.25206481077</v>
      </c>
      <c r="K8645" s="187">
        <v>10329.97419458621</v>
      </c>
      <c r="L8645" s="187">
        <v>7736.037783984917</v>
      </c>
      <c r="M8645" s="187">
        <v>23528.3359375</v>
      </c>
      <c r="N8645" s="187">
        <v>11389.1083984375</v>
      </c>
      <c r="O8645" t="s">
        <v>8305</v>
      </c>
    </row>
    <row r="8646" spans="1:15" hidden="1" x14ac:dyDescent="0.45">
      <c r="A8646" s="187">
        <v>2029</v>
      </c>
      <c r="B8646" t="s">
        <v>317</v>
      </c>
      <c r="C8646" t="s">
        <v>328</v>
      </c>
      <c r="D8646" t="s">
        <v>39</v>
      </c>
      <c r="E8646" t="s">
        <v>41</v>
      </c>
      <c r="F8646" t="s">
        <v>41</v>
      </c>
      <c r="G8646" t="s">
        <v>36</v>
      </c>
      <c r="H8646" t="s">
        <v>43</v>
      </c>
      <c r="I8646" s="187">
        <v>6644.759800181344</v>
      </c>
      <c r="J8646" s="187">
        <v>2221.1899080343628</v>
      </c>
      <c r="K8646" s="187">
        <v>12832.766142684832</v>
      </c>
      <c r="L8646" s="187">
        <v>9174.2982695612245</v>
      </c>
      <c r="M8646" s="187">
        <v>30873.013671875</v>
      </c>
      <c r="N8646" s="187">
        <v>15819.0576171875</v>
      </c>
      <c r="O8646" t="s">
        <v>8307</v>
      </c>
    </row>
    <row r="8647" spans="1:15" hidden="1" x14ac:dyDescent="0.45">
      <c r="A8647" s="187">
        <v>2029</v>
      </c>
      <c r="B8647" t="s">
        <v>316</v>
      </c>
      <c r="C8647" t="s">
        <v>328</v>
      </c>
      <c r="D8647" t="s">
        <v>39</v>
      </c>
      <c r="E8647" t="s">
        <v>41</v>
      </c>
      <c r="F8647" t="s">
        <v>41</v>
      </c>
      <c r="G8647" t="s">
        <v>37</v>
      </c>
      <c r="H8647" t="s">
        <v>43</v>
      </c>
      <c r="I8647" s="187">
        <v>6952.0080946174603</v>
      </c>
      <c r="J8647" s="187">
        <v>2125</v>
      </c>
      <c r="K8647" s="187">
        <v>11562.03320482792</v>
      </c>
      <c r="L8647" s="187">
        <v>9519</v>
      </c>
      <c r="M8647" s="187">
        <v>30158.041015625</v>
      </c>
      <c r="N8647" s="187">
        <v>16471.0078125</v>
      </c>
      <c r="O8647" t="s">
        <v>8308</v>
      </c>
    </row>
    <row r="8648" spans="1:15" hidden="1" x14ac:dyDescent="0.45">
      <c r="A8648" s="187">
        <v>2029</v>
      </c>
      <c r="B8648" t="s">
        <v>317</v>
      </c>
      <c r="C8648" t="s">
        <v>328</v>
      </c>
      <c r="D8648" t="s">
        <v>39</v>
      </c>
      <c r="E8648" t="s">
        <v>41</v>
      </c>
      <c r="F8648" t="s">
        <v>41</v>
      </c>
      <c r="G8648" t="s">
        <v>37</v>
      </c>
      <c r="H8648" t="s">
        <v>43</v>
      </c>
      <c r="I8648" s="187">
        <v>7447.6648321492994</v>
      </c>
      <c r="J8648" s="187">
        <v>2125</v>
      </c>
      <c r="K8648" s="187">
        <v>14296.82811464931</v>
      </c>
      <c r="L8648" s="187">
        <v>10236</v>
      </c>
      <c r="M8648" s="187">
        <v>34105.4921875</v>
      </c>
      <c r="N8648" s="187">
        <v>17683.6640625</v>
      </c>
      <c r="O8648" t="s">
        <v>8310</v>
      </c>
    </row>
    <row r="8649" spans="1:15" hidden="1" x14ac:dyDescent="0.45">
      <c r="A8649" s="187">
        <v>2029</v>
      </c>
      <c r="B8649" t="s">
        <v>315</v>
      </c>
      <c r="C8649" t="s">
        <v>328</v>
      </c>
      <c r="D8649" t="s">
        <v>39</v>
      </c>
      <c r="E8649" t="s">
        <v>41</v>
      </c>
      <c r="F8649" t="s">
        <v>41</v>
      </c>
      <c r="G8649" t="s">
        <v>37</v>
      </c>
      <c r="H8649" t="s">
        <v>43</v>
      </c>
      <c r="I8649" s="187">
        <v>4123.4499671281064</v>
      </c>
      <c r="J8649" s="187">
        <v>2002</v>
      </c>
      <c r="K8649" s="187">
        <v>11628.780927710921</v>
      </c>
      <c r="L8649" s="187">
        <v>8982</v>
      </c>
      <c r="M8649" s="187">
        <v>26736.23046875</v>
      </c>
      <c r="N8649" s="187">
        <v>13105.4501953125</v>
      </c>
      <c r="O8649" t="s">
        <v>8309</v>
      </c>
    </row>
    <row r="8650" spans="1:15" hidden="1" x14ac:dyDescent="0.45">
      <c r="A8650" s="187">
        <v>2029</v>
      </c>
      <c r="B8650" t="s">
        <v>8570</v>
      </c>
      <c r="C8650" t="s">
        <v>328</v>
      </c>
      <c r="D8650" t="s">
        <v>39</v>
      </c>
      <c r="E8650" t="s">
        <v>41</v>
      </c>
      <c r="F8650" t="s">
        <v>41</v>
      </c>
      <c r="G8650" t="s">
        <v>37</v>
      </c>
      <c r="H8650" t="s">
        <v>43</v>
      </c>
      <c r="I8650" s="187">
        <v>7510.1783823948344</v>
      </c>
      <c r="J8650" s="187">
        <v>2877</v>
      </c>
      <c r="K8650" s="187">
        <v>13634.21472641127</v>
      </c>
      <c r="L8650" s="187">
        <v>11125</v>
      </c>
      <c r="M8650" s="187">
        <v>35146.390625</v>
      </c>
      <c r="N8650" s="187">
        <v>18635.177734375</v>
      </c>
      <c r="O8650" t="s">
        <v>9369</v>
      </c>
    </row>
    <row r="8651" spans="1:15" hidden="1" x14ac:dyDescent="0.45">
      <c r="A8651" s="187">
        <v>2029</v>
      </c>
      <c r="B8651" t="s">
        <v>316</v>
      </c>
      <c r="C8651" t="s">
        <v>328</v>
      </c>
      <c r="D8651" t="s">
        <v>39</v>
      </c>
      <c r="E8651" t="s">
        <v>361</v>
      </c>
      <c r="F8651" t="s">
        <v>361</v>
      </c>
      <c r="G8651" t="s">
        <v>36</v>
      </c>
      <c r="H8651" t="s">
        <v>43</v>
      </c>
      <c r="I8651" s="187"/>
      <c r="J8651" s="187"/>
      <c r="K8651" s="187"/>
      <c r="L8651" s="187">
        <v>0</v>
      </c>
      <c r="M8651" s="187">
        <v>0</v>
      </c>
      <c r="N8651" s="187">
        <v>0</v>
      </c>
      <c r="O8651" t="s">
        <v>8313</v>
      </c>
    </row>
    <row r="8652" spans="1:15" hidden="1" x14ac:dyDescent="0.45">
      <c r="A8652" s="187">
        <v>2029</v>
      </c>
      <c r="B8652" t="s">
        <v>315</v>
      </c>
      <c r="C8652" t="s">
        <v>328</v>
      </c>
      <c r="D8652" t="s">
        <v>39</v>
      </c>
      <c r="E8652" t="s">
        <v>361</v>
      </c>
      <c r="F8652" t="s">
        <v>361</v>
      </c>
      <c r="G8652" t="s">
        <v>36</v>
      </c>
      <c r="H8652" t="s">
        <v>43</v>
      </c>
      <c r="I8652" s="187">
        <v>0</v>
      </c>
      <c r="J8652" s="187"/>
      <c r="K8652" s="187"/>
      <c r="L8652" s="187"/>
      <c r="M8652" s="187">
        <v>0</v>
      </c>
      <c r="N8652" s="187">
        <v>0</v>
      </c>
      <c r="O8652" t="s">
        <v>8312</v>
      </c>
    </row>
    <row r="8653" spans="1:15" hidden="1" x14ac:dyDescent="0.45">
      <c r="A8653" s="187">
        <v>2029</v>
      </c>
      <c r="B8653" t="s">
        <v>8570</v>
      </c>
      <c r="C8653" t="s">
        <v>328</v>
      </c>
      <c r="D8653" t="s">
        <v>39</v>
      </c>
      <c r="E8653" t="s">
        <v>361</v>
      </c>
      <c r="F8653" t="s">
        <v>361</v>
      </c>
      <c r="G8653" t="s">
        <v>36</v>
      </c>
      <c r="H8653" t="s">
        <v>43</v>
      </c>
      <c r="I8653" s="187"/>
      <c r="J8653" s="187"/>
      <c r="K8653" s="187"/>
      <c r="L8653" s="187">
        <v>0</v>
      </c>
      <c r="M8653" s="187">
        <v>0</v>
      </c>
      <c r="N8653" s="187">
        <v>0</v>
      </c>
      <c r="O8653" t="s">
        <v>9370</v>
      </c>
    </row>
    <row r="8654" spans="1:15" hidden="1" x14ac:dyDescent="0.45">
      <c r="A8654" s="187">
        <v>2029</v>
      </c>
      <c r="B8654" t="s">
        <v>317</v>
      </c>
      <c r="C8654" t="s">
        <v>328</v>
      </c>
      <c r="D8654" t="s">
        <v>39</v>
      </c>
      <c r="E8654" t="s">
        <v>361</v>
      </c>
      <c r="F8654" t="s">
        <v>361</v>
      </c>
      <c r="G8654" t="s">
        <v>36</v>
      </c>
      <c r="H8654" t="s">
        <v>43</v>
      </c>
      <c r="I8654" s="187"/>
      <c r="J8654" s="187"/>
      <c r="K8654" s="187">
        <v>0</v>
      </c>
      <c r="L8654" s="187"/>
      <c r="M8654" s="187">
        <v>0</v>
      </c>
      <c r="N8654" s="187">
        <v>0</v>
      </c>
      <c r="O8654" t="s">
        <v>8311</v>
      </c>
    </row>
    <row r="8655" spans="1:15" hidden="1" x14ac:dyDescent="0.45">
      <c r="A8655" s="187">
        <v>2029</v>
      </c>
      <c r="B8655" t="s">
        <v>8570</v>
      </c>
      <c r="C8655" t="s">
        <v>328</v>
      </c>
      <c r="D8655" t="s">
        <v>39</v>
      </c>
      <c r="E8655" t="s">
        <v>362</v>
      </c>
      <c r="F8655" t="s">
        <v>362</v>
      </c>
      <c r="G8655" t="s">
        <v>36</v>
      </c>
      <c r="H8655" t="s">
        <v>43</v>
      </c>
      <c r="I8655" s="187">
        <v>2305.1127329999999</v>
      </c>
      <c r="J8655" s="187">
        <v>215</v>
      </c>
      <c r="K8655" s="187">
        <v>3779.6074191350781</v>
      </c>
      <c r="L8655" s="187">
        <v>3300</v>
      </c>
      <c r="M8655" s="187">
        <v>9599.720703125</v>
      </c>
      <c r="N8655" s="187">
        <v>5605.11279296875</v>
      </c>
      <c r="O8655" t="s">
        <v>9371</v>
      </c>
    </row>
    <row r="8656" spans="1:15" hidden="1" x14ac:dyDescent="0.45">
      <c r="A8656" s="187">
        <v>2029</v>
      </c>
      <c r="B8656" t="s">
        <v>317</v>
      </c>
      <c r="C8656" t="s">
        <v>328</v>
      </c>
      <c r="D8656" t="s">
        <v>39</v>
      </c>
      <c r="E8656" t="s">
        <v>362</v>
      </c>
      <c r="F8656" t="s">
        <v>362</v>
      </c>
      <c r="G8656" t="s">
        <v>36</v>
      </c>
      <c r="H8656" t="s">
        <v>43</v>
      </c>
      <c r="I8656" s="187">
        <v>1092.9854858581857</v>
      </c>
      <c r="J8656" s="187">
        <v>173.51412928644905</v>
      </c>
      <c r="K8656" s="187">
        <v>3484.2251176441505</v>
      </c>
      <c r="L8656" s="187">
        <v>3108.620605409033</v>
      </c>
      <c r="M8656" s="187">
        <v>7859.34521484375</v>
      </c>
      <c r="N8656" s="187">
        <v>4201.60595703125</v>
      </c>
      <c r="O8656" t="s">
        <v>8315</v>
      </c>
    </row>
    <row r="8657" spans="1:15" hidden="1" x14ac:dyDescent="0.45">
      <c r="A8657" s="187">
        <v>2029</v>
      </c>
      <c r="B8657" t="s">
        <v>315</v>
      </c>
      <c r="C8657" t="s">
        <v>328</v>
      </c>
      <c r="D8657" t="s">
        <v>39</v>
      </c>
      <c r="E8657" t="s">
        <v>362</v>
      </c>
      <c r="F8657" t="s">
        <v>362</v>
      </c>
      <c r="G8657" t="s">
        <v>36</v>
      </c>
      <c r="H8657" t="s">
        <v>43</v>
      </c>
      <c r="I8657" s="187">
        <v>2068.4892617102623</v>
      </c>
      <c r="J8657" s="187">
        <v>113.41580107769006</v>
      </c>
      <c r="K8657" s="187">
        <v>3533.5685272079786</v>
      </c>
      <c r="L8657" s="187">
        <v>2810.5515657538053</v>
      </c>
      <c r="M8657" s="187">
        <v>8526.025390625</v>
      </c>
      <c r="N8657" s="187">
        <v>4879.041015625</v>
      </c>
      <c r="O8657" t="s">
        <v>8316</v>
      </c>
    </row>
    <row r="8658" spans="1:15" hidden="1" x14ac:dyDescent="0.45">
      <c r="A8658" s="187">
        <v>2029</v>
      </c>
      <c r="B8658" t="s">
        <v>316</v>
      </c>
      <c r="C8658" t="s">
        <v>328</v>
      </c>
      <c r="D8658" t="s">
        <v>39</v>
      </c>
      <c r="E8658" t="s">
        <v>362</v>
      </c>
      <c r="F8658" t="s">
        <v>362</v>
      </c>
      <c r="G8658" t="s">
        <v>36</v>
      </c>
      <c r="H8658" t="s">
        <v>43</v>
      </c>
      <c r="I8658" s="187">
        <v>1105.8978379992766</v>
      </c>
      <c r="J8658" s="187">
        <v>227.38710440594724</v>
      </c>
      <c r="K8658" s="187">
        <v>3497.7005719384947</v>
      </c>
      <c r="L8658" s="187">
        <v>2929.5919962998787</v>
      </c>
      <c r="M8658" s="187">
        <v>7760.5771484375</v>
      </c>
      <c r="N8658" s="187">
        <v>4035.48974609375</v>
      </c>
      <c r="O8658" t="s">
        <v>8314</v>
      </c>
    </row>
    <row r="8659" spans="1:15" hidden="1" x14ac:dyDescent="0.45">
      <c r="A8659" s="187">
        <v>2029</v>
      </c>
      <c r="B8659" t="s">
        <v>317</v>
      </c>
      <c r="C8659" t="s">
        <v>328</v>
      </c>
      <c r="D8659" t="s">
        <v>39</v>
      </c>
      <c r="E8659" t="s">
        <v>362</v>
      </c>
      <c r="F8659" t="s">
        <v>362</v>
      </c>
      <c r="G8659" t="s">
        <v>37</v>
      </c>
      <c r="H8659" t="s">
        <v>43</v>
      </c>
      <c r="I8659" s="187">
        <v>1225.149287322288</v>
      </c>
      <c r="J8659" s="187">
        <v>166</v>
      </c>
      <c r="K8659" s="187">
        <v>3881.7326728966959</v>
      </c>
      <c r="L8659" s="187">
        <v>3469</v>
      </c>
      <c r="M8659" s="187">
        <v>8741.8818359375</v>
      </c>
      <c r="N8659" s="187">
        <v>4694.1494140625</v>
      </c>
      <c r="O8659" t="s">
        <v>8317</v>
      </c>
    </row>
    <row r="8660" spans="1:15" hidden="1" x14ac:dyDescent="0.45">
      <c r="A8660" s="187">
        <v>2029</v>
      </c>
      <c r="B8660" t="s">
        <v>316</v>
      </c>
      <c r="C8660" t="s">
        <v>328</v>
      </c>
      <c r="D8660" t="s">
        <v>39</v>
      </c>
      <c r="E8660" t="s">
        <v>362</v>
      </c>
      <c r="F8660" t="s">
        <v>362</v>
      </c>
      <c r="G8660" t="s">
        <v>37</v>
      </c>
      <c r="H8660" t="s">
        <v>43</v>
      </c>
      <c r="I8660" s="187">
        <v>1249.77478799747</v>
      </c>
      <c r="J8660" s="187">
        <v>215</v>
      </c>
      <c r="K8660" s="187">
        <v>3881.731311260628</v>
      </c>
      <c r="L8660" s="187">
        <v>3352</v>
      </c>
      <c r="M8660" s="187">
        <v>8698.505859375</v>
      </c>
      <c r="N8660" s="187">
        <v>4601.77490234375</v>
      </c>
      <c r="O8660" t="s">
        <v>8319</v>
      </c>
    </row>
    <row r="8661" spans="1:15" hidden="1" x14ac:dyDescent="0.45">
      <c r="A8661" s="187">
        <v>2029</v>
      </c>
      <c r="B8661" t="s">
        <v>8570</v>
      </c>
      <c r="C8661" t="s">
        <v>328</v>
      </c>
      <c r="D8661" t="s">
        <v>39</v>
      </c>
      <c r="E8661" t="s">
        <v>362</v>
      </c>
      <c r="F8661" t="s">
        <v>362</v>
      </c>
      <c r="G8661" t="s">
        <v>37</v>
      </c>
      <c r="H8661" t="s">
        <v>43</v>
      </c>
      <c r="I8661" s="187">
        <v>2647.8499587129609</v>
      </c>
      <c r="J8661" s="187">
        <v>219</v>
      </c>
      <c r="K8661" s="187">
        <v>4360.7190839647901</v>
      </c>
      <c r="L8661" s="187">
        <v>3939</v>
      </c>
      <c r="M8661" s="187">
        <v>11166.568359375</v>
      </c>
      <c r="N8661" s="187">
        <v>6586.849609375</v>
      </c>
      <c r="O8661" t="s">
        <v>9372</v>
      </c>
    </row>
    <row r="8662" spans="1:15" hidden="1" x14ac:dyDescent="0.45">
      <c r="A8662" s="187">
        <v>2029</v>
      </c>
      <c r="B8662" t="s">
        <v>315</v>
      </c>
      <c r="C8662" t="s">
        <v>328</v>
      </c>
      <c r="D8662" t="s">
        <v>39</v>
      </c>
      <c r="E8662" t="s">
        <v>362</v>
      </c>
      <c r="F8662" t="s">
        <v>362</v>
      </c>
      <c r="G8662" t="s">
        <v>37</v>
      </c>
      <c r="H8662" t="s">
        <v>43</v>
      </c>
      <c r="I8662" s="187">
        <v>2334.8332764144702</v>
      </c>
      <c r="J8662" s="187">
        <v>125</v>
      </c>
      <c r="K8662" s="187">
        <v>3977.850624011332</v>
      </c>
      <c r="L8662" s="187">
        <v>3263</v>
      </c>
      <c r="M8662" s="187">
        <v>9700.68359375</v>
      </c>
      <c r="N8662" s="187">
        <v>5597.8330078125</v>
      </c>
      <c r="O8662" t="s">
        <v>8318</v>
      </c>
    </row>
    <row r="8663" spans="1:15" hidden="1" x14ac:dyDescent="0.45">
      <c r="A8663" s="187">
        <v>2029</v>
      </c>
      <c r="B8663" t="s">
        <v>8570</v>
      </c>
      <c r="C8663" t="s">
        <v>328</v>
      </c>
      <c r="D8663" t="s">
        <v>39</v>
      </c>
      <c r="E8663" t="s">
        <v>363</v>
      </c>
      <c r="F8663" t="s">
        <v>363</v>
      </c>
      <c r="G8663" t="s">
        <v>36</v>
      </c>
      <c r="H8663" t="s">
        <v>43</v>
      </c>
      <c r="I8663" s="187">
        <v>2305.1127329999999</v>
      </c>
      <c r="J8663" s="187">
        <v>45</v>
      </c>
      <c r="K8663" s="187">
        <v>656.40132448570637</v>
      </c>
      <c r="L8663" s="187">
        <v>2286</v>
      </c>
      <c r="M8663" s="187">
        <v>5292.51416015625</v>
      </c>
      <c r="N8663" s="187">
        <v>4591.11279296875</v>
      </c>
      <c r="O8663" t="s">
        <v>9373</v>
      </c>
    </row>
    <row r="8664" spans="1:15" hidden="1" x14ac:dyDescent="0.45">
      <c r="A8664" s="187">
        <v>2029</v>
      </c>
      <c r="B8664" t="s">
        <v>317</v>
      </c>
      <c r="C8664" t="s">
        <v>328</v>
      </c>
      <c r="D8664" t="s">
        <v>39</v>
      </c>
      <c r="E8664" t="s">
        <v>363</v>
      </c>
      <c r="F8664" t="s">
        <v>363</v>
      </c>
      <c r="G8664" t="s">
        <v>36</v>
      </c>
      <c r="H8664" t="s">
        <v>43</v>
      </c>
      <c r="I8664" s="187">
        <v>3229.6366342236429</v>
      </c>
      <c r="J8664" s="187">
        <v>47.036962758374742</v>
      </c>
      <c r="K8664" s="187">
        <v>657.28367970480303</v>
      </c>
      <c r="L8664" s="187">
        <v>2307.9469726775874</v>
      </c>
      <c r="M8664" s="187">
        <v>6241.904296875</v>
      </c>
      <c r="N8664" s="187">
        <v>5537.58349609375</v>
      </c>
      <c r="O8664" t="s">
        <v>8322</v>
      </c>
    </row>
    <row r="8665" spans="1:15" hidden="1" x14ac:dyDescent="0.45">
      <c r="A8665" s="187">
        <v>2029</v>
      </c>
      <c r="B8665" t="s">
        <v>315</v>
      </c>
      <c r="C8665" t="s">
        <v>328</v>
      </c>
      <c r="D8665" t="s">
        <v>39</v>
      </c>
      <c r="E8665" t="s">
        <v>363</v>
      </c>
      <c r="F8665" t="s">
        <v>363</v>
      </c>
      <c r="G8665" t="s">
        <v>36</v>
      </c>
      <c r="H8665" t="s">
        <v>43</v>
      </c>
      <c r="I8665" s="187">
        <v>3275.0173550795939</v>
      </c>
      <c r="J8665" s="187">
        <v>37.80526702589669</v>
      </c>
      <c r="K8665" s="187">
        <v>667.40352681672243</v>
      </c>
      <c r="L8665" s="187">
        <v>2359.0486624159535</v>
      </c>
      <c r="M8665" s="187">
        <v>6339.27490234375</v>
      </c>
      <c r="N8665" s="187">
        <v>5634.06591796875</v>
      </c>
      <c r="O8665" t="s">
        <v>8320</v>
      </c>
    </row>
    <row r="8666" spans="1:15" hidden="1" x14ac:dyDescent="0.45">
      <c r="A8666" s="187">
        <v>2029</v>
      </c>
      <c r="B8666" t="s">
        <v>316</v>
      </c>
      <c r="C8666" t="s">
        <v>328</v>
      </c>
      <c r="D8666" t="s">
        <v>39</v>
      </c>
      <c r="E8666" t="s">
        <v>363</v>
      </c>
      <c r="F8666" t="s">
        <v>363</v>
      </c>
      <c r="G8666" t="s">
        <v>36</v>
      </c>
      <c r="H8666" t="s">
        <v>43</v>
      </c>
      <c r="I8666" s="187">
        <v>3267.7910343034573</v>
      </c>
      <c r="J8666" s="187">
        <v>47.592649759384308</v>
      </c>
      <c r="K8666" s="187">
        <v>692.15564750821795</v>
      </c>
      <c r="L8666" s="187">
        <v>2363.7682713827539</v>
      </c>
      <c r="M8666" s="187">
        <v>6371.3076171875</v>
      </c>
      <c r="N8666" s="187">
        <v>5631.55908203125</v>
      </c>
      <c r="O8666" t="s">
        <v>8321</v>
      </c>
    </row>
    <row r="8667" spans="1:15" hidden="1" x14ac:dyDescent="0.45">
      <c r="A8667" s="187">
        <v>2029</v>
      </c>
      <c r="B8667" t="s">
        <v>317</v>
      </c>
      <c r="C8667" t="s">
        <v>328</v>
      </c>
      <c r="D8667" t="s">
        <v>39</v>
      </c>
      <c r="E8667" t="s">
        <v>363</v>
      </c>
      <c r="F8667" t="s">
        <v>363</v>
      </c>
      <c r="G8667" t="s">
        <v>37</v>
      </c>
      <c r="H8667" t="s">
        <v>43</v>
      </c>
      <c r="I8667" s="187">
        <v>3620</v>
      </c>
      <c r="J8667" s="187">
        <v>45</v>
      </c>
      <c r="K8667" s="187">
        <v>732.27172433594728</v>
      </c>
      <c r="L8667" s="187">
        <v>2575</v>
      </c>
      <c r="M8667" s="187">
        <v>6972.271484375</v>
      </c>
      <c r="N8667" s="187">
        <v>6195</v>
      </c>
      <c r="O8667" t="s">
        <v>8323</v>
      </c>
    </row>
    <row r="8668" spans="1:15" hidden="1" x14ac:dyDescent="0.45">
      <c r="A8668" s="187">
        <v>2029</v>
      </c>
      <c r="B8668" t="s">
        <v>316</v>
      </c>
      <c r="C8668" t="s">
        <v>328</v>
      </c>
      <c r="D8668" t="s">
        <v>39</v>
      </c>
      <c r="E8668" t="s">
        <v>363</v>
      </c>
      <c r="F8668" t="s">
        <v>363</v>
      </c>
      <c r="G8668" t="s">
        <v>37</v>
      </c>
      <c r="H8668" t="s">
        <v>43</v>
      </c>
      <c r="I8668" s="187">
        <v>3692.9295878768999</v>
      </c>
      <c r="J8668" s="187">
        <v>45</v>
      </c>
      <c r="K8668" s="187">
        <v>768.15101634313646</v>
      </c>
      <c r="L8668" s="187">
        <v>2705</v>
      </c>
      <c r="M8668" s="187">
        <v>7211.08056640625</v>
      </c>
      <c r="N8668" s="187">
        <v>6397.9296875</v>
      </c>
      <c r="O8668" t="s">
        <v>8324</v>
      </c>
    </row>
    <row r="8669" spans="1:15" hidden="1" x14ac:dyDescent="0.45">
      <c r="A8669" s="187">
        <v>2029</v>
      </c>
      <c r="B8669" t="s">
        <v>8570</v>
      </c>
      <c r="C8669" t="s">
        <v>328</v>
      </c>
      <c r="D8669" t="s">
        <v>39</v>
      </c>
      <c r="E8669" t="s">
        <v>363</v>
      </c>
      <c r="F8669" t="s">
        <v>363</v>
      </c>
      <c r="G8669" t="s">
        <v>37</v>
      </c>
      <c r="H8669" t="s">
        <v>43</v>
      </c>
      <c r="I8669" s="187">
        <v>2647.8499587129609</v>
      </c>
      <c r="J8669" s="187">
        <v>51</v>
      </c>
      <c r="K8669" s="187">
        <v>757.32251130981479</v>
      </c>
      <c r="L8669" s="187">
        <v>2729</v>
      </c>
      <c r="M8669" s="187">
        <v>6185.17236328125</v>
      </c>
      <c r="N8669" s="187">
        <v>5376.849609375</v>
      </c>
      <c r="O8669" t="s">
        <v>9374</v>
      </c>
    </row>
    <row r="8670" spans="1:15" hidden="1" x14ac:dyDescent="0.45">
      <c r="A8670" s="187">
        <v>2029</v>
      </c>
      <c r="B8670" t="s">
        <v>315</v>
      </c>
      <c r="C8670" t="s">
        <v>328</v>
      </c>
      <c r="D8670" t="s">
        <v>39</v>
      </c>
      <c r="E8670" t="s">
        <v>363</v>
      </c>
      <c r="F8670" t="s">
        <v>363</v>
      </c>
      <c r="G8670" t="s">
        <v>37</v>
      </c>
      <c r="H8670" t="s">
        <v>43</v>
      </c>
      <c r="I8670" s="187">
        <v>3696.7170403158789</v>
      </c>
      <c r="J8670" s="187">
        <v>42</v>
      </c>
      <c r="K8670" s="187">
        <v>751.31740481992506</v>
      </c>
      <c r="L8670" s="187">
        <v>2739</v>
      </c>
      <c r="M8670" s="187">
        <v>7229.03466796875</v>
      </c>
      <c r="N8670" s="187">
        <v>6435.716796875</v>
      </c>
      <c r="O8670" t="s">
        <v>8325</v>
      </c>
    </row>
    <row r="8671" spans="1:15" hidden="1" x14ac:dyDescent="0.45">
      <c r="A8671" s="187">
        <v>2029</v>
      </c>
      <c r="B8671" t="s">
        <v>8570</v>
      </c>
      <c r="C8671" t="s">
        <v>328</v>
      </c>
      <c r="D8671" t="s">
        <v>39</v>
      </c>
      <c r="E8671" t="s">
        <v>364</v>
      </c>
      <c r="F8671" t="s">
        <v>364</v>
      </c>
      <c r="G8671" t="s">
        <v>36</v>
      </c>
      <c r="H8671" t="s">
        <v>43</v>
      </c>
      <c r="I8671" s="187">
        <v>3183.2509169999998</v>
      </c>
      <c r="J8671" s="187">
        <v>1023</v>
      </c>
      <c r="K8671" s="187">
        <v>4991.3569293357614</v>
      </c>
      <c r="L8671" s="187">
        <v>3919</v>
      </c>
      <c r="M8671" s="187">
        <v>13116.607421875</v>
      </c>
      <c r="N8671" s="187">
        <v>7102.2509765625</v>
      </c>
      <c r="O8671" t="s">
        <v>9375</v>
      </c>
    </row>
    <row r="8672" spans="1:15" hidden="1" x14ac:dyDescent="0.45">
      <c r="A8672" s="187">
        <v>2029</v>
      </c>
      <c r="B8672" t="s">
        <v>315</v>
      </c>
      <c r="C8672" t="s">
        <v>328</v>
      </c>
      <c r="D8672" t="s">
        <v>39</v>
      </c>
      <c r="E8672" t="s">
        <v>364</v>
      </c>
      <c r="F8672" t="s">
        <v>364</v>
      </c>
      <c r="G8672" t="s">
        <v>36</v>
      </c>
      <c r="H8672" t="s">
        <v>43</v>
      </c>
      <c r="I8672" s="187">
        <v>1746.6044167469133</v>
      </c>
      <c r="J8672" s="187">
        <v>739.90308322112094</v>
      </c>
      <c r="K8672" s="187">
        <v>5173.5951794260818</v>
      </c>
      <c r="L8672" s="187">
        <v>2544.8345460860742</v>
      </c>
      <c r="M8672" s="187">
        <v>10204.9375</v>
      </c>
      <c r="N8672" s="187">
        <v>4291.43896484375</v>
      </c>
      <c r="O8672" t="s">
        <v>8326</v>
      </c>
    </row>
    <row r="8673" spans="1:15" hidden="1" x14ac:dyDescent="0.45">
      <c r="A8673" s="187">
        <v>2029</v>
      </c>
      <c r="B8673" t="s">
        <v>317</v>
      </c>
      <c r="C8673" t="s">
        <v>328</v>
      </c>
      <c r="D8673" t="s">
        <v>39</v>
      </c>
      <c r="E8673" t="s">
        <v>364</v>
      </c>
      <c r="F8673" t="s">
        <v>364</v>
      </c>
      <c r="G8673" t="s">
        <v>36</v>
      </c>
      <c r="H8673" t="s">
        <v>43</v>
      </c>
      <c r="I8673" s="187">
        <v>3563.3112454066554</v>
      </c>
      <c r="J8673" s="187">
        <v>909.38127999524511</v>
      </c>
      <c r="K8673" s="187">
        <v>5167.6378596234499</v>
      </c>
      <c r="L8673" s="187">
        <v>3822.5371734972541</v>
      </c>
      <c r="M8673" s="187">
        <v>13462.8671875</v>
      </c>
      <c r="N8673" s="187">
        <v>7385.8486328125</v>
      </c>
      <c r="O8673" t="s">
        <v>8327</v>
      </c>
    </row>
    <row r="8674" spans="1:15" hidden="1" x14ac:dyDescent="0.45">
      <c r="A8674" s="187">
        <v>2029</v>
      </c>
      <c r="B8674" t="s">
        <v>316</v>
      </c>
      <c r="C8674" t="s">
        <v>328</v>
      </c>
      <c r="D8674" t="s">
        <v>39</v>
      </c>
      <c r="E8674" t="s">
        <v>364</v>
      </c>
      <c r="F8674" t="s">
        <v>364</v>
      </c>
      <c r="G8674" t="s">
        <v>36</v>
      </c>
      <c r="H8674" t="s">
        <v>43</v>
      </c>
      <c r="I8674" s="187">
        <v>3033.8246373856173</v>
      </c>
      <c r="J8674" s="187">
        <v>920.12456201476334</v>
      </c>
      <c r="K8674" s="187">
        <v>5124.3234246460988</v>
      </c>
      <c r="L8674" s="187">
        <v>3062.8514156261544</v>
      </c>
      <c r="M8674" s="187">
        <v>12141.1240234375</v>
      </c>
      <c r="N8674" s="187">
        <v>6096.67626953125</v>
      </c>
      <c r="O8674" t="s">
        <v>8328</v>
      </c>
    </row>
    <row r="8675" spans="1:15" hidden="1" x14ac:dyDescent="0.45">
      <c r="A8675" s="187">
        <v>2029</v>
      </c>
      <c r="B8675" t="s">
        <v>315</v>
      </c>
      <c r="C8675" t="s">
        <v>328</v>
      </c>
      <c r="D8675" t="s">
        <v>39</v>
      </c>
      <c r="E8675" t="s">
        <v>364</v>
      </c>
      <c r="F8675" t="s">
        <v>364</v>
      </c>
      <c r="G8675" t="s">
        <v>37</v>
      </c>
      <c r="H8675" t="s">
        <v>43</v>
      </c>
      <c r="I8675" s="187">
        <v>1971.5017082473969</v>
      </c>
      <c r="J8675" s="187">
        <v>819</v>
      </c>
      <c r="K8675" s="187">
        <v>5824.0808560526257</v>
      </c>
      <c r="L8675" s="187">
        <v>2955</v>
      </c>
      <c r="M8675" s="187">
        <v>11569.5830078125</v>
      </c>
      <c r="N8675" s="187">
        <v>4926.501953125</v>
      </c>
      <c r="O8675" t="s">
        <v>8331</v>
      </c>
    </row>
    <row r="8676" spans="1:15" hidden="1" x14ac:dyDescent="0.45">
      <c r="A8676" s="187">
        <v>2029</v>
      </c>
      <c r="B8676" t="s">
        <v>316</v>
      </c>
      <c r="C8676" t="s">
        <v>328</v>
      </c>
      <c r="D8676" t="s">
        <v>39</v>
      </c>
      <c r="E8676" t="s">
        <v>364</v>
      </c>
      <c r="F8676" t="s">
        <v>364</v>
      </c>
      <c r="G8676" t="s">
        <v>37</v>
      </c>
      <c r="H8676" t="s">
        <v>43</v>
      </c>
      <c r="I8676" s="187">
        <v>3428.5242386128798</v>
      </c>
      <c r="J8676" s="187">
        <v>870</v>
      </c>
      <c r="K8676" s="187">
        <v>5686.9495479571397</v>
      </c>
      <c r="L8676" s="187">
        <v>3505</v>
      </c>
      <c r="M8676" s="187">
        <v>13490.4736328125</v>
      </c>
      <c r="N8676" s="187">
        <v>6933.5244140625</v>
      </c>
      <c r="O8676" t="s">
        <v>8329</v>
      </c>
    </row>
    <row r="8677" spans="1:15" hidden="1" x14ac:dyDescent="0.45">
      <c r="A8677" s="187">
        <v>2029</v>
      </c>
      <c r="B8677" t="s">
        <v>8570</v>
      </c>
      <c r="C8677" t="s">
        <v>328</v>
      </c>
      <c r="D8677" t="s">
        <v>39</v>
      </c>
      <c r="E8677" t="s">
        <v>364</v>
      </c>
      <c r="F8677" t="s">
        <v>364</v>
      </c>
      <c r="G8677" t="s">
        <v>37</v>
      </c>
      <c r="H8677" t="s">
        <v>43</v>
      </c>
      <c r="I8677" s="187">
        <v>3656.5547048893281</v>
      </c>
      <c r="J8677" s="187">
        <v>1152</v>
      </c>
      <c r="K8677" s="187">
        <v>5758.77412729157</v>
      </c>
      <c r="L8677" s="187">
        <v>4678</v>
      </c>
      <c r="M8677" s="187">
        <v>15245.3291015625</v>
      </c>
      <c r="N8677" s="187">
        <v>8334.5546875</v>
      </c>
      <c r="O8677" t="s">
        <v>9376</v>
      </c>
    </row>
    <row r="8678" spans="1:15" hidden="1" x14ac:dyDescent="0.45">
      <c r="A8678" s="187">
        <v>2029</v>
      </c>
      <c r="B8678" t="s">
        <v>317</v>
      </c>
      <c r="C8678" t="s">
        <v>328</v>
      </c>
      <c r="D8678" t="s">
        <v>39</v>
      </c>
      <c r="E8678" t="s">
        <v>364</v>
      </c>
      <c r="F8678" t="s">
        <v>364</v>
      </c>
      <c r="G8678" t="s">
        <v>37</v>
      </c>
      <c r="H8678" t="s">
        <v>43</v>
      </c>
      <c r="I8678" s="187">
        <v>3993.6648321492999</v>
      </c>
      <c r="J8678" s="187">
        <v>870</v>
      </c>
      <c r="K8678" s="187">
        <v>5757.2022599278544</v>
      </c>
      <c r="L8678" s="187">
        <v>4265</v>
      </c>
      <c r="M8678" s="187">
        <v>14885.8671875</v>
      </c>
      <c r="N8678" s="187">
        <v>8258.6650390625</v>
      </c>
      <c r="O8678" t="s">
        <v>8330</v>
      </c>
    </row>
    <row r="8679" spans="1:15" hidden="1" x14ac:dyDescent="0.45">
      <c r="A8679" s="187">
        <v>2029</v>
      </c>
      <c r="B8679" t="s">
        <v>316</v>
      </c>
      <c r="C8679" t="s">
        <v>328</v>
      </c>
      <c r="D8679" t="s">
        <v>39</v>
      </c>
      <c r="E8679" t="s">
        <v>365</v>
      </c>
      <c r="F8679" t="s">
        <v>375</v>
      </c>
      <c r="G8679" t="s">
        <v>36</v>
      </c>
      <c r="H8679" t="s">
        <v>43</v>
      </c>
      <c r="I8679" s="187">
        <v>10525.365794758383</v>
      </c>
      <c r="J8679" s="187">
        <v>2548.8507982248038</v>
      </c>
      <c r="K8679" s="187">
        <v>16954.69055159024</v>
      </c>
      <c r="L8679" s="187">
        <v>13611.497831183911</v>
      </c>
      <c r="M8679" s="187">
        <v>43640.40625</v>
      </c>
      <c r="N8679" s="187">
        <v>24136.86328125</v>
      </c>
      <c r="O8679" t="s">
        <v>8333</v>
      </c>
    </row>
    <row r="8680" spans="1:15" hidden="1" x14ac:dyDescent="0.45">
      <c r="A8680" s="187">
        <v>2029</v>
      </c>
      <c r="B8680" t="s">
        <v>315</v>
      </c>
      <c r="C8680" t="s">
        <v>328</v>
      </c>
      <c r="D8680" t="s">
        <v>39</v>
      </c>
      <c r="E8680" t="s">
        <v>365</v>
      </c>
      <c r="F8680" t="s">
        <v>375</v>
      </c>
      <c r="G8680" t="s">
        <v>36</v>
      </c>
      <c r="H8680" t="s">
        <v>43</v>
      </c>
      <c r="I8680" s="187">
        <v>8996.5777222789038</v>
      </c>
      <c r="J8680" s="187">
        <v>1982.0761426434406</v>
      </c>
      <c r="K8680" s="187">
        <v>16891.453036449187</v>
      </c>
      <c r="L8680" s="187">
        <v>12905.638012154675</v>
      </c>
      <c r="M8680" s="187">
        <v>40775.74609375</v>
      </c>
      <c r="N8680" s="187">
        <v>21902.216796875</v>
      </c>
      <c r="O8680" t="s">
        <v>8334</v>
      </c>
    </row>
    <row r="8681" spans="1:15" hidden="1" x14ac:dyDescent="0.45">
      <c r="A8681" s="187">
        <v>2029</v>
      </c>
      <c r="B8681" t="s">
        <v>8570</v>
      </c>
      <c r="C8681" t="s">
        <v>328</v>
      </c>
      <c r="D8681" t="s">
        <v>39</v>
      </c>
      <c r="E8681" t="s">
        <v>365</v>
      </c>
      <c r="F8681" t="s">
        <v>375</v>
      </c>
      <c r="G8681" t="s">
        <v>36</v>
      </c>
      <c r="H8681" t="s">
        <v>43</v>
      </c>
      <c r="I8681" s="187">
        <v>11148.287700000001</v>
      </c>
      <c r="J8681" s="187">
        <v>2814</v>
      </c>
      <c r="K8681" s="187">
        <v>18872.945660824571</v>
      </c>
      <c r="L8681" s="187">
        <v>14905</v>
      </c>
      <c r="M8681" s="187">
        <v>47740.234375</v>
      </c>
      <c r="N8681" s="187">
        <v>26053.2890625</v>
      </c>
      <c r="O8681" t="s">
        <v>9377</v>
      </c>
    </row>
    <row r="8682" spans="1:15" hidden="1" x14ac:dyDescent="0.45">
      <c r="A8682" s="187">
        <v>2029</v>
      </c>
      <c r="B8682" t="s">
        <v>317</v>
      </c>
      <c r="C8682" t="s">
        <v>328</v>
      </c>
      <c r="D8682" t="s">
        <v>39</v>
      </c>
      <c r="E8682" t="s">
        <v>365</v>
      </c>
      <c r="F8682" t="s">
        <v>375</v>
      </c>
      <c r="G8682" t="s">
        <v>36</v>
      </c>
      <c r="H8682" t="s">
        <v>43</v>
      </c>
      <c r="I8682" s="187">
        <v>10967.381920263177</v>
      </c>
      <c r="J8682" s="187">
        <v>2467.8726460560615</v>
      </c>
      <c r="K8682" s="187">
        <v>19392.116095467638</v>
      </c>
      <c r="L8682" s="187">
        <v>14590.865847647845</v>
      </c>
      <c r="M8682" s="187">
        <v>47418.23828125</v>
      </c>
      <c r="N8682" s="187">
        <v>25558.248046875</v>
      </c>
      <c r="O8682" t="s">
        <v>8332</v>
      </c>
    </row>
    <row r="8683" spans="1:15" hidden="1" x14ac:dyDescent="0.45">
      <c r="A8683" s="187">
        <v>2029</v>
      </c>
      <c r="B8683" t="s">
        <v>315</v>
      </c>
      <c r="C8683" t="s">
        <v>328</v>
      </c>
      <c r="D8683" t="s">
        <v>39</v>
      </c>
      <c r="E8683" t="s">
        <v>365</v>
      </c>
      <c r="F8683" t="s">
        <v>375</v>
      </c>
      <c r="G8683" t="s">
        <v>37</v>
      </c>
      <c r="H8683" t="s">
        <v>43</v>
      </c>
      <c r="I8683" s="187">
        <v>10155.000283858461</v>
      </c>
      <c r="J8683" s="187">
        <v>2193</v>
      </c>
      <c r="K8683" s="187">
        <v>19015.246622254839</v>
      </c>
      <c r="L8683" s="187">
        <v>14984</v>
      </c>
      <c r="M8683" s="187">
        <v>46347.24609375</v>
      </c>
      <c r="N8683" s="187">
        <v>25139</v>
      </c>
      <c r="O8683" t="s">
        <v>8336</v>
      </c>
    </row>
    <row r="8684" spans="1:15" hidden="1" x14ac:dyDescent="0.45">
      <c r="A8684" s="187">
        <v>2029</v>
      </c>
      <c r="B8684" t="s">
        <v>317</v>
      </c>
      <c r="C8684" t="s">
        <v>328</v>
      </c>
      <c r="D8684" t="s">
        <v>39</v>
      </c>
      <c r="E8684" t="s">
        <v>365</v>
      </c>
      <c r="F8684" t="s">
        <v>375</v>
      </c>
      <c r="G8684" t="s">
        <v>37</v>
      </c>
      <c r="H8684" t="s">
        <v>43</v>
      </c>
      <c r="I8684" s="187">
        <v>12292.81411947159</v>
      </c>
      <c r="J8684" s="187">
        <v>2361</v>
      </c>
      <c r="K8684" s="187">
        <v>21604.51982944191</v>
      </c>
      <c r="L8684" s="187">
        <v>16280</v>
      </c>
      <c r="M8684" s="187">
        <v>52538.3359375</v>
      </c>
      <c r="N8684" s="187">
        <v>28572.814453125</v>
      </c>
      <c r="O8684" t="s">
        <v>8337</v>
      </c>
    </row>
    <row r="8685" spans="1:15" hidden="1" x14ac:dyDescent="0.45">
      <c r="A8685" s="187">
        <v>2029</v>
      </c>
      <c r="B8685" t="s">
        <v>316</v>
      </c>
      <c r="C8685" t="s">
        <v>328</v>
      </c>
      <c r="D8685" t="s">
        <v>39</v>
      </c>
      <c r="E8685" t="s">
        <v>365</v>
      </c>
      <c r="F8685" t="s">
        <v>375</v>
      </c>
      <c r="G8685" t="s">
        <v>37</v>
      </c>
      <c r="H8685" t="s">
        <v>43</v>
      </c>
      <c r="I8685" s="187">
        <v>11894.71247049183</v>
      </c>
      <c r="J8685" s="187">
        <v>2410</v>
      </c>
      <c r="K8685" s="187">
        <v>18816.23421823309</v>
      </c>
      <c r="L8685" s="187">
        <v>15576</v>
      </c>
      <c r="M8685" s="187">
        <v>48696.9453125</v>
      </c>
      <c r="N8685" s="187">
        <v>27470.712890625</v>
      </c>
      <c r="O8685" t="s">
        <v>8335</v>
      </c>
    </row>
    <row r="8686" spans="1:15" hidden="1" x14ac:dyDescent="0.45">
      <c r="A8686" s="187">
        <v>2029</v>
      </c>
      <c r="B8686" t="s">
        <v>8570</v>
      </c>
      <c r="C8686" t="s">
        <v>328</v>
      </c>
      <c r="D8686" t="s">
        <v>39</v>
      </c>
      <c r="E8686" t="s">
        <v>365</v>
      </c>
      <c r="F8686" t="s">
        <v>375</v>
      </c>
      <c r="G8686" t="s">
        <v>37</v>
      </c>
      <c r="H8686" t="s">
        <v>43</v>
      </c>
      <c r="I8686" s="187">
        <v>12805.878299820761</v>
      </c>
      <c r="J8686" s="187">
        <v>3152</v>
      </c>
      <c r="K8686" s="187">
        <v>21774.646196620492</v>
      </c>
      <c r="L8686" s="187">
        <v>17793</v>
      </c>
      <c r="M8686" s="187">
        <v>55525.5234375</v>
      </c>
      <c r="N8686" s="187">
        <v>30598.87890625</v>
      </c>
      <c r="O8686" t="s">
        <v>9378</v>
      </c>
    </row>
    <row r="8687" spans="1:15" hidden="1" x14ac:dyDescent="0.45">
      <c r="A8687" s="187">
        <v>2030</v>
      </c>
      <c r="B8687" t="s">
        <v>317</v>
      </c>
      <c r="C8687" t="s">
        <v>322</v>
      </c>
      <c r="D8687" t="s">
        <v>35</v>
      </c>
      <c r="E8687" t="s">
        <v>348</v>
      </c>
      <c r="F8687" t="s">
        <v>382</v>
      </c>
      <c r="G8687" t="s">
        <v>36</v>
      </c>
      <c r="H8687" t="s">
        <v>43</v>
      </c>
      <c r="I8687" s="187">
        <v>15248.167092132886</v>
      </c>
      <c r="J8687" s="187">
        <v>1080.5090956866493</v>
      </c>
      <c r="K8687" s="187">
        <v>20351.724362417877</v>
      </c>
      <c r="L8687" s="187">
        <v>21518.338640599621</v>
      </c>
      <c r="M8687" s="187">
        <v>58198.73828125</v>
      </c>
      <c r="N8687" s="187">
        <v>36766.50390625</v>
      </c>
      <c r="O8687" t="s">
        <v>8339</v>
      </c>
    </row>
    <row r="8688" spans="1:15" hidden="1" x14ac:dyDescent="0.45">
      <c r="A8688" s="187">
        <v>2030</v>
      </c>
      <c r="B8688" t="s">
        <v>316</v>
      </c>
      <c r="C8688" t="s">
        <v>322</v>
      </c>
      <c r="D8688" t="s">
        <v>35</v>
      </c>
      <c r="E8688" t="s">
        <v>348</v>
      </c>
      <c r="F8688" t="s">
        <v>382</v>
      </c>
      <c r="G8688" t="s">
        <v>36</v>
      </c>
      <c r="H8688" t="s">
        <v>43</v>
      </c>
      <c r="I8688" s="187">
        <v>22316.702396514116</v>
      </c>
      <c r="J8688" s="187">
        <v>990.2070009335024</v>
      </c>
      <c r="K8688" s="187">
        <v>18668.924464992935</v>
      </c>
      <c r="L8688" s="187">
        <v>26289.500220557104</v>
      </c>
      <c r="M8688" s="187">
        <v>68265.3359375</v>
      </c>
      <c r="N8688" s="187">
        <v>48606.203125</v>
      </c>
      <c r="O8688" t="s">
        <v>8338</v>
      </c>
    </row>
    <row r="8689" spans="1:15" hidden="1" x14ac:dyDescent="0.45">
      <c r="A8689" s="187">
        <v>2030</v>
      </c>
      <c r="B8689" t="s">
        <v>8570</v>
      </c>
      <c r="C8689" t="s">
        <v>322</v>
      </c>
      <c r="D8689" t="s">
        <v>35</v>
      </c>
      <c r="E8689" t="s">
        <v>348</v>
      </c>
      <c r="F8689" t="s">
        <v>382</v>
      </c>
      <c r="G8689" t="s">
        <v>36</v>
      </c>
      <c r="H8689" t="s">
        <v>43</v>
      </c>
      <c r="I8689" s="187">
        <v>11588.226522988531</v>
      </c>
      <c r="J8689" s="187">
        <v>1000</v>
      </c>
      <c r="K8689" s="187">
        <v>17725.64907249868</v>
      </c>
      <c r="L8689" s="187">
        <v>17164</v>
      </c>
      <c r="M8689" s="187">
        <v>47477.875</v>
      </c>
      <c r="N8689" s="187">
        <v>28752.2265625</v>
      </c>
      <c r="O8689" t="s">
        <v>9379</v>
      </c>
    </row>
    <row r="8690" spans="1:15" hidden="1" x14ac:dyDescent="0.45">
      <c r="A8690" s="187">
        <v>2030</v>
      </c>
      <c r="B8690" t="s">
        <v>316</v>
      </c>
      <c r="C8690" t="s">
        <v>322</v>
      </c>
      <c r="D8690" t="s">
        <v>35</v>
      </c>
      <c r="E8690" t="s">
        <v>348</v>
      </c>
      <c r="F8690" t="s">
        <v>382</v>
      </c>
      <c r="G8690" t="s">
        <v>37</v>
      </c>
      <c r="H8690" t="s">
        <v>43</v>
      </c>
      <c r="I8690" s="187">
        <v>24701</v>
      </c>
      <c r="J8690" s="187">
        <v>899</v>
      </c>
      <c r="K8690" s="187">
        <v>20291.93131388272</v>
      </c>
      <c r="L8690" s="187">
        <v>29438.036040284969</v>
      </c>
      <c r="M8690" s="187">
        <v>75329.96875</v>
      </c>
      <c r="N8690" s="187">
        <v>54139.03515625</v>
      </c>
      <c r="O8690" t="s">
        <v>8340</v>
      </c>
    </row>
    <row r="8691" spans="1:15" hidden="1" x14ac:dyDescent="0.45">
      <c r="A8691" s="187">
        <v>2030</v>
      </c>
      <c r="B8691" t="s">
        <v>8570</v>
      </c>
      <c r="C8691" t="s">
        <v>322</v>
      </c>
      <c r="D8691" t="s">
        <v>35</v>
      </c>
      <c r="E8691" t="s">
        <v>348</v>
      </c>
      <c r="F8691" t="s">
        <v>382</v>
      </c>
      <c r="G8691" t="s">
        <v>37</v>
      </c>
      <c r="H8691" t="s">
        <v>43</v>
      </c>
      <c r="I8691" s="187">
        <v>13577.45431483878</v>
      </c>
      <c r="J8691" s="187">
        <v>1000</v>
      </c>
      <c r="K8691" s="187">
        <v>20859.972734383129</v>
      </c>
      <c r="L8691" s="187">
        <v>21868</v>
      </c>
      <c r="M8691" s="187">
        <v>57305.42578125</v>
      </c>
      <c r="N8691" s="187">
        <v>35445.453125</v>
      </c>
      <c r="O8691" t="s">
        <v>9380</v>
      </c>
    </row>
    <row r="8692" spans="1:15" hidden="1" x14ac:dyDescent="0.45">
      <c r="A8692" s="187">
        <v>2030</v>
      </c>
      <c r="B8692" t="s">
        <v>317</v>
      </c>
      <c r="C8692" t="s">
        <v>322</v>
      </c>
      <c r="D8692" t="s">
        <v>35</v>
      </c>
      <c r="E8692" t="s">
        <v>348</v>
      </c>
      <c r="F8692" t="s">
        <v>382</v>
      </c>
      <c r="G8692" t="s">
        <v>37</v>
      </c>
      <c r="H8692" t="s">
        <v>43</v>
      </c>
      <c r="I8692" s="187">
        <v>16865.171473025701</v>
      </c>
      <c r="J8692" s="187">
        <v>1000</v>
      </c>
      <c r="K8692" s="187">
        <v>22372.737638754181</v>
      </c>
      <c r="L8692" s="187">
        <v>23527</v>
      </c>
      <c r="M8692" s="187">
        <v>63764.91015625</v>
      </c>
      <c r="N8692" s="187">
        <v>40392.171875</v>
      </c>
      <c r="O8692" t="s">
        <v>8341</v>
      </c>
    </row>
    <row r="8693" spans="1:15" hidden="1" x14ac:dyDescent="0.45">
      <c r="A8693" s="187">
        <v>2030</v>
      </c>
      <c r="B8693" t="s">
        <v>8570</v>
      </c>
      <c r="C8693" t="s">
        <v>322</v>
      </c>
      <c r="D8693" t="s">
        <v>35</v>
      </c>
      <c r="E8693" t="s">
        <v>19</v>
      </c>
      <c r="F8693" t="s">
        <v>19</v>
      </c>
      <c r="G8693" t="s">
        <v>36</v>
      </c>
      <c r="H8693" t="s">
        <v>43</v>
      </c>
      <c r="I8693" s="187">
        <v>611.79096000000004</v>
      </c>
      <c r="J8693" s="187">
        <v>0</v>
      </c>
      <c r="K8693" s="187">
        <v>128.1618643725914</v>
      </c>
      <c r="L8693" s="187">
        <v>2791</v>
      </c>
      <c r="M8693" s="187">
        <v>3530.952880859375</v>
      </c>
      <c r="N8693" s="187">
        <v>3402.791015625</v>
      </c>
      <c r="O8693" t="s">
        <v>9381</v>
      </c>
    </row>
    <row r="8694" spans="1:15" hidden="1" x14ac:dyDescent="0.45">
      <c r="A8694" s="187">
        <v>2030</v>
      </c>
      <c r="B8694" t="s">
        <v>317</v>
      </c>
      <c r="C8694" t="s">
        <v>322</v>
      </c>
      <c r="D8694" t="s">
        <v>35</v>
      </c>
      <c r="E8694" t="s">
        <v>19</v>
      </c>
      <c r="F8694" t="s">
        <v>19</v>
      </c>
      <c r="G8694" t="s">
        <v>36</v>
      </c>
      <c r="H8694" t="s">
        <v>43</v>
      </c>
      <c r="I8694" s="187">
        <v>918.43273133365187</v>
      </c>
      <c r="J8694" s="187">
        <v>0</v>
      </c>
      <c r="K8694" s="187">
        <v>131.00520136202405</v>
      </c>
      <c r="L8694" s="187">
        <v>3065.4043044630239</v>
      </c>
      <c r="M8694" s="187">
        <v>4114.84228515625</v>
      </c>
      <c r="N8694" s="187">
        <v>3983.837158203125</v>
      </c>
      <c r="O8694" t="s">
        <v>8343</v>
      </c>
    </row>
    <row r="8695" spans="1:15" hidden="1" x14ac:dyDescent="0.45">
      <c r="A8695" s="187">
        <v>2030</v>
      </c>
      <c r="B8695" t="s">
        <v>316</v>
      </c>
      <c r="C8695" t="s">
        <v>322</v>
      </c>
      <c r="D8695" t="s">
        <v>35</v>
      </c>
      <c r="E8695" t="s">
        <v>19</v>
      </c>
      <c r="F8695" t="s">
        <v>19</v>
      </c>
      <c r="G8695" t="s">
        <v>36</v>
      </c>
      <c r="H8695" t="s">
        <v>43</v>
      </c>
      <c r="I8695" s="187">
        <v>1005.6157894090967</v>
      </c>
      <c r="J8695" s="187">
        <v>0</v>
      </c>
      <c r="K8695" s="187">
        <v>129.20998963563861</v>
      </c>
      <c r="L8695" s="187">
        <v>3192.0132243662847</v>
      </c>
      <c r="M8695" s="187">
        <v>4326.8388671875</v>
      </c>
      <c r="N8695" s="187">
        <v>4197.62890625</v>
      </c>
      <c r="O8695" t="s">
        <v>8342</v>
      </c>
    </row>
    <row r="8696" spans="1:15" hidden="1" x14ac:dyDescent="0.45">
      <c r="A8696" s="187">
        <v>2030</v>
      </c>
      <c r="B8696" t="s">
        <v>8570</v>
      </c>
      <c r="C8696" t="s">
        <v>322</v>
      </c>
      <c r="D8696" t="s">
        <v>35</v>
      </c>
      <c r="E8696" t="s">
        <v>19</v>
      </c>
      <c r="F8696" t="s">
        <v>19</v>
      </c>
      <c r="G8696" t="s">
        <v>37</v>
      </c>
      <c r="H8696" t="s">
        <v>43</v>
      </c>
      <c r="I8696" s="187">
        <v>716.81061749638195</v>
      </c>
      <c r="J8696" s="187">
        <v>0</v>
      </c>
      <c r="K8696" s="187">
        <v>150.82398311426721</v>
      </c>
      <c r="L8696" s="187">
        <v>3556</v>
      </c>
      <c r="M8696" s="187">
        <v>4423.634765625</v>
      </c>
      <c r="N8696" s="187">
        <v>4272.810546875</v>
      </c>
      <c r="O8696" t="s">
        <v>9382</v>
      </c>
    </row>
    <row r="8697" spans="1:15" hidden="1" x14ac:dyDescent="0.45">
      <c r="A8697" s="187">
        <v>2030</v>
      </c>
      <c r="B8697" t="s">
        <v>316</v>
      </c>
      <c r="C8697" t="s">
        <v>322</v>
      </c>
      <c r="D8697" t="s">
        <v>35</v>
      </c>
      <c r="E8697" t="s">
        <v>19</v>
      </c>
      <c r="F8697" t="s">
        <v>19</v>
      </c>
      <c r="G8697" t="s">
        <v>37</v>
      </c>
      <c r="H8697" t="s">
        <v>43</v>
      </c>
      <c r="I8697" s="187">
        <v>1113</v>
      </c>
      <c r="J8697" s="187">
        <v>0</v>
      </c>
      <c r="K8697" s="187">
        <v>140.44302550317639</v>
      </c>
      <c r="L8697" s="187">
        <v>3574</v>
      </c>
      <c r="M8697" s="187">
        <v>4827.44287109375</v>
      </c>
      <c r="N8697" s="187">
        <v>4687</v>
      </c>
      <c r="O8697" t="s">
        <v>8344</v>
      </c>
    </row>
    <row r="8698" spans="1:15" hidden="1" x14ac:dyDescent="0.45">
      <c r="A8698" s="187">
        <v>2030</v>
      </c>
      <c r="B8698" t="s">
        <v>317</v>
      </c>
      <c r="C8698" t="s">
        <v>322</v>
      </c>
      <c r="D8698" t="s">
        <v>35</v>
      </c>
      <c r="E8698" t="s">
        <v>19</v>
      </c>
      <c r="F8698" t="s">
        <v>19</v>
      </c>
      <c r="G8698" t="s">
        <v>37</v>
      </c>
      <c r="H8698" t="s">
        <v>43</v>
      </c>
      <c r="I8698" s="187">
        <v>1015.828683328964</v>
      </c>
      <c r="J8698" s="187">
        <v>0</v>
      </c>
      <c r="K8698" s="187">
        <v>144.0145781846918</v>
      </c>
      <c r="L8698" s="187">
        <v>3352</v>
      </c>
      <c r="M8698" s="187">
        <v>4511.84326171875</v>
      </c>
      <c r="N8698" s="187">
        <v>4367.82861328125</v>
      </c>
      <c r="O8698" t="s">
        <v>8345</v>
      </c>
    </row>
    <row r="8699" spans="1:15" hidden="1" x14ac:dyDescent="0.45">
      <c r="A8699" s="187">
        <v>2030</v>
      </c>
      <c r="B8699" t="s">
        <v>317</v>
      </c>
      <c r="C8699" t="s">
        <v>322</v>
      </c>
      <c r="D8699" t="s">
        <v>35</v>
      </c>
      <c r="E8699" t="s">
        <v>349</v>
      </c>
      <c r="F8699" t="s">
        <v>349</v>
      </c>
      <c r="G8699" t="s">
        <v>36</v>
      </c>
      <c r="H8699" t="s">
        <v>43</v>
      </c>
      <c r="I8699" s="187">
        <v>5316.5553230712167</v>
      </c>
      <c r="J8699" s="187">
        <v>534.8520023648914</v>
      </c>
      <c r="K8699" s="187">
        <v>6812.8725353253403</v>
      </c>
      <c r="L8699" s="187">
        <v>2665.6159390589637</v>
      </c>
      <c r="M8699" s="187">
        <v>15329.8955078125</v>
      </c>
      <c r="N8699" s="187">
        <v>7982.1708984375</v>
      </c>
      <c r="O8699" t="s">
        <v>8347</v>
      </c>
    </row>
    <row r="8700" spans="1:15" hidden="1" x14ac:dyDescent="0.45">
      <c r="A8700" s="187">
        <v>2030</v>
      </c>
      <c r="B8700" t="s">
        <v>8570</v>
      </c>
      <c r="C8700" t="s">
        <v>322</v>
      </c>
      <c r="D8700" t="s">
        <v>35</v>
      </c>
      <c r="E8700" t="s">
        <v>349</v>
      </c>
      <c r="F8700" t="s">
        <v>349</v>
      </c>
      <c r="G8700" t="s">
        <v>36</v>
      </c>
      <c r="H8700" t="s">
        <v>43</v>
      </c>
      <c r="I8700" s="187">
        <v>3344.4572480000002</v>
      </c>
      <c r="J8700" s="187">
        <v>495</v>
      </c>
      <c r="K8700" s="187">
        <v>5594.2253360783598</v>
      </c>
      <c r="L8700" s="187">
        <v>2577</v>
      </c>
      <c r="M8700" s="187">
        <v>12010.6826171875</v>
      </c>
      <c r="N8700" s="187">
        <v>5921.45703125</v>
      </c>
      <c r="O8700" t="s">
        <v>9383</v>
      </c>
    </row>
    <row r="8701" spans="1:15" hidden="1" x14ac:dyDescent="0.45">
      <c r="A8701" s="187">
        <v>2030</v>
      </c>
      <c r="B8701" t="s">
        <v>316</v>
      </c>
      <c r="C8701" t="s">
        <v>322</v>
      </c>
      <c r="D8701" t="s">
        <v>35</v>
      </c>
      <c r="E8701" t="s">
        <v>349</v>
      </c>
      <c r="F8701" t="s">
        <v>349</v>
      </c>
      <c r="G8701" t="s">
        <v>36</v>
      </c>
      <c r="H8701" t="s">
        <v>43</v>
      </c>
      <c r="I8701" s="187">
        <v>4662.9112022879899</v>
      </c>
      <c r="J8701" s="187">
        <v>545.21965012467604</v>
      </c>
      <c r="K8701" s="187">
        <v>4652.1309128809944</v>
      </c>
      <c r="L8701" s="187">
        <v>2339.4879532622463</v>
      </c>
      <c r="M8701" s="187">
        <v>12199.75</v>
      </c>
      <c r="N8701" s="187">
        <v>7002.39892578125</v>
      </c>
      <c r="O8701" t="s">
        <v>8346</v>
      </c>
    </row>
    <row r="8702" spans="1:15" hidden="1" x14ac:dyDescent="0.45">
      <c r="A8702" s="187">
        <v>2030</v>
      </c>
      <c r="B8702" t="s">
        <v>316</v>
      </c>
      <c r="C8702" t="s">
        <v>322</v>
      </c>
      <c r="D8702" t="s">
        <v>35</v>
      </c>
      <c r="E8702" t="s">
        <v>349</v>
      </c>
      <c r="F8702" t="s">
        <v>349</v>
      </c>
      <c r="G8702" t="s">
        <v>37</v>
      </c>
      <c r="H8702" t="s">
        <v>43</v>
      </c>
      <c r="I8702" s="187">
        <v>5161</v>
      </c>
      <c r="J8702" s="187">
        <v>495</v>
      </c>
      <c r="K8702" s="187">
        <v>5056.5698695919691</v>
      </c>
      <c r="L8702" s="187">
        <v>2620</v>
      </c>
      <c r="M8702" s="187">
        <v>13332.5703125</v>
      </c>
      <c r="N8702" s="187">
        <v>7781</v>
      </c>
      <c r="O8702" t="s">
        <v>8348</v>
      </c>
    </row>
    <row r="8703" spans="1:15" hidden="1" x14ac:dyDescent="0.45">
      <c r="A8703" s="187">
        <v>2030</v>
      </c>
      <c r="B8703" t="s">
        <v>8570</v>
      </c>
      <c r="C8703" t="s">
        <v>322</v>
      </c>
      <c r="D8703" t="s">
        <v>35</v>
      </c>
      <c r="E8703" t="s">
        <v>349</v>
      </c>
      <c r="F8703" t="s">
        <v>349</v>
      </c>
      <c r="G8703" t="s">
        <v>37</v>
      </c>
      <c r="H8703" t="s">
        <v>43</v>
      </c>
      <c r="I8703" s="187">
        <v>3918.564708980221</v>
      </c>
      <c r="J8703" s="187">
        <v>495</v>
      </c>
      <c r="K8703" s="187">
        <v>6583.4197384423369</v>
      </c>
      <c r="L8703" s="187">
        <v>3283</v>
      </c>
      <c r="M8703" s="187">
        <v>14279.984375</v>
      </c>
      <c r="N8703" s="187">
        <v>7201.564453125</v>
      </c>
      <c r="O8703" t="s">
        <v>9384</v>
      </c>
    </row>
    <row r="8704" spans="1:15" hidden="1" x14ac:dyDescent="0.45">
      <c r="A8704" s="187">
        <v>2030</v>
      </c>
      <c r="B8704" t="s">
        <v>317</v>
      </c>
      <c r="C8704" t="s">
        <v>322</v>
      </c>
      <c r="D8704" t="s">
        <v>35</v>
      </c>
      <c r="E8704" t="s">
        <v>349</v>
      </c>
      <c r="F8704" t="s">
        <v>349</v>
      </c>
      <c r="G8704" t="s">
        <v>37</v>
      </c>
      <c r="H8704" t="s">
        <v>43</v>
      </c>
      <c r="I8704" s="187">
        <v>5880.3537912228858</v>
      </c>
      <c r="J8704" s="187">
        <v>495</v>
      </c>
      <c r="K8704" s="187">
        <v>7489.4199176840339</v>
      </c>
      <c r="L8704" s="187">
        <v>2915</v>
      </c>
      <c r="M8704" s="187">
        <v>16779.7734375</v>
      </c>
      <c r="N8704" s="187">
        <v>8795.353515625</v>
      </c>
      <c r="O8704" t="s">
        <v>8349</v>
      </c>
    </row>
    <row r="8705" spans="1:15" hidden="1" x14ac:dyDescent="0.45">
      <c r="A8705" s="187">
        <v>2030</v>
      </c>
      <c r="B8705" t="s">
        <v>317</v>
      </c>
      <c r="C8705" t="s">
        <v>322</v>
      </c>
      <c r="D8705" t="s">
        <v>35</v>
      </c>
      <c r="E8705" t="s">
        <v>46</v>
      </c>
      <c r="F8705" t="s">
        <v>46</v>
      </c>
      <c r="G8705" t="s">
        <v>37</v>
      </c>
      <c r="H8705" t="s">
        <v>43</v>
      </c>
      <c r="I8705" s="187">
        <v>14493.80906359541</v>
      </c>
      <c r="J8705" s="187">
        <v>1000</v>
      </c>
      <c r="K8705" s="187">
        <v>21397.108479628281</v>
      </c>
      <c r="L8705" s="187">
        <v>6842</v>
      </c>
      <c r="M8705" s="187">
        <v>43732.91796875</v>
      </c>
      <c r="N8705" s="187">
        <v>21335.80859375</v>
      </c>
      <c r="O8705" t="s">
        <v>8351</v>
      </c>
    </row>
    <row r="8706" spans="1:15" hidden="1" x14ac:dyDescent="0.45">
      <c r="A8706" s="187">
        <v>2030</v>
      </c>
      <c r="B8706" t="s">
        <v>316</v>
      </c>
      <c r="C8706" t="s">
        <v>322</v>
      </c>
      <c r="D8706" t="s">
        <v>35</v>
      </c>
      <c r="E8706" t="s">
        <v>46</v>
      </c>
      <c r="F8706" t="s">
        <v>46</v>
      </c>
      <c r="G8706" t="s">
        <v>37</v>
      </c>
      <c r="H8706" t="s">
        <v>43</v>
      </c>
      <c r="I8706" s="187">
        <v>22340</v>
      </c>
      <c r="J8706" s="187"/>
      <c r="K8706" s="187">
        <v>19260.840504704021</v>
      </c>
      <c r="L8706" s="187">
        <v>21156</v>
      </c>
      <c r="M8706" s="187">
        <v>62756.83984375</v>
      </c>
      <c r="N8706" s="187">
        <v>43496</v>
      </c>
      <c r="O8706" t="s">
        <v>8350</v>
      </c>
    </row>
    <row r="8707" spans="1:15" hidden="1" x14ac:dyDescent="0.45">
      <c r="A8707" s="187">
        <v>2030</v>
      </c>
      <c r="B8707" t="s">
        <v>8570</v>
      </c>
      <c r="C8707" t="s">
        <v>322</v>
      </c>
      <c r="D8707" t="s">
        <v>35</v>
      </c>
      <c r="E8707" t="s">
        <v>46</v>
      </c>
      <c r="F8707" t="s">
        <v>46</v>
      </c>
      <c r="G8707" t="s">
        <v>37</v>
      </c>
      <c r="H8707" t="s">
        <v>43</v>
      </c>
      <c r="I8707" s="187"/>
      <c r="J8707" s="187">
        <v>1000</v>
      </c>
      <c r="K8707" s="187">
        <v>20395.632769195869</v>
      </c>
      <c r="L8707" s="187">
        <v>4748</v>
      </c>
      <c r="M8707" s="187">
        <v>26143.6328125</v>
      </c>
      <c r="N8707" s="187">
        <v>4748</v>
      </c>
      <c r="O8707" t="s">
        <v>9385</v>
      </c>
    </row>
    <row r="8708" spans="1:15" hidden="1" x14ac:dyDescent="0.45">
      <c r="A8708" s="187">
        <v>2030</v>
      </c>
      <c r="B8708" t="s">
        <v>316</v>
      </c>
      <c r="C8708" t="s">
        <v>322</v>
      </c>
      <c r="D8708" t="s">
        <v>35</v>
      </c>
      <c r="E8708" t="s">
        <v>350</v>
      </c>
      <c r="F8708" t="s">
        <v>350</v>
      </c>
      <c r="G8708" t="s">
        <v>37</v>
      </c>
      <c r="H8708" t="s">
        <v>43</v>
      </c>
      <c r="I8708" s="187">
        <v>22427</v>
      </c>
      <c r="J8708" s="187">
        <v>899</v>
      </c>
      <c r="K8708" s="187">
        <v>19333.18614229267</v>
      </c>
      <c r="L8708" s="187">
        <v>20816.036040284969</v>
      </c>
      <c r="M8708" s="187">
        <v>63475.22265625</v>
      </c>
      <c r="N8708" s="187">
        <v>43243.03515625</v>
      </c>
      <c r="O8708" t="s">
        <v>8352</v>
      </c>
    </row>
    <row r="8709" spans="1:15" hidden="1" x14ac:dyDescent="0.45">
      <c r="A8709" s="187">
        <v>2030</v>
      </c>
      <c r="B8709" t="s">
        <v>317</v>
      </c>
      <c r="C8709" t="s">
        <v>322</v>
      </c>
      <c r="D8709" t="s">
        <v>35</v>
      </c>
      <c r="E8709" t="s">
        <v>350</v>
      </c>
      <c r="F8709" t="s">
        <v>350</v>
      </c>
      <c r="G8709" t="s">
        <v>37</v>
      </c>
      <c r="H8709" t="s">
        <v>43</v>
      </c>
      <c r="I8709" s="187">
        <v>14550.26483353798</v>
      </c>
      <c r="J8709" s="187">
        <v>1000</v>
      </c>
      <c r="K8709" s="187">
        <v>21390.371764198451</v>
      </c>
      <c r="L8709" s="187">
        <v>6841</v>
      </c>
      <c r="M8709" s="187">
        <v>43781.63671875</v>
      </c>
      <c r="N8709" s="187">
        <v>21391.265625</v>
      </c>
      <c r="O8709" t="s">
        <v>8353</v>
      </c>
    </row>
    <row r="8710" spans="1:15" hidden="1" x14ac:dyDescent="0.45">
      <c r="A8710" s="187">
        <v>2030</v>
      </c>
      <c r="B8710" t="s">
        <v>8570</v>
      </c>
      <c r="C8710" t="s">
        <v>322</v>
      </c>
      <c r="D8710" t="s">
        <v>35</v>
      </c>
      <c r="E8710" t="s">
        <v>350</v>
      </c>
      <c r="F8710" t="s">
        <v>350</v>
      </c>
      <c r="G8710" t="s">
        <v>37</v>
      </c>
      <c r="H8710" t="s">
        <v>43</v>
      </c>
      <c r="I8710" s="187">
        <v>11848.04688104317</v>
      </c>
      <c r="J8710" s="187">
        <v>1000</v>
      </c>
      <c r="K8710" s="187">
        <v>20367.095053314661</v>
      </c>
      <c r="L8710" s="187">
        <v>4747</v>
      </c>
      <c r="M8710" s="187">
        <v>37962.140625</v>
      </c>
      <c r="N8710" s="187">
        <v>16595.046875</v>
      </c>
      <c r="O8710" t="s">
        <v>9386</v>
      </c>
    </row>
    <row r="8711" spans="1:15" hidden="1" x14ac:dyDescent="0.45">
      <c r="A8711" s="187">
        <v>2030</v>
      </c>
      <c r="B8711" t="s">
        <v>317</v>
      </c>
      <c r="C8711" t="s">
        <v>322</v>
      </c>
      <c r="D8711" t="s">
        <v>35</v>
      </c>
      <c r="E8711" t="s">
        <v>16</v>
      </c>
      <c r="F8711" t="s">
        <v>16</v>
      </c>
      <c r="G8711" t="s">
        <v>36</v>
      </c>
      <c r="H8711" t="s">
        <v>43</v>
      </c>
      <c r="I8711" s="187">
        <v>4686.1679479929981</v>
      </c>
      <c r="J8711" s="187">
        <v>237.71200105106286</v>
      </c>
      <c r="K8711" s="187">
        <v>8032.4949720638015</v>
      </c>
      <c r="L8711" s="187">
        <v>11710.557579051905</v>
      </c>
      <c r="M8711" s="187">
        <v>24666.931640625</v>
      </c>
      <c r="N8711" s="187">
        <v>16396.724609375</v>
      </c>
      <c r="O8711" t="s">
        <v>8354</v>
      </c>
    </row>
    <row r="8712" spans="1:15" hidden="1" x14ac:dyDescent="0.45">
      <c r="A8712" s="187">
        <v>2030</v>
      </c>
      <c r="B8712" t="s">
        <v>8570</v>
      </c>
      <c r="C8712" t="s">
        <v>322</v>
      </c>
      <c r="D8712" t="s">
        <v>35</v>
      </c>
      <c r="E8712" t="s">
        <v>16</v>
      </c>
      <c r="F8712" t="s">
        <v>16</v>
      </c>
      <c r="G8712" t="s">
        <v>36</v>
      </c>
      <c r="H8712" t="s">
        <v>43</v>
      </c>
      <c r="I8712" s="187">
        <v>3761.6823640000011</v>
      </c>
      <c r="J8712" s="187">
        <v>220</v>
      </c>
      <c r="K8712" s="187">
        <v>8358.5107479233411</v>
      </c>
      <c r="L8712" s="187">
        <v>9674</v>
      </c>
      <c r="M8712" s="187">
        <v>22014.193359375</v>
      </c>
      <c r="N8712" s="187">
        <v>13435.6826171875</v>
      </c>
      <c r="O8712" t="s">
        <v>9387</v>
      </c>
    </row>
    <row r="8713" spans="1:15" hidden="1" x14ac:dyDescent="0.45">
      <c r="A8713" s="187">
        <v>2030</v>
      </c>
      <c r="B8713" t="s">
        <v>316</v>
      </c>
      <c r="C8713" t="s">
        <v>322</v>
      </c>
      <c r="D8713" t="s">
        <v>35</v>
      </c>
      <c r="E8713" t="s">
        <v>16</v>
      </c>
      <c r="F8713" t="s">
        <v>16</v>
      </c>
      <c r="G8713" t="s">
        <v>36</v>
      </c>
      <c r="H8713" t="s">
        <v>43</v>
      </c>
      <c r="I8713" s="187">
        <v>13079.197845255296</v>
      </c>
      <c r="J8713" s="187">
        <v>131.07300679764938</v>
      </c>
      <c r="K8713" s="187">
        <v>7941.1222343954714</v>
      </c>
      <c r="L8713" s="187">
        <v>17812.711478416688</v>
      </c>
      <c r="M8713" s="187">
        <v>38964.10546875</v>
      </c>
      <c r="N8713" s="187">
        <v>30891.91015625</v>
      </c>
      <c r="O8713" t="s">
        <v>8355</v>
      </c>
    </row>
    <row r="8714" spans="1:15" hidden="1" x14ac:dyDescent="0.45">
      <c r="A8714" s="187">
        <v>2030</v>
      </c>
      <c r="B8714" t="s">
        <v>316</v>
      </c>
      <c r="C8714" t="s">
        <v>322</v>
      </c>
      <c r="D8714" t="s">
        <v>35</v>
      </c>
      <c r="E8714" t="s">
        <v>16</v>
      </c>
      <c r="F8714" t="s">
        <v>16</v>
      </c>
      <c r="G8714" t="s">
        <v>37</v>
      </c>
      <c r="H8714" t="s">
        <v>43</v>
      </c>
      <c r="I8714" s="187">
        <v>14476</v>
      </c>
      <c r="J8714" s="187">
        <v>119</v>
      </c>
      <c r="K8714" s="187">
        <v>8631.4938623091566</v>
      </c>
      <c r="L8714" s="187">
        <v>19946</v>
      </c>
      <c r="M8714" s="187">
        <v>43172.4921875</v>
      </c>
      <c r="N8714" s="187">
        <v>34422</v>
      </c>
      <c r="O8714" t="s">
        <v>8356</v>
      </c>
    </row>
    <row r="8715" spans="1:15" hidden="1" x14ac:dyDescent="0.45">
      <c r="A8715" s="187">
        <v>2030</v>
      </c>
      <c r="B8715" t="s">
        <v>8570</v>
      </c>
      <c r="C8715" t="s">
        <v>322</v>
      </c>
      <c r="D8715" t="s">
        <v>35</v>
      </c>
      <c r="E8715" t="s">
        <v>16</v>
      </c>
      <c r="F8715" t="s">
        <v>16</v>
      </c>
      <c r="G8715" t="s">
        <v>37</v>
      </c>
      <c r="H8715" t="s">
        <v>43</v>
      </c>
      <c r="I8715" s="187">
        <v>4407.4104301313801</v>
      </c>
      <c r="J8715" s="187">
        <v>220</v>
      </c>
      <c r="K8715" s="187">
        <v>9836.4976982561366</v>
      </c>
      <c r="L8715" s="187">
        <v>12325</v>
      </c>
      <c r="M8715" s="187">
        <v>26788.908203125</v>
      </c>
      <c r="N8715" s="187">
        <v>16732.41015625</v>
      </c>
      <c r="O8715" t="s">
        <v>9388</v>
      </c>
    </row>
    <row r="8716" spans="1:15" hidden="1" x14ac:dyDescent="0.45">
      <c r="A8716" s="187">
        <v>2030</v>
      </c>
      <c r="B8716" t="s">
        <v>317</v>
      </c>
      <c r="C8716" t="s">
        <v>322</v>
      </c>
      <c r="D8716" t="s">
        <v>35</v>
      </c>
      <c r="E8716" t="s">
        <v>16</v>
      </c>
      <c r="F8716" t="s">
        <v>16</v>
      </c>
      <c r="G8716" t="s">
        <v>37</v>
      </c>
      <c r="H8716" t="s">
        <v>43</v>
      </c>
      <c r="I8716" s="187">
        <v>5183.1164701149628</v>
      </c>
      <c r="J8716" s="187">
        <v>220</v>
      </c>
      <c r="K8716" s="187">
        <v>8830.1560788849674</v>
      </c>
      <c r="L8716" s="187">
        <v>12804</v>
      </c>
      <c r="M8716" s="187">
        <v>27037.2734375</v>
      </c>
      <c r="N8716" s="187">
        <v>17987.1171875</v>
      </c>
      <c r="O8716" t="s">
        <v>8357</v>
      </c>
    </row>
    <row r="8717" spans="1:15" hidden="1" x14ac:dyDescent="0.45">
      <c r="A8717" s="187">
        <v>2030</v>
      </c>
      <c r="B8717" t="s">
        <v>317</v>
      </c>
      <c r="C8717" t="s">
        <v>322</v>
      </c>
      <c r="D8717" t="s">
        <v>35</v>
      </c>
      <c r="E8717" t="s">
        <v>351</v>
      </c>
      <c r="F8717" t="s">
        <v>351</v>
      </c>
      <c r="G8717" t="s">
        <v>37</v>
      </c>
      <c r="H8717" t="s">
        <v>43</v>
      </c>
      <c r="I8717" s="187">
        <v>61.357330511122967</v>
      </c>
      <c r="J8717" s="187"/>
      <c r="K8717" s="187">
        <v>57.6</v>
      </c>
      <c r="L8717" s="187">
        <v>176</v>
      </c>
      <c r="M8717" s="187">
        <v>294.95733642578125</v>
      </c>
      <c r="N8717" s="187">
        <v>237.35733032226563</v>
      </c>
      <c r="O8717" t="s">
        <v>8359</v>
      </c>
    </row>
    <row r="8718" spans="1:15" hidden="1" x14ac:dyDescent="0.45">
      <c r="A8718" s="187">
        <v>2030</v>
      </c>
      <c r="B8718" t="s">
        <v>8570</v>
      </c>
      <c r="C8718" t="s">
        <v>322</v>
      </c>
      <c r="D8718" t="s">
        <v>35</v>
      </c>
      <c r="E8718" t="s">
        <v>351</v>
      </c>
      <c r="F8718" t="s">
        <v>351</v>
      </c>
      <c r="G8718" t="s">
        <v>37</v>
      </c>
      <c r="H8718" t="s">
        <v>43</v>
      </c>
      <c r="I8718" s="187">
        <v>49.766500955631898</v>
      </c>
      <c r="J8718" s="187"/>
      <c r="K8718" s="187">
        <v>113.1130246182271</v>
      </c>
      <c r="L8718" s="187">
        <v>164</v>
      </c>
      <c r="M8718" s="187">
        <v>326.8795166015625</v>
      </c>
      <c r="N8718" s="187">
        <v>213.76651000976563</v>
      </c>
      <c r="O8718" t="s">
        <v>9389</v>
      </c>
    </row>
    <row r="8719" spans="1:15" hidden="1" x14ac:dyDescent="0.45">
      <c r="A8719" s="187">
        <v>2030</v>
      </c>
      <c r="B8719" t="s">
        <v>316</v>
      </c>
      <c r="C8719" t="s">
        <v>322</v>
      </c>
      <c r="D8719" t="s">
        <v>35</v>
      </c>
      <c r="E8719" t="s">
        <v>351</v>
      </c>
      <c r="F8719" t="s">
        <v>351</v>
      </c>
      <c r="G8719" t="s">
        <v>37</v>
      </c>
      <c r="H8719" t="s">
        <v>43</v>
      </c>
      <c r="I8719" s="187">
        <v>95</v>
      </c>
      <c r="J8719" s="187"/>
      <c r="K8719" s="187">
        <v>74.610553724488241</v>
      </c>
      <c r="L8719" s="187">
        <v>211</v>
      </c>
      <c r="M8719" s="187">
        <v>380.61053466796875</v>
      </c>
      <c r="N8719" s="187">
        <v>306</v>
      </c>
      <c r="O8719" t="s">
        <v>8358</v>
      </c>
    </row>
    <row r="8720" spans="1:15" hidden="1" x14ac:dyDescent="0.45">
      <c r="A8720" s="187">
        <v>2030</v>
      </c>
      <c r="B8720" t="s">
        <v>317</v>
      </c>
      <c r="C8720" t="s">
        <v>322</v>
      </c>
      <c r="D8720" t="s">
        <v>35</v>
      </c>
      <c r="E8720" t="s">
        <v>352</v>
      </c>
      <c r="F8720" t="s">
        <v>361</v>
      </c>
      <c r="G8720" t="s">
        <v>36</v>
      </c>
      <c r="H8720" t="s">
        <v>43</v>
      </c>
      <c r="I8720" s="187">
        <v>0</v>
      </c>
      <c r="J8720" s="187"/>
      <c r="K8720" s="187">
        <v>0</v>
      </c>
      <c r="L8720" s="187"/>
      <c r="M8720" s="187">
        <v>0</v>
      </c>
      <c r="N8720" s="187">
        <v>0</v>
      </c>
      <c r="O8720" t="s">
        <v>8360</v>
      </c>
    </row>
    <row r="8721" spans="1:15" hidden="1" x14ac:dyDescent="0.45">
      <c r="A8721" s="187">
        <v>2030</v>
      </c>
      <c r="B8721" t="s">
        <v>316</v>
      </c>
      <c r="C8721" t="s">
        <v>322</v>
      </c>
      <c r="D8721" t="s">
        <v>35</v>
      </c>
      <c r="E8721" t="s">
        <v>352</v>
      </c>
      <c r="F8721" t="s">
        <v>361</v>
      </c>
      <c r="G8721" t="s">
        <v>36</v>
      </c>
      <c r="H8721" t="s">
        <v>43</v>
      </c>
      <c r="I8721" s="187">
        <v>0</v>
      </c>
      <c r="J8721" s="187"/>
      <c r="K8721" s="187">
        <v>0</v>
      </c>
      <c r="L8721" s="187"/>
      <c r="M8721" s="187">
        <v>0</v>
      </c>
      <c r="N8721" s="187">
        <v>0</v>
      </c>
      <c r="O8721" t="s">
        <v>8361</v>
      </c>
    </row>
    <row r="8722" spans="1:15" hidden="1" x14ac:dyDescent="0.45">
      <c r="A8722" s="187">
        <v>2030</v>
      </c>
      <c r="B8722" t="s">
        <v>8570</v>
      </c>
      <c r="C8722" t="s">
        <v>322</v>
      </c>
      <c r="D8722" t="s">
        <v>35</v>
      </c>
      <c r="E8722" t="s">
        <v>352</v>
      </c>
      <c r="F8722" t="s">
        <v>361</v>
      </c>
      <c r="G8722" t="s">
        <v>36</v>
      </c>
      <c r="H8722" t="s">
        <v>43</v>
      </c>
      <c r="I8722" s="187">
        <v>0</v>
      </c>
      <c r="J8722" s="187"/>
      <c r="K8722" s="187">
        <v>0</v>
      </c>
      <c r="L8722" s="187"/>
      <c r="M8722" s="187">
        <v>0</v>
      </c>
      <c r="N8722" s="187">
        <v>0</v>
      </c>
      <c r="O8722" t="s">
        <v>9390</v>
      </c>
    </row>
    <row r="8723" spans="1:15" hidden="1" x14ac:dyDescent="0.45">
      <c r="A8723" s="187">
        <v>2030</v>
      </c>
      <c r="B8723" t="s">
        <v>317</v>
      </c>
      <c r="C8723" t="s">
        <v>322</v>
      </c>
      <c r="D8723" t="s">
        <v>35</v>
      </c>
      <c r="E8723" t="s">
        <v>353</v>
      </c>
      <c r="F8723" t="s">
        <v>383</v>
      </c>
      <c r="G8723" t="s">
        <v>36</v>
      </c>
      <c r="H8723" t="s">
        <v>43</v>
      </c>
      <c r="I8723" s="187">
        <v>14582.589261816354</v>
      </c>
      <c r="J8723" s="187">
        <v>1021.0810954238837</v>
      </c>
      <c r="K8723" s="187">
        <v>17607.337473246243</v>
      </c>
      <c r="L8723" s="187">
        <v>19384.333176618489</v>
      </c>
      <c r="M8723" s="187">
        <v>52595.33984375</v>
      </c>
      <c r="N8723" s="187">
        <v>33966.921875</v>
      </c>
      <c r="O8723" t="s">
        <v>8362</v>
      </c>
    </row>
    <row r="8724" spans="1:15" hidden="1" x14ac:dyDescent="0.45">
      <c r="A8724" s="187">
        <v>2030</v>
      </c>
      <c r="B8724" t="s">
        <v>8570</v>
      </c>
      <c r="C8724" t="s">
        <v>322</v>
      </c>
      <c r="D8724" t="s">
        <v>35</v>
      </c>
      <c r="E8724" t="s">
        <v>353</v>
      </c>
      <c r="F8724" t="s">
        <v>383</v>
      </c>
      <c r="G8724" t="s">
        <v>36</v>
      </c>
      <c r="H8724" t="s">
        <v>43</v>
      </c>
      <c r="I8724" s="187">
        <v>11112.621722988541</v>
      </c>
      <c r="J8724" s="187">
        <v>945</v>
      </c>
      <c r="K8724" s="187">
        <v>15562.19724507007</v>
      </c>
      <c r="L8724" s="187">
        <v>16187</v>
      </c>
      <c r="M8724" s="187">
        <v>43806.8203125</v>
      </c>
      <c r="N8724" s="187">
        <v>27299.62109375</v>
      </c>
      <c r="O8724" t="s">
        <v>9391</v>
      </c>
    </row>
    <row r="8725" spans="1:15" hidden="1" x14ac:dyDescent="0.45">
      <c r="A8725" s="187">
        <v>2030</v>
      </c>
      <c r="B8725" t="s">
        <v>316</v>
      </c>
      <c r="C8725" t="s">
        <v>322</v>
      </c>
      <c r="D8725" t="s">
        <v>35</v>
      </c>
      <c r="E8725" t="s">
        <v>353</v>
      </c>
      <c r="F8725" t="s">
        <v>383</v>
      </c>
      <c r="G8725" t="s">
        <v>36</v>
      </c>
      <c r="H8725" t="s">
        <v>43</v>
      </c>
      <c r="I8725" s="187">
        <v>21881.628130253011</v>
      </c>
      <c r="J8725" s="187">
        <v>929.62703980853848</v>
      </c>
      <c r="K8725" s="187">
        <v>17501.317670916993</v>
      </c>
      <c r="L8725" s="187">
        <v>24767.291015562554</v>
      </c>
      <c r="M8725" s="187">
        <v>65079.86328125</v>
      </c>
      <c r="N8725" s="187">
        <v>46648.91796875</v>
      </c>
      <c r="O8725" t="s">
        <v>8363</v>
      </c>
    </row>
    <row r="8726" spans="1:15" hidden="1" x14ac:dyDescent="0.45">
      <c r="A8726" s="187">
        <v>2030</v>
      </c>
      <c r="B8726" t="s">
        <v>8570</v>
      </c>
      <c r="C8726" t="s">
        <v>322</v>
      </c>
      <c r="D8726" t="s">
        <v>35</v>
      </c>
      <c r="E8726" t="s">
        <v>353</v>
      </c>
      <c r="F8726" t="s">
        <v>383</v>
      </c>
      <c r="G8726" t="s">
        <v>37</v>
      </c>
      <c r="H8726" t="s">
        <v>43</v>
      </c>
      <c r="I8726" s="187">
        <v>13020.20748926908</v>
      </c>
      <c r="J8726" s="187">
        <v>945</v>
      </c>
      <c r="K8726" s="187">
        <v>18313.97027502437</v>
      </c>
      <c r="L8726" s="187">
        <v>20623</v>
      </c>
      <c r="M8726" s="187">
        <v>52902.1796875</v>
      </c>
      <c r="N8726" s="187">
        <v>33643.20703125</v>
      </c>
      <c r="O8726" t="s">
        <v>9392</v>
      </c>
    </row>
    <row r="8727" spans="1:15" hidden="1" x14ac:dyDescent="0.45">
      <c r="A8727" s="187">
        <v>2030</v>
      </c>
      <c r="B8727" t="s">
        <v>317</v>
      </c>
      <c r="C8727" t="s">
        <v>322</v>
      </c>
      <c r="D8727" t="s">
        <v>35</v>
      </c>
      <c r="E8727" t="s">
        <v>353</v>
      </c>
      <c r="F8727" t="s">
        <v>383</v>
      </c>
      <c r="G8727" t="s">
        <v>37</v>
      </c>
      <c r="H8727" t="s">
        <v>43</v>
      </c>
      <c r="I8727" s="187">
        <v>16129.01189600191</v>
      </c>
      <c r="J8727" s="187">
        <v>945</v>
      </c>
      <c r="K8727" s="187">
        <v>19355.821393364389</v>
      </c>
      <c r="L8727" s="187">
        <v>21194</v>
      </c>
      <c r="M8727" s="187">
        <v>57623.83203125</v>
      </c>
      <c r="N8727" s="187">
        <v>37323.01171875</v>
      </c>
      <c r="O8727" t="s">
        <v>8365</v>
      </c>
    </row>
    <row r="8728" spans="1:15" hidden="1" x14ac:dyDescent="0.45">
      <c r="A8728" s="187">
        <v>2030</v>
      </c>
      <c r="B8728" t="s">
        <v>316</v>
      </c>
      <c r="C8728" t="s">
        <v>322</v>
      </c>
      <c r="D8728" t="s">
        <v>35</v>
      </c>
      <c r="E8728" t="s">
        <v>353</v>
      </c>
      <c r="F8728" t="s">
        <v>383</v>
      </c>
      <c r="G8728" t="s">
        <v>37</v>
      </c>
      <c r="H8728" t="s">
        <v>43</v>
      </c>
      <c r="I8728" s="187">
        <v>24219</v>
      </c>
      <c r="J8728" s="187">
        <v>844</v>
      </c>
      <c r="K8728" s="187">
        <v>19022.817128358009</v>
      </c>
      <c r="L8728" s="187">
        <v>27733.509713169951</v>
      </c>
      <c r="M8728" s="187">
        <v>71819.328125</v>
      </c>
      <c r="N8728" s="187">
        <v>51952.5078125</v>
      </c>
      <c r="O8728" t="s">
        <v>8364</v>
      </c>
    </row>
    <row r="8729" spans="1:15" hidden="1" x14ac:dyDescent="0.45">
      <c r="A8729" s="187">
        <v>2030</v>
      </c>
      <c r="B8729" t="s">
        <v>8570</v>
      </c>
      <c r="C8729" t="s">
        <v>322</v>
      </c>
      <c r="D8729" t="s">
        <v>35</v>
      </c>
      <c r="E8729" t="s">
        <v>38</v>
      </c>
      <c r="F8729" t="s">
        <v>38</v>
      </c>
      <c r="G8729" t="s">
        <v>36</v>
      </c>
      <c r="H8729" t="s">
        <v>43</v>
      </c>
      <c r="I8729" s="187">
        <v>475.60480000000001</v>
      </c>
      <c r="J8729" s="187">
        <v>55</v>
      </c>
      <c r="K8729" s="187">
        <v>2163.451827428607</v>
      </c>
      <c r="L8729" s="187">
        <v>977</v>
      </c>
      <c r="M8729" s="187">
        <v>3671.056640625</v>
      </c>
      <c r="N8729" s="187">
        <v>1452.604736328125</v>
      </c>
      <c r="O8729" t="s">
        <v>9393</v>
      </c>
    </row>
    <row r="8730" spans="1:15" hidden="1" x14ac:dyDescent="0.45">
      <c r="A8730" s="187">
        <v>2030</v>
      </c>
      <c r="B8730" t="s">
        <v>316</v>
      </c>
      <c r="C8730" t="s">
        <v>322</v>
      </c>
      <c r="D8730" t="s">
        <v>35</v>
      </c>
      <c r="E8730" t="s">
        <v>38</v>
      </c>
      <c r="F8730" t="s">
        <v>38</v>
      </c>
      <c r="G8730" t="s">
        <v>36</v>
      </c>
      <c r="H8730" t="s">
        <v>43</v>
      </c>
      <c r="I8730" s="187">
        <v>435.07426626110509</v>
      </c>
      <c r="J8730" s="187">
        <v>60.579961124964001</v>
      </c>
      <c r="K8730" s="187">
        <v>1167.6067940759499</v>
      </c>
      <c r="L8730" s="187">
        <v>1522.20920499455</v>
      </c>
      <c r="M8730" s="187">
        <v>3185.47021484375</v>
      </c>
      <c r="N8730" s="187">
        <v>1957.283447265625</v>
      </c>
      <c r="O8730" t="s">
        <v>8366</v>
      </c>
    </row>
    <row r="8731" spans="1:15" hidden="1" x14ac:dyDescent="0.45">
      <c r="A8731" s="187">
        <v>2030</v>
      </c>
      <c r="B8731" t="s">
        <v>317</v>
      </c>
      <c r="C8731" t="s">
        <v>322</v>
      </c>
      <c r="D8731" t="s">
        <v>35</v>
      </c>
      <c r="E8731" t="s">
        <v>38</v>
      </c>
      <c r="F8731" t="s">
        <v>38</v>
      </c>
      <c r="G8731" t="s">
        <v>36</v>
      </c>
      <c r="H8731" t="s">
        <v>43</v>
      </c>
      <c r="I8731" s="187">
        <v>665.57783031653139</v>
      </c>
      <c r="J8731" s="187">
        <v>59.428000262765714</v>
      </c>
      <c r="K8731" s="187">
        <v>2744.3868891716329</v>
      </c>
      <c r="L8731" s="187">
        <v>2134.0054639811324</v>
      </c>
      <c r="M8731" s="187">
        <v>5603.39794921875</v>
      </c>
      <c r="N8731" s="187">
        <v>2799.583251953125</v>
      </c>
      <c r="O8731" t="s">
        <v>8367</v>
      </c>
    </row>
    <row r="8732" spans="1:15" hidden="1" x14ac:dyDescent="0.45">
      <c r="A8732" s="187">
        <v>2030</v>
      </c>
      <c r="B8732" t="s">
        <v>316</v>
      </c>
      <c r="C8732" t="s">
        <v>322</v>
      </c>
      <c r="D8732" t="s">
        <v>35</v>
      </c>
      <c r="E8732" t="s">
        <v>38</v>
      </c>
      <c r="F8732" t="s">
        <v>38</v>
      </c>
      <c r="G8732" t="s">
        <v>37</v>
      </c>
      <c r="H8732" t="s">
        <v>43</v>
      </c>
      <c r="I8732" s="187">
        <v>482</v>
      </c>
      <c r="J8732" s="187">
        <v>55</v>
      </c>
      <c r="K8732" s="187">
        <v>1269.114185524717</v>
      </c>
      <c r="L8732" s="187">
        <v>1704.5263271150191</v>
      </c>
      <c r="M8732" s="187">
        <v>3510.640380859375</v>
      </c>
      <c r="N8732" s="187">
        <v>2186.5263671875</v>
      </c>
      <c r="O8732" t="s">
        <v>8368</v>
      </c>
    </row>
    <row r="8733" spans="1:15" hidden="1" x14ac:dyDescent="0.45">
      <c r="A8733" s="187">
        <v>2030</v>
      </c>
      <c r="B8733" t="s">
        <v>8570</v>
      </c>
      <c r="C8733" t="s">
        <v>322</v>
      </c>
      <c r="D8733" t="s">
        <v>35</v>
      </c>
      <c r="E8733" t="s">
        <v>38</v>
      </c>
      <c r="F8733" t="s">
        <v>38</v>
      </c>
      <c r="G8733" t="s">
        <v>37</v>
      </c>
      <c r="H8733" t="s">
        <v>43</v>
      </c>
      <c r="I8733" s="187">
        <v>557.2468255697064</v>
      </c>
      <c r="J8733" s="187">
        <v>55</v>
      </c>
      <c r="K8733" s="187">
        <v>2546.0024593587682</v>
      </c>
      <c r="L8733" s="187">
        <v>1245</v>
      </c>
      <c r="M8733" s="187">
        <v>4403.2490234375</v>
      </c>
      <c r="N8733" s="187">
        <v>1802.246826171875</v>
      </c>
      <c r="O8733" t="s">
        <v>9394</v>
      </c>
    </row>
    <row r="8734" spans="1:15" hidden="1" x14ac:dyDescent="0.45">
      <c r="A8734" s="187">
        <v>2030</v>
      </c>
      <c r="B8734" t="s">
        <v>317</v>
      </c>
      <c r="C8734" t="s">
        <v>322</v>
      </c>
      <c r="D8734" t="s">
        <v>35</v>
      </c>
      <c r="E8734" t="s">
        <v>38</v>
      </c>
      <c r="F8734" t="s">
        <v>38</v>
      </c>
      <c r="G8734" t="s">
        <v>37</v>
      </c>
      <c r="H8734" t="s">
        <v>43</v>
      </c>
      <c r="I8734" s="187">
        <v>736.15957702379615</v>
      </c>
      <c r="J8734" s="187">
        <v>55</v>
      </c>
      <c r="K8734" s="187">
        <v>3016.9162453897911</v>
      </c>
      <c r="L8734" s="187">
        <v>2333</v>
      </c>
      <c r="M8734" s="187">
        <v>6141.076171875</v>
      </c>
      <c r="N8734" s="187">
        <v>3069.15966796875</v>
      </c>
      <c r="O8734" t="s">
        <v>8369</v>
      </c>
    </row>
    <row r="8735" spans="1:15" hidden="1" x14ac:dyDescent="0.45">
      <c r="A8735" s="187">
        <v>2030</v>
      </c>
      <c r="B8735" t="s">
        <v>316</v>
      </c>
      <c r="C8735" t="s">
        <v>322</v>
      </c>
      <c r="D8735" t="s">
        <v>35</v>
      </c>
      <c r="E8735" t="s">
        <v>354</v>
      </c>
      <c r="F8735" t="s">
        <v>384</v>
      </c>
      <c r="G8735" t="s">
        <v>36</v>
      </c>
      <c r="H8735" t="s">
        <v>43</v>
      </c>
      <c r="I8735" s="187">
        <v>0</v>
      </c>
      <c r="J8735" s="187">
        <v>44.058153545428361</v>
      </c>
      <c r="K8735" s="187">
        <v>0</v>
      </c>
      <c r="L8735" s="187">
        <v>0</v>
      </c>
      <c r="M8735" s="187">
        <v>44.058155059814453</v>
      </c>
      <c r="N8735" s="187">
        <v>0</v>
      </c>
      <c r="O8735" t="s">
        <v>8370</v>
      </c>
    </row>
    <row r="8736" spans="1:15" hidden="1" x14ac:dyDescent="0.45">
      <c r="A8736" s="187">
        <v>2030</v>
      </c>
      <c r="B8736" t="s">
        <v>8570</v>
      </c>
      <c r="C8736" t="s">
        <v>322</v>
      </c>
      <c r="D8736" t="s">
        <v>35</v>
      </c>
      <c r="E8736" t="s">
        <v>354</v>
      </c>
      <c r="F8736" t="s">
        <v>384</v>
      </c>
      <c r="G8736" t="s">
        <v>36</v>
      </c>
      <c r="H8736" t="s">
        <v>43</v>
      </c>
      <c r="I8736" s="187">
        <v>0</v>
      </c>
      <c r="J8736" s="187">
        <v>40</v>
      </c>
      <c r="K8736" s="187">
        <v>0</v>
      </c>
      <c r="L8736" s="187">
        <v>0</v>
      </c>
      <c r="M8736" s="187">
        <v>40</v>
      </c>
      <c r="N8736" s="187">
        <v>0</v>
      </c>
      <c r="O8736" t="s">
        <v>9395</v>
      </c>
    </row>
    <row r="8737" spans="1:15" hidden="1" x14ac:dyDescent="0.45">
      <c r="A8737" s="187">
        <v>2030</v>
      </c>
      <c r="B8737" t="s">
        <v>317</v>
      </c>
      <c r="C8737" t="s">
        <v>322</v>
      </c>
      <c r="D8737" t="s">
        <v>35</v>
      </c>
      <c r="E8737" t="s">
        <v>354</v>
      </c>
      <c r="F8737" t="s">
        <v>384</v>
      </c>
      <c r="G8737" t="s">
        <v>36</v>
      </c>
      <c r="H8737" t="s">
        <v>43</v>
      </c>
      <c r="I8737" s="187">
        <v>0</v>
      </c>
      <c r="J8737" s="187">
        <v>43.220363827465974</v>
      </c>
      <c r="K8737" s="187">
        <v>0</v>
      </c>
      <c r="L8737" s="187">
        <v>0</v>
      </c>
      <c r="M8737" s="187">
        <v>43.220363616943359</v>
      </c>
      <c r="N8737" s="187">
        <v>0</v>
      </c>
      <c r="O8737" t="s">
        <v>8371</v>
      </c>
    </row>
    <row r="8738" spans="1:15" hidden="1" x14ac:dyDescent="0.45">
      <c r="A8738" s="187">
        <v>2030</v>
      </c>
      <c r="B8738" t="s">
        <v>316</v>
      </c>
      <c r="C8738" t="s">
        <v>322</v>
      </c>
      <c r="D8738" t="s">
        <v>35</v>
      </c>
      <c r="E8738" t="s">
        <v>354</v>
      </c>
      <c r="F8738" t="s">
        <v>384</v>
      </c>
      <c r="G8738" t="s">
        <v>37</v>
      </c>
      <c r="H8738" t="s">
        <v>43</v>
      </c>
      <c r="I8738" s="187">
        <v>0</v>
      </c>
      <c r="J8738" s="187">
        <v>40</v>
      </c>
      <c r="K8738" s="187">
        <v>0</v>
      </c>
      <c r="L8738" s="187">
        <v>0</v>
      </c>
      <c r="M8738" s="187">
        <v>40</v>
      </c>
      <c r="N8738" s="187">
        <v>0</v>
      </c>
      <c r="O8738" t="s">
        <v>8372</v>
      </c>
    </row>
    <row r="8739" spans="1:15" hidden="1" x14ac:dyDescent="0.45">
      <c r="A8739" s="187">
        <v>2030</v>
      </c>
      <c r="B8739" t="s">
        <v>317</v>
      </c>
      <c r="C8739" t="s">
        <v>322</v>
      </c>
      <c r="D8739" t="s">
        <v>35</v>
      </c>
      <c r="E8739" t="s">
        <v>354</v>
      </c>
      <c r="F8739" t="s">
        <v>384</v>
      </c>
      <c r="G8739" t="s">
        <v>37</v>
      </c>
      <c r="H8739" t="s">
        <v>43</v>
      </c>
      <c r="I8739" s="187">
        <v>0</v>
      </c>
      <c r="J8739" s="187">
        <v>40</v>
      </c>
      <c r="K8739" s="187">
        <v>0</v>
      </c>
      <c r="L8739" s="187">
        <v>0</v>
      </c>
      <c r="M8739" s="187">
        <v>40</v>
      </c>
      <c r="N8739" s="187">
        <v>0</v>
      </c>
      <c r="O8739" t="s">
        <v>8373</v>
      </c>
    </row>
    <row r="8740" spans="1:15" hidden="1" x14ac:dyDescent="0.45">
      <c r="A8740" s="187">
        <v>2030</v>
      </c>
      <c r="B8740" t="s">
        <v>8570</v>
      </c>
      <c r="C8740" t="s">
        <v>322</v>
      </c>
      <c r="D8740" t="s">
        <v>35</v>
      </c>
      <c r="E8740" t="s">
        <v>354</v>
      </c>
      <c r="F8740" t="s">
        <v>384</v>
      </c>
      <c r="G8740" t="s">
        <v>37</v>
      </c>
      <c r="H8740" t="s">
        <v>43</v>
      </c>
      <c r="I8740" s="187">
        <v>0</v>
      </c>
      <c r="J8740" s="187">
        <v>40</v>
      </c>
      <c r="K8740" s="187">
        <v>0</v>
      </c>
      <c r="L8740" s="187">
        <v>0</v>
      </c>
      <c r="M8740" s="187">
        <v>40</v>
      </c>
      <c r="N8740" s="187">
        <v>0</v>
      </c>
      <c r="O8740" t="s">
        <v>9396</v>
      </c>
    </row>
    <row r="8741" spans="1:15" hidden="1" x14ac:dyDescent="0.45">
      <c r="A8741" s="187">
        <v>2030</v>
      </c>
      <c r="B8741" t="s">
        <v>316</v>
      </c>
      <c r="C8741" t="s">
        <v>322</v>
      </c>
      <c r="D8741" t="s">
        <v>35</v>
      </c>
      <c r="E8741" t="s">
        <v>354</v>
      </c>
      <c r="F8741" t="s">
        <v>385</v>
      </c>
      <c r="G8741" t="s">
        <v>36</v>
      </c>
      <c r="H8741" t="s">
        <v>43</v>
      </c>
      <c r="I8741" s="187">
        <v>0</v>
      </c>
      <c r="J8741" s="187">
        <v>22.029076772714181</v>
      </c>
      <c r="K8741" s="187">
        <v>993.54086609487592</v>
      </c>
      <c r="L8741" s="187">
        <v>58.377053447692582</v>
      </c>
      <c r="M8741" s="187">
        <v>1073.947021484375</v>
      </c>
      <c r="N8741" s="187">
        <v>58.377052307128906</v>
      </c>
      <c r="O8741" t="s">
        <v>8374</v>
      </c>
    </row>
    <row r="8742" spans="1:15" hidden="1" x14ac:dyDescent="0.45">
      <c r="A8742" s="187">
        <v>2030</v>
      </c>
      <c r="B8742" t="s">
        <v>8570</v>
      </c>
      <c r="C8742" t="s">
        <v>322</v>
      </c>
      <c r="D8742" t="s">
        <v>35</v>
      </c>
      <c r="E8742" t="s">
        <v>354</v>
      </c>
      <c r="F8742" t="s">
        <v>385</v>
      </c>
      <c r="G8742" t="s">
        <v>36</v>
      </c>
      <c r="H8742" t="s">
        <v>43</v>
      </c>
      <c r="I8742" s="187">
        <v>61.179096000000008</v>
      </c>
      <c r="J8742" s="187">
        <v>20</v>
      </c>
      <c r="K8742" s="187">
        <v>809.03830170904587</v>
      </c>
      <c r="L8742" s="187">
        <v>218</v>
      </c>
      <c r="M8742" s="187">
        <v>1108.2174072265625</v>
      </c>
      <c r="N8742" s="187">
        <v>279.17910766601563</v>
      </c>
      <c r="O8742" t="s">
        <v>9397</v>
      </c>
    </row>
    <row r="8743" spans="1:15" hidden="1" x14ac:dyDescent="0.45">
      <c r="A8743" s="187">
        <v>2030</v>
      </c>
      <c r="B8743" t="s">
        <v>317</v>
      </c>
      <c r="C8743" t="s">
        <v>322</v>
      </c>
      <c r="D8743" t="s">
        <v>35</v>
      </c>
      <c r="E8743" t="s">
        <v>354</v>
      </c>
      <c r="F8743" t="s">
        <v>385</v>
      </c>
      <c r="G8743" t="s">
        <v>36</v>
      </c>
      <c r="H8743" t="s">
        <v>43</v>
      </c>
      <c r="I8743" s="187">
        <v>54.025454784332467</v>
      </c>
      <c r="J8743" s="187">
        <v>21.610181913732987</v>
      </c>
      <c r="K8743" s="187">
        <v>604.4069266990731</v>
      </c>
      <c r="L8743" s="187">
        <v>293.89847402676861</v>
      </c>
      <c r="M8743" s="187">
        <v>973.9410400390625</v>
      </c>
      <c r="N8743" s="187">
        <v>347.92391967773438</v>
      </c>
      <c r="O8743" t="s">
        <v>8375</v>
      </c>
    </row>
    <row r="8744" spans="1:15" hidden="1" x14ac:dyDescent="0.45">
      <c r="A8744" s="187">
        <v>2030</v>
      </c>
      <c r="B8744" t="s">
        <v>317</v>
      </c>
      <c r="C8744" t="s">
        <v>322</v>
      </c>
      <c r="D8744" t="s">
        <v>35</v>
      </c>
      <c r="E8744" t="s">
        <v>354</v>
      </c>
      <c r="F8744" t="s">
        <v>385</v>
      </c>
      <c r="G8744" t="s">
        <v>37</v>
      </c>
      <c r="H8744" t="s">
        <v>43</v>
      </c>
      <c r="I8744" s="187">
        <v>59.754628431115563</v>
      </c>
      <c r="J8744" s="187">
        <v>20</v>
      </c>
      <c r="K8744" s="187">
        <v>664.42711965255739</v>
      </c>
      <c r="L8744" s="187">
        <v>321</v>
      </c>
      <c r="M8744" s="187">
        <v>1065.1817626953125</v>
      </c>
      <c r="N8744" s="187">
        <v>380.754638671875</v>
      </c>
      <c r="O8744" t="s">
        <v>8376</v>
      </c>
    </row>
    <row r="8745" spans="1:15" hidden="1" x14ac:dyDescent="0.45">
      <c r="A8745" s="187">
        <v>2030</v>
      </c>
      <c r="B8745" t="s">
        <v>8570</v>
      </c>
      <c r="C8745" t="s">
        <v>322</v>
      </c>
      <c r="D8745" t="s">
        <v>35</v>
      </c>
      <c r="E8745" t="s">
        <v>354</v>
      </c>
      <c r="F8745" t="s">
        <v>385</v>
      </c>
      <c r="G8745" t="s">
        <v>37</v>
      </c>
      <c r="H8745" t="s">
        <v>43</v>
      </c>
      <c r="I8745" s="187">
        <v>71.681061749638204</v>
      </c>
      <c r="J8745" s="187">
        <v>20</v>
      </c>
      <c r="K8745" s="187">
        <v>952.09584967504668</v>
      </c>
      <c r="L8745" s="187">
        <v>278</v>
      </c>
      <c r="M8745" s="187">
        <v>1321.77685546875</v>
      </c>
      <c r="N8745" s="187">
        <v>349.68106079101563</v>
      </c>
      <c r="O8745" t="s">
        <v>9398</v>
      </c>
    </row>
    <row r="8746" spans="1:15" hidden="1" x14ac:dyDescent="0.45">
      <c r="A8746" s="187">
        <v>2030</v>
      </c>
      <c r="B8746" t="s">
        <v>316</v>
      </c>
      <c r="C8746" t="s">
        <v>322</v>
      </c>
      <c r="D8746" t="s">
        <v>35</v>
      </c>
      <c r="E8746" t="s">
        <v>354</v>
      </c>
      <c r="F8746" t="s">
        <v>385</v>
      </c>
      <c r="G8746" t="s">
        <v>37</v>
      </c>
      <c r="H8746" t="s">
        <v>43</v>
      </c>
      <c r="I8746" s="187">
        <v>0</v>
      </c>
      <c r="J8746" s="187">
        <v>20</v>
      </c>
      <c r="K8746" s="187">
        <v>1079.9156132501071</v>
      </c>
      <c r="L8746" s="187">
        <v>65.368954657811884</v>
      </c>
      <c r="M8746" s="187">
        <v>1165.2845458984375</v>
      </c>
      <c r="N8746" s="187">
        <v>65.36895751953125</v>
      </c>
      <c r="O8746" t="s">
        <v>8377</v>
      </c>
    </row>
    <row r="8747" spans="1:15" hidden="1" x14ac:dyDescent="0.45">
      <c r="A8747" s="187">
        <v>2030</v>
      </c>
      <c r="B8747" t="s">
        <v>317</v>
      </c>
      <c r="C8747" t="s">
        <v>322</v>
      </c>
      <c r="D8747" t="s">
        <v>35</v>
      </c>
      <c r="E8747" t="s">
        <v>354</v>
      </c>
      <c r="F8747" t="s">
        <v>386</v>
      </c>
      <c r="G8747" t="s">
        <v>36</v>
      </c>
      <c r="H8747" t="s">
        <v>43</v>
      </c>
      <c r="I8747" s="187">
        <v>54.025454784332467</v>
      </c>
      <c r="J8747" s="187">
        <v>21.610181913732987</v>
      </c>
      <c r="K8747" s="187">
        <v>944.38582296730181</v>
      </c>
      <c r="L8747" s="187">
        <v>890.33949484579898</v>
      </c>
      <c r="M8747" s="187">
        <v>1910.3609619140625</v>
      </c>
      <c r="N8747" s="187">
        <v>944.36492919921875</v>
      </c>
      <c r="O8747" t="s">
        <v>8378</v>
      </c>
    </row>
    <row r="8748" spans="1:15" hidden="1" x14ac:dyDescent="0.45">
      <c r="A8748" s="187">
        <v>2030</v>
      </c>
      <c r="B8748" t="s">
        <v>316</v>
      </c>
      <c r="C8748" t="s">
        <v>322</v>
      </c>
      <c r="D8748" t="s">
        <v>35</v>
      </c>
      <c r="E8748" t="s">
        <v>354</v>
      </c>
      <c r="F8748" t="s">
        <v>386</v>
      </c>
      <c r="G8748" t="s">
        <v>36</v>
      </c>
      <c r="H8748" t="s">
        <v>43</v>
      </c>
      <c r="I8748" s="187">
        <v>0</v>
      </c>
      <c r="J8748" s="187">
        <v>22.029076772714181</v>
      </c>
      <c r="K8748" s="187">
        <v>2409.3366002800744</v>
      </c>
      <c r="L8748" s="187">
        <v>189.45006024534194</v>
      </c>
      <c r="M8748" s="187">
        <v>2620.815673828125</v>
      </c>
      <c r="N8748" s="187">
        <v>189.45005798339844</v>
      </c>
      <c r="O8748" t="s">
        <v>8379</v>
      </c>
    </row>
    <row r="8749" spans="1:15" hidden="1" x14ac:dyDescent="0.45">
      <c r="A8749" s="187">
        <v>2030</v>
      </c>
      <c r="B8749" t="s">
        <v>8570</v>
      </c>
      <c r="C8749" t="s">
        <v>322</v>
      </c>
      <c r="D8749" t="s">
        <v>35</v>
      </c>
      <c r="E8749" t="s">
        <v>354</v>
      </c>
      <c r="F8749" t="s">
        <v>386</v>
      </c>
      <c r="G8749" t="s">
        <v>36</v>
      </c>
      <c r="H8749" t="s">
        <v>43</v>
      </c>
      <c r="I8749" s="187">
        <v>61.179096000000008</v>
      </c>
      <c r="J8749" s="187">
        <v>20</v>
      </c>
      <c r="K8749" s="187">
        <v>120.769787235482</v>
      </c>
      <c r="L8749" s="187">
        <v>0</v>
      </c>
      <c r="M8749" s="187">
        <v>201.94888305664063</v>
      </c>
      <c r="N8749" s="187">
        <v>61.179096221923828</v>
      </c>
      <c r="O8749" t="s">
        <v>9399</v>
      </c>
    </row>
    <row r="8750" spans="1:15" hidden="1" x14ac:dyDescent="0.45">
      <c r="A8750" s="187">
        <v>2030</v>
      </c>
      <c r="B8750" t="s">
        <v>316</v>
      </c>
      <c r="C8750" t="s">
        <v>322</v>
      </c>
      <c r="D8750" t="s">
        <v>35</v>
      </c>
      <c r="E8750" t="s">
        <v>354</v>
      </c>
      <c r="F8750" t="s">
        <v>386</v>
      </c>
      <c r="G8750" t="s">
        <v>37</v>
      </c>
      <c r="H8750" t="s">
        <v>43</v>
      </c>
      <c r="I8750" s="187">
        <v>0</v>
      </c>
      <c r="J8750" s="187">
        <v>20</v>
      </c>
      <c r="K8750" s="187">
        <v>2618.79536213151</v>
      </c>
      <c r="L8750" s="187">
        <v>212.1407585121442</v>
      </c>
      <c r="M8750" s="187">
        <v>2850.936279296875</v>
      </c>
      <c r="N8750" s="187">
        <v>212.14076232910156</v>
      </c>
      <c r="O8750" t="s">
        <v>8380</v>
      </c>
    </row>
    <row r="8751" spans="1:15" hidden="1" x14ac:dyDescent="0.45">
      <c r="A8751" s="187">
        <v>2030</v>
      </c>
      <c r="B8751" t="s">
        <v>317</v>
      </c>
      <c r="C8751" t="s">
        <v>322</v>
      </c>
      <c r="D8751" t="s">
        <v>35</v>
      </c>
      <c r="E8751" t="s">
        <v>354</v>
      </c>
      <c r="F8751" t="s">
        <v>386</v>
      </c>
      <c r="G8751" t="s">
        <v>37</v>
      </c>
      <c r="H8751" t="s">
        <v>43</v>
      </c>
      <c r="I8751" s="187">
        <v>59.754628431115563</v>
      </c>
      <c r="J8751" s="187">
        <v>20</v>
      </c>
      <c r="K8751" s="187">
        <v>1038.167374457121</v>
      </c>
      <c r="L8751" s="187">
        <v>973</v>
      </c>
      <c r="M8751" s="187">
        <v>2090.921875</v>
      </c>
      <c r="N8751" s="187">
        <v>1032.754638671875</v>
      </c>
      <c r="O8751" t="s">
        <v>8381</v>
      </c>
    </row>
    <row r="8752" spans="1:15" hidden="1" x14ac:dyDescent="0.45">
      <c r="A8752" s="187">
        <v>2030</v>
      </c>
      <c r="B8752" t="s">
        <v>8570</v>
      </c>
      <c r="C8752" t="s">
        <v>322</v>
      </c>
      <c r="D8752" t="s">
        <v>35</v>
      </c>
      <c r="E8752" t="s">
        <v>354</v>
      </c>
      <c r="F8752" t="s">
        <v>386</v>
      </c>
      <c r="G8752" t="s">
        <v>37</v>
      </c>
      <c r="H8752" t="s">
        <v>43</v>
      </c>
      <c r="I8752" s="187">
        <v>71.681061749638204</v>
      </c>
      <c r="J8752" s="187">
        <v>20</v>
      </c>
      <c r="K8752" s="187">
        <v>142.12480787392019</v>
      </c>
      <c r="L8752" s="187">
        <v>0</v>
      </c>
      <c r="M8752" s="187">
        <v>233.80586242675781</v>
      </c>
      <c r="N8752" s="187">
        <v>71.681060791015625</v>
      </c>
      <c r="O8752" t="s">
        <v>9400</v>
      </c>
    </row>
    <row r="8753" spans="1:15" hidden="1" x14ac:dyDescent="0.45">
      <c r="A8753" s="187">
        <v>2030</v>
      </c>
      <c r="B8753" t="s">
        <v>316</v>
      </c>
      <c r="C8753" t="s">
        <v>322</v>
      </c>
      <c r="D8753" t="s">
        <v>35</v>
      </c>
      <c r="E8753" t="s">
        <v>354</v>
      </c>
      <c r="F8753" t="s">
        <v>387</v>
      </c>
      <c r="G8753" t="s">
        <v>36</v>
      </c>
      <c r="H8753" t="s">
        <v>43</v>
      </c>
      <c r="I8753" s="187">
        <v>0</v>
      </c>
      <c r="J8753" s="187">
        <v>88.116307090856722</v>
      </c>
      <c r="K8753" s="187">
        <v>3402.8774663749514</v>
      </c>
      <c r="L8753" s="187">
        <v>247.82711369303453</v>
      </c>
      <c r="M8753" s="187">
        <v>3738.821044921875</v>
      </c>
      <c r="N8753" s="187">
        <v>247.82711791992188</v>
      </c>
      <c r="O8753" t="s">
        <v>8383</v>
      </c>
    </row>
    <row r="8754" spans="1:15" hidden="1" x14ac:dyDescent="0.45">
      <c r="A8754" s="187">
        <v>2030</v>
      </c>
      <c r="B8754" t="s">
        <v>8570</v>
      </c>
      <c r="C8754" t="s">
        <v>322</v>
      </c>
      <c r="D8754" t="s">
        <v>35</v>
      </c>
      <c r="E8754" t="s">
        <v>354</v>
      </c>
      <c r="F8754" t="s">
        <v>387</v>
      </c>
      <c r="G8754" t="s">
        <v>36</v>
      </c>
      <c r="H8754" t="s">
        <v>43</v>
      </c>
      <c r="I8754" s="187">
        <v>122.358192</v>
      </c>
      <c r="J8754" s="187">
        <v>80</v>
      </c>
      <c r="K8754" s="187">
        <v>929.80808894452787</v>
      </c>
      <c r="L8754" s="187">
        <v>218</v>
      </c>
      <c r="M8754" s="187">
        <v>1350.166259765625</v>
      </c>
      <c r="N8754" s="187">
        <v>340.35818481445313</v>
      </c>
      <c r="O8754" t="s">
        <v>9401</v>
      </c>
    </row>
    <row r="8755" spans="1:15" hidden="1" x14ac:dyDescent="0.45">
      <c r="A8755" s="187">
        <v>2030</v>
      </c>
      <c r="B8755" t="s">
        <v>317</v>
      </c>
      <c r="C8755" t="s">
        <v>322</v>
      </c>
      <c r="D8755" t="s">
        <v>35</v>
      </c>
      <c r="E8755" t="s">
        <v>354</v>
      </c>
      <c r="F8755" t="s">
        <v>387</v>
      </c>
      <c r="G8755" t="s">
        <v>36</v>
      </c>
      <c r="H8755" t="s">
        <v>43</v>
      </c>
      <c r="I8755" s="187">
        <v>108.05090956866493</v>
      </c>
      <c r="J8755" s="187">
        <v>86.440727654931948</v>
      </c>
      <c r="K8755" s="187">
        <v>1548.7927496663754</v>
      </c>
      <c r="L8755" s="187">
        <v>1184.2379688725675</v>
      </c>
      <c r="M8755" s="187">
        <v>2927.5224609375</v>
      </c>
      <c r="N8755" s="187">
        <v>1292.2889404296875</v>
      </c>
      <c r="O8755" t="s">
        <v>8382</v>
      </c>
    </row>
    <row r="8756" spans="1:15" hidden="1" x14ac:dyDescent="0.45">
      <c r="A8756" s="187">
        <v>2030</v>
      </c>
      <c r="B8756" t="s">
        <v>316</v>
      </c>
      <c r="C8756" t="s">
        <v>322</v>
      </c>
      <c r="D8756" t="s">
        <v>35</v>
      </c>
      <c r="E8756" t="s">
        <v>354</v>
      </c>
      <c r="F8756" t="s">
        <v>387</v>
      </c>
      <c r="G8756" t="s">
        <v>37</v>
      </c>
      <c r="H8756" t="s">
        <v>43</v>
      </c>
      <c r="I8756" s="187">
        <v>0</v>
      </c>
      <c r="J8756" s="187">
        <v>80</v>
      </c>
      <c r="K8756" s="187">
        <v>3698.7109753816171</v>
      </c>
      <c r="L8756" s="187">
        <v>277.50971316995611</v>
      </c>
      <c r="M8756" s="187">
        <v>4056.220703125</v>
      </c>
      <c r="N8756" s="187">
        <v>277.50970458984375</v>
      </c>
      <c r="O8756" t="s">
        <v>8384</v>
      </c>
    </row>
    <row r="8757" spans="1:15" hidden="1" x14ac:dyDescent="0.45">
      <c r="A8757" s="187">
        <v>2030</v>
      </c>
      <c r="B8757" t="s">
        <v>317</v>
      </c>
      <c r="C8757" t="s">
        <v>322</v>
      </c>
      <c r="D8757" t="s">
        <v>35</v>
      </c>
      <c r="E8757" t="s">
        <v>354</v>
      </c>
      <c r="F8757" t="s">
        <v>387</v>
      </c>
      <c r="G8757" t="s">
        <v>37</v>
      </c>
      <c r="H8757" t="s">
        <v>43</v>
      </c>
      <c r="I8757" s="187">
        <v>119.5092568622311</v>
      </c>
      <c r="J8757" s="187">
        <v>80</v>
      </c>
      <c r="K8757" s="187">
        <v>1702.594494109678</v>
      </c>
      <c r="L8757" s="187">
        <v>1294</v>
      </c>
      <c r="M8757" s="187">
        <v>3196.103759765625</v>
      </c>
      <c r="N8757" s="187">
        <v>1413.50927734375</v>
      </c>
      <c r="O8757" t="s">
        <v>8385</v>
      </c>
    </row>
    <row r="8758" spans="1:15" hidden="1" x14ac:dyDescent="0.45">
      <c r="A8758" s="187">
        <v>2030</v>
      </c>
      <c r="B8758" t="s">
        <v>8570</v>
      </c>
      <c r="C8758" t="s">
        <v>322</v>
      </c>
      <c r="D8758" t="s">
        <v>35</v>
      </c>
      <c r="E8758" t="s">
        <v>354</v>
      </c>
      <c r="F8758" t="s">
        <v>387</v>
      </c>
      <c r="G8758" t="s">
        <v>37</v>
      </c>
      <c r="H8758" t="s">
        <v>43</v>
      </c>
      <c r="I8758" s="187">
        <v>143.36212349927641</v>
      </c>
      <c r="J8758" s="187">
        <v>80</v>
      </c>
      <c r="K8758" s="187">
        <v>1094.220657548967</v>
      </c>
      <c r="L8758" s="187">
        <v>278</v>
      </c>
      <c r="M8758" s="187">
        <v>1595.582763671875</v>
      </c>
      <c r="N8758" s="187">
        <v>421.36212158203125</v>
      </c>
      <c r="O8758" t="s">
        <v>9402</v>
      </c>
    </row>
    <row r="8759" spans="1:15" hidden="1" x14ac:dyDescent="0.45">
      <c r="A8759" s="187">
        <v>2030</v>
      </c>
      <c r="B8759" t="s">
        <v>317</v>
      </c>
      <c r="C8759" t="s">
        <v>322</v>
      </c>
      <c r="D8759" t="s">
        <v>35</v>
      </c>
      <c r="E8759" t="s">
        <v>17</v>
      </c>
      <c r="F8759" t="s">
        <v>17</v>
      </c>
      <c r="G8759" t="s">
        <v>36</v>
      </c>
      <c r="H8759" t="s">
        <v>43</v>
      </c>
      <c r="I8759" s="187">
        <v>3553.3823498498177</v>
      </c>
      <c r="J8759" s="187">
        <v>162.07636435299739</v>
      </c>
      <c r="K8759" s="187">
        <v>1082.1720148287088</v>
      </c>
      <c r="L8759" s="187">
        <v>758.51738517202784</v>
      </c>
      <c r="M8759" s="187">
        <v>5556.1484375</v>
      </c>
      <c r="N8759" s="187">
        <v>4311.89990234375</v>
      </c>
      <c r="O8759" t="s">
        <v>8386</v>
      </c>
    </row>
    <row r="8760" spans="1:15" hidden="1" x14ac:dyDescent="0.45">
      <c r="A8760" s="187">
        <v>2030</v>
      </c>
      <c r="B8760" t="s">
        <v>8570</v>
      </c>
      <c r="C8760" t="s">
        <v>322</v>
      </c>
      <c r="D8760" t="s">
        <v>35</v>
      </c>
      <c r="E8760" t="s">
        <v>17</v>
      </c>
      <c r="F8760" t="s">
        <v>17</v>
      </c>
      <c r="G8760" t="s">
        <v>36</v>
      </c>
      <c r="H8760" t="s">
        <v>43</v>
      </c>
      <c r="I8760" s="187">
        <v>3272.3329589885329</v>
      </c>
      <c r="J8760" s="187">
        <v>150</v>
      </c>
      <c r="K8760" s="187">
        <v>551.49120775125436</v>
      </c>
      <c r="L8760" s="187">
        <v>927</v>
      </c>
      <c r="M8760" s="187">
        <v>4900.82421875</v>
      </c>
      <c r="N8760" s="187">
        <v>4199.3330078125</v>
      </c>
      <c r="O8760" t="s">
        <v>9403</v>
      </c>
    </row>
    <row r="8761" spans="1:15" hidden="1" x14ac:dyDescent="0.45">
      <c r="A8761" s="187">
        <v>2030</v>
      </c>
      <c r="B8761" t="s">
        <v>316</v>
      </c>
      <c r="C8761" t="s">
        <v>322</v>
      </c>
      <c r="D8761" t="s">
        <v>35</v>
      </c>
      <c r="E8761" t="s">
        <v>17</v>
      </c>
      <c r="F8761" t="s">
        <v>17</v>
      </c>
      <c r="G8761" t="s">
        <v>36</v>
      </c>
      <c r="H8761" t="s">
        <v>43</v>
      </c>
      <c r="I8761" s="187">
        <v>3133.9032933006306</v>
      </c>
      <c r="J8761" s="187">
        <v>165.21807579535636</v>
      </c>
      <c r="K8761" s="187">
        <v>1375.9770676299383</v>
      </c>
      <c r="L8761" s="187">
        <v>1175.2512458243016</v>
      </c>
      <c r="M8761" s="187">
        <v>5850.35009765625</v>
      </c>
      <c r="N8761" s="187">
        <v>4309.15478515625</v>
      </c>
      <c r="O8761" t="s">
        <v>8387</v>
      </c>
    </row>
    <row r="8762" spans="1:15" hidden="1" x14ac:dyDescent="0.45">
      <c r="A8762" s="187">
        <v>2030</v>
      </c>
      <c r="B8762" t="s">
        <v>316</v>
      </c>
      <c r="C8762" t="s">
        <v>322</v>
      </c>
      <c r="D8762" t="s">
        <v>35</v>
      </c>
      <c r="E8762" t="s">
        <v>17</v>
      </c>
      <c r="F8762" t="s">
        <v>17</v>
      </c>
      <c r="G8762" t="s">
        <v>37</v>
      </c>
      <c r="H8762" t="s">
        <v>43</v>
      </c>
      <c r="I8762" s="187">
        <v>3469</v>
      </c>
      <c r="J8762" s="187">
        <v>150</v>
      </c>
      <c r="K8762" s="187">
        <v>1495.599395572091</v>
      </c>
      <c r="L8762" s="187">
        <v>1316</v>
      </c>
      <c r="M8762" s="187">
        <v>6430.599609375</v>
      </c>
      <c r="N8762" s="187">
        <v>4785</v>
      </c>
      <c r="O8762" t="s">
        <v>8388</v>
      </c>
    </row>
    <row r="8763" spans="1:15" hidden="1" x14ac:dyDescent="0.45">
      <c r="A8763" s="187">
        <v>2030</v>
      </c>
      <c r="B8763" t="s">
        <v>8570</v>
      </c>
      <c r="C8763" t="s">
        <v>322</v>
      </c>
      <c r="D8763" t="s">
        <v>35</v>
      </c>
      <c r="E8763" t="s">
        <v>17</v>
      </c>
      <c r="F8763" t="s">
        <v>17</v>
      </c>
      <c r="G8763" t="s">
        <v>37</v>
      </c>
      <c r="H8763" t="s">
        <v>43</v>
      </c>
      <c r="I8763" s="187">
        <v>3834.0596091618181</v>
      </c>
      <c r="J8763" s="187">
        <v>150</v>
      </c>
      <c r="K8763" s="187">
        <v>649.00819766266125</v>
      </c>
      <c r="L8763" s="187">
        <v>1181</v>
      </c>
      <c r="M8763" s="187">
        <v>5814.06787109375</v>
      </c>
      <c r="N8763" s="187">
        <v>5015.0595703125</v>
      </c>
      <c r="O8763" t="s">
        <v>9404</v>
      </c>
    </row>
    <row r="8764" spans="1:15" hidden="1" x14ac:dyDescent="0.45">
      <c r="A8764" s="187">
        <v>2030</v>
      </c>
      <c r="B8764" t="s">
        <v>317</v>
      </c>
      <c r="C8764" t="s">
        <v>322</v>
      </c>
      <c r="D8764" t="s">
        <v>35</v>
      </c>
      <c r="E8764" t="s">
        <v>17</v>
      </c>
      <c r="F8764" t="s">
        <v>17</v>
      </c>
      <c r="G8764" t="s">
        <v>37</v>
      </c>
      <c r="H8764" t="s">
        <v>43</v>
      </c>
      <c r="I8764" s="187">
        <v>3930.2036944728629</v>
      </c>
      <c r="J8764" s="187">
        <v>150</v>
      </c>
      <c r="K8764" s="187">
        <v>1189.636324501022</v>
      </c>
      <c r="L8764" s="187">
        <v>829</v>
      </c>
      <c r="M8764" s="187">
        <v>6098.83984375</v>
      </c>
      <c r="N8764" s="187">
        <v>4759.20361328125</v>
      </c>
      <c r="O8764" t="s">
        <v>8389</v>
      </c>
    </row>
    <row r="8765" spans="1:15" hidden="1" x14ac:dyDescent="0.45">
      <c r="A8765" s="187">
        <v>2030</v>
      </c>
      <c r="B8765" t="s">
        <v>316</v>
      </c>
      <c r="C8765" t="s">
        <v>322</v>
      </c>
      <c r="D8765" t="s">
        <v>35</v>
      </c>
      <c r="E8765" t="s">
        <v>45</v>
      </c>
      <c r="F8765" t="s">
        <v>45</v>
      </c>
      <c r="G8765" t="s">
        <v>37</v>
      </c>
      <c r="H8765" t="s">
        <v>43</v>
      </c>
      <c r="I8765" s="187">
        <v>2369</v>
      </c>
      <c r="J8765" s="187"/>
      <c r="K8765" s="187">
        <v>1033.3557253145359</v>
      </c>
      <c r="L8765" s="187">
        <v>8833</v>
      </c>
      <c r="M8765" s="187">
        <v>12235.35546875</v>
      </c>
      <c r="N8765" s="187">
        <v>11202</v>
      </c>
      <c r="O8765" t="s">
        <v>8390</v>
      </c>
    </row>
    <row r="8766" spans="1:15" hidden="1" x14ac:dyDescent="0.45">
      <c r="A8766" s="187">
        <v>2030</v>
      </c>
      <c r="B8766" t="s">
        <v>8570</v>
      </c>
      <c r="C8766" t="s">
        <v>322</v>
      </c>
      <c r="D8766" t="s">
        <v>35</v>
      </c>
      <c r="E8766" t="s">
        <v>45</v>
      </c>
      <c r="F8766" t="s">
        <v>45</v>
      </c>
      <c r="G8766" t="s">
        <v>37</v>
      </c>
      <c r="H8766" t="s">
        <v>43</v>
      </c>
      <c r="I8766" s="187">
        <v>1779.1739347512421</v>
      </c>
      <c r="J8766" s="187"/>
      <c r="K8766" s="187">
        <v>605.99070568669799</v>
      </c>
      <c r="L8766" s="187">
        <v>17285</v>
      </c>
      <c r="M8766" s="187">
        <v>19670.1640625</v>
      </c>
      <c r="N8766" s="187">
        <v>19064.173828125</v>
      </c>
      <c r="O8766" t="s">
        <v>9405</v>
      </c>
    </row>
    <row r="8767" spans="1:15" hidden="1" x14ac:dyDescent="0.45">
      <c r="A8767" s="187">
        <v>2030</v>
      </c>
      <c r="B8767" t="s">
        <v>317</v>
      </c>
      <c r="C8767" t="s">
        <v>322</v>
      </c>
      <c r="D8767" t="s">
        <v>35</v>
      </c>
      <c r="E8767" t="s">
        <v>45</v>
      </c>
      <c r="F8767" t="s">
        <v>45</v>
      </c>
      <c r="G8767" t="s">
        <v>37</v>
      </c>
      <c r="H8767" t="s">
        <v>43</v>
      </c>
      <c r="I8767" s="187">
        <v>2376.263969998844</v>
      </c>
      <c r="J8767" s="187"/>
      <c r="K8767" s="187">
        <v>1039.9658745557319</v>
      </c>
      <c r="L8767" s="187">
        <v>16862</v>
      </c>
      <c r="M8767" s="187">
        <v>20278.23046875</v>
      </c>
      <c r="N8767" s="187">
        <v>19238.263671875</v>
      </c>
      <c r="O8767" t="s">
        <v>8391</v>
      </c>
    </row>
    <row r="8768" spans="1:15" hidden="1" x14ac:dyDescent="0.45">
      <c r="A8768" s="187">
        <v>2030</v>
      </c>
      <c r="B8768" t="s">
        <v>8570</v>
      </c>
      <c r="C8768" t="s">
        <v>322</v>
      </c>
      <c r="D8768" t="s">
        <v>35</v>
      </c>
      <c r="E8768" t="s">
        <v>355</v>
      </c>
      <c r="F8768" t="s">
        <v>355</v>
      </c>
      <c r="G8768" t="s">
        <v>37</v>
      </c>
      <c r="H8768" t="s">
        <v>43</v>
      </c>
      <c r="I8768" s="187">
        <v>11735.052991681559</v>
      </c>
      <c r="J8768" s="187"/>
      <c r="K8768" s="187"/>
      <c r="L8768" s="187"/>
      <c r="M8768" s="187">
        <v>11735.052734375</v>
      </c>
      <c r="N8768" s="187">
        <v>11735.052734375</v>
      </c>
      <c r="O8768" t="s">
        <v>9406</v>
      </c>
    </row>
    <row r="8769" spans="1:15" hidden="1" x14ac:dyDescent="0.45">
      <c r="A8769" s="187">
        <v>2030</v>
      </c>
      <c r="B8769" t="s">
        <v>316</v>
      </c>
      <c r="C8769" t="s">
        <v>322</v>
      </c>
      <c r="D8769" t="s">
        <v>35</v>
      </c>
      <c r="E8769" t="s">
        <v>356</v>
      </c>
      <c r="F8769" t="s">
        <v>356</v>
      </c>
      <c r="G8769" t="s">
        <v>37</v>
      </c>
      <c r="H8769" t="s">
        <v>43</v>
      </c>
      <c r="I8769" s="187"/>
      <c r="J8769" s="187"/>
      <c r="K8769" s="187">
        <v>0</v>
      </c>
      <c r="L8769" s="187">
        <v>0</v>
      </c>
      <c r="M8769" s="187">
        <v>0</v>
      </c>
      <c r="N8769" s="187">
        <v>0</v>
      </c>
      <c r="O8769" t="s">
        <v>8392</v>
      </c>
    </row>
    <row r="8770" spans="1:15" hidden="1" x14ac:dyDescent="0.45">
      <c r="A8770" s="187">
        <v>2030</v>
      </c>
      <c r="B8770" t="s">
        <v>8570</v>
      </c>
      <c r="C8770" t="s">
        <v>322</v>
      </c>
      <c r="D8770" t="s">
        <v>35</v>
      </c>
      <c r="E8770" t="s">
        <v>356</v>
      </c>
      <c r="F8770" t="s">
        <v>356</v>
      </c>
      <c r="G8770" t="s">
        <v>37</v>
      </c>
      <c r="H8770" t="s">
        <v>43</v>
      </c>
      <c r="I8770" s="187">
        <v>0</v>
      </c>
      <c r="J8770" s="187"/>
      <c r="K8770" s="187">
        <v>0</v>
      </c>
      <c r="L8770" s="187">
        <v>0</v>
      </c>
      <c r="M8770" s="187">
        <v>0</v>
      </c>
      <c r="N8770" s="187">
        <v>0</v>
      </c>
      <c r="O8770" t="s">
        <v>9407</v>
      </c>
    </row>
    <row r="8771" spans="1:15" hidden="1" x14ac:dyDescent="0.45">
      <c r="A8771" s="187">
        <v>2030</v>
      </c>
      <c r="B8771" t="s">
        <v>317</v>
      </c>
      <c r="C8771" t="s">
        <v>322</v>
      </c>
      <c r="D8771" t="s">
        <v>35</v>
      </c>
      <c r="E8771" t="s">
        <v>356</v>
      </c>
      <c r="F8771" t="s">
        <v>356</v>
      </c>
      <c r="G8771" t="s">
        <v>37</v>
      </c>
      <c r="H8771" t="s">
        <v>43</v>
      </c>
      <c r="I8771" s="187"/>
      <c r="J8771" s="187"/>
      <c r="K8771" s="187">
        <v>0</v>
      </c>
      <c r="L8771" s="187">
        <v>0</v>
      </c>
      <c r="M8771" s="187">
        <v>0</v>
      </c>
      <c r="N8771" s="187">
        <v>0</v>
      </c>
      <c r="O8771" t="s">
        <v>8393</v>
      </c>
    </row>
    <row r="8772" spans="1:15" hidden="1" x14ac:dyDescent="0.45">
      <c r="A8772" s="187">
        <v>2030</v>
      </c>
      <c r="B8772" t="s">
        <v>317</v>
      </c>
      <c r="C8772" t="s">
        <v>328</v>
      </c>
      <c r="D8772" t="s">
        <v>39</v>
      </c>
      <c r="E8772" t="s">
        <v>349</v>
      </c>
      <c r="F8772" t="s">
        <v>349</v>
      </c>
      <c r="G8772" t="s">
        <v>36</v>
      </c>
      <c r="H8772" t="s">
        <v>43</v>
      </c>
      <c r="I8772" s="187">
        <v>0</v>
      </c>
      <c r="J8772" s="187">
        <v>26.131645976874857</v>
      </c>
      <c r="K8772" s="187">
        <v>2437.3711779681871</v>
      </c>
      <c r="L8772" s="187">
        <v>0</v>
      </c>
      <c r="M8772" s="187">
        <v>2463.5029296875</v>
      </c>
      <c r="N8772" s="187">
        <v>0</v>
      </c>
      <c r="O8772" t="s">
        <v>8394</v>
      </c>
    </row>
    <row r="8773" spans="1:15" hidden="1" x14ac:dyDescent="0.45">
      <c r="A8773" s="187">
        <v>2030</v>
      </c>
      <c r="B8773" t="s">
        <v>8570</v>
      </c>
      <c r="C8773" t="s">
        <v>328</v>
      </c>
      <c r="D8773" t="s">
        <v>39</v>
      </c>
      <c r="E8773" t="s">
        <v>349</v>
      </c>
      <c r="F8773" t="s">
        <v>349</v>
      </c>
      <c r="G8773" t="s">
        <v>36</v>
      </c>
      <c r="H8773" t="s">
        <v>43</v>
      </c>
      <c r="I8773" s="187">
        <v>0</v>
      </c>
      <c r="J8773" s="187"/>
      <c r="K8773" s="187">
        <v>2654.8981372098151</v>
      </c>
      <c r="L8773" s="187">
        <v>0</v>
      </c>
      <c r="M8773" s="187">
        <v>2654.898193359375</v>
      </c>
      <c r="N8773" s="187">
        <v>0</v>
      </c>
      <c r="O8773" t="s">
        <v>9408</v>
      </c>
    </row>
    <row r="8774" spans="1:15" hidden="1" x14ac:dyDescent="0.45">
      <c r="A8774" s="187">
        <v>2030</v>
      </c>
      <c r="B8774" t="s">
        <v>316</v>
      </c>
      <c r="C8774" t="s">
        <v>328</v>
      </c>
      <c r="D8774" t="s">
        <v>39</v>
      </c>
      <c r="E8774" t="s">
        <v>349</v>
      </c>
      <c r="F8774" t="s">
        <v>349</v>
      </c>
      <c r="G8774" t="s">
        <v>36</v>
      </c>
      <c r="H8774" t="s">
        <v>43</v>
      </c>
      <c r="I8774" s="187">
        <v>0</v>
      </c>
      <c r="J8774" s="187">
        <v>26.440360977435727</v>
      </c>
      <c r="K8774" s="187">
        <v>2333.570475756323</v>
      </c>
      <c r="L8774" s="187">
        <v>0</v>
      </c>
      <c r="M8774" s="187">
        <v>2360.0107421875</v>
      </c>
      <c r="N8774" s="187">
        <v>0</v>
      </c>
      <c r="O8774" t="s">
        <v>8395</v>
      </c>
    </row>
    <row r="8775" spans="1:15" hidden="1" x14ac:dyDescent="0.45">
      <c r="A8775" s="187">
        <v>2030</v>
      </c>
      <c r="B8775" t="s">
        <v>8570</v>
      </c>
      <c r="C8775" t="s">
        <v>328</v>
      </c>
      <c r="D8775" t="s">
        <v>39</v>
      </c>
      <c r="E8775" t="s">
        <v>349</v>
      </c>
      <c r="F8775" t="s">
        <v>349</v>
      </c>
      <c r="G8775" t="s">
        <v>37</v>
      </c>
      <c r="H8775" t="s">
        <v>43</v>
      </c>
      <c r="I8775" s="187">
        <v>0</v>
      </c>
      <c r="J8775" s="187">
        <v>5</v>
      </c>
      <c r="K8775" s="187">
        <v>3124.3483681895191</v>
      </c>
      <c r="L8775" s="187">
        <v>0</v>
      </c>
      <c r="M8775" s="187">
        <v>3129.348388671875</v>
      </c>
      <c r="N8775" s="187">
        <v>0</v>
      </c>
      <c r="O8775" t="s">
        <v>9409</v>
      </c>
    </row>
    <row r="8776" spans="1:15" hidden="1" x14ac:dyDescent="0.45">
      <c r="A8776" s="187">
        <v>2030</v>
      </c>
      <c r="B8776" t="s">
        <v>317</v>
      </c>
      <c r="C8776" t="s">
        <v>328</v>
      </c>
      <c r="D8776" t="s">
        <v>39</v>
      </c>
      <c r="E8776" t="s">
        <v>349</v>
      </c>
      <c r="F8776" t="s">
        <v>349</v>
      </c>
      <c r="G8776" t="s">
        <v>37</v>
      </c>
      <c r="H8776" t="s">
        <v>43</v>
      </c>
      <c r="I8776" s="187">
        <v>0</v>
      </c>
      <c r="J8776" s="187">
        <v>25</v>
      </c>
      <c r="K8776" s="187">
        <v>2769.7543868149528</v>
      </c>
      <c r="L8776" s="187">
        <v>0</v>
      </c>
      <c r="M8776" s="187">
        <v>2794.75439453125</v>
      </c>
      <c r="N8776" s="187">
        <v>0</v>
      </c>
      <c r="O8776" t="s">
        <v>8397</v>
      </c>
    </row>
    <row r="8777" spans="1:15" hidden="1" x14ac:dyDescent="0.45">
      <c r="A8777" s="187">
        <v>2030</v>
      </c>
      <c r="B8777" t="s">
        <v>316</v>
      </c>
      <c r="C8777" t="s">
        <v>328</v>
      </c>
      <c r="D8777" t="s">
        <v>39</v>
      </c>
      <c r="E8777" t="s">
        <v>349</v>
      </c>
      <c r="F8777" t="s">
        <v>349</v>
      </c>
      <c r="G8777" t="s">
        <v>37</v>
      </c>
      <c r="H8777" t="s">
        <v>43</v>
      </c>
      <c r="I8777" s="187">
        <v>0</v>
      </c>
      <c r="J8777" s="187">
        <v>25</v>
      </c>
      <c r="K8777" s="187">
        <v>2641.5810228465398</v>
      </c>
      <c r="L8777" s="187">
        <v>0</v>
      </c>
      <c r="M8777" s="187">
        <v>2666.5810546875</v>
      </c>
      <c r="N8777" s="187">
        <v>0</v>
      </c>
      <c r="O8777" t="s">
        <v>8396</v>
      </c>
    </row>
    <row r="8778" spans="1:15" hidden="1" x14ac:dyDescent="0.45">
      <c r="A8778" s="187">
        <v>2030</v>
      </c>
      <c r="B8778" t="s">
        <v>317</v>
      </c>
      <c r="C8778" t="s">
        <v>328</v>
      </c>
      <c r="D8778" t="s">
        <v>39</v>
      </c>
      <c r="E8778" t="s">
        <v>21</v>
      </c>
      <c r="F8778" t="s">
        <v>21</v>
      </c>
      <c r="G8778" t="s">
        <v>36</v>
      </c>
      <c r="H8778" t="s">
        <v>43</v>
      </c>
      <c r="I8778" s="187">
        <v>3081.448554774689</v>
      </c>
      <c r="J8778" s="187">
        <v>1311.8086280391178</v>
      </c>
      <c r="K8778" s="187">
        <v>7646.5298017045752</v>
      </c>
      <c r="L8778" s="187">
        <v>5351.7610960639713</v>
      </c>
      <c r="M8778" s="187">
        <v>17391.548828125</v>
      </c>
      <c r="N8778" s="187">
        <v>8433.2099609375</v>
      </c>
      <c r="O8778" t="s">
        <v>8399</v>
      </c>
    </row>
    <row r="8779" spans="1:15" hidden="1" x14ac:dyDescent="0.45">
      <c r="A8779" s="187">
        <v>2030</v>
      </c>
      <c r="B8779" t="s">
        <v>316</v>
      </c>
      <c r="C8779" t="s">
        <v>328</v>
      </c>
      <c r="D8779" t="s">
        <v>39</v>
      </c>
      <c r="E8779" t="s">
        <v>21</v>
      </c>
      <c r="F8779" t="s">
        <v>21</v>
      </c>
      <c r="G8779" t="s">
        <v>36</v>
      </c>
      <c r="H8779" t="s">
        <v>43</v>
      </c>
      <c r="I8779" s="187">
        <v>3117.8522850700328</v>
      </c>
      <c r="J8779" s="187">
        <v>1327.3061210672736</v>
      </c>
      <c r="K8779" s="187">
        <v>5081.680935590849</v>
      </c>
      <c r="L8779" s="187">
        <v>5255.2861478751247</v>
      </c>
      <c r="M8779" s="187">
        <v>14782.125</v>
      </c>
      <c r="N8779" s="187">
        <v>8373.138671875</v>
      </c>
      <c r="O8779" t="s">
        <v>8398</v>
      </c>
    </row>
    <row r="8780" spans="1:15" hidden="1" x14ac:dyDescent="0.45">
      <c r="A8780" s="187">
        <v>2030</v>
      </c>
      <c r="B8780" t="s">
        <v>8570</v>
      </c>
      <c r="C8780" t="s">
        <v>328</v>
      </c>
      <c r="D8780" t="s">
        <v>39</v>
      </c>
      <c r="E8780" t="s">
        <v>21</v>
      </c>
      <c r="F8780" t="s">
        <v>21</v>
      </c>
      <c r="G8780" t="s">
        <v>36</v>
      </c>
      <c r="H8780" t="s">
        <v>43</v>
      </c>
      <c r="I8780" s="187">
        <v>3354.8113170000001</v>
      </c>
      <c r="J8780" s="187">
        <v>1531</v>
      </c>
      <c r="K8780" s="187">
        <v>6808.3482791073711</v>
      </c>
      <c r="L8780" s="187">
        <v>5400</v>
      </c>
      <c r="M8780" s="187">
        <v>17094.16015625</v>
      </c>
      <c r="N8780" s="187">
        <v>8754.8115234375</v>
      </c>
      <c r="O8780" t="s">
        <v>9410</v>
      </c>
    </row>
    <row r="8781" spans="1:15" hidden="1" x14ac:dyDescent="0.45">
      <c r="A8781" s="187">
        <v>2030</v>
      </c>
      <c r="B8781" t="s">
        <v>316</v>
      </c>
      <c r="C8781" t="s">
        <v>328</v>
      </c>
      <c r="D8781" t="s">
        <v>39</v>
      </c>
      <c r="E8781" t="s">
        <v>21</v>
      </c>
      <c r="F8781" t="s">
        <v>21</v>
      </c>
      <c r="G8781" t="s">
        <v>37</v>
      </c>
      <c r="H8781" t="s">
        <v>43</v>
      </c>
      <c r="I8781" s="187">
        <v>3593.9535331246698</v>
      </c>
      <c r="J8781" s="187">
        <v>1255</v>
      </c>
      <c r="K8781" s="187">
        <v>5752.4176205851027</v>
      </c>
      <c r="L8781" s="187">
        <v>6139</v>
      </c>
      <c r="M8781" s="187">
        <v>16740.37109375</v>
      </c>
      <c r="N8781" s="187">
        <v>9732.953125</v>
      </c>
      <c r="O8781" t="s">
        <v>8400</v>
      </c>
    </row>
    <row r="8782" spans="1:15" hidden="1" x14ac:dyDescent="0.45">
      <c r="A8782" s="187">
        <v>2030</v>
      </c>
      <c r="B8782" t="s">
        <v>8570</v>
      </c>
      <c r="C8782" t="s">
        <v>328</v>
      </c>
      <c r="D8782" t="s">
        <v>39</v>
      </c>
      <c r="E8782" t="s">
        <v>21</v>
      </c>
      <c r="F8782" t="s">
        <v>21</v>
      </c>
      <c r="G8782" t="s">
        <v>37</v>
      </c>
      <c r="H8782" t="s">
        <v>43</v>
      </c>
      <c r="I8782" s="187">
        <v>3930.6961510556162</v>
      </c>
      <c r="J8782" s="187">
        <v>1760</v>
      </c>
      <c r="K8782" s="187">
        <v>8012.2289958177598</v>
      </c>
      <c r="L8782" s="187">
        <v>6575</v>
      </c>
      <c r="M8782" s="187">
        <v>20277.92578125</v>
      </c>
      <c r="N8782" s="187">
        <v>10505.6962890625</v>
      </c>
      <c r="O8782" t="s">
        <v>9411</v>
      </c>
    </row>
    <row r="8783" spans="1:15" hidden="1" x14ac:dyDescent="0.45">
      <c r="A8783" s="187">
        <v>2030</v>
      </c>
      <c r="B8783" t="s">
        <v>317</v>
      </c>
      <c r="C8783" t="s">
        <v>328</v>
      </c>
      <c r="D8783" t="s">
        <v>39</v>
      </c>
      <c r="E8783" t="s">
        <v>21</v>
      </c>
      <c r="F8783" t="s">
        <v>21</v>
      </c>
      <c r="G8783" t="s">
        <v>37</v>
      </c>
      <c r="H8783" t="s">
        <v>43</v>
      </c>
      <c r="I8783" s="187">
        <v>3523</v>
      </c>
      <c r="J8783" s="187">
        <v>1255</v>
      </c>
      <c r="K8783" s="187">
        <v>8689.2836239400858</v>
      </c>
      <c r="L8783" s="187">
        <v>6090</v>
      </c>
      <c r="M8783" s="187">
        <v>19557.283203125</v>
      </c>
      <c r="N8783" s="187">
        <v>9613</v>
      </c>
      <c r="O8783" t="s">
        <v>8401</v>
      </c>
    </row>
    <row r="8784" spans="1:15" hidden="1" x14ac:dyDescent="0.45">
      <c r="A8784" s="187">
        <v>2030</v>
      </c>
      <c r="B8784" t="s">
        <v>317</v>
      </c>
      <c r="C8784" t="s">
        <v>328</v>
      </c>
      <c r="D8784" t="s">
        <v>39</v>
      </c>
      <c r="E8784" t="s">
        <v>352</v>
      </c>
      <c r="F8784" t="s">
        <v>433</v>
      </c>
      <c r="G8784" t="s">
        <v>36</v>
      </c>
      <c r="H8784" t="s">
        <v>43</v>
      </c>
      <c r="I8784" s="187"/>
      <c r="J8784" s="187">
        <v>414.97053811277277</v>
      </c>
      <c r="K8784" s="187">
        <v>89.76072749570281</v>
      </c>
      <c r="L8784" s="187">
        <v>345.9829927338231</v>
      </c>
      <c r="M8784" s="187">
        <v>850.71429443359375</v>
      </c>
      <c r="N8784" s="187">
        <v>345.98300170898438</v>
      </c>
      <c r="O8784" t="s">
        <v>8403</v>
      </c>
    </row>
    <row r="8785" spans="1:15" hidden="1" x14ac:dyDescent="0.45">
      <c r="A8785" s="187">
        <v>2030</v>
      </c>
      <c r="B8785" t="s">
        <v>316</v>
      </c>
      <c r="C8785" t="s">
        <v>328</v>
      </c>
      <c r="D8785" t="s">
        <v>39</v>
      </c>
      <c r="E8785" t="s">
        <v>352</v>
      </c>
      <c r="F8785" t="s">
        <v>433</v>
      </c>
      <c r="G8785" t="s">
        <v>36</v>
      </c>
      <c r="H8785" t="s">
        <v>43</v>
      </c>
      <c r="I8785" s="187"/>
      <c r="J8785" s="187">
        <v>301.42011514276726</v>
      </c>
      <c r="K8785" s="187">
        <v>130.4873668464609</v>
      </c>
      <c r="L8785" s="187">
        <v>323.63001836381329</v>
      </c>
      <c r="M8785" s="187">
        <v>755.5374755859375</v>
      </c>
      <c r="N8785" s="187">
        <v>323.6300048828125</v>
      </c>
      <c r="O8785" t="s">
        <v>8402</v>
      </c>
    </row>
    <row r="8786" spans="1:15" hidden="1" x14ac:dyDescent="0.45">
      <c r="A8786" s="187">
        <v>2030</v>
      </c>
      <c r="B8786" t="s">
        <v>8570</v>
      </c>
      <c r="C8786" t="s">
        <v>328</v>
      </c>
      <c r="D8786" t="s">
        <v>39</v>
      </c>
      <c r="E8786" t="s">
        <v>352</v>
      </c>
      <c r="F8786" t="s">
        <v>433</v>
      </c>
      <c r="G8786" t="s">
        <v>36</v>
      </c>
      <c r="H8786" t="s">
        <v>43</v>
      </c>
      <c r="I8786" s="187">
        <v>0</v>
      </c>
      <c r="J8786" s="187">
        <v>397</v>
      </c>
      <c r="K8786" s="187">
        <v>91.624543705653409</v>
      </c>
      <c r="L8786" s="187">
        <v>415</v>
      </c>
      <c r="M8786" s="187">
        <v>903.62451171875</v>
      </c>
      <c r="N8786" s="187">
        <v>415</v>
      </c>
      <c r="O8786" t="s">
        <v>9412</v>
      </c>
    </row>
    <row r="8787" spans="1:15" hidden="1" x14ac:dyDescent="0.45">
      <c r="A8787" s="187">
        <v>2030</v>
      </c>
      <c r="B8787" t="s">
        <v>316</v>
      </c>
      <c r="C8787" t="s">
        <v>328</v>
      </c>
      <c r="D8787" t="s">
        <v>39</v>
      </c>
      <c r="E8787" t="s">
        <v>352</v>
      </c>
      <c r="F8787" t="s">
        <v>361</v>
      </c>
      <c r="G8787" t="s">
        <v>36</v>
      </c>
      <c r="H8787" t="s">
        <v>43</v>
      </c>
      <c r="I8787" s="187"/>
      <c r="J8787" s="187"/>
      <c r="K8787" s="187">
        <v>0</v>
      </c>
      <c r="L8787" s="187"/>
      <c r="M8787" s="187">
        <v>0</v>
      </c>
      <c r="N8787" s="187">
        <v>0</v>
      </c>
      <c r="O8787" t="s">
        <v>8404</v>
      </c>
    </row>
    <row r="8788" spans="1:15" hidden="1" x14ac:dyDescent="0.45">
      <c r="A8788" s="187">
        <v>2030</v>
      </c>
      <c r="B8788" t="s">
        <v>317</v>
      </c>
      <c r="C8788" t="s">
        <v>328</v>
      </c>
      <c r="D8788" t="s">
        <v>39</v>
      </c>
      <c r="E8788" t="s">
        <v>352</v>
      </c>
      <c r="F8788" t="s">
        <v>361</v>
      </c>
      <c r="G8788" t="s">
        <v>36</v>
      </c>
      <c r="H8788" t="s">
        <v>43</v>
      </c>
      <c r="I8788" s="187"/>
      <c r="J8788" s="187"/>
      <c r="K8788" s="187"/>
      <c r="L8788" s="187">
        <v>0</v>
      </c>
      <c r="M8788" s="187">
        <v>0</v>
      </c>
      <c r="N8788" s="187">
        <v>0</v>
      </c>
      <c r="O8788" t="s">
        <v>8405</v>
      </c>
    </row>
    <row r="8789" spans="1:15" hidden="1" x14ac:dyDescent="0.45">
      <c r="A8789" s="187">
        <v>2030</v>
      </c>
      <c r="B8789" t="s">
        <v>8570</v>
      </c>
      <c r="C8789" t="s">
        <v>328</v>
      </c>
      <c r="D8789" t="s">
        <v>39</v>
      </c>
      <c r="E8789" t="s">
        <v>352</v>
      </c>
      <c r="F8789" t="s">
        <v>361</v>
      </c>
      <c r="G8789" t="s">
        <v>36</v>
      </c>
      <c r="H8789" t="s">
        <v>43</v>
      </c>
      <c r="I8789" s="187">
        <v>0</v>
      </c>
      <c r="J8789" s="187"/>
      <c r="K8789" s="187">
        <v>0</v>
      </c>
      <c r="L8789" s="187"/>
      <c r="M8789" s="187">
        <v>0</v>
      </c>
      <c r="N8789" s="187">
        <v>0</v>
      </c>
      <c r="O8789" t="s">
        <v>9413</v>
      </c>
    </row>
    <row r="8790" spans="1:15" hidden="1" x14ac:dyDescent="0.45">
      <c r="A8790" s="187">
        <v>2030</v>
      </c>
      <c r="B8790" t="s">
        <v>8570</v>
      </c>
      <c r="C8790" t="s">
        <v>328</v>
      </c>
      <c r="D8790" t="s">
        <v>39</v>
      </c>
      <c r="E8790" t="s">
        <v>40</v>
      </c>
      <c r="F8790" t="s">
        <v>40</v>
      </c>
      <c r="G8790" t="s">
        <v>36</v>
      </c>
      <c r="H8790" t="s">
        <v>43</v>
      </c>
      <c r="I8790" s="187">
        <v>4610.2254659999999</v>
      </c>
      <c r="J8790" s="187">
        <v>270</v>
      </c>
      <c r="K8790" s="187">
        <v>7150.6381508144077</v>
      </c>
      <c r="L8790" s="187">
        <v>5566</v>
      </c>
      <c r="M8790" s="187">
        <v>17596.86328125</v>
      </c>
      <c r="N8790" s="187">
        <v>10176.2255859375</v>
      </c>
      <c r="O8790" t="s">
        <v>9414</v>
      </c>
    </row>
    <row r="8791" spans="1:15" hidden="1" x14ac:dyDescent="0.45">
      <c r="A8791" s="187">
        <v>2030</v>
      </c>
      <c r="B8791" t="s">
        <v>317</v>
      </c>
      <c r="C8791" t="s">
        <v>328</v>
      </c>
      <c r="D8791" t="s">
        <v>39</v>
      </c>
      <c r="E8791" t="s">
        <v>40</v>
      </c>
      <c r="F8791" t="s">
        <v>40</v>
      </c>
      <c r="G8791" t="s">
        <v>36</v>
      </c>
      <c r="H8791" t="s">
        <v>43</v>
      </c>
      <c r="I8791" s="187">
        <v>4322.6221200818281</v>
      </c>
      <c r="J8791" s="187">
        <v>257.13539641244859</v>
      </c>
      <c r="K8791" s="187">
        <v>6612.3328594971435</v>
      </c>
      <c r="L8791" s="187">
        <v>5637.1186701314446</v>
      </c>
      <c r="M8791" s="187">
        <v>16829.208984375</v>
      </c>
      <c r="N8791" s="187">
        <v>9959.7412109375</v>
      </c>
      <c r="O8791" t="s">
        <v>8406</v>
      </c>
    </row>
    <row r="8792" spans="1:15" hidden="1" x14ac:dyDescent="0.45">
      <c r="A8792" s="187">
        <v>2030</v>
      </c>
      <c r="B8792" t="s">
        <v>316</v>
      </c>
      <c r="C8792" t="s">
        <v>328</v>
      </c>
      <c r="D8792" t="s">
        <v>39</v>
      </c>
      <c r="E8792" t="s">
        <v>40</v>
      </c>
      <c r="F8792" t="s">
        <v>40</v>
      </c>
      <c r="G8792" t="s">
        <v>36</v>
      </c>
      <c r="H8792" t="s">
        <v>43</v>
      </c>
      <c r="I8792" s="187">
        <v>4373.6888723027332</v>
      </c>
      <c r="J8792" s="187">
        <v>311.99625953374158</v>
      </c>
      <c r="K8792" s="187">
        <v>6560.9190724628461</v>
      </c>
      <c r="L8792" s="187">
        <v>5295.4754965608272</v>
      </c>
      <c r="M8792" s="187">
        <v>16542.080078125</v>
      </c>
      <c r="N8792" s="187">
        <v>9669.1640625</v>
      </c>
      <c r="O8792" t="s">
        <v>8407</v>
      </c>
    </row>
    <row r="8793" spans="1:15" hidden="1" x14ac:dyDescent="0.45">
      <c r="A8793" s="187">
        <v>2030</v>
      </c>
      <c r="B8793" t="s">
        <v>316</v>
      </c>
      <c r="C8793" t="s">
        <v>328</v>
      </c>
      <c r="D8793" t="s">
        <v>39</v>
      </c>
      <c r="E8793" t="s">
        <v>40</v>
      </c>
      <c r="F8793" t="s">
        <v>40</v>
      </c>
      <c r="G8793" t="s">
        <v>37</v>
      </c>
      <c r="H8793" t="s">
        <v>43</v>
      </c>
      <c r="I8793" s="187">
        <v>5041.5584633918606</v>
      </c>
      <c r="J8793" s="187">
        <v>295</v>
      </c>
      <c r="K8793" s="187">
        <v>7426.9020345882791</v>
      </c>
      <c r="L8793" s="187">
        <v>6186</v>
      </c>
      <c r="M8793" s="187">
        <v>18949.4609375</v>
      </c>
      <c r="N8793" s="187">
        <v>11227.55859375</v>
      </c>
      <c r="O8793" t="s">
        <v>8409</v>
      </c>
    </row>
    <row r="8794" spans="1:15" hidden="1" x14ac:dyDescent="0.45">
      <c r="A8794" s="187">
        <v>2030</v>
      </c>
      <c r="B8794" t="s">
        <v>317</v>
      </c>
      <c r="C8794" t="s">
        <v>328</v>
      </c>
      <c r="D8794" t="s">
        <v>39</v>
      </c>
      <c r="E8794" t="s">
        <v>40</v>
      </c>
      <c r="F8794" t="s">
        <v>40</v>
      </c>
      <c r="G8794" t="s">
        <v>37</v>
      </c>
      <c r="H8794" t="s">
        <v>43</v>
      </c>
      <c r="I8794" s="187">
        <v>4942.6522730687338</v>
      </c>
      <c r="J8794" s="187">
        <v>246</v>
      </c>
      <c r="K8794" s="187">
        <v>7514.0537109083361</v>
      </c>
      <c r="L8794" s="187">
        <v>6415</v>
      </c>
      <c r="M8794" s="187">
        <v>19117.70703125</v>
      </c>
      <c r="N8794" s="187">
        <v>11357.65234375</v>
      </c>
      <c r="O8794" t="s">
        <v>8408</v>
      </c>
    </row>
    <row r="8795" spans="1:15" hidden="1" x14ac:dyDescent="0.45">
      <c r="A8795" s="187">
        <v>2030</v>
      </c>
      <c r="B8795" t="s">
        <v>8570</v>
      </c>
      <c r="C8795" t="s">
        <v>328</v>
      </c>
      <c r="D8795" t="s">
        <v>39</v>
      </c>
      <c r="E8795" t="s">
        <v>40</v>
      </c>
      <c r="F8795" t="s">
        <v>40</v>
      </c>
      <c r="G8795" t="s">
        <v>37</v>
      </c>
      <c r="H8795" t="s">
        <v>43</v>
      </c>
      <c r="I8795" s="187">
        <v>5401.6139157744419</v>
      </c>
      <c r="J8795" s="187">
        <v>287</v>
      </c>
      <c r="K8795" s="187">
        <v>8415.0439991984949</v>
      </c>
      <c r="L8795" s="187">
        <v>6776</v>
      </c>
      <c r="M8795" s="187">
        <v>20879.658203125</v>
      </c>
      <c r="N8795" s="187">
        <v>12177.61328125</v>
      </c>
      <c r="O8795" t="s">
        <v>9415</v>
      </c>
    </row>
    <row r="8796" spans="1:15" hidden="1" x14ac:dyDescent="0.45">
      <c r="A8796" s="187">
        <v>2030</v>
      </c>
      <c r="B8796" t="s">
        <v>316</v>
      </c>
      <c r="C8796" t="s">
        <v>328</v>
      </c>
      <c r="D8796" t="s">
        <v>39</v>
      </c>
      <c r="E8796" t="s">
        <v>41</v>
      </c>
      <c r="F8796" t="s">
        <v>41</v>
      </c>
      <c r="G8796" t="s">
        <v>36</v>
      </c>
      <c r="H8796" t="s">
        <v>43</v>
      </c>
      <c r="I8796" s="187">
        <v>6151.6769224556501</v>
      </c>
      <c r="J8796" s="187">
        <v>2247.4306830820369</v>
      </c>
      <c r="K8796" s="187">
        <v>10206.004387075816</v>
      </c>
      <c r="L8796" s="187">
        <v>8318.1375635012791</v>
      </c>
      <c r="M8796" s="187">
        <v>26923.248046875</v>
      </c>
      <c r="N8796" s="187">
        <v>14469.814453125</v>
      </c>
      <c r="O8796" t="s">
        <v>8410</v>
      </c>
    </row>
    <row r="8797" spans="1:15" hidden="1" x14ac:dyDescent="0.45">
      <c r="A8797" s="187">
        <v>2030</v>
      </c>
      <c r="B8797" t="s">
        <v>317</v>
      </c>
      <c r="C8797" t="s">
        <v>328</v>
      </c>
      <c r="D8797" t="s">
        <v>39</v>
      </c>
      <c r="E8797" t="s">
        <v>41</v>
      </c>
      <c r="F8797" t="s">
        <v>41</v>
      </c>
      <c r="G8797" t="s">
        <v>36</v>
      </c>
      <c r="H8797" t="s">
        <v>43</v>
      </c>
      <c r="I8797" s="187">
        <v>6644.759800181344</v>
      </c>
      <c r="J8797" s="187">
        <v>2221.1899080343628</v>
      </c>
      <c r="K8797" s="187">
        <v>12814.167730609466</v>
      </c>
      <c r="L8797" s="187">
        <v>9174.2982695612245</v>
      </c>
      <c r="M8797" s="187">
        <v>30854.416015625</v>
      </c>
      <c r="N8797" s="187">
        <v>15819.0576171875</v>
      </c>
      <c r="O8797" t="s">
        <v>8411</v>
      </c>
    </row>
    <row r="8798" spans="1:15" hidden="1" x14ac:dyDescent="0.45">
      <c r="A8798" s="187">
        <v>2030</v>
      </c>
      <c r="B8798" t="s">
        <v>8570</v>
      </c>
      <c r="C8798" t="s">
        <v>328</v>
      </c>
      <c r="D8798" t="s">
        <v>39</v>
      </c>
      <c r="E8798" t="s">
        <v>41</v>
      </c>
      <c r="F8798" t="s">
        <v>41</v>
      </c>
      <c r="G8798" t="s">
        <v>36</v>
      </c>
      <c r="H8798" t="s">
        <v>43</v>
      </c>
      <c r="I8798" s="187">
        <v>6538.062234</v>
      </c>
      <c r="J8798" s="187">
        <v>2554</v>
      </c>
      <c r="K8798" s="187">
        <v>11799.705224048181</v>
      </c>
      <c r="L8798" s="187">
        <v>9319</v>
      </c>
      <c r="M8798" s="187">
        <v>30210.767578125</v>
      </c>
      <c r="N8798" s="187">
        <v>15857.0625</v>
      </c>
      <c r="O8798" t="s">
        <v>9416</v>
      </c>
    </row>
    <row r="8799" spans="1:15" hidden="1" x14ac:dyDescent="0.45">
      <c r="A8799" s="187">
        <v>2030</v>
      </c>
      <c r="B8799" t="s">
        <v>317</v>
      </c>
      <c r="C8799" t="s">
        <v>328</v>
      </c>
      <c r="D8799" t="s">
        <v>39</v>
      </c>
      <c r="E8799" t="s">
        <v>41</v>
      </c>
      <c r="F8799" t="s">
        <v>41</v>
      </c>
      <c r="G8799" t="s">
        <v>37</v>
      </c>
      <c r="H8799" t="s">
        <v>43</v>
      </c>
      <c r="I8799" s="187">
        <v>7596.5381287922864</v>
      </c>
      <c r="J8799" s="187">
        <v>2125</v>
      </c>
      <c r="K8799" s="187">
        <v>14561.63000779582</v>
      </c>
      <c r="L8799" s="187">
        <v>10440</v>
      </c>
      <c r="M8799" s="187">
        <v>34723.16796875</v>
      </c>
      <c r="N8799" s="187">
        <v>18036.5390625</v>
      </c>
      <c r="O8799" t="s">
        <v>8412</v>
      </c>
    </row>
    <row r="8800" spans="1:15" hidden="1" x14ac:dyDescent="0.45">
      <c r="A8800" s="187">
        <v>2030</v>
      </c>
      <c r="B8800" t="s">
        <v>316</v>
      </c>
      <c r="C8800" t="s">
        <v>328</v>
      </c>
      <c r="D8800" t="s">
        <v>39</v>
      </c>
      <c r="E8800" t="s">
        <v>41</v>
      </c>
      <c r="F8800" t="s">
        <v>41</v>
      </c>
      <c r="G8800" t="s">
        <v>37</v>
      </c>
      <c r="H8800" t="s">
        <v>43</v>
      </c>
      <c r="I8800" s="187">
        <v>7091.04825650981</v>
      </c>
      <c r="J8800" s="187">
        <v>2125</v>
      </c>
      <c r="K8800" s="187">
        <v>11553.10618988275</v>
      </c>
      <c r="L8800" s="187">
        <v>9717</v>
      </c>
      <c r="M8800" s="187">
        <v>30486.154296875</v>
      </c>
      <c r="N8800" s="187">
        <v>16808.048828125</v>
      </c>
      <c r="O8800" t="s">
        <v>8413</v>
      </c>
    </row>
    <row r="8801" spans="1:15" hidden="1" x14ac:dyDescent="0.45">
      <c r="A8801" s="187">
        <v>2030</v>
      </c>
      <c r="B8801" t="s">
        <v>8570</v>
      </c>
      <c r="C8801" t="s">
        <v>328</v>
      </c>
      <c r="D8801" t="s">
        <v>39</v>
      </c>
      <c r="E8801" t="s">
        <v>41</v>
      </c>
      <c r="F8801" t="s">
        <v>41</v>
      </c>
      <c r="G8801" t="s">
        <v>37</v>
      </c>
      <c r="H8801" t="s">
        <v>43</v>
      </c>
      <c r="I8801" s="187">
        <v>7660.3819500427308</v>
      </c>
      <c r="J8801" s="187">
        <v>2935</v>
      </c>
      <c r="K8801" s="187">
        <v>13886.17862401956</v>
      </c>
      <c r="L8801" s="187">
        <v>11347</v>
      </c>
      <c r="M8801" s="187">
        <v>35828.5625</v>
      </c>
      <c r="N8801" s="187">
        <v>19007.3828125</v>
      </c>
      <c r="O8801" t="s">
        <v>9417</v>
      </c>
    </row>
    <row r="8802" spans="1:15" hidden="1" x14ac:dyDescent="0.45">
      <c r="A8802" s="187">
        <v>2030</v>
      </c>
      <c r="B8802" t="s">
        <v>317</v>
      </c>
      <c r="C8802" t="s">
        <v>328</v>
      </c>
      <c r="D8802" t="s">
        <v>39</v>
      </c>
      <c r="E8802" t="s">
        <v>361</v>
      </c>
      <c r="F8802" t="s">
        <v>361</v>
      </c>
      <c r="G8802" t="s">
        <v>36</v>
      </c>
      <c r="H8802" t="s">
        <v>43</v>
      </c>
      <c r="I8802" s="187"/>
      <c r="J8802" s="187"/>
      <c r="K8802" s="187">
        <v>0</v>
      </c>
      <c r="L8802" s="187"/>
      <c r="M8802" s="187">
        <v>0</v>
      </c>
      <c r="N8802" s="187">
        <v>0</v>
      </c>
      <c r="O8802" t="s">
        <v>8415</v>
      </c>
    </row>
    <row r="8803" spans="1:15" hidden="1" x14ac:dyDescent="0.45">
      <c r="A8803" s="187">
        <v>2030</v>
      </c>
      <c r="B8803" t="s">
        <v>8570</v>
      </c>
      <c r="C8803" t="s">
        <v>328</v>
      </c>
      <c r="D8803" t="s">
        <v>39</v>
      </c>
      <c r="E8803" t="s">
        <v>361</v>
      </c>
      <c r="F8803" t="s">
        <v>361</v>
      </c>
      <c r="G8803" t="s">
        <v>36</v>
      </c>
      <c r="H8803" t="s">
        <v>43</v>
      </c>
      <c r="I8803" s="187"/>
      <c r="J8803" s="187"/>
      <c r="K8803" s="187"/>
      <c r="L8803" s="187">
        <v>0</v>
      </c>
      <c r="M8803" s="187">
        <v>0</v>
      </c>
      <c r="N8803" s="187">
        <v>0</v>
      </c>
      <c r="O8803" t="s">
        <v>9418</v>
      </c>
    </row>
    <row r="8804" spans="1:15" hidden="1" x14ac:dyDescent="0.45">
      <c r="A8804" s="187">
        <v>2030</v>
      </c>
      <c r="B8804" t="s">
        <v>316</v>
      </c>
      <c r="C8804" t="s">
        <v>328</v>
      </c>
      <c r="D8804" t="s">
        <v>39</v>
      </c>
      <c r="E8804" t="s">
        <v>361</v>
      </c>
      <c r="F8804" t="s">
        <v>361</v>
      </c>
      <c r="G8804" t="s">
        <v>36</v>
      </c>
      <c r="H8804" t="s">
        <v>43</v>
      </c>
      <c r="I8804" s="187"/>
      <c r="J8804" s="187"/>
      <c r="K8804" s="187"/>
      <c r="L8804" s="187">
        <v>0</v>
      </c>
      <c r="M8804" s="187">
        <v>0</v>
      </c>
      <c r="N8804" s="187">
        <v>0</v>
      </c>
      <c r="O8804" t="s">
        <v>8414</v>
      </c>
    </row>
    <row r="8805" spans="1:15" hidden="1" x14ac:dyDescent="0.45">
      <c r="A8805" s="187">
        <v>2030</v>
      </c>
      <c r="B8805" t="s">
        <v>8570</v>
      </c>
      <c r="C8805" t="s">
        <v>328</v>
      </c>
      <c r="D8805" t="s">
        <v>39</v>
      </c>
      <c r="E8805" t="s">
        <v>362</v>
      </c>
      <c r="F8805" t="s">
        <v>362</v>
      </c>
      <c r="G8805" t="s">
        <v>36</v>
      </c>
      <c r="H8805" t="s">
        <v>43</v>
      </c>
      <c r="I8805" s="187">
        <v>2305.1127329999999</v>
      </c>
      <c r="J8805" s="187">
        <v>225</v>
      </c>
      <c r="K8805" s="187">
        <v>3830.5001842834381</v>
      </c>
      <c r="L8805" s="187">
        <v>3280</v>
      </c>
      <c r="M8805" s="187">
        <v>9640.61328125</v>
      </c>
      <c r="N8805" s="187">
        <v>5585.11279296875</v>
      </c>
      <c r="O8805" t="s">
        <v>9419</v>
      </c>
    </row>
    <row r="8806" spans="1:15" hidden="1" x14ac:dyDescent="0.45">
      <c r="A8806" s="187">
        <v>2030</v>
      </c>
      <c r="B8806" t="s">
        <v>316</v>
      </c>
      <c r="C8806" t="s">
        <v>328</v>
      </c>
      <c r="D8806" t="s">
        <v>39</v>
      </c>
      <c r="E8806" t="s">
        <v>362</v>
      </c>
      <c r="F8806" t="s">
        <v>362</v>
      </c>
      <c r="G8806" t="s">
        <v>36</v>
      </c>
      <c r="H8806" t="s">
        <v>43</v>
      </c>
      <c r="I8806" s="187">
        <v>1105.8978379992766</v>
      </c>
      <c r="J8806" s="187">
        <v>237.96324879692153</v>
      </c>
      <c r="K8806" s="187">
        <v>3528.9992854304551</v>
      </c>
      <c r="L8806" s="187">
        <v>2931.7072251780733</v>
      </c>
      <c r="M8806" s="187">
        <v>7804.5673828125</v>
      </c>
      <c r="N8806" s="187">
        <v>4037.60498046875</v>
      </c>
      <c r="O8806" t="s">
        <v>8416</v>
      </c>
    </row>
    <row r="8807" spans="1:15" hidden="1" x14ac:dyDescent="0.45">
      <c r="A8807" s="187">
        <v>2030</v>
      </c>
      <c r="B8807" t="s">
        <v>317</v>
      </c>
      <c r="C8807" t="s">
        <v>328</v>
      </c>
      <c r="D8807" t="s">
        <v>39</v>
      </c>
      <c r="E8807" t="s">
        <v>362</v>
      </c>
      <c r="F8807" t="s">
        <v>362</v>
      </c>
      <c r="G8807" t="s">
        <v>36</v>
      </c>
      <c r="H8807" t="s">
        <v>43</v>
      </c>
      <c r="I8807" s="187">
        <v>1092.9854858581857</v>
      </c>
      <c r="J8807" s="187">
        <v>183.96678767719899</v>
      </c>
      <c r="K8807" s="187">
        <v>3512.3688172041311</v>
      </c>
      <c r="L8807" s="187">
        <v>3329.1716974538567</v>
      </c>
      <c r="M8807" s="187">
        <v>8118.4931640625</v>
      </c>
      <c r="N8807" s="187">
        <v>4422.1572265625</v>
      </c>
      <c r="O8807" t="s">
        <v>8417</v>
      </c>
    </row>
    <row r="8808" spans="1:15" hidden="1" x14ac:dyDescent="0.45">
      <c r="A8808" s="187">
        <v>2030</v>
      </c>
      <c r="B8808" t="s">
        <v>8570</v>
      </c>
      <c r="C8808" t="s">
        <v>328</v>
      </c>
      <c r="D8808" t="s">
        <v>39</v>
      </c>
      <c r="E8808" t="s">
        <v>362</v>
      </c>
      <c r="F8808" t="s">
        <v>362</v>
      </c>
      <c r="G8808" t="s">
        <v>37</v>
      </c>
      <c r="H8808" t="s">
        <v>43</v>
      </c>
      <c r="I8808" s="187">
        <v>2700.806957887221</v>
      </c>
      <c r="J8808" s="187">
        <v>230</v>
      </c>
      <c r="K8808" s="187">
        <v>4507.8253031181366</v>
      </c>
      <c r="L8808" s="187">
        <v>3993</v>
      </c>
      <c r="M8808" s="187">
        <v>11431.6328125</v>
      </c>
      <c r="N8808" s="187">
        <v>6693.806640625</v>
      </c>
      <c r="O8808" t="s">
        <v>9420</v>
      </c>
    </row>
    <row r="8809" spans="1:15" hidden="1" x14ac:dyDescent="0.45">
      <c r="A8809" s="187">
        <v>2030</v>
      </c>
      <c r="B8809" t="s">
        <v>317</v>
      </c>
      <c r="C8809" t="s">
        <v>328</v>
      </c>
      <c r="D8809" t="s">
        <v>39</v>
      </c>
      <c r="E8809" t="s">
        <v>362</v>
      </c>
      <c r="F8809" t="s">
        <v>362</v>
      </c>
      <c r="G8809" t="s">
        <v>37</v>
      </c>
      <c r="H8809" t="s">
        <v>43</v>
      </c>
      <c r="I8809" s="187">
        <v>1249.6522730687341</v>
      </c>
      <c r="J8809" s="187">
        <v>176</v>
      </c>
      <c r="K8809" s="187">
        <v>3991.3489695372809</v>
      </c>
      <c r="L8809" s="187">
        <v>3789</v>
      </c>
      <c r="M8809" s="187">
        <v>9206.0009765625</v>
      </c>
      <c r="N8809" s="187">
        <v>5038.65234375</v>
      </c>
      <c r="O8809" t="s">
        <v>8419</v>
      </c>
    </row>
    <row r="8810" spans="1:15" hidden="1" x14ac:dyDescent="0.45">
      <c r="A8810" s="187">
        <v>2030</v>
      </c>
      <c r="B8810" t="s">
        <v>316</v>
      </c>
      <c r="C8810" t="s">
        <v>328</v>
      </c>
      <c r="D8810" t="s">
        <v>39</v>
      </c>
      <c r="E8810" t="s">
        <v>362</v>
      </c>
      <c r="F8810" t="s">
        <v>362</v>
      </c>
      <c r="G8810" t="s">
        <v>37</v>
      </c>
      <c r="H8810" t="s">
        <v>43</v>
      </c>
      <c r="I8810" s="187">
        <v>1274.77028375742</v>
      </c>
      <c r="J8810" s="187">
        <v>225</v>
      </c>
      <c r="K8810" s="187">
        <v>3994.795802775458</v>
      </c>
      <c r="L8810" s="187">
        <v>3425</v>
      </c>
      <c r="M8810" s="187">
        <v>8919.56640625</v>
      </c>
      <c r="N8810" s="187">
        <v>4699.7705078125</v>
      </c>
      <c r="O8810" t="s">
        <v>8418</v>
      </c>
    </row>
    <row r="8811" spans="1:15" hidden="1" x14ac:dyDescent="0.45">
      <c r="A8811" s="187">
        <v>2030</v>
      </c>
      <c r="B8811" t="s">
        <v>317</v>
      </c>
      <c r="C8811" t="s">
        <v>328</v>
      </c>
      <c r="D8811" t="s">
        <v>39</v>
      </c>
      <c r="E8811" t="s">
        <v>363</v>
      </c>
      <c r="F8811" t="s">
        <v>363</v>
      </c>
      <c r="G8811" t="s">
        <v>36</v>
      </c>
      <c r="H8811" t="s">
        <v>43</v>
      </c>
      <c r="I8811" s="187">
        <v>3229.6366342236429</v>
      </c>
      <c r="J8811" s="187">
        <v>47.036962758374742</v>
      </c>
      <c r="K8811" s="187">
        <v>662.59286432482509</v>
      </c>
      <c r="L8811" s="187">
        <v>2307.9469726775874</v>
      </c>
      <c r="M8811" s="187">
        <v>6247.21337890625</v>
      </c>
      <c r="N8811" s="187">
        <v>5537.58349609375</v>
      </c>
      <c r="O8811" t="s">
        <v>8421</v>
      </c>
    </row>
    <row r="8812" spans="1:15" hidden="1" x14ac:dyDescent="0.45">
      <c r="A8812" s="187">
        <v>2030</v>
      </c>
      <c r="B8812" t="s">
        <v>316</v>
      </c>
      <c r="C8812" t="s">
        <v>328</v>
      </c>
      <c r="D8812" t="s">
        <v>39</v>
      </c>
      <c r="E8812" t="s">
        <v>363</v>
      </c>
      <c r="F8812" t="s">
        <v>363</v>
      </c>
      <c r="G8812" t="s">
        <v>36</v>
      </c>
      <c r="H8812" t="s">
        <v>43</v>
      </c>
      <c r="I8812" s="187">
        <v>3267.7910343034573</v>
      </c>
      <c r="J8812" s="187">
        <v>47.592649759384308</v>
      </c>
      <c r="K8812" s="187">
        <v>698.34931127606751</v>
      </c>
      <c r="L8812" s="187">
        <v>2363.7682713827539</v>
      </c>
      <c r="M8812" s="187">
        <v>6377.5009765625</v>
      </c>
      <c r="N8812" s="187">
        <v>5631.55908203125</v>
      </c>
      <c r="O8812" t="s">
        <v>8420</v>
      </c>
    </row>
    <row r="8813" spans="1:15" hidden="1" x14ac:dyDescent="0.45">
      <c r="A8813" s="187">
        <v>2030</v>
      </c>
      <c r="B8813" t="s">
        <v>8570</v>
      </c>
      <c r="C8813" t="s">
        <v>328</v>
      </c>
      <c r="D8813" t="s">
        <v>39</v>
      </c>
      <c r="E8813" t="s">
        <v>363</v>
      </c>
      <c r="F8813" t="s">
        <v>363</v>
      </c>
      <c r="G8813" t="s">
        <v>36</v>
      </c>
      <c r="H8813" t="s">
        <v>43</v>
      </c>
      <c r="I8813" s="187">
        <v>2305.1127329999999</v>
      </c>
      <c r="J8813" s="187">
        <v>45</v>
      </c>
      <c r="K8813" s="187">
        <v>665.23982932115507</v>
      </c>
      <c r="L8813" s="187">
        <v>2286</v>
      </c>
      <c r="M8813" s="187">
        <v>5301.3525390625</v>
      </c>
      <c r="N8813" s="187">
        <v>4591.11279296875</v>
      </c>
      <c r="O8813" t="s">
        <v>9421</v>
      </c>
    </row>
    <row r="8814" spans="1:15" hidden="1" x14ac:dyDescent="0.45">
      <c r="A8814" s="187">
        <v>2030</v>
      </c>
      <c r="B8814" t="s">
        <v>8570</v>
      </c>
      <c r="C8814" t="s">
        <v>328</v>
      </c>
      <c r="D8814" t="s">
        <v>39</v>
      </c>
      <c r="E8814" t="s">
        <v>363</v>
      </c>
      <c r="F8814" t="s">
        <v>363</v>
      </c>
      <c r="G8814" t="s">
        <v>37</v>
      </c>
      <c r="H8814" t="s">
        <v>43</v>
      </c>
      <c r="I8814" s="187">
        <v>2700.806957887221</v>
      </c>
      <c r="J8814" s="187">
        <v>52</v>
      </c>
      <c r="K8814" s="187">
        <v>782.87032789083889</v>
      </c>
      <c r="L8814" s="187">
        <v>2783</v>
      </c>
      <c r="M8814" s="187">
        <v>6318.67724609375</v>
      </c>
      <c r="N8814" s="187">
        <v>5483.806640625</v>
      </c>
      <c r="O8814" t="s">
        <v>9422</v>
      </c>
    </row>
    <row r="8815" spans="1:15" hidden="1" x14ac:dyDescent="0.45">
      <c r="A8815" s="187">
        <v>2030</v>
      </c>
      <c r="B8815" t="s">
        <v>316</v>
      </c>
      <c r="C8815" t="s">
        <v>328</v>
      </c>
      <c r="D8815" t="s">
        <v>39</v>
      </c>
      <c r="E8815" t="s">
        <v>363</v>
      </c>
      <c r="F8815" t="s">
        <v>363</v>
      </c>
      <c r="G8815" t="s">
        <v>37</v>
      </c>
      <c r="H8815" t="s">
        <v>43</v>
      </c>
      <c r="I8815" s="187">
        <v>3766.78817963444</v>
      </c>
      <c r="J8815" s="187">
        <v>45</v>
      </c>
      <c r="K8815" s="187">
        <v>790.52520896628107</v>
      </c>
      <c r="L8815" s="187">
        <v>2761</v>
      </c>
      <c r="M8815" s="187">
        <v>7363.3134765625</v>
      </c>
      <c r="N8815" s="187">
        <v>6527.7880859375</v>
      </c>
      <c r="O8815" t="s">
        <v>8422</v>
      </c>
    </row>
    <row r="8816" spans="1:15" hidden="1" x14ac:dyDescent="0.45">
      <c r="A8816" s="187">
        <v>2030</v>
      </c>
      <c r="B8816" t="s">
        <v>317</v>
      </c>
      <c r="C8816" t="s">
        <v>328</v>
      </c>
      <c r="D8816" t="s">
        <v>39</v>
      </c>
      <c r="E8816" t="s">
        <v>363</v>
      </c>
      <c r="F8816" t="s">
        <v>363</v>
      </c>
      <c r="G8816" t="s">
        <v>37</v>
      </c>
      <c r="H8816" t="s">
        <v>43</v>
      </c>
      <c r="I8816" s="187">
        <v>3693</v>
      </c>
      <c r="J8816" s="187">
        <v>45</v>
      </c>
      <c r="K8816" s="187">
        <v>752.95035455610173</v>
      </c>
      <c r="L8816" s="187">
        <v>2626</v>
      </c>
      <c r="M8816" s="187">
        <v>7116.9501953125</v>
      </c>
      <c r="N8816" s="187">
        <v>6319</v>
      </c>
      <c r="O8816" t="s">
        <v>8423</v>
      </c>
    </row>
    <row r="8817" spans="1:15" hidden="1" x14ac:dyDescent="0.45">
      <c r="A8817" s="187">
        <v>2030</v>
      </c>
      <c r="B8817" t="s">
        <v>316</v>
      </c>
      <c r="C8817" t="s">
        <v>328</v>
      </c>
      <c r="D8817" t="s">
        <v>39</v>
      </c>
      <c r="E8817" t="s">
        <v>364</v>
      </c>
      <c r="F8817" t="s">
        <v>364</v>
      </c>
      <c r="G8817" t="s">
        <v>36</v>
      </c>
      <c r="H8817" t="s">
        <v>43</v>
      </c>
      <c r="I8817" s="187">
        <v>3033.8246373856173</v>
      </c>
      <c r="J8817" s="187">
        <v>920.12456201476334</v>
      </c>
      <c r="K8817" s="187">
        <v>5124.3234514849682</v>
      </c>
      <c r="L8817" s="187">
        <v>3062.8514156261544</v>
      </c>
      <c r="M8817" s="187">
        <v>12141.1240234375</v>
      </c>
      <c r="N8817" s="187">
        <v>6096.67626953125</v>
      </c>
      <c r="O8817" t="s">
        <v>8424</v>
      </c>
    </row>
    <row r="8818" spans="1:15" hidden="1" x14ac:dyDescent="0.45">
      <c r="A8818" s="187">
        <v>2030</v>
      </c>
      <c r="B8818" t="s">
        <v>8570</v>
      </c>
      <c r="C8818" t="s">
        <v>328</v>
      </c>
      <c r="D8818" t="s">
        <v>39</v>
      </c>
      <c r="E8818" t="s">
        <v>364</v>
      </c>
      <c r="F8818" t="s">
        <v>364</v>
      </c>
      <c r="G8818" t="s">
        <v>36</v>
      </c>
      <c r="H8818" t="s">
        <v>43</v>
      </c>
      <c r="I8818" s="187">
        <v>3183.2509169999998</v>
      </c>
      <c r="J8818" s="187">
        <v>1023</v>
      </c>
      <c r="K8818" s="187">
        <v>4991.3569449408069</v>
      </c>
      <c r="L8818" s="187">
        <v>3919</v>
      </c>
      <c r="M8818" s="187">
        <v>13116.6083984375</v>
      </c>
      <c r="N8818" s="187">
        <v>7102.2509765625</v>
      </c>
      <c r="O8818" t="s">
        <v>9423</v>
      </c>
    </row>
    <row r="8819" spans="1:15" hidden="1" x14ac:dyDescent="0.45">
      <c r="A8819" s="187">
        <v>2030</v>
      </c>
      <c r="B8819" t="s">
        <v>317</v>
      </c>
      <c r="C8819" t="s">
        <v>328</v>
      </c>
      <c r="D8819" t="s">
        <v>39</v>
      </c>
      <c r="E8819" t="s">
        <v>364</v>
      </c>
      <c r="F8819" t="s">
        <v>364</v>
      </c>
      <c r="G8819" t="s">
        <v>36</v>
      </c>
      <c r="H8819" t="s">
        <v>43</v>
      </c>
      <c r="I8819" s="187">
        <v>3563.3112454066554</v>
      </c>
      <c r="J8819" s="187">
        <v>909.38127999524511</v>
      </c>
      <c r="K8819" s="187">
        <v>5167.6379289048946</v>
      </c>
      <c r="L8819" s="187">
        <v>3822.5371734972541</v>
      </c>
      <c r="M8819" s="187">
        <v>13462.8671875</v>
      </c>
      <c r="N8819" s="187">
        <v>7385.8486328125</v>
      </c>
      <c r="O8819" t="s">
        <v>8425</v>
      </c>
    </row>
    <row r="8820" spans="1:15" hidden="1" x14ac:dyDescent="0.45">
      <c r="A8820" s="187">
        <v>2030</v>
      </c>
      <c r="B8820" t="s">
        <v>8570</v>
      </c>
      <c r="C8820" t="s">
        <v>328</v>
      </c>
      <c r="D8820" t="s">
        <v>39</v>
      </c>
      <c r="E8820" t="s">
        <v>364</v>
      </c>
      <c r="F8820" t="s">
        <v>364</v>
      </c>
      <c r="G8820" t="s">
        <v>37</v>
      </c>
      <c r="H8820" t="s">
        <v>43</v>
      </c>
      <c r="I8820" s="187">
        <v>3729.685798987115</v>
      </c>
      <c r="J8820" s="187">
        <v>1175</v>
      </c>
      <c r="K8820" s="187">
        <v>5873.9496282017963</v>
      </c>
      <c r="L8820" s="187">
        <v>4772</v>
      </c>
      <c r="M8820" s="187">
        <v>15550.634765625</v>
      </c>
      <c r="N8820" s="187">
        <v>8501.685546875</v>
      </c>
      <c r="O8820" t="s">
        <v>9424</v>
      </c>
    </row>
    <row r="8821" spans="1:15" hidden="1" x14ac:dyDescent="0.45">
      <c r="A8821" s="187">
        <v>2030</v>
      </c>
      <c r="B8821" t="s">
        <v>317</v>
      </c>
      <c r="C8821" t="s">
        <v>328</v>
      </c>
      <c r="D8821" t="s">
        <v>39</v>
      </c>
      <c r="E8821" t="s">
        <v>364</v>
      </c>
      <c r="F8821" t="s">
        <v>364</v>
      </c>
      <c r="G8821" t="s">
        <v>37</v>
      </c>
      <c r="H8821" t="s">
        <v>43</v>
      </c>
      <c r="I8821" s="187">
        <v>4073.538128792286</v>
      </c>
      <c r="J8821" s="187">
        <v>870</v>
      </c>
      <c r="K8821" s="187">
        <v>5872.3463838557336</v>
      </c>
      <c r="L8821" s="187">
        <v>4350</v>
      </c>
      <c r="M8821" s="187">
        <v>15165.884765625</v>
      </c>
      <c r="N8821" s="187">
        <v>8423.5380859375</v>
      </c>
      <c r="O8821" t="s">
        <v>8426</v>
      </c>
    </row>
    <row r="8822" spans="1:15" hidden="1" x14ac:dyDescent="0.45">
      <c r="A8822" s="187">
        <v>2030</v>
      </c>
      <c r="B8822" t="s">
        <v>316</v>
      </c>
      <c r="C8822" t="s">
        <v>328</v>
      </c>
      <c r="D8822" t="s">
        <v>39</v>
      </c>
      <c r="E8822" t="s">
        <v>364</v>
      </c>
      <c r="F8822" t="s">
        <v>364</v>
      </c>
      <c r="G8822" t="s">
        <v>37</v>
      </c>
      <c r="H8822" t="s">
        <v>43</v>
      </c>
      <c r="I8822" s="187">
        <v>3497.0947233851398</v>
      </c>
      <c r="J8822" s="187">
        <v>870</v>
      </c>
      <c r="K8822" s="187">
        <v>5800.6885692976448</v>
      </c>
      <c r="L8822" s="187">
        <v>3578</v>
      </c>
      <c r="M8822" s="187">
        <v>13745.783203125</v>
      </c>
      <c r="N8822" s="187">
        <v>7075.0947265625</v>
      </c>
      <c r="O8822" t="s">
        <v>8427</v>
      </c>
    </row>
    <row r="8823" spans="1:15" hidden="1" x14ac:dyDescent="0.45">
      <c r="A8823" s="187">
        <v>2030</v>
      </c>
      <c r="B8823" t="s">
        <v>316</v>
      </c>
      <c r="C8823" t="s">
        <v>328</v>
      </c>
      <c r="D8823" t="s">
        <v>39</v>
      </c>
      <c r="E8823" t="s">
        <v>365</v>
      </c>
      <c r="F8823" t="s">
        <v>375</v>
      </c>
      <c r="G8823" t="s">
        <v>36</v>
      </c>
      <c r="H8823" t="s">
        <v>43</v>
      </c>
      <c r="I8823" s="187">
        <v>10525.365794758383</v>
      </c>
      <c r="J8823" s="187">
        <v>2559.4269426157784</v>
      </c>
      <c r="K8823" s="187">
        <v>16766.923459538659</v>
      </c>
      <c r="L8823" s="187">
        <v>13613.613060062107</v>
      </c>
      <c r="M8823" s="187">
        <v>43465.328125</v>
      </c>
      <c r="N8823" s="187">
        <v>24138.978515625</v>
      </c>
      <c r="O8823" t="s">
        <v>8428</v>
      </c>
    </row>
    <row r="8824" spans="1:15" hidden="1" x14ac:dyDescent="0.45">
      <c r="A8824" s="187">
        <v>2030</v>
      </c>
      <c r="B8824" t="s">
        <v>8570</v>
      </c>
      <c r="C8824" t="s">
        <v>328</v>
      </c>
      <c r="D8824" t="s">
        <v>39</v>
      </c>
      <c r="E8824" t="s">
        <v>365</v>
      </c>
      <c r="F8824" t="s">
        <v>375</v>
      </c>
      <c r="G8824" t="s">
        <v>36</v>
      </c>
      <c r="H8824" t="s">
        <v>43</v>
      </c>
      <c r="I8824" s="187">
        <v>11148.287700000001</v>
      </c>
      <c r="J8824" s="187">
        <v>2824</v>
      </c>
      <c r="K8824" s="187">
        <v>18950.34337486259</v>
      </c>
      <c r="L8824" s="187">
        <v>14885</v>
      </c>
      <c r="M8824" s="187">
        <v>47807.6328125</v>
      </c>
      <c r="N8824" s="187">
        <v>26033.2890625</v>
      </c>
      <c r="O8824" t="s">
        <v>9425</v>
      </c>
    </row>
    <row r="8825" spans="1:15" hidden="1" x14ac:dyDescent="0.45">
      <c r="A8825" s="187">
        <v>2030</v>
      </c>
      <c r="B8825" t="s">
        <v>317</v>
      </c>
      <c r="C8825" t="s">
        <v>328</v>
      </c>
      <c r="D8825" t="s">
        <v>39</v>
      </c>
      <c r="E8825" t="s">
        <v>365</v>
      </c>
      <c r="F8825" t="s">
        <v>375</v>
      </c>
      <c r="G8825" t="s">
        <v>36</v>
      </c>
      <c r="H8825" t="s">
        <v>43</v>
      </c>
      <c r="I8825" s="187">
        <v>10967.381920263177</v>
      </c>
      <c r="J8825" s="187">
        <v>2478.3253044468115</v>
      </c>
      <c r="K8825" s="187">
        <v>19426.500590106618</v>
      </c>
      <c r="L8825" s="187">
        <v>14811.41693969267</v>
      </c>
      <c r="M8825" s="187">
        <v>47683.625</v>
      </c>
      <c r="N8825" s="187">
        <v>25778.798828125</v>
      </c>
      <c r="O8825" t="s">
        <v>8429</v>
      </c>
    </row>
    <row r="8826" spans="1:15" hidden="1" x14ac:dyDescent="0.45">
      <c r="A8826" s="187">
        <v>2030</v>
      </c>
      <c r="B8826" t="s">
        <v>316</v>
      </c>
      <c r="C8826" t="s">
        <v>328</v>
      </c>
      <c r="D8826" t="s">
        <v>39</v>
      </c>
      <c r="E8826" t="s">
        <v>365</v>
      </c>
      <c r="F8826" t="s">
        <v>375</v>
      </c>
      <c r="G8826" t="s">
        <v>37</v>
      </c>
      <c r="H8826" t="s">
        <v>43</v>
      </c>
      <c r="I8826" s="187">
        <v>12132.606719901671</v>
      </c>
      <c r="J8826" s="187">
        <v>2420</v>
      </c>
      <c r="K8826" s="187">
        <v>18980.008224471021</v>
      </c>
      <c r="L8826" s="187">
        <v>15903</v>
      </c>
      <c r="M8826" s="187">
        <v>49435.61328125</v>
      </c>
      <c r="N8826" s="187">
        <v>28035.60546875</v>
      </c>
      <c r="O8826" t="s">
        <v>8431</v>
      </c>
    </row>
    <row r="8827" spans="1:15" hidden="1" x14ac:dyDescent="0.45">
      <c r="A8827" s="187">
        <v>2030</v>
      </c>
      <c r="B8827" t="s">
        <v>8570</v>
      </c>
      <c r="C8827" t="s">
        <v>328</v>
      </c>
      <c r="D8827" t="s">
        <v>39</v>
      </c>
      <c r="E8827" t="s">
        <v>365</v>
      </c>
      <c r="F8827" t="s">
        <v>375</v>
      </c>
      <c r="G8827" t="s">
        <v>37</v>
      </c>
      <c r="H8827" t="s">
        <v>43</v>
      </c>
      <c r="I8827" s="187">
        <v>13061.995865817171</v>
      </c>
      <c r="J8827" s="187">
        <v>3222</v>
      </c>
      <c r="K8827" s="187">
        <v>22301.222623218051</v>
      </c>
      <c r="L8827" s="187">
        <v>18123</v>
      </c>
      <c r="M8827" s="187">
        <v>56708.21875</v>
      </c>
      <c r="N8827" s="187">
        <v>31184.99609375</v>
      </c>
      <c r="O8827" t="s">
        <v>9426</v>
      </c>
    </row>
    <row r="8828" spans="1:15" hidden="1" x14ac:dyDescent="0.45">
      <c r="A8828" s="187">
        <v>2030</v>
      </c>
      <c r="B8828" t="s">
        <v>317</v>
      </c>
      <c r="C8828" t="s">
        <v>328</v>
      </c>
      <c r="D8828" t="s">
        <v>39</v>
      </c>
      <c r="E8828" t="s">
        <v>365</v>
      </c>
      <c r="F8828" t="s">
        <v>375</v>
      </c>
      <c r="G8828" t="s">
        <v>37</v>
      </c>
      <c r="H8828" t="s">
        <v>43</v>
      </c>
      <c r="I8828" s="187">
        <v>12539.19040186102</v>
      </c>
      <c r="J8828" s="187">
        <v>2371</v>
      </c>
      <c r="K8828" s="187">
        <v>22075.683718704149</v>
      </c>
      <c r="L8828" s="187">
        <v>16855</v>
      </c>
      <c r="M8828" s="187">
        <v>53840.875</v>
      </c>
      <c r="N8828" s="187">
        <v>29394.19140625</v>
      </c>
      <c r="O8828" t="s">
        <v>8430</v>
      </c>
    </row>
    <row r="8829" spans="1:15" hidden="1" x14ac:dyDescent="0.45">
      <c r="A8829" s="187">
        <v>2031</v>
      </c>
      <c r="B8829" t="s">
        <v>317</v>
      </c>
      <c r="C8829" t="s">
        <v>322</v>
      </c>
      <c r="D8829" t="s">
        <v>35</v>
      </c>
      <c r="E8829" t="s">
        <v>348</v>
      </c>
      <c r="F8829" t="s">
        <v>382</v>
      </c>
      <c r="G8829" t="s">
        <v>36</v>
      </c>
      <c r="H8829" t="s">
        <v>43</v>
      </c>
      <c r="I8829" s="187">
        <v>15294.444174001259</v>
      </c>
      <c r="J8829" s="187">
        <v>1080.5090956866493</v>
      </c>
      <c r="K8829" s="187">
        <v>20239.943886466728</v>
      </c>
      <c r="L8829" s="187">
        <v>23252.555739176692</v>
      </c>
      <c r="M8829" s="187">
        <v>59867.453125</v>
      </c>
      <c r="N8829" s="187">
        <v>38547</v>
      </c>
      <c r="O8829" t="s">
        <v>8432</v>
      </c>
    </row>
    <row r="8830" spans="1:15" hidden="1" x14ac:dyDescent="0.45">
      <c r="A8830" s="187">
        <v>2031</v>
      </c>
      <c r="B8830" t="s">
        <v>8570</v>
      </c>
      <c r="C8830" t="s">
        <v>322</v>
      </c>
      <c r="D8830" t="s">
        <v>35</v>
      </c>
      <c r="E8830" t="s">
        <v>348</v>
      </c>
      <c r="F8830" t="s">
        <v>382</v>
      </c>
      <c r="G8830" t="s">
        <v>36</v>
      </c>
      <c r="H8830" t="s">
        <v>43</v>
      </c>
      <c r="I8830" s="187">
        <v>11246.255398988529</v>
      </c>
      <c r="J8830" s="187">
        <v>1000</v>
      </c>
      <c r="K8830" s="187">
        <v>17000.733126970848</v>
      </c>
      <c r="L8830" s="187">
        <v>15875</v>
      </c>
      <c r="M8830" s="187">
        <v>45121.98828125</v>
      </c>
      <c r="N8830" s="187">
        <v>27121.255859375</v>
      </c>
      <c r="O8830" t="s">
        <v>9427</v>
      </c>
    </row>
    <row r="8831" spans="1:15" hidden="1" x14ac:dyDescent="0.45">
      <c r="A8831" s="187">
        <v>2031</v>
      </c>
      <c r="B8831" t="s">
        <v>8570</v>
      </c>
      <c r="C8831" t="s">
        <v>322</v>
      </c>
      <c r="D8831" t="s">
        <v>35</v>
      </c>
      <c r="E8831" t="s">
        <v>348</v>
      </c>
      <c r="F8831" t="s">
        <v>382</v>
      </c>
      <c r="G8831" t="s">
        <v>37</v>
      </c>
      <c r="H8831" t="s">
        <v>43</v>
      </c>
      <c r="I8831" s="187">
        <v>13440.316252159741</v>
      </c>
      <c r="J8831" s="187">
        <v>1000</v>
      </c>
      <c r="K8831" s="187">
        <v>20407.01159114216</v>
      </c>
      <c r="L8831" s="187">
        <v>20629</v>
      </c>
      <c r="M8831" s="187">
        <v>55476.328125</v>
      </c>
      <c r="N8831" s="187">
        <v>34069.31640625</v>
      </c>
      <c r="O8831" t="s">
        <v>9428</v>
      </c>
    </row>
    <row r="8832" spans="1:15" hidden="1" x14ac:dyDescent="0.45">
      <c r="A8832" s="187">
        <v>2031</v>
      </c>
      <c r="B8832" t="s">
        <v>317</v>
      </c>
      <c r="C8832" t="s">
        <v>322</v>
      </c>
      <c r="D8832" t="s">
        <v>35</v>
      </c>
      <c r="E8832" t="s">
        <v>348</v>
      </c>
      <c r="F8832" t="s">
        <v>382</v>
      </c>
      <c r="G8832" t="s">
        <v>37</v>
      </c>
      <c r="H8832" t="s">
        <v>43</v>
      </c>
      <c r="I8832" s="187">
        <v>17254.68316690193</v>
      </c>
      <c r="J8832" s="187">
        <v>1000</v>
      </c>
      <c r="K8832" s="187">
        <v>22694.854021109291</v>
      </c>
      <c r="L8832" s="187">
        <v>25933</v>
      </c>
      <c r="M8832" s="187">
        <v>66882.5390625</v>
      </c>
      <c r="N8832" s="187">
        <v>43187.68359375</v>
      </c>
      <c r="O8832" t="s">
        <v>8433</v>
      </c>
    </row>
    <row r="8833" spans="1:15" hidden="1" x14ac:dyDescent="0.45">
      <c r="A8833" s="187">
        <v>2031</v>
      </c>
      <c r="B8833" t="s">
        <v>8570</v>
      </c>
      <c r="C8833" t="s">
        <v>322</v>
      </c>
      <c r="D8833" t="s">
        <v>35</v>
      </c>
      <c r="E8833" t="s">
        <v>19</v>
      </c>
      <c r="F8833" t="s">
        <v>19</v>
      </c>
      <c r="G8833" t="s">
        <v>36</v>
      </c>
      <c r="H8833" t="s">
        <v>43</v>
      </c>
      <c r="I8833" s="187">
        <v>611.79096000000004</v>
      </c>
      <c r="J8833" s="187">
        <v>0</v>
      </c>
      <c r="K8833" s="187">
        <v>129.14531293064141</v>
      </c>
      <c r="L8833" s="187">
        <v>2791</v>
      </c>
      <c r="M8833" s="187">
        <v>3531.936279296875</v>
      </c>
      <c r="N8833" s="187">
        <v>3402.791015625</v>
      </c>
      <c r="O8833" t="s">
        <v>9429</v>
      </c>
    </row>
    <row r="8834" spans="1:15" hidden="1" x14ac:dyDescent="0.45">
      <c r="A8834" s="187">
        <v>2031</v>
      </c>
      <c r="B8834" t="s">
        <v>317</v>
      </c>
      <c r="C8834" t="s">
        <v>322</v>
      </c>
      <c r="D8834" t="s">
        <v>35</v>
      </c>
      <c r="E8834" t="s">
        <v>19</v>
      </c>
      <c r="F8834" t="s">
        <v>19</v>
      </c>
      <c r="G8834" t="s">
        <v>36</v>
      </c>
      <c r="H8834" t="s">
        <v>43</v>
      </c>
      <c r="I8834" s="187">
        <v>918.43273133365187</v>
      </c>
      <c r="J8834" s="187">
        <v>0</v>
      </c>
      <c r="K8834" s="187">
        <v>131.22933885325699</v>
      </c>
      <c r="L8834" s="187">
        <v>3065.4043044630239</v>
      </c>
      <c r="M8834" s="187">
        <v>4115.06640625</v>
      </c>
      <c r="N8834" s="187">
        <v>3983.837158203125</v>
      </c>
      <c r="O8834" t="s">
        <v>8434</v>
      </c>
    </row>
    <row r="8835" spans="1:15" hidden="1" x14ac:dyDescent="0.45">
      <c r="A8835" s="187">
        <v>2031</v>
      </c>
      <c r="B8835" t="s">
        <v>317</v>
      </c>
      <c r="C8835" t="s">
        <v>322</v>
      </c>
      <c r="D8835" t="s">
        <v>35</v>
      </c>
      <c r="E8835" t="s">
        <v>19</v>
      </c>
      <c r="F8835" t="s">
        <v>19</v>
      </c>
      <c r="G8835" t="s">
        <v>37</v>
      </c>
      <c r="H8835" t="s">
        <v>43</v>
      </c>
      <c r="I8835" s="187">
        <v>1036.1452569955441</v>
      </c>
      <c r="J8835" s="187">
        <v>0</v>
      </c>
      <c r="K8835" s="187">
        <v>147.14619295722071</v>
      </c>
      <c r="L8835" s="187">
        <v>3419</v>
      </c>
      <c r="M8835" s="187">
        <v>4602.29150390625</v>
      </c>
      <c r="N8835" s="187">
        <v>4455.1455078125</v>
      </c>
      <c r="O8835" t="s">
        <v>8435</v>
      </c>
    </row>
    <row r="8836" spans="1:15" hidden="1" x14ac:dyDescent="0.45">
      <c r="A8836" s="187">
        <v>2031</v>
      </c>
      <c r="B8836" t="s">
        <v>8570</v>
      </c>
      <c r="C8836" t="s">
        <v>322</v>
      </c>
      <c r="D8836" t="s">
        <v>35</v>
      </c>
      <c r="E8836" t="s">
        <v>19</v>
      </c>
      <c r="F8836" t="s">
        <v>19</v>
      </c>
      <c r="G8836" t="s">
        <v>37</v>
      </c>
      <c r="H8836" t="s">
        <v>43</v>
      </c>
      <c r="I8836" s="187">
        <v>731.14682984630963</v>
      </c>
      <c r="J8836" s="187">
        <v>0</v>
      </c>
      <c r="K8836" s="187">
        <v>155.02095575726861</v>
      </c>
      <c r="L8836" s="187">
        <v>3627</v>
      </c>
      <c r="M8836" s="187">
        <v>4513.16796875</v>
      </c>
      <c r="N8836" s="187">
        <v>4358.14697265625</v>
      </c>
      <c r="O8836" t="s">
        <v>9430</v>
      </c>
    </row>
    <row r="8837" spans="1:15" hidden="1" x14ac:dyDescent="0.45">
      <c r="A8837" s="187">
        <v>2031</v>
      </c>
      <c r="B8837" t="s">
        <v>8570</v>
      </c>
      <c r="C8837" t="s">
        <v>322</v>
      </c>
      <c r="D8837" t="s">
        <v>35</v>
      </c>
      <c r="E8837" t="s">
        <v>349</v>
      </c>
      <c r="F8837" t="s">
        <v>349</v>
      </c>
      <c r="G8837" t="s">
        <v>36</v>
      </c>
      <c r="H8837" t="s">
        <v>43</v>
      </c>
      <c r="I8837" s="187">
        <v>3344.4572480000002</v>
      </c>
      <c r="J8837" s="187">
        <v>495</v>
      </c>
      <c r="K8837" s="187">
        <v>5087.3314257472048</v>
      </c>
      <c r="L8837" s="187">
        <v>2447</v>
      </c>
      <c r="M8837" s="187">
        <v>11373.7890625</v>
      </c>
      <c r="N8837" s="187">
        <v>5791.45703125</v>
      </c>
      <c r="O8837" t="s">
        <v>9431</v>
      </c>
    </row>
    <row r="8838" spans="1:15" hidden="1" x14ac:dyDescent="0.45">
      <c r="A8838" s="187">
        <v>2031</v>
      </c>
      <c r="B8838" t="s">
        <v>317</v>
      </c>
      <c r="C8838" t="s">
        <v>322</v>
      </c>
      <c r="D8838" t="s">
        <v>35</v>
      </c>
      <c r="E8838" t="s">
        <v>349</v>
      </c>
      <c r="F8838" t="s">
        <v>349</v>
      </c>
      <c r="G8838" t="s">
        <v>36</v>
      </c>
      <c r="H8838" t="s">
        <v>43</v>
      </c>
      <c r="I8838" s="187">
        <v>5316.5553230712167</v>
      </c>
      <c r="J8838" s="187">
        <v>534.8520023648914</v>
      </c>
      <c r="K8838" s="187">
        <v>6824.5287149447831</v>
      </c>
      <c r="L8838" s="187">
        <v>2605.1074297005116</v>
      </c>
      <c r="M8838" s="187">
        <v>15281.04296875</v>
      </c>
      <c r="N8838" s="187">
        <v>7921.66259765625</v>
      </c>
      <c r="O8838" t="s">
        <v>8436</v>
      </c>
    </row>
    <row r="8839" spans="1:15" hidden="1" x14ac:dyDescent="0.45">
      <c r="A8839" s="187">
        <v>2031</v>
      </c>
      <c r="B8839" t="s">
        <v>8570</v>
      </c>
      <c r="C8839" t="s">
        <v>322</v>
      </c>
      <c r="D8839" t="s">
        <v>35</v>
      </c>
      <c r="E8839" t="s">
        <v>349</v>
      </c>
      <c r="F8839" t="s">
        <v>349</v>
      </c>
      <c r="G8839" t="s">
        <v>37</v>
      </c>
      <c r="H8839" t="s">
        <v>43</v>
      </c>
      <c r="I8839" s="187">
        <v>3996.9360031598248</v>
      </c>
      <c r="J8839" s="187">
        <v>495</v>
      </c>
      <c r="K8839" s="187">
        <v>6106.6326138902732</v>
      </c>
      <c r="L8839" s="187">
        <v>3180</v>
      </c>
      <c r="M8839" s="187">
        <v>13778.568359375</v>
      </c>
      <c r="N8839" s="187">
        <v>7176.93603515625</v>
      </c>
      <c r="O8839" t="s">
        <v>9432</v>
      </c>
    </row>
    <row r="8840" spans="1:15" hidden="1" x14ac:dyDescent="0.45">
      <c r="A8840" s="187">
        <v>2031</v>
      </c>
      <c r="B8840" t="s">
        <v>317</v>
      </c>
      <c r="C8840" t="s">
        <v>322</v>
      </c>
      <c r="D8840" t="s">
        <v>35</v>
      </c>
      <c r="E8840" t="s">
        <v>349</v>
      </c>
      <c r="F8840" t="s">
        <v>349</v>
      </c>
      <c r="G8840" t="s">
        <v>37</v>
      </c>
      <c r="H8840" t="s">
        <v>43</v>
      </c>
      <c r="I8840" s="187">
        <v>5997.9608670473444</v>
      </c>
      <c r="J8840" s="187">
        <v>495</v>
      </c>
      <c r="K8840" s="187">
        <v>7652.278277910681</v>
      </c>
      <c r="L8840" s="187">
        <v>2905</v>
      </c>
      <c r="M8840" s="187">
        <v>17050.23828125</v>
      </c>
      <c r="N8840" s="187">
        <v>8902.9609375</v>
      </c>
      <c r="O8840" t="s">
        <v>8437</v>
      </c>
    </row>
    <row r="8841" spans="1:15" hidden="1" x14ac:dyDescent="0.45">
      <c r="A8841" s="187">
        <v>2031</v>
      </c>
      <c r="B8841" t="s">
        <v>8570</v>
      </c>
      <c r="C8841" t="s">
        <v>322</v>
      </c>
      <c r="D8841" t="s">
        <v>35</v>
      </c>
      <c r="E8841" t="s">
        <v>46</v>
      </c>
      <c r="F8841" t="s">
        <v>46</v>
      </c>
      <c r="G8841" t="s">
        <v>37</v>
      </c>
      <c r="H8841" t="s">
        <v>43</v>
      </c>
      <c r="I8841" s="187"/>
      <c r="J8841" s="187">
        <v>1000</v>
      </c>
      <c r="K8841" s="187">
        <v>19966.496178706679</v>
      </c>
      <c r="L8841" s="187">
        <v>4610</v>
      </c>
      <c r="M8841" s="187">
        <v>25576.49609375</v>
      </c>
      <c r="N8841" s="187">
        <v>4610</v>
      </c>
      <c r="O8841" t="s">
        <v>9433</v>
      </c>
    </row>
    <row r="8842" spans="1:15" hidden="1" x14ac:dyDescent="0.45">
      <c r="A8842" s="187">
        <v>2031</v>
      </c>
      <c r="B8842" t="s">
        <v>317</v>
      </c>
      <c r="C8842" t="s">
        <v>322</v>
      </c>
      <c r="D8842" t="s">
        <v>35</v>
      </c>
      <c r="E8842" t="s">
        <v>46</v>
      </c>
      <c r="F8842" t="s">
        <v>46</v>
      </c>
      <c r="G8842" t="s">
        <v>37</v>
      </c>
      <c r="H8842" t="s">
        <v>43</v>
      </c>
      <c r="I8842" s="187">
        <v>14645.98978323032</v>
      </c>
      <c r="J8842" s="187">
        <v>1000</v>
      </c>
      <c r="K8842" s="187">
        <v>21651.88691314367</v>
      </c>
      <c r="L8842" s="187">
        <v>6267</v>
      </c>
      <c r="M8842" s="187">
        <v>43564.87890625</v>
      </c>
      <c r="N8842" s="187">
        <v>20912.990234375</v>
      </c>
      <c r="O8842" t="s">
        <v>8438</v>
      </c>
    </row>
    <row r="8843" spans="1:15" hidden="1" x14ac:dyDescent="0.45">
      <c r="A8843" s="187">
        <v>2031</v>
      </c>
      <c r="B8843" t="s">
        <v>8570</v>
      </c>
      <c r="C8843" t="s">
        <v>322</v>
      </c>
      <c r="D8843" t="s">
        <v>35</v>
      </c>
      <c r="E8843" t="s">
        <v>350</v>
      </c>
      <c r="F8843" t="s">
        <v>350</v>
      </c>
      <c r="G8843" t="s">
        <v>37</v>
      </c>
      <c r="H8843" t="s">
        <v>43</v>
      </c>
      <c r="I8843" s="187">
        <v>11674.57557556209</v>
      </c>
      <c r="J8843" s="187">
        <v>1000</v>
      </c>
      <c r="K8843" s="187">
        <v>19895.802259658209</v>
      </c>
      <c r="L8843" s="187">
        <v>4610</v>
      </c>
      <c r="M8843" s="187">
        <v>37180.375</v>
      </c>
      <c r="N8843" s="187">
        <v>16284.5751953125</v>
      </c>
      <c r="O8843" t="s">
        <v>9434</v>
      </c>
    </row>
    <row r="8844" spans="1:15" hidden="1" x14ac:dyDescent="0.45">
      <c r="A8844" s="187">
        <v>2031</v>
      </c>
      <c r="B8844" t="s">
        <v>317</v>
      </c>
      <c r="C8844" t="s">
        <v>322</v>
      </c>
      <c r="D8844" t="s">
        <v>35</v>
      </c>
      <c r="E8844" t="s">
        <v>350</v>
      </c>
      <c r="F8844" t="s">
        <v>350</v>
      </c>
      <c r="G8844" t="s">
        <v>37</v>
      </c>
      <c r="H8844" t="s">
        <v>43</v>
      </c>
      <c r="I8844" s="187">
        <v>14827.716969453049</v>
      </c>
      <c r="J8844" s="187">
        <v>1000</v>
      </c>
      <c r="K8844" s="187">
        <v>21698.036645310469</v>
      </c>
      <c r="L8844" s="187">
        <v>6268</v>
      </c>
      <c r="M8844" s="187">
        <v>43793.75390625</v>
      </c>
      <c r="N8844" s="187">
        <v>21095.716796875</v>
      </c>
      <c r="O8844" t="s">
        <v>8439</v>
      </c>
    </row>
    <row r="8845" spans="1:15" hidden="1" x14ac:dyDescent="0.45">
      <c r="A8845" s="187">
        <v>2031</v>
      </c>
      <c r="B8845" t="s">
        <v>317</v>
      </c>
      <c r="C8845" t="s">
        <v>322</v>
      </c>
      <c r="D8845" t="s">
        <v>35</v>
      </c>
      <c r="E8845" t="s">
        <v>16</v>
      </c>
      <c r="F8845" t="s">
        <v>16</v>
      </c>
      <c r="G8845" t="s">
        <v>36</v>
      </c>
      <c r="H8845" t="s">
        <v>43</v>
      </c>
      <c r="I8845" s="187">
        <v>4686.1679479929981</v>
      </c>
      <c r="J8845" s="187">
        <v>237.71200105106286</v>
      </c>
      <c r="K8845" s="187">
        <v>8046.2378101546647</v>
      </c>
      <c r="L8845" s="187">
        <v>11460.959977948289</v>
      </c>
      <c r="M8845" s="187">
        <v>24431.078125</v>
      </c>
      <c r="N8845" s="187">
        <v>16147.1279296875</v>
      </c>
      <c r="O8845" t="s">
        <v>8440</v>
      </c>
    </row>
    <row r="8846" spans="1:15" hidden="1" x14ac:dyDescent="0.45">
      <c r="A8846" s="187">
        <v>2031</v>
      </c>
      <c r="B8846" t="s">
        <v>8570</v>
      </c>
      <c r="C8846" t="s">
        <v>322</v>
      </c>
      <c r="D8846" t="s">
        <v>35</v>
      </c>
      <c r="E8846" t="s">
        <v>16</v>
      </c>
      <c r="F8846" t="s">
        <v>16</v>
      </c>
      <c r="G8846" t="s">
        <v>36</v>
      </c>
      <c r="H8846" t="s">
        <v>43</v>
      </c>
      <c r="I8846" s="187">
        <v>3419.7112400000001</v>
      </c>
      <c r="J8846" s="187">
        <v>220</v>
      </c>
      <c r="K8846" s="187">
        <v>8422.6496817842926</v>
      </c>
      <c r="L8846" s="187">
        <v>8919</v>
      </c>
      <c r="M8846" s="187">
        <v>20981.361328125</v>
      </c>
      <c r="N8846" s="187">
        <v>12338.7109375</v>
      </c>
      <c r="O8846" t="s">
        <v>9435</v>
      </c>
    </row>
    <row r="8847" spans="1:15" hidden="1" x14ac:dyDescent="0.45">
      <c r="A8847" s="187">
        <v>2031</v>
      </c>
      <c r="B8847" t="s">
        <v>8570</v>
      </c>
      <c r="C8847" t="s">
        <v>322</v>
      </c>
      <c r="D8847" t="s">
        <v>35</v>
      </c>
      <c r="E8847" t="s">
        <v>16</v>
      </c>
      <c r="F8847" t="s">
        <v>16</v>
      </c>
      <c r="G8847" t="s">
        <v>37</v>
      </c>
      <c r="H8847" t="s">
        <v>43</v>
      </c>
      <c r="I8847" s="187">
        <v>4086.871489758189</v>
      </c>
      <c r="J8847" s="187">
        <v>220</v>
      </c>
      <c r="K8847" s="187">
        <v>10110.21750653922</v>
      </c>
      <c r="L8847" s="187">
        <v>11590</v>
      </c>
      <c r="M8847" s="187">
        <v>26007.08984375</v>
      </c>
      <c r="N8847" s="187">
        <v>15676.87109375</v>
      </c>
      <c r="O8847" t="s">
        <v>9436</v>
      </c>
    </row>
    <row r="8848" spans="1:15" hidden="1" x14ac:dyDescent="0.45">
      <c r="A8848" s="187">
        <v>2031</v>
      </c>
      <c r="B8848" t="s">
        <v>317</v>
      </c>
      <c r="C8848" t="s">
        <v>322</v>
      </c>
      <c r="D8848" t="s">
        <v>35</v>
      </c>
      <c r="E8848" t="s">
        <v>16</v>
      </c>
      <c r="F8848" t="s">
        <v>16</v>
      </c>
      <c r="G8848" t="s">
        <v>37</v>
      </c>
      <c r="H8848" t="s">
        <v>43</v>
      </c>
      <c r="I8848" s="187">
        <v>5286.778799517263</v>
      </c>
      <c r="J8848" s="187">
        <v>220</v>
      </c>
      <c r="K8848" s="187">
        <v>9022.1689123698434</v>
      </c>
      <c r="L8848" s="187">
        <v>12782</v>
      </c>
      <c r="M8848" s="187">
        <v>27310.947265625</v>
      </c>
      <c r="N8848" s="187">
        <v>18068.779296875</v>
      </c>
      <c r="O8848" t="s">
        <v>8441</v>
      </c>
    </row>
    <row r="8849" spans="1:15" hidden="1" x14ac:dyDescent="0.45">
      <c r="A8849" s="187">
        <v>2031</v>
      </c>
      <c r="B8849" t="s">
        <v>317</v>
      </c>
      <c r="C8849" t="s">
        <v>322</v>
      </c>
      <c r="D8849" t="s">
        <v>35</v>
      </c>
      <c r="E8849" t="s">
        <v>351</v>
      </c>
      <c r="F8849" t="s">
        <v>351</v>
      </c>
      <c r="G8849" t="s">
        <v>37</v>
      </c>
      <c r="H8849" t="s">
        <v>43</v>
      </c>
      <c r="I8849" s="187">
        <v>62.526851187655481</v>
      </c>
      <c r="J8849" s="187"/>
      <c r="K8849" s="187">
        <v>57.6</v>
      </c>
      <c r="L8849" s="187">
        <v>248</v>
      </c>
      <c r="M8849" s="187">
        <v>368.12686157226563</v>
      </c>
      <c r="N8849" s="187">
        <v>310.52685546875</v>
      </c>
      <c r="O8849" t="s">
        <v>8442</v>
      </c>
    </row>
    <row r="8850" spans="1:15" hidden="1" x14ac:dyDescent="0.45">
      <c r="A8850" s="187">
        <v>2031</v>
      </c>
      <c r="B8850" t="s">
        <v>8570</v>
      </c>
      <c r="C8850" t="s">
        <v>322</v>
      </c>
      <c r="D8850" t="s">
        <v>35</v>
      </c>
      <c r="E8850" t="s">
        <v>351</v>
      </c>
      <c r="F8850" t="s">
        <v>351</v>
      </c>
      <c r="G8850" t="s">
        <v>37</v>
      </c>
      <c r="H8850" t="s">
        <v>43</v>
      </c>
      <c r="I8850" s="187">
        <v>49.016736848617789</v>
      </c>
      <c r="J8850" s="187"/>
      <c r="K8850" s="187">
        <v>111.644252116226</v>
      </c>
      <c r="L8850" s="187">
        <v>149</v>
      </c>
      <c r="M8850" s="187">
        <v>309.66098022460938</v>
      </c>
      <c r="N8850" s="187">
        <v>198.01673889160156</v>
      </c>
      <c r="O8850" t="s">
        <v>9437</v>
      </c>
    </row>
    <row r="8851" spans="1:15" hidden="1" x14ac:dyDescent="0.45">
      <c r="A8851" s="187">
        <v>2031</v>
      </c>
      <c r="B8851" t="s">
        <v>317</v>
      </c>
      <c r="C8851" t="s">
        <v>322</v>
      </c>
      <c r="D8851" t="s">
        <v>35</v>
      </c>
      <c r="E8851" t="s">
        <v>352</v>
      </c>
      <c r="F8851" t="s">
        <v>361</v>
      </c>
      <c r="G8851" t="s">
        <v>36</v>
      </c>
      <c r="H8851" t="s">
        <v>43</v>
      </c>
      <c r="I8851" s="187">
        <v>0</v>
      </c>
      <c r="J8851" s="187"/>
      <c r="K8851" s="187">
        <v>0</v>
      </c>
      <c r="L8851" s="187"/>
      <c r="M8851" s="187">
        <v>0</v>
      </c>
      <c r="N8851" s="187">
        <v>0</v>
      </c>
      <c r="O8851" t="s">
        <v>8443</v>
      </c>
    </row>
    <row r="8852" spans="1:15" hidden="1" x14ac:dyDescent="0.45">
      <c r="A8852" s="187">
        <v>2031</v>
      </c>
      <c r="B8852" t="s">
        <v>8570</v>
      </c>
      <c r="C8852" t="s">
        <v>322</v>
      </c>
      <c r="D8852" t="s">
        <v>35</v>
      </c>
      <c r="E8852" t="s">
        <v>352</v>
      </c>
      <c r="F8852" t="s">
        <v>361</v>
      </c>
      <c r="G8852" t="s">
        <v>36</v>
      </c>
      <c r="H8852" t="s">
        <v>43</v>
      </c>
      <c r="I8852" s="187">
        <v>0</v>
      </c>
      <c r="J8852" s="187"/>
      <c r="K8852" s="187">
        <v>0</v>
      </c>
      <c r="L8852" s="187"/>
      <c r="M8852" s="187">
        <v>0</v>
      </c>
      <c r="N8852" s="187">
        <v>0</v>
      </c>
      <c r="O8852" t="s">
        <v>9438</v>
      </c>
    </row>
    <row r="8853" spans="1:15" hidden="1" x14ac:dyDescent="0.45">
      <c r="A8853" s="187">
        <v>2031</v>
      </c>
      <c r="B8853" t="s">
        <v>317</v>
      </c>
      <c r="C8853" t="s">
        <v>322</v>
      </c>
      <c r="D8853" t="s">
        <v>35</v>
      </c>
      <c r="E8853" t="s">
        <v>353</v>
      </c>
      <c r="F8853" t="s">
        <v>383</v>
      </c>
      <c r="G8853" t="s">
        <v>36</v>
      </c>
      <c r="H8853" t="s">
        <v>43</v>
      </c>
      <c r="I8853" s="187">
        <v>14582.589261816354</v>
      </c>
      <c r="J8853" s="187">
        <v>1021.0810954238837</v>
      </c>
      <c r="K8853" s="187">
        <v>17495.556997295094</v>
      </c>
      <c r="L8853" s="187">
        <v>20877.596746857438</v>
      </c>
      <c r="M8853" s="187">
        <v>53976.82421875</v>
      </c>
      <c r="N8853" s="187">
        <v>35460.1875</v>
      </c>
      <c r="O8853" t="s">
        <v>8444</v>
      </c>
    </row>
    <row r="8854" spans="1:15" hidden="1" x14ac:dyDescent="0.45">
      <c r="A8854" s="187">
        <v>2031</v>
      </c>
      <c r="B8854" t="s">
        <v>8570</v>
      </c>
      <c r="C8854" t="s">
        <v>322</v>
      </c>
      <c r="D8854" t="s">
        <v>35</v>
      </c>
      <c r="E8854" t="s">
        <v>353</v>
      </c>
      <c r="F8854" t="s">
        <v>383</v>
      </c>
      <c r="G8854" t="s">
        <v>36</v>
      </c>
      <c r="H8854" t="s">
        <v>43</v>
      </c>
      <c r="I8854" s="187">
        <v>10770.65059898853</v>
      </c>
      <c r="J8854" s="187">
        <v>945</v>
      </c>
      <c r="K8854" s="187">
        <v>14985.39509655144</v>
      </c>
      <c r="L8854" s="187">
        <v>15072</v>
      </c>
      <c r="M8854" s="187">
        <v>41773.046875</v>
      </c>
      <c r="N8854" s="187">
        <v>25842.650390625</v>
      </c>
      <c r="O8854" t="s">
        <v>9439</v>
      </c>
    </row>
    <row r="8855" spans="1:15" hidden="1" x14ac:dyDescent="0.45">
      <c r="A8855" s="187">
        <v>2031</v>
      </c>
      <c r="B8855" t="s">
        <v>8570</v>
      </c>
      <c r="C8855" t="s">
        <v>322</v>
      </c>
      <c r="D8855" t="s">
        <v>35</v>
      </c>
      <c r="E8855" t="s">
        <v>353</v>
      </c>
      <c r="F8855" t="s">
        <v>383</v>
      </c>
      <c r="G8855" t="s">
        <v>37</v>
      </c>
      <c r="H8855" t="s">
        <v>43</v>
      </c>
      <c r="I8855" s="187">
        <v>12871.92449007864</v>
      </c>
      <c r="J8855" s="187">
        <v>945</v>
      </c>
      <c r="K8855" s="187">
        <v>17987.879060816598</v>
      </c>
      <c r="L8855" s="187">
        <v>19586</v>
      </c>
      <c r="M8855" s="187">
        <v>51390.8046875</v>
      </c>
      <c r="N8855" s="187">
        <v>32457.92578125</v>
      </c>
      <c r="O8855" t="s">
        <v>9440</v>
      </c>
    </row>
    <row r="8856" spans="1:15" hidden="1" x14ac:dyDescent="0.45">
      <c r="A8856" s="187">
        <v>2031</v>
      </c>
      <c r="B8856" t="s">
        <v>317</v>
      </c>
      <c r="C8856" t="s">
        <v>322</v>
      </c>
      <c r="D8856" t="s">
        <v>35</v>
      </c>
      <c r="E8856" t="s">
        <v>353</v>
      </c>
      <c r="F8856" t="s">
        <v>383</v>
      </c>
      <c r="G8856" t="s">
        <v>37</v>
      </c>
      <c r="H8856" t="s">
        <v>43</v>
      </c>
      <c r="I8856" s="187">
        <v>16451.592133921949</v>
      </c>
      <c r="J8856" s="187">
        <v>945</v>
      </c>
      <c r="K8856" s="187">
        <v>19617.5994508117</v>
      </c>
      <c r="L8856" s="187">
        <v>23284</v>
      </c>
      <c r="M8856" s="187">
        <v>60298.19140625</v>
      </c>
      <c r="N8856" s="187">
        <v>39735.59375</v>
      </c>
      <c r="O8856" t="s">
        <v>8445</v>
      </c>
    </row>
    <row r="8857" spans="1:15" hidden="1" x14ac:dyDescent="0.45">
      <c r="A8857" s="187">
        <v>2031</v>
      </c>
      <c r="B8857" t="s">
        <v>8570</v>
      </c>
      <c r="C8857" t="s">
        <v>322</v>
      </c>
      <c r="D8857" t="s">
        <v>35</v>
      </c>
      <c r="E8857" t="s">
        <v>38</v>
      </c>
      <c r="F8857" t="s">
        <v>38</v>
      </c>
      <c r="G8857" t="s">
        <v>36</v>
      </c>
      <c r="H8857" t="s">
        <v>43</v>
      </c>
      <c r="I8857" s="187">
        <v>475.60480000000001</v>
      </c>
      <c r="J8857" s="187">
        <v>55</v>
      </c>
      <c r="K8857" s="187">
        <v>2015.3380304194111</v>
      </c>
      <c r="L8857" s="187">
        <v>803</v>
      </c>
      <c r="M8857" s="187">
        <v>3348.94287109375</v>
      </c>
      <c r="N8857" s="187">
        <v>1278.604736328125</v>
      </c>
      <c r="O8857" t="s">
        <v>9441</v>
      </c>
    </row>
    <row r="8858" spans="1:15" hidden="1" x14ac:dyDescent="0.45">
      <c r="A8858" s="187">
        <v>2031</v>
      </c>
      <c r="B8858" t="s">
        <v>317</v>
      </c>
      <c r="C8858" t="s">
        <v>322</v>
      </c>
      <c r="D8858" t="s">
        <v>35</v>
      </c>
      <c r="E8858" t="s">
        <v>38</v>
      </c>
      <c r="F8858" t="s">
        <v>38</v>
      </c>
      <c r="G8858" t="s">
        <v>36</v>
      </c>
      <c r="H8858" t="s">
        <v>43</v>
      </c>
      <c r="I8858" s="187">
        <v>711.85491218490756</v>
      </c>
      <c r="J8858" s="187">
        <v>59.428000262765714</v>
      </c>
      <c r="K8858" s="187">
        <v>2744.3868891716329</v>
      </c>
      <c r="L8858" s="187">
        <v>2374.9589923192552</v>
      </c>
      <c r="M8858" s="187">
        <v>5890.62890625</v>
      </c>
      <c r="N8858" s="187">
        <v>3086.81396484375</v>
      </c>
      <c r="O8858" t="s">
        <v>8446</v>
      </c>
    </row>
    <row r="8859" spans="1:15" hidden="1" x14ac:dyDescent="0.45">
      <c r="A8859" s="187">
        <v>2031</v>
      </c>
      <c r="B8859" t="s">
        <v>8570</v>
      </c>
      <c r="C8859" t="s">
        <v>322</v>
      </c>
      <c r="D8859" t="s">
        <v>35</v>
      </c>
      <c r="E8859" t="s">
        <v>38</v>
      </c>
      <c r="F8859" t="s">
        <v>38</v>
      </c>
      <c r="G8859" t="s">
        <v>37</v>
      </c>
      <c r="H8859" t="s">
        <v>43</v>
      </c>
      <c r="I8859" s="187">
        <v>568.39176208110052</v>
      </c>
      <c r="J8859" s="187">
        <v>55</v>
      </c>
      <c r="K8859" s="187">
        <v>2419.132530325558</v>
      </c>
      <c r="L8859" s="187">
        <v>1043</v>
      </c>
      <c r="M8859" s="187">
        <v>4085.5244140625</v>
      </c>
      <c r="N8859" s="187">
        <v>1611.391845703125</v>
      </c>
      <c r="O8859" t="s">
        <v>9442</v>
      </c>
    </row>
    <row r="8860" spans="1:15" hidden="1" x14ac:dyDescent="0.45">
      <c r="A8860" s="187">
        <v>2031</v>
      </c>
      <c r="B8860" t="s">
        <v>317</v>
      </c>
      <c r="C8860" t="s">
        <v>322</v>
      </c>
      <c r="D8860" t="s">
        <v>35</v>
      </c>
      <c r="E8860" t="s">
        <v>38</v>
      </c>
      <c r="F8860" t="s">
        <v>38</v>
      </c>
      <c r="G8860" t="s">
        <v>37</v>
      </c>
      <c r="H8860" t="s">
        <v>43</v>
      </c>
      <c r="I8860" s="187">
        <v>803.09103297998467</v>
      </c>
      <c r="J8860" s="187">
        <v>55</v>
      </c>
      <c r="K8860" s="187">
        <v>3077.2545702975872</v>
      </c>
      <c r="L8860" s="187">
        <v>2649</v>
      </c>
      <c r="M8860" s="187">
        <v>6584.345703125</v>
      </c>
      <c r="N8860" s="187">
        <v>3452.091064453125</v>
      </c>
      <c r="O8860" t="s">
        <v>8447</v>
      </c>
    </row>
    <row r="8861" spans="1:15" hidden="1" x14ac:dyDescent="0.45">
      <c r="A8861" s="187">
        <v>2031</v>
      </c>
      <c r="B8861" t="s">
        <v>317</v>
      </c>
      <c r="C8861" t="s">
        <v>322</v>
      </c>
      <c r="D8861" t="s">
        <v>35</v>
      </c>
      <c r="E8861" t="s">
        <v>354</v>
      </c>
      <c r="F8861" t="s">
        <v>384</v>
      </c>
      <c r="G8861" t="s">
        <v>36</v>
      </c>
      <c r="H8861" t="s">
        <v>43</v>
      </c>
      <c r="I8861" s="187">
        <v>0</v>
      </c>
      <c r="J8861" s="187">
        <v>43.220363827465974</v>
      </c>
      <c r="K8861" s="187">
        <v>0</v>
      </c>
      <c r="L8861" s="187">
        <v>0</v>
      </c>
      <c r="M8861" s="187">
        <v>43.220363616943359</v>
      </c>
      <c r="N8861" s="187">
        <v>0</v>
      </c>
      <c r="O8861" t="s">
        <v>8448</v>
      </c>
    </row>
    <row r="8862" spans="1:15" hidden="1" x14ac:dyDescent="0.45">
      <c r="A8862" s="187">
        <v>2031</v>
      </c>
      <c r="B8862" t="s">
        <v>8570</v>
      </c>
      <c r="C8862" t="s">
        <v>322</v>
      </c>
      <c r="D8862" t="s">
        <v>35</v>
      </c>
      <c r="E8862" t="s">
        <v>354</v>
      </c>
      <c r="F8862" t="s">
        <v>384</v>
      </c>
      <c r="G8862" t="s">
        <v>36</v>
      </c>
      <c r="H8862" t="s">
        <v>43</v>
      </c>
      <c r="I8862" s="187">
        <v>0</v>
      </c>
      <c r="J8862" s="187">
        <v>40</v>
      </c>
      <c r="K8862" s="187">
        <v>0</v>
      </c>
      <c r="L8862" s="187">
        <v>0</v>
      </c>
      <c r="M8862" s="187">
        <v>40</v>
      </c>
      <c r="N8862" s="187">
        <v>0</v>
      </c>
      <c r="O8862" t="s">
        <v>9443</v>
      </c>
    </row>
    <row r="8863" spans="1:15" hidden="1" x14ac:dyDescent="0.45">
      <c r="A8863" s="187">
        <v>2031</v>
      </c>
      <c r="B8863" t="s">
        <v>8570</v>
      </c>
      <c r="C8863" t="s">
        <v>322</v>
      </c>
      <c r="D8863" t="s">
        <v>35</v>
      </c>
      <c r="E8863" t="s">
        <v>354</v>
      </c>
      <c r="F8863" t="s">
        <v>384</v>
      </c>
      <c r="G8863" t="s">
        <v>37</v>
      </c>
      <c r="H8863" t="s">
        <v>43</v>
      </c>
      <c r="I8863" s="187">
        <v>0</v>
      </c>
      <c r="J8863" s="187">
        <v>40</v>
      </c>
      <c r="K8863" s="187">
        <v>0</v>
      </c>
      <c r="L8863" s="187">
        <v>0</v>
      </c>
      <c r="M8863" s="187">
        <v>40</v>
      </c>
      <c r="N8863" s="187">
        <v>0</v>
      </c>
      <c r="O8863" t="s">
        <v>9444</v>
      </c>
    </row>
    <row r="8864" spans="1:15" hidden="1" x14ac:dyDescent="0.45">
      <c r="A8864" s="187">
        <v>2031</v>
      </c>
      <c r="B8864" t="s">
        <v>317</v>
      </c>
      <c r="C8864" t="s">
        <v>322</v>
      </c>
      <c r="D8864" t="s">
        <v>35</v>
      </c>
      <c r="E8864" t="s">
        <v>354</v>
      </c>
      <c r="F8864" t="s">
        <v>384</v>
      </c>
      <c r="G8864" t="s">
        <v>37</v>
      </c>
      <c r="H8864" t="s">
        <v>43</v>
      </c>
      <c r="I8864" s="187">
        <v>0</v>
      </c>
      <c r="J8864" s="187">
        <v>40</v>
      </c>
      <c r="K8864" s="187">
        <v>0</v>
      </c>
      <c r="L8864" s="187">
        <v>0</v>
      </c>
      <c r="M8864" s="187">
        <v>40</v>
      </c>
      <c r="N8864" s="187">
        <v>0</v>
      </c>
      <c r="O8864" t="s">
        <v>8449</v>
      </c>
    </row>
    <row r="8865" spans="1:15" hidden="1" x14ac:dyDescent="0.45">
      <c r="A8865" s="187">
        <v>2031</v>
      </c>
      <c r="B8865" t="s">
        <v>317</v>
      </c>
      <c r="C8865" t="s">
        <v>322</v>
      </c>
      <c r="D8865" t="s">
        <v>35</v>
      </c>
      <c r="E8865" t="s">
        <v>354</v>
      </c>
      <c r="F8865" t="s">
        <v>385</v>
      </c>
      <c r="G8865" t="s">
        <v>36</v>
      </c>
      <c r="H8865" t="s">
        <v>43</v>
      </c>
      <c r="I8865" s="187">
        <v>54.025454784332467</v>
      </c>
      <c r="J8865" s="187">
        <v>21.610181913732987</v>
      </c>
      <c r="K8865" s="187">
        <v>605.44100970360773</v>
      </c>
      <c r="L8865" s="187">
        <v>368.45360162914744</v>
      </c>
      <c r="M8865" s="187">
        <v>1049.5302734375</v>
      </c>
      <c r="N8865" s="187">
        <v>422.47906494140625</v>
      </c>
      <c r="O8865" t="s">
        <v>8450</v>
      </c>
    </row>
    <row r="8866" spans="1:15" hidden="1" x14ac:dyDescent="0.45">
      <c r="A8866" s="187">
        <v>2031</v>
      </c>
      <c r="B8866" t="s">
        <v>8570</v>
      </c>
      <c r="C8866" t="s">
        <v>322</v>
      </c>
      <c r="D8866" t="s">
        <v>35</v>
      </c>
      <c r="E8866" t="s">
        <v>354</v>
      </c>
      <c r="F8866" t="s">
        <v>385</v>
      </c>
      <c r="G8866" t="s">
        <v>36</v>
      </c>
      <c r="H8866" t="s">
        <v>43</v>
      </c>
      <c r="I8866" s="187">
        <v>61.179096000000008</v>
      </c>
      <c r="J8866" s="187">
        <v>20</v>
      </c>
      <c r="K8866" s="187">
        <v>668.84909426872548</v>
      </c>
      <c r="L8866" s="187">
        <v>281</v>
      </c>
      <c r="M8866" s="187">
        <v>1031.0281982421875</v>
      </c>
      <c r="N8866" s="187">
        <v>342.17910766601563</v>
      </c>
      <c r="O8866" t="s">
        <v>9445</v>
      </c>
    </row>
    <row r="8867" spans="1:15" hidden="1" x14ac:dyDescent="0.45">
      <c r="A8867" s="187">
        <v>2031</v>
      </c>
      <c r="B8867" t="s">
        <v>8570</v>
      </c>
      <c r="C8867" t="s">
        <v>322</v>
      </c>
      <c r="D8867" t="s">
        <v>35</v>
      </c>
      <c r="E8867" t="s">
        <v>354</v>
      </c>
      <c r="F8867" t="s">
        <v>385</v>
      </c>
      <c r="G8867" t="s">
        <v>37</v>
      </c>
      <c r="H8867" t="s">
        <v>43</v>
      </c>
      <c r="I8867" s="187">
        <v>73.11468298463096</v>
      </c>
      <c r="J8867" s="187">
        <v>20</v>
      </c>
      <c r="K8867" s="187">
        <v>802.86015417846863</v>
      </c>
      <c r="L8867" s="187">
        <v>365</v>
      </c>
      <c r="M8867" s="187">
        <v>1260.974853515625</v>
      </c>
      <c r="N8867" s="187">
        <v>438.11468505859375</v>
      </c>
      <c r="O8867" t="s">
        <v>9446</v>
      </c>
    </row>
    <row r="8868" spans="1:15" hidden="1" x14ac:dyDescent="0.45">
      <c r="A8868" s="187">
        <v>2031</v>
      </c>
      <c r="B8868" t="s">
        <v>317</v>
      </c>
      <c r="C8868" t="s">
        <v>322</v>
      </c>
      <c r="D8868" t="s">
        <v>35</v>
      </c>
      <c r="E8868" t="s">
        <v>354</v>
      </c>
      <c r="F8868" t="s">
        <v>385</v>
      </c>
      <c r="G8868" t="s">
        <v>37</v>
      </c>
      <c r="H8868" t="s">
        <v>43</v>
      </c>
      <c r="I8868" s="187">
        <v>60.949720999737863</v>
      </c>
      <c r="J8868" s="187">
        <v>20</v>
      </c>
      <c r="K8868" s="187">
        <v>678.87516935280598</v>
      </c>
      <c r="L8868" s="187">
        <v>411</v>
      </c>
      <c r="M8868" s="187">
        <v>1170.824951171875</v>
      </c>
      <c r="N8868" s="187">
        <v>471.94970703125</v>
      </c>
      <c r="O8868" t="s">
        <v>8451</v>
      </c>
    </row>
    <row r="8869" spans="1:15" hidden="1" x14ac:dyDescent="0.45">
      <c r="A8869" s="187">
        <v>2031</v>
      </c>
      <c r="B8869" t="s">
        <v>317</v>
      </c>
      <c r="C8869" t="s">
        <v>322</v>
      </c>
      <c r="D8869" t="s">
        <v>35</v>
      </c>
      <c r="E8869" t="s">
        <v>354</v>
      </c>
      <c r="F8869" t="s">
        <v>386</v>
      </c>
      <c r="G8869" t="s">
        <v>36</v>
      </c>
      <c r="H8869" t="s">
        <v>43</v>
      </c>
      <c r="I8869" s="187">
        <v>54.025454784332467</v>
      </c>
      <c r="J8869" s="187">
        <v>21.610181913732987</v>
      </c>
      <c r="K8869" s="187">
        <v>946.00157766188715</v>
      </c>
      <c r="L8869" s="187">
        <v>0</v>
      </c>
      <c r="M8869" s="187">
        <v>1021.63720703125</v>
      </c>
      <c r="N8869" s="187">
        <v>54.025455474853516</v>
      </c>
      <c r="O8869" t="s">
        <v>8452</v>
      </c>
    </row>
    <row r="8870" spans="1:15" hidden="1" x14ac:dyDescent="0.45">
      <c r="A8870" s="187">
        <v>2031</v>
      </c>
      <c r="B8870" t="s">
        <v>8570</v>
      </c>
      <c r="C8870" t="s">
        <v>322</v>
      </c>
      <c r="D8870" t="s">
        <v>35</v>
      </c>
      <c r="E8870" t="s">
        <v>354</v>
      </c>
      <c r="F8870" t="s">
        <v>386</v>
      </c>
      <c r="G8870" t="s">
        <v>36</v>
      </c>
      <c r="H8870" t="s">
        <v>43</v>
      </c>
      <c r="I8870" s="187">
        <v>61.179096000000008</v>
      </c>
      <c r="J8870" s="187">
        <v>20</v>
      </c>
      <c r="K8870" s="187">
        <v>121.6965127766106</v>
      </c>
      <c r="L8870" s="187">
        <v>0</v>
      </c>
      <c r="M8870" s="187">
        <v>202.8756103515625</v>
      </c>
      <c r="N8870" s="187">
        <v>61.179096221923828</v>
      </c>
      <c r="O8870" t="s">
        <v>9447</v>
      </c>
    </row>
    <row r="8871" spans="1:15" hidden="1" x14ac:dyDescent="0.45">
      <c r="A8871" s="187">
        <v>2031</v>
      </c>
      <c r="B8871" t="s">
        <v>317</v>
      </c>
      <c r="C8871" t="s">
        <v>322</v>
      </c>
      <c r="D8871" t="s">
        <v>35</v>
      </c>
      <c r="E8871" t="s">
        <v>354</v>
      </c>
      <c r="F8871" t="s">
        <v>386</v>
      </c>
      <c r="G8871" t="s">
        <v>37</v>
      </c>
      <c r="H8871" t="s">
        <v>43</v>
      </c>
      <c r="I8871" s="187">
        <v>60.949720999737863</v>
      </c>
      <c r="J8871" s="187">
        <v>20</v>
      </c>
      <c r="K8871" s="187">
        <v>1060.74245211376</v>
      </c>
      <c r="L8871" s="187">
        <v>0</v>
      </c>
      <c r="M8871" s="187">
        <v>1141.692138671875</v>
      </c>
      <c r="N8871" s="187">
        <v>60.949722290039063</v>
      </c>
      <c r="O8871" t="s">
        <v>8453</v>
      </c>
    </row>
    <row r="8872" spans="1:15" hidden="1" x14ac:dyDescent="0.45">
      <c r="A8872" s="187">
        <v>2031</v>
      </c>
      <c r="B8872" t="s">
        <v>8570</v>
      </c>
      <c r="C8872" t="s">
        <v>322</v>
      </c>
      <c r="D8872" t="s">
        <v>35</v>
      </c>
      <c r="E8872" t="s">
        <v>354</v>
      </c>
      <c r="F8872" t="s">
        <v>386</v>
      </c>
      <c r="G8872" t="s">
        <v>37</v>
      </c>
      <c r="H8872" t="s">
        <v>43</v>
      </c>
      <c r="I8872" s="187">
        <v>73.11468298463096</v>
      </c>
      <c r="J8872" s="187">
        <v>20</v>
      </c>
      <c r="K8872" s="187">
        <v>146.07970893290349</v>
      </c>
      <c r="L8872" s="187">
        <v>0</v>
      </c>
      <c r="M8872" s="187">
        <v>239.19439697265625</v>
      </c>
      <c r="N8872" s="187">
        <v>73.11468505859375</v>
      </c>
      <c r="O8872" t="s">
        <v>9448</v>
      </c>
    </row>
    <row r="8873" spans="1:15" hidden="1" x14ac:dyDescent="0.45">
      <c r="A8873" s="187">
        <v>2031</v>
      </c>
      <c r="B8873" t="s">
        <v>8570</v>
      </c>
      <c r="C8873" t="s">
        <v>322</v>
      </c>
      <c r="D8873" t="s">
        <v>35</v>
      </c>
      <c r="E8873" t="s">
        <v>354</v>
      </c>
      <c r="F8873" t="s">
        <v>387</v>
      </c>
      <c r="G8873" t="s">
        <v>36</v>
      </c>
      <c r="H8873" t="s">
        <v>43</v>
      </c>
      <c r="I8873" s="187">
        <v>122.358192</v>
      </c>
      <c r="J8873" s="187">
        <v>80</v>
      </c>
      <c r="K8873" s="187">
        <v>790.54560704533606</v>
      </c>
      <c r="L8873" s="187">
        <v>281</v>
      </c>
      <c r="M8873" s="187">
        <v>1273.90380859375</v>
      </c>
      <c r="N8873" s="187">
        <v>403.35818481445313</v>
      </c>
      <c r="O8873" t="s">
        <v>9449</v>
      </c>
    </row>
    <row r="8874" spans="1:15" hidden="1" x14ac:dyDescent="0.45">
      <c r="A8874" s="187">
        <v>2031</v>
      </c>
      <c r="B8874" t="s">
        <v>317</v>
      </c>
      <c r="C8874" t="s">
        <v>322</v>
      </c>
      <c r="D8874" t="s">
        <v>35</v>
      </c>
      <c r="E8874" t="s">
        <v>354</v>
      </c>
      <c r="F8874" t="s">
        <v>387</v>
      </c>
      <c r="G8874" t="s">
        <v>36</v>
      </c>
      <c r="H8874" t="s">
        <v>43</v>
      </c>
      <c r="I8874" s="187">
        <v>108.05090956866493</v>
      </c>
      <c r="J8874" s="187">
        <v>86.440727654931948</v>
      </c>
      <c r="K8874" s="187">
        <v>1551.4425873654952</v>
      </c>
      <c r="L8874" s="187">
        <v>368.45360162914744</v>
      </c>
      <c r="M8874" s="187">
        <v>2114.3876953125</v>
      </c>
      <c r="N8874" s="187">
        <v>476.5045166015625</v>
      </c>
      <c r="O8874" t="s">
        <v>8454</v>
      </c>
    </row>
    <row r="8875" spans="1:15" hidden="1" x14ac:dyDescent="0.45">
      <c r="A8875" s="187">
        <v>2031</v>
      </c>
      <c r="B8875" t="s">
        <v>317</v>
      </c>
      <c r="C8875" t="s">
        <v>322</v>
      </c>
      <c r="D8875" t="s">
        <v>35</v>
      </c>
      <c r="E8875" t="s">
        <v>354</v>
      </c>
      <c r="F8875" t="s">
        <v>387</v>
      </c>
      <c r="G8875" t="s">
        <v>37</v>
      </c>
      <c r="H8875" t="s">
        <v>43</v>
      </c>
      <c r="I8875" s="187">
        <v>121.8994419994757</v>
      </c>
      <c r="J8875" s="187">
        <v>80</v>
      </c>
      <c r="K8875" s="187">
        <v>1739.6176214665661</v>
      </c>
      <c r="L8875" s="187">
        <v>411</v>
      </c>
      <c r="M8875" s="187">
        <v>2352.51708984375</v>
      </c>
      <c r="N8875" s="187">
        <v>532.8994140625</v>
      </c>
      <c r="O8875" t="s">
        <v>8455</v>
      </c>
    </row>
    <row r="8876" spans="1:15" hidden="1" x14ac:dyDescent="0.45">
      <c r="A8876" s="187">
        <v>2031</v>
      </c>
      <c r="B8876" t="s">
        <v>8570</v>
      </c>
      <c r="C8876" t="s">
        <v>322</v>
      </c>
      <c r="D8876" t="s">
        <v>35</v>
      </c>
      <c r="E8876" t="s">
        <v>354</v>
      </c>
      <c r="F8876" t="s">
        <v>387</v>
      </c>
      <c r="G8876" t="s">
        <v>37</v>
      </c>
      <c r="H8876" t="s">
        <v>43</v>
      </c>
      <c r="I8876" s="187">
        <v>146.22936596926189</v>
      </c>
      <c r="J8876" s="187">
        <v>80</v>
      </c>
      <c r="K8876" s="187">
        <v>948.93986311137212</v>
      </c>
      <c r="L8876" s="187">
        <v>365</v>
      </c>
      <c r="M8876" s="187">
        <v>1540.169189453125</v>
      </c>
      <c r="N8876" s="187">
        <v>511.2293701171875</v>
      </c>
      <c r="O8876" t="s">
        <v>9450</v>
      </c>
    </row>
    <row r="8877" spans="1:15" hidden="1" x14ac:dyDescent="0.45">
      <c r="A8877" s="187">
        <v>2031</v>
      </c>
      <c r="B8877" t="s">
        <v>317</v>
      </c>
      <c r="C8877" t="s">
        <v>322</v>
      </c>
      <c r="D8877" t="s">
        <v>35</v>
      </c>
      <c r="E8877" t="s">
        <v>17</v>
      </c>
      <c r="F8877" t="s">
        <v>17</v>
      </c>
      <c r="G8877" t="s">
        <v>36</v>
      </c>
      <c r="H8877" t="s">
        <v>43</v>
      </c>
      <c r="I8877" s="187">
        <v>3553.3823498498177</v>
      </c>
      <c r="J8877" s="187">
        <v>162.07636435299739</v>
      </c>
      <c r="K8877" s="187">
        <v>942.11854597689523</v>
      </c>
      <c r="L8877" s="187">
        <v>3377.6714331164658</v>
      </c>
      <c r="M8877" s="187">
        <v>8035.24853515625</v>
      </c>
      <c r="N8877" s="187">
        <v>6931.0537109375</v>
      </c>
      <c r="O8877" t="s">
        <v>8456</v>
      </c>
    </row>
    <row r="8878" spans="1:15" hidden="1" x14ac:dyDescent="0.45">
      <c r="A8878" s="187">
        <v>2031</v>
      </c>
      <c r="B8878" t="s">
        <v>8570</v>
      </c>
      <c r="C8878" t="s">
        <v>322</v>
      </c>
      <c r="D8878" t="s">
        <v>35</v>
      </c>
      <c r="E8878" t="s">
        <v>17</v>
      </c>
      <c r="F8878" t="s">
        <v>17</v>
      </c>
      <c r="G8878" t="s">
        <v>36</v>
      </c>
      <c r="H8878" t="s">
        <v>43</v>
      </c>
      <c r="I8878" s="187">
        <v>3272.3329589885329</v>
      </c>
      <c r="J8878" s="187">
        <v>150</v>
      </c>
      <c r="K8878" s="187">
        <v>555.72306904396623</v>
      </c>
      <c r="L8878" s="187">
        <v>634</v>
      </c>
      <c r="M8878" s="187">
        <v>4612.05615234375</v>
      </c>
      <c r="N8878" s="187">
        <v>3906.3330078125</v>
      </c>
      <c r="O8878" t="s">
        <v>9451</v>
      </c>
    </row>
    <row r="8879" spans="1:15" hidden="1" x14ac:dyDescent="0.45">
      <c r="A8879" s="187">
        <v>2031</v>
      </c>
      <c r="B8879" t="s">
        <v>317</v>
      </c>
      <c r="C8879" t="s">
        <v>322</v>
      </c>
      <c r="D8879" t="s">
        <v>35</v>
      </c>
      <c r="E8879" t="s">
        <v>17</v>
      </c>
      <c r="F8879" t="s">
        <v>17</v>
      </c>
      <c r="G8879" t="s">
        <v>37</v>
      </c>
      <c r="H8879" t="s">
        <v>43</v>
      </c>
      <c r="I8879" s="187">
        <v>4008.807768362321</v>
      </c>
      <c r="J8879" s="187">
        <v>150</v>
      </c>
      <c r="K8879" s="187">
        <v>1056.388446107391</v>
      </c>
      <c r="L8879" s="187">
        <v>3767</v>
      </c>
      <c r="M8879" s="187">
        <v>8982.1962890625</v>
      </c>
      <c r="N8879" s="187">
        <v>7775.8076171875</v>
      </c>
      <c r="O8879" t="s">
        <v>8457</v>
      </c>
    </row>
    <row r="8880" spans="1:15" hidden="1" x14ac:dyDescent="0.45">
      <c r="A8880" s="187">
        <v>2031</v>
      </c>
      <c r="B8880" t="s">
        <v>8570</v>
      </c>
      <c r="C8880" t="s">
        <v>322</v>
      </c>
      <c r="D8880" t="s">
        <v>35</v>
      </c>
      <c r="E8880" t="s">
        <v>17</v>
      </c>
      <c r="F8880" t="s">
        <v>17</v>
      </c>
      <c r="G8880" t="s">
        <v>37</v>
      </c>
      <c r="H8880" t="s">
        <v>43</v>
      </c>
      <c r="I8880" s="187">
        <v>3910.740801345054</v>
      </c>
      <c r="J8880" s="187">
        <v>150</v>
      </c>
      <c r="K8880" s="187">
        <v>667.06812151847259</v>
      </c>
      <c r="L8880" s="187">
        <v>824</v>
      </c>
      <c r="M8880" s="187">
        <v>5551.80908203125</v>
      </c>
      <c r="N8880" s="187">
        <v>4734.74072265625</v>
      </c>
      <c r="O8880" t="s">
        <v>9452</v>
      </c>
    </row>
    <row r="8881" spans="1:15" hidden="1" x14ac:dyDescent="0.45">
      <c r="A8881" s="187">
        <v>2031</v>
      </c>
      <c r="B8881" t="s">
        <v>317</v>
      </c>
      <c r="C8881" t="s">
        <v>322</v>
      </c>
      <c r="D8881" t="s">
        <v>35</v>
      </c>
      <c r="E8881" t="s">
        <v>45</v>
      </c>
      <c r="F8881" t="s">
        <v>45</v>
      </c>
      <c r="G8881" t="s">
        <v>37</v>
      </c>
      <c r="H8881" t="s">
        <v>43</v>
      </c>
      <c r="I8881" s="187">
        <v>2489.493048636537</v>
      </c>
      <c r="J8881" s="187"/>
      <c r="K8881" s="187">
        <v>1054.417375798821</v>
      </c>
      <c r="L8881" s="187">
        <v>19913</v>
      </c>
      <c r="M8881" s="187">
        <v>23456.91015625</v>
      </c>
      <c r="N8881" s="187">
        <v>22402.4921875</v>
      </c>
      <c r="O8881" t="s">
        <v>8458</v>
      </c>
    </row>
    <row r="8882" spans="1:15" hidden="1" x14ac:dyDescent="0.45">
      <c r="A8882" s="187">
        <v>2031</v>
      </c>
      <c r="B8882" t="s">
        <v>8570</v>
      </c>
      <c r="C8882" t="s">
        <v>322</v>
      </c>
      <c r="D8882" t="s">
        <v>35</v>
      </c>
      <c r="E8882" t="s">
        <v>45</v>
      </c>
      <c r="F8882" t="s">
        <v>45</v>
      </c>
      <c r="G8882" t="s">
        <v>37</v>
      </c>
      <c r="H8882" t="s">
        <v>43</v>
      </c>
      <c r="I8882" s="187">
        <v>1814.757413446267</v>
      </c>
      <c r="J8882" s="187"/>
      <c r="K8882" s="187">
        <v>622.85358360017506</v>
      </c>
      <c r="L8882" s="187">
        <v>16168</v>
      </c>
      <c r="M8882" s="187">
        <v>18605.611328125</v>
      </c>
      <c r="N8882" s="187">
        <v>17982.7578125</v>
      </c>
      <c r="O8882" t="s">
        <v>9453</v>
      </c>
    </row>
    <row r="8883" spans="1:15" hidden="1" x14ac:dyDescent="0.45">
      <c r="A8883" s="187">
        <v>2031</v>
      </c>
      <c r="B8883" t="s">
        <v>8570</v>
      </c>
      <c r="C8883" t="s">
        <v>322</v>
      </c>
      <c r="D8883" t="s">
        <v>35</v>
      </c>
      <c r="E8883" t="s">
        <v>355</v>
      </c>
      <c r="F8883" t="s">
        <v>355</v>
      </c>
      <c r="G8883" t="s">
        <v>37</v>
      </c>
      <c r="H8883" t="s">
        <v>43</v>
      </c>
      <c r="I8883" s="187">
        <v>11561.066902539371</v>
      </c>
      <c r="J8883" s="187"/>
      <c r="K8883" s="187"/>
      <c r="L8883" s="187"/>
      <c r="M8883" s="187">
        <v>11561.0673828125</v>
      </c>
      <c r="N8883" s="187">
        <v>11561.0673828125</v>
      </c>
      <c r="O8883" t="s">
        <v>9454</v>
      </c>
    </row>
    <row r="8884" spans="1:15" hidden="1" x14ac:dyDescent="0.45">
      <c r="A8884" s="187">
        <v>2031</v>
      </c>
      <c r="B8884" t="s">
        <v>317</v>
      </c>
      <c r="C8884" t="s">
        <v>322</v>
      </c>
      <c r="D8884" t="s">
        <v>35</v>
      </c>
      <c r="E8884" t="s">
        <v>356</v>
      </c>
      <c r="F8884" t="s">
        <v>356</v>
      </c>
      <c r="G8884" t="s">
        <v>37</v>
      </c>
      <c r="H8884" t="s">
        <v>43</v>
      </c>
      <c r="I8884" s="187"/>
      <c r="J8884" s="187"/>
      <c r="K8884" s="187">
        <v>0</v>
      </c>
      <c r="L8884" s="187">
        <v>0</v>
      </c>
      <c r="M8884" s="187">
        <v>0</v>
      </c>
      <c r="N8884" s="187">
        <v>0</v>
      </c>
      <c r="O8884" t="s">
        <v>8459</v>
      </c>
    </row>
    <row r="8885" spans="1:15" hidden="1" x14ac:dyDescent="0.45">
      <c r="A8885" s="187">
        <v>2031</v>
      </c>
      <c r="B8885" t="s">
        <v>8570</v>
      </c>
      <c r="C8885" t="s">
        <v>322</v>
      </c>
      <c r="D8885" t="s">
        <v>35</v>
      </c>
      <c r="E8885" t="s">
        <v>356</v>
      </c>
      <c r="F8885" t="s">
        <v>356</v>
      </c>
      <c r="G8885" t="s">
        <v>37</v>
      </c>
      <c r="H8885" t="s">
        <v>43</v>
      </c>
      <c r="I8885" s="187">
        <v>0</v>
      </c>
      <c r="J8885" s="187"/>
      <c r="K8885" s="187">
        <v>0</v>
      </c>
      <c r="L8885" s="187">
        <v>0</v>
      </c>
      <c r="M8885" s="187">
        <v>0</v>
      </c>
      <c r="N8885" s="187">
        <v>0</v>
      </c>
      <c r="O8885" t="s">
        <v>9455</v>
      </c>
    </row>
    <row r="8886" spans="1:15" hidden="1" x14ac:dyDescent="0.45">
      <c r="A8886" s="187">
        <v>2031</v>
      </c>
      <c r="B8886" t="s">
        <v>8570</v>
      </c>
      <c r="C8886" t="s">
        <v>328</v>
      </c>
      <c r="D8886" t="s">
        <v>39</v>
      </c>
      <c r="E8886" t="s">
        <v>349</v>
      </c>
      <c r="F8886" t="s">
        <v>349</v>
      </c>
      <c r="G8886" t="s">
        <v>36</v>
      </c>
      <c r="H8886" t="s">
        <v>43</v>
      </c>
      <c r="I8886" s="187">
        <v>0</v>
      </c>
      <c r="J8886" s="187"/>
      <c r="K8886" s="187">
        <v>2690.6465873546072</v>
      </c>
      <c r="L8886" s="187">
        <v>0</v>
      </c>
      <c r="M8886" s="187">
        <v>2690.646484375</v>
      </c>
      <c r="N8886" s="187">
        <v>0</v>
      </c>
      <c r="O8886" t="s">
        <v>9456</v>
      </c>
    </row>
    <row r="8887" spans="1:15" hidden="1" x14ac:dyDescent="0.45">
      <c r="A8887" s="187">
        <v>2031</v>
      </c>
      <c r="B8887" t="s">
        <v>317</v>
      </c>
      <c r="C8887" t="s">
        <v>328</v>
      </c>
      <c r="D8887" t="s">
        <v>39</v>
      </c>
      <c r="E8887" t="s">
        <v>349</v>
      </c>
      <c r="F8887" t="s">
        <v>349</v>
      </c>
      <c r="G8887" t="s">
        <v>36</v>
      </c>
      <c r="H8887" t="s">
        <v>43</v>
      </c>
      <c r="I8887" s="187">
        <v>0</v>
      </c>
      <c r="J8887" s="187">
        <v>26.131645976874857</v>
      </c>
      <c r="K8887" s="187">
        <v>2457.0589535374279</v>
      </c>
      <c r="L8887" s="187">
        <v>0</v>
      </c>
      <c r="M8887" s="187">
        <v>2483.190673828125</v>
      </c>
      <c r="N8887" s="187">
        <v>0</v>
      </c>
      <c r="O8887" t="s">
        <v>8460</v>
      </c>
    </row>
    <row r="8888" spans="1:15" hidden="1" x14ac:dyDescent="0.45">
      <c r="A8888" s="187">
        <v>2031</v>
      </c>
      <c r="B8888" t="s">
        <v>317</v>
      </c>
      <c r="C8888" t="s">
        <v>328</v>
      </c>
      <c r="D8888" t="s">
        <v>39</v>
      </c>
      <c r="E8888" t="s">
        <v>349</v>
      </c>
      <c r="F8888" t="s">
        <v>349</v>
      </c>
      <c r="G8888" t="s">
        <v>37</v>
      </c>
      <c r="H8888" t="s">
        <v>43</v>
      </c>
      <c r="I8888" s="187">
        <v>0</v>
      </c>
      <c r="J8888" s="187">
        <v>25</v>
      </c>
      <c r="K8888" s="187">
        <v>2847.9695149732011</v>
      </c>
      <c r="L8888" s="187">
        <v>0</v>
      </c>
      <c r="M8888" s="187">
        <v>2872.969482421875</v>
      </c>
      <c r="N8888" s="187">
        <v>0</v>
      </c>
      <c r="O8888" t="s">
        <v>8461</v>
      </c>
    </row>
    <row r="8889" spans="1:15" hidden="1" x14ac:dyDescent="0.45">
      <c r="A8889" s="187">
        <v>2031</v>
      </c>
      <c r="B8889" t="s">
        <v>8570</v>
      </c>
      <c r="C8889" t="s">
        <v>328</v>
      </c>
      <c r="D8889" t="s">
        <v>39</v>
      </c>
      <c r="E8889" t="s">
        <v>349</v>
      </c>
      <c r="F8889" t="s">
        <v>349</v>
      </c>
      <c r="G8889" t="s">
        <v>37</v>
      </c>
      <c r="H8889" t="s">
        <v>43</v>
      </c>
      <c r="I8889" s="187">
        <v>0</v>
      </c>
      <c r="J8889" s="187">
        <v>5</v>
      </c>
      <c r="K8889" s="187">
        <v>3229.7463695082388</v>
      </c>
      <c r="L8889" s="187">
        <v>0</v>
      </c>
      <c r="M8889" s="187">
        <v>3234.746337890625</v>
      </c>
      <c r="N8889" s="187">
        <v>0</v>
      </c>
      <c r="O8889" t="s">
        <v>9457</v>
      </c>
    </row>
    <row r="8890" spans="1:15" hidden="1" x14ac:dyDescent="0.45">
      <c r="A8890" s="187">
        <v>2031</v>
      </c>
      <c r="B8890" t="s">
        <v>317</v>
      </c>
      <c r="C8890" t="s">
        <v>328</v>
      </c>
      <c r="D8890" t="s">
        <v>39</v>
      </c>
      <c r="E8890" t="s">
        <v>21</v>
      </c>
      <c r="F8890" t="s">
        <v>21</v>
      </c>
      <c r="G8890" t="s">
        <v>36</v>
      </c>
      <c r="H8890" t="s">
        <v>43</v>
      </c>
      <c r="I8890" s="187">
        <v>3081.448554774689</v>
      </c>
      <c r="J8890" s="187">
        <v>1311.8086280391178</v>
      </c>
      <c r="K8890" s="187">
        <v>7647.9617432706</v>
      </c>
      <c r="L8890" s="187">
        <v>5351.7610960639713</v>
      </c>
      <c r="M8890" s="187">
        <v>17392.98046875</v>
      </c>
      <c r="N8890" s="187">
        <v>8433.2099609375</v>
      </c>
      <c r="O8890" t="s">
        <v>8462</v>
      </c>
    </row>
    <row r="8891" spans="1:15" hidden="1" x14ac:dyDescent="0.45">
      <c r="A8891" s="187">
        <v>2031</v>
      </c>
      <c r="B8891" t="s">
        <v>8570</v>
      </c>
      <c r="C8891" t="s">
        <v>328</v>
      </c>
      <c r="D8891" t="s">
        <v>39</v>
      </c>
      <c r="E8891" t="s">
        <v>21</v>
      </c>
      <c r="F8891" t="s">
        <v>21</v>
      </c>
      <c r="G8891" t="s">
        <v>36</v>
      </c>
      <c r="H8891" t="s">
        <v>43</v>
      </c>
      <c r="I8891" s="187">
        <v>3354.8113170000001</v>
      </c>
      <c r="J8891" s="187">
        <v>1531</v>
      </c>
      <c r="K8891" s="187">
        <v>6809.2588887241054</v>
      </c>
      <c r="L8891" s="187">
        <v>5400</v>
      </c>
      <c r="M8891" s="187">
        <v>17095.0703125</v>
      </c>
      <c r="N8891" s="187">
        <v>8754.8115234375</v>
      </c>
      <c r="O8891" t="s">
        <v>9458</v>
      </c>
    </row>
    <row r="8892" spans="1:15" hidden="1" x14ac:dyDescent="0.45">
      <c r="A8892" s="187">
        <v>2031</v>
      </c>
      <c r="B8892" t="s">
        <v>317</v>
      </c>
      <c r="C8892" t="s">
        <v>328</v>
      </c>
      <c r="D8892" t="s">
        <v>39</v>
      </c>
      <c r="E8892" t="s">
        <v>21</v>
      </c>
      <c r="F8892" t="s">
        <v>21</v>
      </c>
      <c r="G8892" t="s">
        <v>37</v>
      </c>
      <c r="H8892" t="s">
        <v>43</v>
      </c>
      <c r="I8892" s="187">
        <v>3594</v>
      </c>
      <c r="J8892" s="187">
        <v>1255</v>
      </c>
      <c r="K8892" s="187">
        <v>8864.7290555066338</v>
      </c>
      <c r="L8892" s="187">
        <v>6212</v>
      </c>
      <c r="M8892" s="187">
        <v>19925.73046875</v>
      </c>
      <c r="N8892" s="187">
        <v>9806</v>
      </c>
      <c r="O8892" t="s">
        <v>8463</v>
      </c>
    </row>
    <row r="8893" spans="1:15" hidden="1" x14ac:dyDescent="0.45">
      <c r="A8893" s="187">
        <v>2031</v>
      </c>
      <c r="B8893" t="s">
        <v>8570</v>
      </c>
      <c r="C8893" t="s">
        <v>328</v>
      </c>
      <c r="D8893" t="s">
        <v>39</v>
      </c>
      <c r="E8893" t="s">
        <v>21</v>
      </c>
      <c r="F8893" t="s">
        <v>21</v>
      </c>
      <c r="G8893" t="s">
        <v>37</v>
      </c>
      <c r="H8893" t="s">
        <v>43</v>
      </c>
      <c r="I8893" s="187">
        <v>4009.3100740767291</v>
      </c>
      <c r="J8893" s="187">
        <v>1795</v>
      </c>
      <c r="K8893" s="187">
        <v>8173.5666357136406</v>
      </c>
      <c r="L8893" s="187">
        <v>6707</v>
      </c>
      <c r="M8893" s="187">
        <v>20684.876953125</v>
      </c>
      <c r="N8893" s="187">
        <v>10716.310546875</v>
      </c>
      <c r="O8893" t="s">
        <v>9459</v>
      </c>
    </row>
    <row r="8894" spans="1:15" hidden="1" x14ac:dyDescent="0.45">
      <c r="A8894" s="187">
        <v>2031</v>
      </c>
      <c r="B8894" t="s">
        <v>8570</v>
      </c>
      <c r="C8894" t="s">
        <v>328</v>
      </c>
      <c r="D8894" t="s">
        <v>39</v>
      </c>
      <c r="E8894" t="s">
        <v>352</v>
      </c>
      <c r="F8894" t="s">
        <v>433</v>
      </c>
      <c r="G8894" t="s">
        <v>36</v>
      </c>
      <c r="H8894" t="s">
        <v>43</v>
      </c>
      <c r="I8894" s="187">
        <v>0</v>
      </c>
      <c r="J8894" s="187">
        <v>397</v>
      </c>
      <c r="K8894" s="187">
        <v>93.723372751642373</v>
      </c>
      <c r="L8894" s="187">
        <v>423</v>
      </c>
      <c r="M8894" s="187">
        <v>913.723388671875</v>
      </c>
      <c r="N8894" s="187">
        <v>423</v>
      </c>
      <c r="O8894" t="s">
        <v>9460</v>
      </c>
    </row>
    <row r="8895" spans="1:15" hidden="1" x14ac:dyDescent="0.45">
      <c r="A8895" s="187">
        <v>2031</v>
      </c>
      <c r="B8895" t="s">
        <v>317</v>
      </c>
      <c r="C8895" t="s">
        <v>328</v>
      </c>
      <c r="D8895" t="s">
        <v>39</v>
      </c>
      <c r="E8895" t="s">
        <v>352</v>
      </c>
      <c r="F8895" t="s">
        <v>433</v>
      </c>
      <c r="G8895" t="s">
        <v>36</v>
      </c>
      <c r="H8895" t="s">
        <v>43</v>
      </c>
      <c r="I8895" s="187"/>
      <c r="J8895" s="187">
        <v>414.97053811277277</v>
      </c>
      <c r="K8895" s="187">
        <v>91.55594204561686</v>
      </c>
      <c r="L8895" s="187">
        <v>353.2998536073481</v>
      </c>
      <c r="M8895" s="187">
        <v>859.82635498046875</v>
      </c>
      <c r="N8895" s="187">
        <v>353.29986572265625</v>
      </c>
      <c r="O8895" t="s">
        <v>8464</v>
      </c>
    </row>
    <row r="8896" spans="1:15" hidden="1" x14ac:dyDescent="0.45">
      <c r="A8896" s="187">
        <v>2031</v>
      </c>
      <c r="B8896" t="s">
        <v>8570</v>
      </c>
      <c r="C8896" t="s">
        <v>328</v>
      </c>
      <c r="D8896" t="s">
        <v>39</v>
      </c>
      <c r="E8896" t="s">
        <v>352</v>
      </c>
      <c r="F8896" t="s">
        <v>361</v>
      </c>
      <c r="G8896" t="s">
        <v>36</v>
      </c>
      <c r="H8896" t="s">
        <v>43</v>
      </c>
      <c r="I8896" s="187">
        <v>0</v>
      </c>
      <c r="J8896" s="187"/>
      <c r="K8896" s="187">
        <v>0</v>
      </c>
      <c r="L8896" s="187"/>
      <c r="M8896" s="187">
        <v>0</v>
      </c>
      <c r="N8896" s="187">
        <v>0</v>
      </c>
      <c r="O8896" t="s">
        <v>9461</v>
      </c>
    </row>
    <row r="8897" spans="1:15" hidden="1" x14ac:dyDescent="0.45">
      <c r="A8897" s="187">
        <v>2031</v>
      </c>
      <c r="B8897" t="s">
        <v>317</v>
      </c>
      <c r="C8897" t="s">
        <v>328</v>
      </c>
      <c r="D8897" t="s">
        <v>39</v>
      </c>
      <c r="E8897" t="s">
        <v>352</v>
      </c>
      <c r="F8897" t="s">
        <v>361</v>
      </c>
      <c r="G8897" t="s">
        <v>36</v>
      </c>
      <c r="H8897" t="s">
        <v>43</v>
      </c>
      <c r="I8897" s="187"/>
      <c r="J8897" s="187"/>
      <c r="K8897" s="187"/>
      <c r="L8897" s="187">
        <v>0</v>
      </c>
      <c r="M8897" s="187">
        <v>0</v>
      </c>
      <c r="N8897" s="187">
        <v>0</v>
      </c>
      <c r="O8897" t="s">
        <v>8465</v>
      </c>
    </row>
    <row r="8898" spans="1:15" hidden="1" x14ac:dyDescent="0.45">
      <c r="A8898" s="187">
        <v>2031</v>
      </c>
      <c r="B8898" t="s">
        <v>317</v>
      </c>
      <c r="C8898" t="s">
        <v>328</v>
      </c>
      <c r="D8898" t="s">
        <v>39</v>
      </c>
      <c r="E8898" t="s">
        <v>40</v>
      </c>
      <c r="F8898" t="s">
        <v>40</v>
      </c>
      <c r="G8898" t="s">
        <v>36</v>
      </c>
      <c r="H8898" t="s">
        <v>43</v>
      </c>
      <c r="I8898" s="187">
        <v>4322.6221200818281</v>
      </c>
      <c r="J8898" s="187">
        <v>267.58805480319853</v>
      </c>
      <c r="K8898" s="187">
        <v>6665.7437336814446</v>
      </c>
      <c r="L8898" s="187">
        <v>5396.7075271441954</v>
      </c>
      <c r="M8898" s="187">
        <v>16652.662109375</v>
      </c>
      <c r="N8898" s="187">
        <v>9719.330078125</v>
      </c>
      <c r="O8898" t="s">
        <v>8466</v>
      </c>
    </row>
    <row r="8899" spans="1:15" hidden="1" x14ac:dyDescent="0.45">
      <c r="A8899" s="187">
        <v>2031</v>
      </c>
      <c r="B8899" t="s">
        <v>8570</v>
      </c>
      <c r="C8899" t="s">
        <v>328</v>
      </c>
      <c r="D8899" t="s">
        <v>39</v>
      </c>
      <c r="E8899" t="s">
        <v>40</v>
      </c>
      <c r="F8899" t="s">
        <v>40</v>
      </c>
      <c r="G8899" t="s">
        <v>36</v>
      </c>
      <c r="H8899" t="s">
        <v>43</v>
      </c>
      <c r="I8899" s="187">
        <v>4610.2254659999999</v>
      </c>
      <c r="J8899" s="187">
        <v>280</v>
      </c>
      <c r="K8899" s="187">
        <v>7246.9221580443373</v>
      </c>
      <c r="L8899" s="187">
        <v>5573</v>
      </c>
      <c r="M8899" s="187">
        <v>17710.1484375</v>
      </c>
      <c r="N8899" s="187">
        <v>10183.2255859375</v>
      </c>
      <c r="O8899" t="s">
        <v>9462</v>
      </c>
    </row>
    <row r="8900" spans="1:15" hidden="1" x14ac:dyDescent="0.45">
      <c r="A8900" s="187">
        <v>2031</v>
      </c>
      <c r="B8900" t="s">
        <v>317</v>
      </c>
      <c r="C8900" t="s">
        <v>328</v>
      </c>
      <c r="D8900" t="s">
        <v>39</v>
      </c>
      <c r="E8900" t="s">
        <v>40</v>
      </c>
      <c r="F8900" t="s">
        <v>40</v>
      </c>
      <c r="G8900" t="s">
        <v>37</v>
      </c>
      <c r="H8900" t="s">
        <v>43</v>
      </c>
      <c r="I8900" s="187">
        <v>5040.6453185301089</v>
      </c>
      <c r="J8900" s="187">
        <v>256</v>
      </c>
      <c r="K8900" s="187">
        <v>7726.2431659677386</v>
      </c>
      <c r="L8900" s="187">
        <v>6264</v>
      </c>
      <c r="M8900" s="187">
        <v>19286.888671875</v>
      </c>
      <c r="N8900" s="187">
        <v>11304.6455078125</v>
      </c>
      <c r="O8900" t="s">
        <v>8467</v>
      </c>
    </row>
    <row r="8901" spans="1:15" hidden="1" x14ac:dyDescent="0.45">
      <c r="A8901" s="187">
        <v>2031</v>
      </c>
      <c r="B8901" t="s">
        <v>8570</v>
      </c>
      <c r="C8901" t="s">
        <v>328</v>
      </c>
      <c r="D8901" t="s">
        <v>39</v>
      </c>
      <c r="E8901" t="s">
        <v>40</v>
      </c>
      <c r="F8901" t="s">
        <v>40</v>
      </c>
      <c r="G8901" t="s">
        <v>37</v>
      </c>
      <c r="H8901" t="s">
        <v>43</v>
      </c>
      <c r="I8901" s="187">
        <v>5509.6461940899317</v>
      </c>
      <c r="J8901" s="187">
        <v>298</v>
      </c>
      <c r="K8901" s="187">
        <v>8698.9204156553969</v>
      </c>
      <c r="L8901" s="187">
        <v>6921</v>
      </c>
      <c r="M8901" s="187">
        <v>21427.56640625</v>
      </c>
      <c r="N8901" s="187">
        <v>12430.646484375</v>
      </c>
      <c r="O8901" t="s">
        <v>9463</v>
      </c>
    </row>
    <row r="8902" spans="1:15" hidden="1" x14ac:dyDescent="0.45">
      <c r="A8902" s="187">
        <v>2031</v>
      </c>
      <c r="B8902" t="s">
        <v>317</v>
      </c>
      <c r="C8902" t="s">
        <v>328</v>
      </c>
      <c r="D8902" t="s">
        <v>39</v>
      </c>
      <c r="E8902" t="s">
        <v>41</v>
      </c>
      <c r="F8902" t="s">
        <v>41</v>
      </c>
      <c r="G8902" t="s">
        <v>36</v>
      </c>
      <c r="H8902" t="s">
        <v>43</v>
      </c>
      <c r="I8902" s="187">
        <v>6644.759800181344</v>
      </c>
      <c r="J8902" s="187">
        <v>2221.1899080343628</v>
      </c>
      <c r="K8902" s="187">
        <v>12815.599677176306</v>
      </c>
      <c r="L8902" s="187">
        <v>9174.2982695612245</v>
      </c>
      <c r="M8902" s="187">
        <v>30855.84765625</v>
      </c>
      <c r="N8902" s="187">
        <v>15819.0576171875</v>
      </c>
      <c r="O8902" t="s">
        <v>8468</v>
      </c>
    </row>
    <row r="8903" spans="1:15" hidden="1" x14ac:dyDescent="0.45">
      <c r="A8903" s="187">
        <v>2031</v>
      </c>
      <c r="B8903" t="s">
        <v>8570</v>
      </c>
      <c r="C8903" t="s">
        <v>328</v>
      </c>
      <c r="D8903" t="s">
        <v>39</v>
      </c>
      <c r="E8903" t="s">
        <v>41</v>
      </c>
      <c r="F8903" t="s">
        <v>41</v>
      </c>
      <c r="G8903" t="s">
        <v>36</v>
      </c>
      <c r="H8903" t="s">
        <v>43</v>
      </c>
      <c r="I8903" s="187">
        <v>6538.062234</v>
      </c>
      <c r="J8903" s="187">
        <v>2554</v>
      </c>
      <c r="K8903" s="187">
        <v>11800.615874571729</v>
      </c>
      <c r="L8903" s="187">
        <v>9319</v>
      </c>
      <c r="M8903" s="187">
        <v>30211.677734375</v>
      </c>
      <c r="N8903" s="187">
        <v>15857.0625</v>
      </c>
      <c r="O8903" t="s">
        <v>9464</v>
      </c>
    </row>
    <row r="8904" spans="1:15" hidden="1" x14ac:dyDescent="0.45">
      <c r="A8904" s="187">
        <v>2031</v>
      </c>
      <c r="B8904" t="s">
        <v>317</v>
      </c>
      <c r="C8904" t="s">
        <v>328</v>
      </c>
      <c r="D8904" t="s">
        <v>39</v>
      </c>
      <c r="E8904" t="s">
        <v>41</v>
      </c>
      <c r="F8904" t="s">
        <v>41</v>
      </c>
      <c r="G8904" t="s">
        <v>37</v>
      </c>
      <c r="H8904" t="s">
        <v>43</v>
      </c>
      <c r="I8904" s="187">
        <v>7749.008891368132</v>
      </c>
      <c r="J8904" s="187">
        <v>2125</v>
      </c>
      <c r="K8904" s="187">
        <v>14854.52237283592</v>
      </c>
      <c r="L8904" s="187">
        <v>10649</v>
      </c>
      <c r="M8904" s="187">
        <v>35377.53125</v>
      </c>
      <c r="N8904" s="187">
        <v>18398.0078125</v>
      </c>
      <c r="O8904" t="s">
        <v>8469</v>
      </c>
    </row>
    <row r="8905" spans="1:15" hidden="1" x14ac:dyDescent="0.45">
      <c r="A8905" s="187">
        <v>2031</v>
      </c>
      <c r="B8905" t="s">
        <v>8570</v>
      </c>
      <c r="C8905" t="s">
        <v>328</v>
      </c>
      <c r="D8905" t="s">
        <v>39</v>
      </c>
      <c r="E8905" t="s">
        <v>41</v>
      </c>
      <c r="F8905" t="s">
        <v>41</v>
      </c>
      <c r="G8905" t="s">
        <v>37</v>
      </c>
      <c r="H8905" t="s">
        <v>43</v>
      </c>
      <c r="I8905" s="187">
        <v>7813.5895890435859</v>
      </c>
      <c r="J8905" s="187">
        <v>2994</v>
      </c>
      <c r="K8905" s="187">
        <v>14164.99530558241</v>
      </c>
      <c r="L8905" s="187">
        <v>11574</v>
      </c>
      <c r="M8905" s="187">
        <v>36546.5859375</v>
      </c>
      <c r="N8905" s="187">
        <v>19387.58984375</v>
      </c>
      <c r="O8905" t="s">
        <v>9465</v>
      </c>
    </row>
    <row r="8906" spans="1:15" hidden="1" x14ac:dyDescent="0.45">
      <c r="A8906" s="187">
        <v>2031</v>
      </c>
      <c r="B8906" t="s">
        <v>8570</v>
      </c>
      <c r="C8906" t="s">
        <v>328</v>
      </c>
      <c r="D8906" t="s">
        <v>39</v>
      </c>
      <c r="E8906" t="s">
        <v>361</v>
      </c>
      <c r="F8906" t="s">
        <v>361</v>
      </c>
      <c r="G8906" t="s">
        <v>36</v>
      </c>
      <c r="H8906" t="s">
        <v>43</v>
      </c>
      <c r="I8906" s="187"/>
      <c r="J8906" s="187"/>
      <c r="K8906" s="187"/>
      <c r="L8906" s="187">
        <v>0</v>
      </c>
      <c r="M8906" s="187">
        <v>0</v>
      </c>
      <c r="N8906" s="187">
        <v>0</v>
      </c>
      <c r="O8906" t="s">
        <v>9466</v>
      </c>
    </row>
    <row r="8907" spans="1:15" hidden="1" x14ac:dyDescent="0.45">
      <c r="A8907" s="187">
        <v>2031</v>
      </c>
      <c r="B8907" t="s">
        <v>317</v>
      </c>
      <c r="C8907" t="s">
        <v>328</v>
      </c>
      <c r="D8907" t="s">
        <v>39</v>
      </c>
      <c r="E8907" t="s">
        <v>361</v>
      </c>
      <c r="F8907" t="s">
        <v>361</v>
      </c>
      <c r="G8907" t="s">
        <v>36</v>
      </c>
      <c r="H8907" t="s">
        <v>43</v>
      </c>
      <c r="I8907" s="187"/>
      <c r="J8907" s="187"/>
      <c r="K8907" s="187">
        <v>0</v>
      </c>
      <c r="L8907" s="187"/>
      <c r="M8907" s="187">
        <v>0</v>
      </c>
      <c r="N8907" s="187">
        <v>0</v>
      </c>
      <c r="O8907" t="s">
        <v>8470</v>
      </c>
    </row>
    <row r="8908" spans="1:15" hidden="1" x14ac:dyDescent="0.45">
      <c r="A8908" s="187">
        <v>2031</v>
      </c>
      <c r="B8908" t="s">
        <v>8570</v>
      </c>
      <c r="C8908" t="s">
        <v>328</v>
      </c>
      <c r="D8908" t="s">
        <v>39</v>
      </c>
      <c r="E8908" t="s">
        <v>362</v>
      </c>
      <c r="F8908" t="s">
        <v>362</v>
      </c>
      <c r="G8908" t="s">
        <v>36</v>
      </c>
      <c r="H8908" t="s">
        <v>43</v>
      </c>
      <c r="I8908" s="187">
        <v>2305.1127329999999</v>
      </c>
      <c r="J8908" s="187">
        <v>235</v>
      </c>
      <c r="K8908" s="187">
        <v>3882.07822524413</v>
      </c>
      <c r="L8908" s="187">
        <v>3287</v>
      </c>
      <c r="M8908" s="187">
        <v>9709.19140625</v>
      </c>
      <c r="N8908" s="187">
        <v>5592.11279296875</v>
      </c>
      <c r="O8908" t="s">
        <v>9467</v>
      </c>
    </row>
    <row r="8909" spans="1:15" hidden="1" x14ac:dyDescent="0.45">
      <c r="A8909" s="187">
        <v>2031</v>
      </c>
      <c r="B8909" t="s">
        <v>317</v>
      </c>
      <c r="C8909" t="s">
        <v>328</v>
      </c>
      <c r="D8909" t="s">
        <v>39</v>
      </c>
      <c r="E8909" t="s">
        <v>362</v>
      </c>
      <c r="F8909" t="s">
        <v>362</v>
      </c>
      <c r="G8909" t="s">
        <v>36</v>
      </c>
      <c r="H8909" t="s">
        <v>43</v>
      </c>
      <c r="I8909" s="187">
        <v>1092.9854858581857</v>
      </c>
      <c r="J8909" s="187">
        <v>194.41944606794894</v>
      </c>
      <c r="K8909" s="187">
        <v>3540.7398464567054</v>
      </c>
      <c r="L8909" s="187">
        <v>3088.760554466608</v>
      </c>
      <c r="M8909" s="187">
        <v>7916.9052734375</v>
      </c>
      <c r="N8909" s="187">
        <v>4181.74609375</v>
      </c>
      <c r="O8909" t="s">
        <v>8471</v>
      </c>
    </row>
    <row r="8910" spans="1:15" hidden="1" x14ac:dyDescent="0.45">
      <c r="A8910" s="187">
        <v>2031</v>
      </c>
      <c r="B8910" t="s">
        <v>8570</v>
      </c>
      <c r="C8910" t="s">
        <v>328</v>
      </c>
      <c r="D8910" t="s">
        <v>39</v>
      </c>
      <c r="E8910" t="s">
        <v>362</v>
      </c>
      <c r="F8910" t="s">
        <v>362</v>
      </c>
      <c r="G8910" t="s">
        <v>37</v>
      </c>
      <c r="H8910" t="s">
        <v>43</v>
      </c>
      <c r="I8910" s="187">
        <v>2754.8230970449658</v>
      </c>
      <c r="J8910" s="187">
        <v>240</v>
      </c>
      <c r="K8910" s="187">
        <v>4659.8940615446891</v>
      </c>
      <c r="L8910" s="187">
        <v>4082</v>
      </c>
      <c r="M8910" s="187">
        <v>11736.716796875</v>
      </c>
      <c r="N8910" s="187">
        <v>6836.8232421875</v>
      </c>
      <c r="O8910" t="s">
        <v>9468</v>
      </c>
    </row>
    <row r="8911" spans="1:15" hidden="1" x14ac:dyDescent="0.45">
      <c r="A8911" s="187">
        <v>2031</v>
      </c>
      <c r="B8911" t="s">
        <v>317</v>
      </c>
      <c r="C8911" t="s">
        <v>328</v>
      </c>
      <c r="D8911" t="s">
        <v>39</v>
      </c>
      <c r="E8911" t="s">
        <v>362</v>
      </c>
      <c r="F8911" t="s">
        <v>362</v>
      </c>
      <c r="G8911" t="s">
        <v>37</v>
      </c>
      <c r="H8911" t="s">
        <v>43</v>
      </c>
      <c r="I8911" s="187">
        <v>1274.6453185301079</v>
      </c>
      <c r="J8911" s="187">
        <v>186</v>
      </c>
      <c r="K8911" s="187">
        <v>4104.0607221254377</v>
      </c>
      <c r="L8911" s="187">
        <v>3585</v>
      </c>
      <c r="M8911" s="187">
        <v>9149.7060546875</v>
      </c>
      <c r="N8911" s="187">
        <v>4859.6455078125</v>
      </c>
      <c r="O8911" t="s">
        <v>8472</v>
      </c>
    </row>
    <row r="8912" spans="1:15" hidden="1" x14ac:dyDescent="0.45">
      <c r="A8912" s="187">
        <v>2031</v>
      </c>
      <c r="B8912" t="s">
        <v>317</v>
      </c>
      <c r="C8912" t="s">
        <v>328</v>
      </c>
      <c r="D8912" t="s">
        <v>39</v>
      </c>
      <c r="E8912" t="s">
        <v>363</v>
      </c>
      <c r="F8912" t="s">
        <v>363</v>
      </c>
      <c r="G8912" t="s">
        <v>36</v>
      </c>
      <c r="H8912" t="s">
        <v>43</v>
      </c>
      <c r="I8912" s="187">
        <v>3229.6366342236429</v>
      </c>
      <c r="J8912" s="187">
        <v>47.036962758374742</v>
      </c>
      <c r="K8912" s="187">
        <v>667.94493368731025</v>
      </c>
      <c r="L8912" s="187">
        <v>2307.9469726775874</v>
      </c>
      <c r="M8912" s="187">
        <v>6252.5654296875</v>
      </c>
      <c r="N8912" s="187">
        <v>5537.58349609375</v>
      </c>
      <c r="O8912" t="s">
        <v>8473</v>
      </c>
    </row>
    <row r="8913" spans="1:15" hidden="1" x14ac:dyDescent="0.45">
      <c r="A8913" s="187">
        <v>2031</v>
      </c>
      <c r="B8913" t="s">
        <v>8570</v>
      </c>
      <c r="C8913" t="s">
        <v>328</v>
      </c>
      <c r="D8913" t="s">
        <v>39</v>
      </c>
      <c r="E8913" t="s">
        <v>363</v>
      </c>
      <c r="F8913" t="s">
        <v>363</v>
      </c>
      <c r="G8913" t="s">
        <v>36</v>
      </c>
      <c r="H8913" t="s">
        <v>43</v>
      </c>
      <c r="I8913" s="187">
        <v>2305.1127329999999</v>
      </c>
      <c r="J8913" s="187">
        <v>45</v>
      </c>
      <c r="K8913" s="187">
        <v>674.1973454456006</v>
      </c>
      <c r="L8913" s="187">
        <v>2286</v>
      </c>
      <c r="M8913" s="187">
        <v>5310.31005859375</v>
      </c>
      <c r="N8913" s="187">
        <v>4591.11279296875</v>
      </c>
      <c r="O8913" t="s">
        <v>9469</v>
      </c>
    </row>
    <row r="8914" spans="1:15" hidden="1" x14ac:dyDescent="0.45">
      <c r="A8914" s="187">
        <v>2031</v>
      </c>
      <c r="B8914" t="s">
        <v>317</v>
      </c>
      <c r="C8914" t="s">
        <v>328</v>
      </c>
      <c r="D8914" t="s">
        <v>39</v>
      </c>
      <c r="E8914" t="s">
        <v>363</v>
      </c>
      <c r="F8914" t="s">
        <v>363</v>
      </c>
      <c r="G8914" t="s">
        <v>37</v>
      </c>
      <c r="H8914" t="s">
        <v>43</v>
      </c>
      <c r="I8914" s="187">
        <v>3766</v>
      </c>
      <c r="J8914" s="187">
        <v>45</v>
      </c>
      <c r="K8914" s="187">
        <v>774.21292886909896</v>
      </c>
      <c r="L8914" s="187">
        <v>2679</v>
      </c>
      <c r="M8914" s="187">
        <v>7264.212890625</v>
      </c>
      <c r="N8914" s="187">
        <v>6445</v>
      </c>
      <c r="O8914" t="s">
        <v>8474</v>
      </c>
    </row>
    <row r="8915" spans="1:15" hidden="1" x14ac:dyDescent="0.45">
      <c r="A8915" s="187">
        <v>2031</v>
      </c>
      <c r="B8915" t="s">
        <v>8570</v>
      </c>
      <c r="C8915" t="s">
        <v>328</v>
      </c>
      <c r="D8915" t="s">
        <v>39</v>
      </c>
      <c r="E8915" t="s">
        <v>363</v>
      </c>
      <c r="F8915" t="s">
        <v>363</v>
      </c>
      <c r="G8915" t="s">
        <v>37</v>
      </c>
      <c r="H8915" t="s">
        <v>43</v>
      </c>
      <c r="I8915" s="187">
        <v>2754.8230970449658</v>
      </c>
      <c r="J8915" s="187">
        <v>53</v>
      </c>
      <c r="K8915" s="187">
        <v>809.2799846024684</v>
      </c>
      <c r="L8915" s="187">
        <v>2839</v>
      </c>
      <c r="M8915" s="187">
        <v>6456.10302734375</v>
      </c>
      <c r="N8915" s="187">
        <v>5593.8232421875</v>
      </c>
      <c r="O8915" t="s">
        <v>9470</v>
      </c>
    </row>
    <row r="8916" spans="1:15" hidden="1" x14ac:dyDescent="0.45">
      <c r="A8916" s="187">
        <v>2031</v>
      </c>
      <c r="B8916" t="s">
        <v>317</v>
      </c>
      <c r="C8916" t="s">
        <v>328</v>
      </c>
      <c r="D8916" t="s">
        <v>39</v>
      </c>
      <c r="E8916" t="s">
        <v>364</v>
      </c>
      <c r="F8916" t="s">
        <v>364</v>
      </c>
      <c r="G8916" t="s">
        <v>36</v>
      </c>
      <c r="H8916" t="s">
        <v>43</v>
      </c>
      <c r="I8916" s="187">
        <v>3563.3112454066554</v>
      </c>
      <c r="J8916" s="187">
        <v>909.38127999524511</v>
      </c>
      <c r="K8916" s="187">
        <v>5167.6379339057121</v>
      </c>
      <c r="L8916" s="187">
        <v>3822.5371734972541</v>
      </c>
      <c r="M8916" s="187">
        <v>13462.8671875</v>
      </c>
      <c r="N8916" s="187">
        <v>7385.8486328125</v>
      </c>
      <c r="O8916" t="s">
        <v>8475</v>
      </c>
    </row>
    <row r="8917" spans="1:15" hidden="1" x14ac:dyDescent="0.45">
      <c r="A8917" s="187">
        <v>2031</v>
      </c>
      <c r="B8917" t="s">
        <v>8570</v>
      </c>
      <c r="C8917" t="s">
        <v>328</v>
      </c>
      <c r="D8917" t="s">
        <v>39</v>
      </c>
      <c r="E8917" t="s">
        <v>364</v>
      </c>
      <c r="F8917" t="s">
        <v>364</v>
      </c>
      <c r="G8917" t="s">
        <v>36</v>
      </c>
      <c r="H8917" t="s">
        <v>43</v>
      </c>
      <c r="I8917" s="187">
        <v>3183.2509169999998</v>
      </c>
      <c r="J8917" s="187">
        <v>1023</v>
      </c>
      <c r="K8917" s="187">
        <v>4991.3569858476221</v>
      </c>
      <c r="L8917" s="187">
        <v>3919</v>
      </c>
      <c r="M8917" s="187">
        <v>13116.6083984375</v>
      </c>
      <c r="N8917" s="187">
        <v>7102.2509765625</v>
      </c>
      <c r="O8917" t="s">
        <v>9471</v>
      </c>
    </row>
    <row r="8918" spans="1:15" hidden="1" x14ac:dyDescent="0.45">
      <c r="A8918" s="187">
        <v>2031</v>
      </c>
      <c r="B8918" t="s">
        <v>8570</v>
      </c>
      <c r="C8918" t="s">
        <v>328</v>
      </c>
      <c r="D8918" t="s">
        <v>39</v>
      </c>
      <c r="E8918" t="s">
        <v>364</v>
      </c>
      <c r="F8918" t="s">
        <v>364</v>
      </c>
      <c r="G8918" t="s">
        <v>37</v>
      </c>
      <c r="H8918" t="s">
        <v>43</v>
      </c>
      <c r="I8918" s="187">
        <v>3804.2795149668568</v>
      </c>
      <c r="J8918" s="187">
        <v>1199</v>
      </c>
      <c r="K8918" s="187">
        <v>5991.4286698687656</v>
      </c>
      <c r="L8918" s="187">
        <v>4867</v>
      </c>
      <c r="M8918" s="187">
        <v>15861.7080078125</v>
      </c>
      <c r="N8918" s="187">
        <v>8671.279296875</v>
      </c>
      <c r="O8918" t="s">
        <v>9472</v>
      </c>
    </row>
    <row r="8919" spans="1:15" hidden="1" x14ac:dyDescent="0.45">
      <c r="A8919" s="187">
        <v>2031</v>
      </c>
      <c r="B8919" t="s">
        <v>317</v>
      </c>
      <c r="C8919" t="s">
        <v>328</v>
      </c>
      <c r="D8919" t="s">
        <v>39</v>
      </c>
      <c r="E8919" t="s">
        <v>364</v>
      </c>
      <c r="F8919" t="s">
        <v>364</v>
      </c>
      <c r="G8919" t="s">
        <v>37</v>
      </c>
      <c r="H8919" t="s">
        <v>43</v>
      </c>
      <c r="I8919" s="187">
        <v>4155.008891368132</v>
      </c>
      <c r="J8919" s="187">
        <v>870</v>
      </c>
      <c r="K8919" s="187">
        <v>5989.7933173292822</v>
      </c>
      <c r="L8919" s="187">
        <v>4437</v>
      </c>
      <c r="M8919" s="187">
        <v>15451.8017578125</v>
      </c>
      <c r="N8919" s="187">
        <v>8592.0087890625</v>
      </c>
      <c r="O8919" t="s">
        <v>8476</v>
      </c>
    </row>
    <row r="8920" spans="1:15" hidden="1" x14ac:dyDescent="0.45">
      <c r="A8920" s="187">
        <v>2031</v>
      </c>
      <c r="B8920" t="s">
        <v>317</v>
      </c>
      <c r="C8920" t="s">
        <v>328</v>
      </c>
      <c r="D8920" t="s">
        <v>39</v>
      </c>
      <c r="E8920" t="s">
        <v>365</v>
      </c>
      <c r="F8920" t="s">
        <v>375</v>
      </c>
      <c r="G8920" t="s">
        <v>36</v>
      </c>
      <c r="H8920" t="s">
        <v>43</v>
      </c>
      <c r="I8920" s="187">
        <v>10967.381920263177</v>
      </c>
      <c r="J8920" s="187">
        <v>2488.7779628375615</v>
      </c>
      <c r="K8920" s="187">
        <v>19481.343410857757</v>
      </c>
      <c r="L8920" s="187">
        <v>14571.00579670542</v>
      </c>
      <c r="M8920" s="187">
        <v>47508.5078125</v>
      </c>
      <c r="N8920" s="187">
        <v>25538.38671875</v>
      </c>
      <c r="O8920" t="s">
        <v>8477</v>
      </c>
    </row>
    <row r="8921" spans="1:15" hidden="1" x14ac:dyDescent="0.45">
      <c r="A8921" s="187">
        <v>2031</v>
      </c>
      <c r="B8921" t="s">
        <v>8570</v>
      </c>
      <c r="C8921" t="s">
        <v>328</v>
      </c>
      <c r="D8921" t="s">
        <v>39</v>
      </c>
      <c r="E8921" t="s">
        <v>365</v>
      </c>
      <c r="F8921" t="s">
        <v>375</v>
      </c>
      <c r="G8921" t="s">
        <v>36</v>
      </c>
      <c r="H8921" t="s">
        <v>43</v>
      </c>
      <c r="I8921" s="187">
        <v>11148.287700000001</v>
      </c>
      <c r="J8921" s="187">
        <v>2834</v>
      </c>
      <c r="K8921" s="187">
        <v>19047.538032616059</v>
      </c>
      <c r="L8921" s="187">
        <v>14892</v>
      </c>
      <c r="M8921" s="187">
        <v>47921.82421875</v>
      </c>
      <c r="N8921" s="187">
        <v>26040.2890625</v>
      </c>
      <c r="O8921" t="s">
        <v>9473</v>
      </c>
    </row>
    <row r="8922" spans="1:15" hidden="1" x14ac:dyDescent="0.45">
      <c r="A8922" s="187">
        <v>2031</v>
      </c>
      <c r="B8922" t="s">
        <v>8570</v>
      </c>
      <c r="C8922" t="s">
        <v>328</v>
      </c>
      <c r="D8922" t="s">
        <v>39</v>
      </c>
      <c r="E8922" t="s">
        <v>365</v>
      </c>
      <c r="F8922" t="s">
        <v>375</v>
      </c>
      <c r="G8922" t="s">
        <v>37</v>
      </c>
      <c r="H8922" t="s">
        <v>43</v>
      </c>
      <c r="I8922" s="187">
        <v>13323.235783133519</v>
      </c>
      <c r="J8922" s="187">
        <v>3292</v>
      </c>
      <c r="K8922" s="187">
        <v>22863.915721237801</v>
      </c>
      <c r="L8922" s="187">
        <v>18495</v>
      </c>
      <c r="M8922" s="187">
        <v>57974.1484375</v>
      </c>
      <c r="N8922" s="187">
        <v>31818.234375</v>
      </c>
      <c r="O8922" t="s">
        <v>9474</v>
      </c>
    </row>
    <row r="8923" spans="1:15" hidden="1" x14ac:dyDescent="0.45">
      <c r="A8923" s="187">
        <v>2031</v>
      </c>
      <c r="B8923" t="s">
        <v>317</v>
      </c>
      <c r="C8923" t="s">
        <v>328</v>
      </c>
      <c r="D8923" t="s">
        <v>39</v>
      </c>
      <c r="E8923" t="s">
        <v>365</v>
      </c>
      <c r="F8923" t="s">
        <v>375</v>
      </c>
      <c r="G8923" t="s">
        <v>37</v>
      </c>
      <c r="H8923" t="s">
        <v>43</v>
      </c>
      <c r="I8923" s="187">
        <v>12789.654209898241</v>
      </c>
      <c r="J8923" s="187">
        <v>2381</v>
      </c>
      <c r="K8923" s="187">
        <v>22580.765538803651</v>
      </c>
      <c r="L8923" s="187">
        <v>16913</v>
      </c>
      <c r="M8923" s="187">
        <v>54664.41796875</v>
      </c>
      <c r="N8923" s="187">
        <v>29702.654296875</v>
      </c>
      <c r="O8923" t="s">
        <v>8478</v>
      </c>
    </row>
    <row r="8924" spans="1:15" hidden="1" x14ac:dyDescent="0.45">
      <c r="A8924" s="187">
        <v>2032</v>
      </c>
      <c r="B8924" t="s">
        <v>8570</v>
      </c>
      <c r="C8924" t="s">
        <v>322</v>
      </c>
      <c r="D8924" t="s">
        <v>35</v>
      </c>
      <c r="E8924" t="s">
        <v>348</v>
      </c>
      <c r="F8924" t="s">
        <v>382</v>
      </c>
      <c r="G8924" t="s">
        <v>36</v>
      </c>
      <c r="H8924" t="s">
        <v>43</v>
      </c>
      <c r="I8924" s="187">
        <v>10904.284274988529</v>
      </c>
      <c r="J8924" s="187">
        <v>1000</v>
      </c>
      <c r="K8924" s="187">
        <v>16720.68957252676</v>
      </c>
      <c r="L8924" s="187">
        <v>15425</v>
      </c>
      <c r="M8924" s="187">
        <v>44049.9765625</v>
      </c>
      <c r="N8924" s="187">
        <v>26329.28515625</v>
      </c>
      <c r="O8924" t="s">
        <v>9475</v>
      </c>
    </row>
    <row r="8925" spans="1:15" hidden="1" x14ac:dyDescent="0.45">
      <c r="A8925" s="187">
        <v>2032</v>
      </c>
      <c r="B8925" t="s">
        <v>8570</v>
      </c>
      <c r="C8925" t="s">
        <v>322</v>
      </c>
      <c r="D8925" t="s">
        <v>35</v>
      </c>
      <c r="E8925" t="s">
        <v>348</v>
      </c>
      <c r="F8925" t="s">
        <v>382</v>
      </c>
      <c r="G8925" t="s">
        <v>37</v>
      </c>
      <c r="H8925" t="s">
        <v>43</v>
      </c>
      <c r="I8925" s="187">
        <v>13292.2616852476</v>
      </c>
      <c r="J8925" s="187">
        <v>1000</v>
      </c>
      <c r="K8925" s="187">
        <v>20472.275485852871</v>
      </c>
      <c r="L8925" s="187">
        <v>20445</v>
      </c>
      <c r="M8925" s="187">
        <v>55209.5390625</v>
      </c>
      <c r="N8925" s="187">
        <v>33737.26171875</v>
      </c>
      <c r="O8925" t="s">
        <v>9476</v>
      </c>
    </row>
    <row r="8926" spans="1:15" hidden="1" x14ac:dyDescent="0.45">
      <c r="A8926" s="187">
        <v>2032</v>
      </c>
      <c r="B8926" t="s">
        <v>8570</v>
      </c>
      <c r="C8926" t="s">
        <v>322</v>
      </c>
      <c r="D8926" t="s">
        <v>35</v>
      </c>
      <c r="E8926" t="s">
        <v>19</v>
      </c>
      <c r="F8926" t="s">
        <v>19</v>
      </c>
      <c r="G8926" t="s">
        <v>36</v>
      </c>
      <c r="H8926" t="s">
        <v>43</v>
      </c>
      <c r="I8926" s="187">
        <v>611.79096000000004</v>
      </c>
      <c r="J8926" s="187">
        <v>0</v>
      </c>
      <c r="K8926" s="187">
        <v>129.87561505607249</v>
      </c>
      <c r="L8926" s="187">
        <v>2791</v>
      </c>
      <c r="M8926" s="187">
        <v>3532.66650390625</v>
      </c>
      <c r="N8926" s="187">
        <v>3402.791015625</v>
      </c>
      <c r="O8926" t="s">
        <v>9477</v>
      </c>
    </row>
    <row r="8927" spans="1:15" hidden="1" x14ac:dyDescent="0.45">
      <c r="A8927" s="187">
        <v>2032</v>
      </c>
      <c r="B8927" t="s">
        <v>8570</v>
      </c>
      <c r="C8927" t="s">
        <v>322</v>
      </c>
      <c r="D8927" t="s">
        <v>35</v>
      </c>
      <c r="E8927" t="s">
        <v>19</v>
      </c>
      <c r="F8927" t="s">
        <v>19</v>
      </c>
      <c r="G8927" t="s">
        <v>37</v>
      </c>
      <c r="H8927" t="s">
        <v>43</v>
      </c>
      <c r="I8927" s="187">
        <v>745.76976644323588</v>
      </c>
      <c r="J8927" s="187">
        <v>0</v>
      </c>
      <c r="K8927" s="187">
        <v>159.01553334804859</v>
      </c>
      <c r="L8927" s="187">
        <v>3699</v>
      </c>
      <c r="M8927" s="187">
        <v>4603.78515625</v>
      </c>
      <c r="N8927" s="187">
        <v>4444.76953125</v>
      </c>
      <c r="O8927" t="s">
        <v>9478</v>
      </c>
    </row>
    <row r="8928" spans="1:15" hidden="1" x14ac:dyDescent="0.45">
      <c r="A8928" s="187">
        <v>2032</v>
      </c>
      <c r="B8928" t="s">
        <v>8570</v>
      </c>
      <c r="C8928" t="s">
        <v>322</v>
      </c>
      <c r="D8928" t="s">
        <v>35</v>
      </c>
      <c r="E8928" t="s">
        <v>349</v>
      </c>
      <c r="F8928" t="s">
        <v>349</v>
      </c>
      <c r="G8928" t="s">
        <v>36</v>
      </c>
      <c r="H8928" t="s">
        <v>43</v>
      </c>
      <c r="I8928" s="187">
        <v>3344.4572480000002</v>
      </c>
      <c r="J8928" s="187">
        <v>495</v>
      </c>
      <c r="K8928" s="187">
        <v>4687.7416824641632</v>
      </c>
      <c r="L8928" s="187">
        <v>2409</v>
      </c>
      <c r="M8928" s="187">
        <v>10936.19921875</v>
      </c>
      <c r="N8928" s="187">
        <v>5753.45703125</v>
      </c>
      <c r="O8928" t="s">
        <v>9479</v>
      </c>
    </row>
    <row r="8929" spans="1:15" hidden="1" x14ac:dyDescent="0.45">
      <c r="A8929" s="187">
        <v>2032</v>
      </c>
      <c r="B8929" t="s">
        <v>8570</v>
      </c>
      <c r="C8929" t="s">
        <v>322</v>
      </c>
      <c r="D8929" t="s">
        <v>35</v>
      </c>
      <c r="E8929" t="s">
        <v>349</v>
      </c>
      <c r="F8929" t="s">
        <v>349</v>
      </c>
      <c r="G8929" t="s">
        <v>37</v>
      </c>
      <c r="H8929" t="s">
        <v>43</v>
      </c>
      <c r="I8929" s="187">
        <v>4076.8747232230221</v>
      </c>
      <c r="J8929" s="187">
        <v>495</v>
      </c>
      <c r="K8929" s="187">
        <v>5739.5204135363547</v>
      </c>
      <c r="L8929" s="187">
        <v>3193</v>
      </c>
      <c r="M8929" s="187">
        <v>13504.3955078125</v>
      </c>
      <c r="N8929" s="187">
        <v>7269.875</v>
      </c>
      <c r="O8929" t="s">
        <v>9480</v>
      </c>
    </row>
    <row r="8930" spans="1:15" hidden="1" x14ac:dyDescent="0.45">
      <c r="A8930" s="187">
        <v>2032</v>
      </c>
      <c r="B8930" t="s">
        <v>8570</v>
      </c>
      <c r="C8930" t="s">
        <v>322</v>
      </c>
      <c r="D8930" t="s">
        <v>35</v>
      </c>
      <c r="E8930" t="s">
        <v>46</v>
      </c>
      <c r="F8930" t="s">
        <v>46</v>
      </c>
      <c r="G8930" t="s">
        <v>37</v>
      </c>
      <c r="H8930" t="s">
        <v>43</v>
      </c>
      <c r="I8930" s="187"/>
      <c r="J8930" s="187">
        <v>1000</v>
      </c>
      <c r="K8930" s="187">
        <v>19917.960574579211</v>
      </c>
      <c r="L8930" s="187">
        <v>4569</v>
      </c>
      <c r="M8930" s="187">
        <v>25486.9609375</v>
      </c>
      <c r="N8930" s="187">
        <v>4569</v>
      </c>
      <c r="O8930" t="s">
        <v>9481</v>
      </c>
    </row>
    <row r="8931" spans="1:15" hidden="1" x14ac:dyDescent="0.45">
      <c r="A8931" s="187">
        <v>2032</v>
      </c>
      <c r="B8931" t="s">
        <v>8570</v>
      </c>
      <c r="C8931" t="s">
        <v>322</v>
      </c>
      <c r="D8931" t="s">
        <v>35</v>
      </c>
      <c r="E8931" t="s">
        <v>350</v>
      </c>
      <c r="F8931" t="s">
        <v>350</v>
      </c>
      <c r="G8931" t="s">
        <v>37</v>
      </c>
      <c r="H8931" t="s">
        <v>43</v>
      </c>
      <c r="I8931" s="187">
        <v>11489.42619910935</v>
      </c>
      <c r="J8931" s="187">
        <v>1000</v>
      </c>
      <c r="K8931" s="187">
        <v>19921.870865447621</v>
      </c>
      <c r="L8931" s="187">
        <v>4567</v>
      </c>
      <c r="M8931" s="187">
        <v>36978.296875</v>
      </c>
      <c r="N8931" s="187">
        <v>16056.42578125</v>
      </c>
      <c r="O8931" t="s">
        <v>9482</v>
      </c>
    </row>
    <row r="8932" spans="1:15" hidden="1" x14ac:dyDescent="0.45">
      <c r="A8932" s="187">
        <v>2032</v>
      </c>
      <c r="B8932" t="s">
        <v>8570</v>
      </c>
      <c r="C8932" t="s">
        <v>322</v>
      </c>
      <c r="D8932" t="s">
        <v>35</v>
      </c>
      <c r="E8932" t="s">
        <v>16</v>
      </c>
      <c r="F8932" t="s">
        <v>16</v>
      </c>
      <c r="G8932" t="s">
        <v>36</v>
      </c>
      <c r="H8932" t="s">
        <v>43</v>
      </c>
      <c r="I8932" s="187">
        <v>3077.7401159999999</v>
      </c>
      <c r="J8932" s="187">
        <v>220</v>
      </c>
      <c r="K8932" s="187">
        <v>8470.2788122946076</v>
      </c>
      <c r="L8932" s="187">
        <v>8553</v>
      </c>
      <c r="M8932" s="187">
        <v>20321.01953125</v>
      </c>
      <c r="N8932" s="187">
        <v>11630.740234375</v>
      </c>
      <c r="O8932" t="s">
        <v>9483</v>
      </c>
    </row>
    <row r="8933" spans="1:15" hidden="1" x14ac:dyDescent="0.45">
      <c r="A8933" s="187">
        <v>2032</v>
      </c>
      <c r="B8933" t="s">
        <v>8570</v>
      </c>
      <c r="C8933" t="s">
        <v>322</v>
      </c>
      <c r="D8933" t="s">
        <v>35</v>
      </c>
      <c r="E8933" t="s">
        <v>16</v>
      </c>
      <c r="F8933" t="s">
        <v>16</v>
      </c>
      <c r="G8933" t="s">
        <v>37</v>
      </c>
      <c r="H8933" t="s">
        <v>43</v>
      </c>
      <c r="I8933" s="187">
        <v>3751.7480275980179</v>
      </c>
      <c r="J8933" s="187">
        <v>220</v>
      </c>
      <c r="K8933" s="187">
        <v>10370.737434907929</v>
      </c>
      <c r="L8933" s="187">
        <v>11337</v>
      </c>
      <c r="M8933" s="187">
        <v>25679.484375</v>
      </c>
      <c r="N8933" s="187">
        <v>15088.748046875</v>
      </c>
      <c r="O8933" t="s">
        <v>9484</v>
      </c>
    </row>
    <row r="8934" spans="1:15" hidden="1" x14ac:dyDescent="0.45">
      <c r="A8934" s="187">
        <v>2032</v>
      </c>
      <c r="B8934" t="s">
        <v>8570</v>
      </c>
      <c r="C8934" t="s">
        <v>322</v>
      </c>
      <c r="D8934" t="s">
        <v>35</v>
      </c>
      <c r="E8934" t="s">
        <v>351</v>
      </c>
      <c r="F8934" t="s">
        <v>351</v>
      </c>
      <c r="G8934" t="s">
        <v>37</v>
      </c>
      <c r="H8934" t="s">
        <v>43</v>
      </c>
      <c r="I8934" s="187">
        <v>48.217075576940857</v>
      </c>
      <c r="J8934" s="187"/>
      <c r="K8934" s="187">
        <v>112.2948122897262</v>
      </c>
      <c r="L8934" s="187">
        <v>148</v>
      </c>
      <c r="M8934" s="187">
        <v>308.51190185546875</v>
      </c>
      <c r="N8934" s="187">
        <v>196.21707153320313</v>
      </c>
      <c r="O8934" t="s">
        <v>9485</v>
      </c>
    </row>
    <row r="8935" spans="1:15" hidden="1" x14ac:dyDescent="0.45">
      <c r="A8935" s="187">
        <v>2032</v>
      </c>
      <c r="B8935" t="s">
        <v>8570</v>
      </c>
      <c r="C8935" t="s">
        <v>322</v>
      </c>
      <c r="D8935" t="s">
        <v>35</v>
      </c>
      <c r="E8935" t="s">
        <v>352</v>
      </c>
      <c r="F8935" t="s">
        <v>361</v>
      </c>
      <c r="G8935" t="s">
        <v>36</v>
      </c>
      <c r="H8935" t="s">
        <v>43</v>
      </c>
      <c r="I8935" s="187">
        <v>0</v>
      </c>
      <c r="J8935" s="187"/>
      <c r="K8935" s="187">
        <v>0</v>
      </c>
      <c r="L8935" s="187"/>
      <c r="M8935" s="187">
        <v>0</v>
      </c>
      <c r="N8935" s="187">
        <v>0</v>
      </c>
      <c r="O8935" t="s">
        <v>9486</v>
      </c>
    </row>
    <row r="8936" spans="1:15" hidden="1" x14ac:dyDescent="0.45">
      <c r="A8936" s="187">
        <v>2032</v>
      </c>
      <c r="B8936" t="s">
        <v>8570</v>
      </c>
      <c r="C8936" t="s">
        <v>322</v>
      </c>
      <c r="D8936" t="s">
        <v>35</v>
      </c>
      <c r="E8936" t="s">
        <v>353</v>
      </c>
      <c r="F8936" t="s">
        <v>383</v>
      </c>
      <c r="G8936" t="s">
        <v>36</v>
      </c>
      <c r="H8936" t="s">
        <v>43</v>
      </c>
      <c r="I8936" s="187">
        <v>10428.67947498853</v>
      </c>
      <c r="J8936" s="187">
        <v>945</v>
      </c>
      <c r="K8936" s="187">
        <v>14705.35154210735</v>
      </c>
      <c r="L8936" s="187">
        <v>14684</v>
      </c>
      <c r="M8936" s="187">
        <v>40763.03125</v>
      </c>
      <c r="N8936" s="187">
        <v>25112.6796875</v>
      </c>
      <c r="O8936" t="s">
        <v>9487</v>
      </c>
    </row>
    <row r="8937" spans="1:15" hidden="1" x14ac:dyDescent="0.45">
      <c r="A8937" s="187">
        <v>2032</v>
      </c>
      <c r="B8937" t="s">
        <v>8570</v>
      </c>
      <c r="C8937" t="s">
        <v>322</v>
      </c>
      <c r="D8937" t="s">
        <v>35</v>
      </c>
      <c r="E8937" t="s">
        <v>353</v>
      </c>
      <c r="F8937" t="s">
        <v>383</v>
      </c>
      <c r="G8937" t="s">
        <v>37</v>
      </c>
      <c r="H8937" t="s">
        <v>43</v>
      </c>
      <c r="I8937" s="187">
        <v>12712.50208792488</v>
      </c>
      <c r="J8937" s="187">
        <v>945</v>
      </c>
      <c r="K8937" s="187">
        <v>18004.760304920801</v>
      </c>
      <c r="L8937" s="187">
        <v>19463</v>
      </c>
      <c r="M8937" s="187">
        <v>51125.26171875</v>
      </c>
      <c r="N8937" s="187">
        <v>32175.501953125</v>
      </c>
      <c r="O8937" t="s">
        <v>9488</v>
      </c>
    </row>
    <row r="8938" spans="1:15" hidden="1" x14ac:dyDescent="0.45">
      <c r="A8938" s="187">
        <v>2032</v>
      </c>
      <c r="B8938" t="s">
        <v>8570</v>
      </c>
      <c r="C8938" t="s">
        <v>322</v>
      </c>
      <c r="D8938" t="s">
        <v>35</v>
      </c>
      <c r="E8938" t="s">
        <v>38</v>
      </c>
      <c r="F8938" t="s">
        <v>38</v>
      </c>
      <c r="G8938" t="s">
        <v>36</v>
      </c>
      <c r="H8938" t="s">
        <v>43</v>
      </c>
      <c r="I8938" s="187">
        <v>475.60480000000001</v>
      </c>
      <c r="J8938" s="187">
        <v>55</v>
      </c>
      <c r="K8938" s="187">
        <v>2015.3380304194111</v>
      </c>
      <c r="L8938" s="187">
        <v>741</v>
      </c>
      <c r="M8938" s="187">
        <v>3286.94287109375</v>
      </c>
      <c r="N8938" s="187">
        <v>1216.604736328125</v>
      </c>
      <c r="O8938" t="s">
        <v>9489</v>
      </c>
    </row>
    <row r="8939" spans="1:15" hidden="1" x14ac:dyDescent="0.45">
      <c r="A8939" s="187">
        <v>2032</v>
      </c>
      <c r="B8939" t="s">
        <v>8570</v>
      </c>
      <c r="C8939" t="s">
        <v>322</v>
      </c>
      <c r="D8939" t="s">
        <v>35</v>
      </c>
      <c r="E8939" t="s">
        <v>38</v>
      </c>
      <c r="F8939" t="s">
        <v>38</v>
      </c>
      <c r="G8939" t="s">
        <v>37</v>
      </c>
      <c r="H8939" t="s">
        <v>43</v>
      </c>
      <c r="I8939" s="187">
        <v>579.75959732272258</v>
      </c>
      <c r="J8939" s="187">
        <v>55</v>
      </c>
      <c r="K8939" s="187">
        <v>2467.5151809320691</v>
      </c>
      <c r="L8939" s="187">
        <v>982</v>
      </c>
      <c r="M8939" s="187">
        <v>4084.274658203125</v>
      </c>
      <c r="N8939" s="187">
        <v>1561.759521484375</v>
      </c>
      <c r="O8939" t="s">
        <v>9490</v>
      </c>
    </row>
    <row r="8940" spans="1:15" hidden="1" x14ac:dyDescent="0.45">
      <c r="A8940" s="187">
        <v>2032</v>
      </c>
      <c r="B8940" t="s">
        <v>8570</v>
      </c>
      <c r="C8940" t="s">
        <v>322</v>
      </c>
      <c r="D8940" t="s">
        <v>35</v>
      </c>
      <c r="E8940" t="s">
        <v>354</v>
      </c>
      <c r="F8940" t="s">
        <v>384</v>
      </c>
      <c r="G8940" t="s">
        <v>36</v>
      </c>
      <c r="H8940" t="s">
        <v>43</v>
      </c>
      <c r="I8940" s="187">
        <v>0</v>
      </c>
      <c r="J8940" s="187">
        <v>40</v>
      </c>
      <c r="K8940" s="187">
        <v>0</v>
      </c>
      <c r="L8940" s="187">
        <v>0</v>
      </c>
      <c r="M8940" s="187">
        <v>40</v>
      </c>
      <c r="N8940" s="187">
        <v>0</v>
      </c>
      <c r="O8940" t="s">
        <v>9491</v>
      </c>
    </row>
    <row r="8941" spans="1:15" hidden="1" x14ac:dyDescent="0.45">
      <c r="A8941" s="187">
        <v>2032</v>
      </c>
      <c r="B8941" t="s">
        <v>8570</v>
      </c>
      <c r="C8941" t="s">
        <v>322</v>
      </c>
      <c r="D8941" t="s">
        <v>35</v>
      </c>
      <c r="E8941" t="s">
        <v>354</v>
      </c>
      <c r="F8941" t="s">
        <v>384</v>
      </c>
      <c r="G8941" t="s">
        <v>37</v>
      </c>
      <c r="H8941" t="s">
        <v>43</v>
      </c>
      <c r="I8941" s="187">
        <v>0</v>
      </c>
      <c r="J8941" s="187">
        <v>40</v>
      </c>
      <c r="K8941" s="187">
        <v>0</v>
      </c>
      <c r="L8941" s="187">
        <v>0</v>
      </c>
      <c r="M8941" s="187">
        <v>40</v>
      </c>
      <c r="N8941" s="187">
        <v>0</v>
      </c>
      <c r="O8941" t="s">
        <v>9492</v>
      </c>
    </row>
    <row r="8942" spans="1:15" hidden="1" x14ac:dyDescent="0.45">
      <c r="A8942" s="187">
        <v>2032</v>
      </c>
      <c r="B8942" t="s">
        <v>8570</v>
      </c>
      <c r="C8942" t="s">
        <v>322</v>
      </c>
      <c r="D8942" t="s">
        <v>35</v>
      </c>
      <c r="E8942" t="s">
        <v>354</v>
      </c>
      <c r="F8942" t="s">
        <v>385</v>
      </c>
      <c r="G8942" t="s">
        <v>36</v>
      </c>
      <c r="H8942" t="s">
        <v>43</v>
      </c>
      <c r="I8942" s="187">
        <v>61.179096000000008</v>
      </c>
      <c r="J8942" s="187">
        <v>20</v>
      </c>
      <c r="K8942" s="187">
        <v>587.44652534578324</v>
      </c>
      <c r="L8942" s="187">
        <v>297</v>
      </c>
      <c r="M8942" s="187">
        <v>965.6256103515625</v>
      </c>
      <c r="N8942" s="187">
        <v>358.17910766601563</v>
      </c>
      <c r="O8942" t="s">
        <v>9493</v>
      </c>
    </row>
    <row r="8943" spans="1:15" hidden="1" x14ac:dyDescent="0.45">
      <c r="A8943" s="187">
        <v>2032</v>
      </c>
      <c r="B8943" t="s">
        <v>8570</v>
      </c>
      <c r="C8943" t="s">
        <v>322</v>
      </c>
      <c r="D8943" t="s">
        <v>35</v>
      </c>
      <c r="E8943" t="s">
        <v>354</v>
      </c>
      <c r="F8943" t="s">
        <v>385</v>
      </c>
      <c r="G8943" t="s">
        <v>37</v>
      </c>
      <c r="H8943" t="s">
        <v>43</v>
      </c>
      <c r="I8943" s="187">
        <v>74.57697664432358</v>
      </c>
      <c r="J8943" s="187">
        <v>20</v>
      </c>
      <c r="K8943" s="187">
        <v>719.25066534612745</v>
      </c>
      <c r="L8943" s="187">
        <v>394</v>
      </c>
      <c r="M8943" s="187">
        <v>1207.82763671875</v>
      </c>
      <c r="N8943" s="187">
        <v>468.57696533203125</v>
      </c>
      <c r="O8943" t="s">
        <v>9494</v>
      </c>
    </row>
    <row r="8944" spans="1:15" hidden="1" x14ac:dyDescent="0.45">
      <c r="A8944" s="187">
        <v>2032</v>
      </c>
      <c r="B8944" t="s">
        <v>8570</v>
      </c>
      <c r="C8944" t="s">
        <v>322</v>
      </c>
      <c r="D8944" t="s">
        <v>35</v>
      </c>
      <c r="E8944" t="s">
        <v>354</v>
      </c>
      <c r="F8944" t="s">
        <v>386</v>
      </c>
      <c r="G8944" t="s">
        <v>36</v>
      </c>
      <c r="H8944" t="s">
        <v>43</v>
      </c>
      <c r="I8944" s="187">
        <v>61.179096000000008</v>
      </c>
      <c r="J8944" s="187">
        <v>20</v>
      </c>
      <c r="K8944" s="187">
        <v>122.38469278037149</v>
      </c>
      <c r="L8944" s="187">
        <v>0</v>
      </c>
      <c r="M8944" s="187">
        <v>203.56378173828125</v>
      </c>
      <c r="N8944" s="187">
        <v>61.179096221923828</v>
      </c>
      <c r="O8944" t="s">
        <v>9495</v>
      </c>
    </row>
    <row r="8945" spans="1:15" hidden="1" x14ac:dyDescent="0.45">
      <c r="A8945" s="187">
        <v>2032</v>
      </c>
      <c r="B8945" t="s">
        <v>8570</v>
      </c>
      <c r="C8945" t="s">
        <v>322</v>
      </c>
      <c r="D8945" t="s">
        <v>35</v>
      </c>
      <c r="E8945" t="s">
        <v>354</v>
      </c>
      <c r="F8945" t="s">
        <v>386</v>
      </c>
      <c r="G8945" t="s">
        <v>37</v>
      </c>
      <c r="H8945" t="s">
        <v>43</v>
      </c>
      <c r="I8945" s="187">
        <v>74.57697664432358</v>
      </c>
      <c r="J8945" s="187">
        <v>20</v>
      </c>
      <c r="K8945" s="187">
        <v>149.8438886137765</v>
      </c>
      <c r="L8945" s="187">
        <v>0</v>
      </c>
      <c r="M8945" s="187">
        <v>244.42086791992188</v>
      </c>
      <c r="N8945" s="187">
        <v>74.576972961425781</v>
      </c>
      <c r="O8945" t="s">
        <v>9496</v>
      </c>
    </row>
    <row r="8946" spans="1:15" hidden="1" x14ac:dyDescent="0.45">
      <c r="A8946" s="187">
        <v>2032</v>
      </c>
      <c r="B8946" t="s">
        <v>8570</v>
      </c>
      <c r="C8946" t="s">
        <v>322</v>
      </c>
      <c r="D8946" t="s">
        <v>35</v>
      </c>
      <c r="E8946" t="s">
        <v>354</v>
      </c>
      <c r="F8946" t="s">
        <v>387</v>
      </c>
      <c r="G8946" t="s">
        <v>36</v>
      </c>
      <c r="H8946" t="s">
        <v>43</v>
      </c>
      <c r="I8946" s="187">
        <v>122.358192</v>
      </c>
      <c r="J8946" s="187">
        <v>80</v>
      </c>
      <c r="K8946" s="187">
        <v>709.83121812615468</v>
      </c>
      <c r="L8946" s="187">
        <v>297</v>
      </c>
      <c r="M8946" s="187">
        <v>1209.189453125</v>
      </c>
      <c r="N8946" s="187">
        <v>419.35818481445313</v>
      </c>
      <c r="O8946" t="s">
        <v>9497</v>
      </c>
    </row>
    <row r="8947" spans="1:15" hidden="1" x14ac:dyDescent="0.45">
      <c r="A8947" s="187">
        <v>2032</v>
      </c>
      <c r="B8947" t="s">
        <v>8570</v>
      </c>
      <c r="C8947" t="s">
        <v>322</v>
      </c>
      <c r="D8947" t="s">
        <v>35</v>
      </c>
      <c r="E8947" t="s">
        <v>354</v>
      </c>
      <c r="F8947" t="s">
        <v>387</v>
      </c>
      <c r="G8947" t="s">
        <v>37</v>
      </c>
      <c r="H8947" t="s">
        <v>43</v>
      </c>
      <c r="I8947" s="187">
        <v>149.15395328864719</v>
      </c>
      <c r="J8947" s="187">
        <v>80</v>
      </c>
      <c r="K8947" s="187">
        <v>869.09455395990403</v>
      </c>
      <c r="L8947" s="187">
        <v>394</v>
      </c>
      <c r="M8947" s="187">
        <v>1492.24853515625</v>
      </c>
      <c r="N8947" s="187">
        <v>543.1539306640625</v>
      </c>
      <c r="O8947" t="s">
        <v>9498</v>
      </c>
    </row>
    <row r="8948" spans="1:15" hidden="1" x14ac:dyDescent="0.45">
      <c r="A8948" s="187">
        <v>2032</v>
      </c>
      <c r="B8948" t="s">
        <v>8570</v>
      </c>
      <c r="C8948" t="s">
        <v>322</v>
      </c>
      <c r="D8948" t="s">
        <v>35</v>
      </c>
      <c r="E8948" t="s">
        <v>17</v>
      </c>
      <c r="F8948" t="s">
        <v>17</v>
      </c>
      <c r="G8948" t="s">
        <v>36</v>
      </c>
      <c r="H8948" t="s">
        <v>43</v>
      </c>
      <c r="I8948" s="187">
        <v>3272.3329589885329</v>
      </c>
      <c r="J8948" s="187">
        <v>150</v>
      </c>
      <c r="K8948" s="187">
        <v>707.62421416634857</v>
      </c>
      <c r="L8948" s="187">
        <v>634</v>
      </c>
      <c r="M8948" s="187">
        <v>4763.95703125</v>
      </c>
      <c r="N8948" s="187">
        <v>3906.3330078125</v>
      </c>
      <c r="O8948" t="s">
        <v>9499</v>
      </c>
    </row>
    <row r="8949" spans="1:15" hidden="1" x14ac:dyDescent="0.45">
      <c r="A8949" s="187">
        <v>2032</v>
      </c>
      <c r="B8949" t="s">
        <v>8570</v>
      </c>
      <c r="C8949" t="s">
        <v>322</v>
      </c>
      <c r="D8949" t="s">
        <v>35</v>
      </c>
      <c r="E8949" t="s">
        <v>17</v>
      </c>
      <c r="F8949" t="s">
        <v>17</v>
      </c>
      <c r="G8949" t="s">
        <v>37</v>
      </c>
      <c r="H8949" t="s">
        <v>43</v>
      </c>
      <c r="I8949" s="187">
        <v>3988.9556173719552</v>
      </c>
      <c r="J8949" s="187">
        <v>150</v>
      </c>
      <c r="K8949" s="187">
        <v>866.39236916856885</v>
      </c>
      <c r="L8949" s="187">
        <v>840</v>
      </c>
      <c r="M8949" s="187">
        <v>5845.34814453125</v>
      </c>
      <c r="N8949" s="187">
        <v>4828.95556640625</v>
      </c>
      <c r="O8949" t="s">
        <v>9500</v>
      </c>
    </row>
    <row r="8950" spans="1:15" hidden="1" x14ac:dyDescent="0.45">
      <c r="A8950" s="187">
        <v>2032</v>
      </c>
      <c r="B8950" t="s">
        <v>8570</v>
      </c>
      <c r="C8950" t="s">
        <v>322</v>
      </c>
      <c r="D8950" t="s">
        <v>35</v>
      </c>
      <c r="E8950" t="s">
        <v>45</v>
      </c>
      <c r="F8950" t="s">
        <v>45</v>
      </c>
      <c r="G8950" t="s">
        <v>37</v>
      </c>
      <c r="H8950" t="s">
        <v>43</v>
      </c>
      <c r="I8950" s="187">
        <v>1851.052561715193</v>
      </c>
      <c r="J8950" s="187"/>
      <c r="K8950" s="187">
        <v>662.69943269497867</v>
      </c>
      <c r="L8950" s="187">
        <v>16026</v>
      </c>
      <c r="M8950" s="187">
        <v>18539.751953125</v>
      </c>
      <c r="N8950" s="187">
        <v>17877.052734375</v>
      </c>
      <c r="O8950" t="s">
        <v>9501</v>
      </c>
    </row>
    <row r="8951" spans="1:15" hidden="1" x14ac:dyDescent="0.45">
      <c r="A8951" s="187">
        <v>2032</v>
      </c>
      <c r="B8951" t="s">
        <v>8570</v>
      </c>
      <c r="C8951" t="s">
        <v>322</v>
      </c>
      <c r="D8951" t="s">
        <v>35</v>
      </c>
      <c r="E8951" t="s">
        <v>355</v>
      </c>
      <c r="F8951" t="s">
        <v>355</v>
      </c>
      <c r="G8951" t="s">
        <v>37</v>
      </c>
      <c r="H8951" t="s">
        <v>43</v>
      </c>
      <c r="I8951" s="187">
        <v>11375.42734863483</v>
      </c>
      <c r="J8951" s="187"/>
      <c r="K8951" s="187"/>
      <c r="L8951" s="187"/>
      <c r="M8951" s="187">
        <v>11375.427734375</v>
      </c>
      <c r="N8951" s="187">
        <v>11375.427734375</v>
      </c>
      <c r="O8951" t="s">
        <v>9502</v>
      </c>
    </row>
    <row r="8952" spans="1:15" hidden="1" x14ac:dyDescent="0.45">
      <c r="A8952" s="187">
        <v>2032</v>
      </c>
      <c r="B8952" t="s">
        <v>8570</v>
      </c>
      <c r="C8952" t="s">
        <v>322</v>
      </c>
      <c r="D8952" t="s">
        <v>35</v>
      </c>
      <c r="E8952" t="s">
        <v>356</v>
      </c>
      <c r="F8952" t="s">
        <v>356</v>
      </c>
      <c r="G8952" t="s">
        <v>37</v>
      </c>
      <c r="H8952" t="s">
        <v>43</v>
      </c>
      <c r="I8952" s="187">
        <v>0</v>
      </c>
      <c r="J8952" s="187"/>
      <c r="K8952" s="187">
        <v>0</v>
      </c>
      <c r="L8952" s="187">
        <v>0</v>
      </c>
      <c r="M8952" s="187">
        <v>0</v>
      </c>
      <c r="N8952" s="187">
        <v>0</v>
      </c>
      <c r="O8952" t="s">
        <v>9503</v>
      </c>
    </row>
    <row r="8953" spans="1:15" hidden="1" x14ac:dyDescent="0.45">
      <c r="A8953" s="187">
        <v>2032</v>
      </c>
      <c r="B8953" t="s">
        <v>8570</v>
      </c>
      <c r="C8953" t="s">
        <v>328</v>
      </c>
      <c r="D8953" t="s">
        <v>39</v>
      </c>
      <c r="E8953" t="s">
        <v>349</v>
      </c>
      <c r="F8953" t="s">
        <v>349</v>
      </c>
      <c r="G8953" t="s">
        <v>36</v>
      </c>
      <c r="H8953" t="s">
        <v>43</v>
      </c>
      <c r="I8953" s="187">
        <v>0</v>
      </c>
      <c r="J8953" s="187"/>
      <c r="K8953" s="187">
        <v>2726.8763937028039</v>
      </c>
      <c r="L8953" s="187">
        <v>0</v>
      </c>
      <c r="M8953" s="187">
        <v>2726.87646484375</v>
      </c>
      <c r="N8953" s="187">
        <v>0</v>
      </c>
      <c r="O8953" t="s">
        <v>9504</v>
      </c>
    </row>
    <row r="8954" spans="1:15" hidden="1" x14ac:dyDescent="0.45">
      <c r="A8954" s="187">
        <v>2032</v>
      </c>
      <c r="B8954" t="s">
        <v>8570</v>
      </c>
      <c r="C8954" t="s">
        <v>328</v>
      </c>
      <c r="D8954" t="s">
        <v>39</v>
      </c>
      <c r="E8954" t="s">
        <v>349</v>
      </c>
      <c r="F8954" t="s">
        <v>349</v>
      </c>
      <c r="G8954" t="s">
        <v>37</v>
      </c>
      <c r="H8954" t="s">
        <v>43</v>
      </c>
      <c r="I8954" s="187">
        <v>0</v>
      </c>
      <c r="J8954" s="187">
        <v>5</v>
      </c>
      <c r="K8954" s="187">
        <v>3338.6999086136798</v>
      </c>
      <c r="L8954" s="187">
        <v>0</v>
      </c>
      <c r="M8954" s="187">
        <v>3343.699951171875</v>
      </c>
      <c r="N8954" s="187">
        <v>0</v>
      </c>
      <c r="O8954" t="s">
        <v>9505</v>
      </c>
    </row>
    <row r="8955" spans="1:15" hidden="1" x14ac:dyDescent="0.45">
      <c r="A8955" s="187">
        <v>2032</v>
      </c>
      <c r="B8955" t="s">
        <v>8570</v>
      </c>
      <c r="C8955" t="s">
        <v>328</v>
      </c>
      <c r="D8955" t="s">
        <v>39</v>
      </c>
      <c r="E8955" t="s">
        <v>21</v>
      </c>
      <c r="F8955" t="s">
        <v>21</v>
      </c>
      <c r="G8955" t="s">
        <v>36</v>
      </c>
      <c r="H8955" t="s">
        <v>43</v>
      </c>
      <c r="I8955" s="187">
        <v>3354.8113170000001</v>
      </c>
      <c r="J8955" s="187">
        <v>1531</v>
      </c>
      <c r="K8955" s="187">
        <v>6809.6383035328035</v>
      </c>
      <c r="L8955" s="187">
        <v>5400</v>
      </c>
      <c r="M8955" s="187">
        <v>17095.44921875</v>
      </c>
      <c r="N8955" s="187">
        <v>8754.8115234375</v>
      </c>
      <c r="O8955" t="s">
        <v>9506</v>
      </c>
    </row>
    <row r="8956" spans="1:15" hidden="1" x14ac:dyDescent="0.45">
      <c r="A8956" s="187">
        <v>2032</v>
      </c>
      <c r="B8956" t="s">
        <v>8570</v>
      </c>
      <c r="C8956" t="s">
        <v>328</v>
      </c>
      <c r="D8956" t="s">
        <v>39</v>
      </c>
      <c r="E8956" t="s">
        <v>21</v>
      </c>
      <c r="F8956" t="s">
        <v>21</v>
      </c>
      <c r="G8956" t="s">
        <v>37</v>
      </c>
      <c r="H8956" t="s">
        <v>43</v>
      </c>
      <c r="I8956" s="187">
        <v>4089.4962755582628</v>
      </c>
      <c r="J8956" s="187">
        <v>1831</v>
      </c>
      <c r="K8956" s="187">
        <v>8337.5025117383684</v>
      </c>
      <c r="L8956" s="187">
        <v>6841</v>
      </c>
      <c r="M8956" s="187">
        <v>21099</v>
      </c>
      <c r="N8956" s="187">
        <v>10930.49609375</v>
      </c>
      <c r="O8956" t="s">
        <v>9507</v>
      </c>
    </row>
    <row r="8957" spans="1:15" hidden="1" x14ac:dyDescent="0.45">
      <c r="A8957" s="187">
        <v>2032</v>
      </c>
      <c r="B8957" t="s">
        <v>8570</v>
      </c>
      <c r="C8957" t="s">
        <v>328</v>
      </c>
      <c r="D8957" t="s">
        <v>39</v>
      </c>
      <c r="E8957" t="s">
        <v>352</v>
      </c>
      <c r="F8957" t="s">
        <v>433</v>
      </c>
      <c r="G8957" t="s">
        <v>36</v>
      </c>
      <c r="H8957" t="s">
        <v>43</v>
      </c>
      <c r="I8957" s="187">
        <v>0</v>
      </c>
      <c r="J8957" s="187">
        <v>397</v>
      </c>
      <c r="K8957" s="187">
        <v>95.870279345263526</v>
      </c>
      <c r="L8957" s="187">
        <v>432</v>
      </c>
      <c r="M8957" s="187">
        <v>924.8702392578125</v>
      </c>
      <c r="N8957" s="187">
        <v>432</v>
      </c>
      <c r="O8957" t="s">
        <v>9508</v>
      </c>
    </row>
    <row r="8958" spans="1:15" hidden="1" x14ac:dyDescent="0.45">
      <c r="A8958" s="187">
        <v>2032</v>
      </c>
      <c r="B8958" t="s">
        <v>8570</v>
      </c>
      <c r="C8958" t="s">
        <v>328</v>
      </c>
      <c r="D8958" t="s">
        <v>39</v>
      </c>
      <c r="E8958" t="s">
        <v>352</v>
      </c>
      <c r="F8958" t="s">
        <v>361</v>
      </c>
      <c r="G8958" t="s">
        <v>36</v>
      </c>
      <c r="H8958" t="s">
        <v>43</v>
      </c>
      <c r="I8958" s="187">
        <v>0</v>
      </c>
      <c r="J8958" s="187"/>
      <c r="K8958" s="187">
        <v>0</v>
      </c>
      <c r="L8958" s="187"/>
      <c r="M8958" s="187">
        <v>0</v>
      </c>
      <c r="N8958" s="187">
        <v>0</v>
      </c>
      <c r="O8958" t="s">
        <v>9509</v>
      </c>
    </row>
    <row r="8959" spans="1:15" hidden="1" x14ac:dyDescent="0.45">
      <c r="A8959" s="187">
        <v>2032</v>
      </c>
      <c r="B8959" t="s">
        <v>8570</v>
      </c>
      <c r="C8959" t="s">
        <v>328</v>
      </c>
      <c r="D8959" t="s">
        <v>39</v>
      </c>
      <c r="E8959" t="s">
        <v>40</v>
      </c>
      <c r="F8959" t="s">
        <v>40</v>
      </c>
      <c r="G8959" t="s">
        <v>36</v>
      </c>
      <c r="H8959" t="s">
        <v>43</v>
      </c>
      <c r="I8959" s="187">
        <v>4610.2254659999999</v>
      </c>
      <c r="J8959" s="187">
        <v>280</v>
      </c>
      <c r="K8959" s="187">
        <v>7344.5026383795657</v>
      </c>
      <c r="L8959" s="187">
        <v>5556</v>
      </c>
      <c r="M8959" s="187">
        <v>17790.728515625</v>
      </c>
      <c r="N8959" s="187">
        <v>10166.2255859375</v>
      </c>
      <c r="O8959" t="s">
        <v>9510</v>
      </c>
    </row>
    <row r="8960" spans="1:15" hidden="1" x14ac:dyDescent="0.45">
      <c r="A8960" s="187">
        <v>2032</v>
      </c>
      <c r="B8960" t="s">
        <v>8570</v>
      </c>
      <c r="C8960" t="s">
        <v>328</v>
      </c>
      <c r="D8960" t="s">
        <v>39</v>
      </c>
      <c r="E8960" t="s">
        <v>40</v>
      </c>
      <c r="F8960" t="s">
        <v>40</v>
      </c>
      <c r="G8960" t="s">
        <v>37</v>
      </c>
      <c r="H8960" t="s">
        <v>43</v>
      </c>
      <c r="I8960" s="187">
        <v>5619.8391179717291</v>
      </c>
      <c r="J8960" s="187">
        <v>299</v>
      </c>
      <c r="K8960" s="187">
        <v>8992.3732312170541</v>
      </c>
      <c r="L8960" s="187">
        <v>7039</v>
      </c>
      <c r="M8960" s="187">
        <v>21950.212890625</v>
      </c>
      <c r="N8960" s="187">
        <v>12658.83984375</v>
      </c>
      <c r="O8960" t="s">
        <v>9511</v>
      </c>
    </row>
    <row r="8961" spans="1:15" hidden="1" x14ac:dyDescent="0.45">
      <c r="A8961" s="187">
        <v>2032</v>
      </c>
      <c r="B8961" t="s">
        <v>8570</v>
      </c>
      <c r="C8961" t="s">
        <v>328</v>
      </c>
      <c r="D8961" t="s">
        <v>39</v>
      </c>
      <c r="E8961" t="s">
        <v>41</v>
      </c>
      <c r="F8961" t="s">
        <v>41</v>
      </c>
      <c r="G8961" t="s">
        <v>36</v>
      </c>
      <c r="H8961" t="s">
        <v>43</v>
      </c>
      <c r="I8961" s="187">
        <v>6538.062234</v>
      </c>
      <c r="J8961" s="187">
        <v>2554</v>
      </c>
      <c r="K8961" s="187">
        <v>11800.995301616171</v>
      </c>
      <c r="L8961" s="187">
        <v>9319</v>
      </c>
      <c r="M8961" s="187">
        <v>30212.05859375</v>
      </c>
      <c r="N8961" s="187">
        <v>15857.0625</v>
      </c>
      <c r="O8961" t="s">
        <v>9512</v>
      </c>
    </row>
    <row r="8962" spans="1:15" hidden="1" x14ac:dyDescent="0.45">
      <c r="A8962" s="187">
        <v>2032</v>
      </c>
      <c r="B8962" t="s">
        <v>8570</v>
      </c>
      <c r="C8962" t="s">
        <v>328</v>
      </c>
      <c r="D8962" t="s">
        <v>39</v>
      </c>
      <c r="E8962" t="s">
        <v>41</v>
      </c>
      <c r="F8962" t="s">
        <v>41</v>
      </c>
      <c r="G8962" t="s">
        <v>37</v>
      </c>
      <c r="H8962" t="s">
        <v>43</v>
      </c>
      <c r="I8962" s="187">
        <v>7969.8613808244572</v>
      </c>
      <c r="J8962" s="187">
        <v>3054</v>
      </c>
      <c r="K8962" s="187">
        <v>14448.759769985571</v>
      </c>
      <c r="L8962" s="187">
        <v>11806</v>
      </c>
      <c r="M8962" s="187">
        <v>37278.62109375</v>
      </c>
      <c r="N8962" s="187">
        <v>19775.861328125</v>
      </c>
      <c r="O8962" t="s">
        <v>9513</v>
      </c>
    </row>
    <row r="8963" spans="1:15" hidden="1" x14ac:dyDescent="0.45">
      <c r="A8963" s="187">
        <v>2032</v>
      </c>
      <c r="B8963" t="s">
        <v>8570</v>
      </c>
      <c r="C8963" t="s">
        <v>328</v>
      </c>
      <c r="D8963" t="s">
        <v>39</v>
      </c>
      <c r="E8963" t="s">
        <v>361</v>
      </c>
      <c r="F8963" t="s">
        <v>361</v>
      </c>
      <c r="G8963" t="s">
        <v>36</v>
      </c>
      <c r="H8963" t="s">
        <v>43</v>
      </c>
      <c r="I8963" s="187"/>
      <c r="J8963" s="187"/>
      <c r="K8963" s="187"/>
      <c r="L8963" s="187">
        <v>0</v>
      </c>
      <c r="M8963" s="187">
        <v>0</v>
      </c>
      <c r="N8963" s="187">
        <v>0</v>
      </c>
      <c r="O8963" t="s">
        <v>9514</v>
      </c>
    </row>
    <row r="8964" spans="1:15" hidden="1" x14ac:dyDescent="0.45">
      <c r="A8964" s="187">
        <v>2032</v>
      </c>
      <c r="B8964" t="s">
        <v>8570</v>
      </c>
      <c r="C8964" t="s">
        <v>328</v>
      </c>
      <c r="D8964" t="s">
        <v>39</v>
      </c>
      <c r="E8964" t="s">
        <v>362</v>
      </c>
      <c r="F8964" t="s">
        <v>362</v>
      </c>
      <c r="G8964" t="s">
        <v>36</v>
      </c>
      <c r="H8964" t="s">
        <v>43</v>
      </c>
      <c r="I8964" s="187">
        <v>2305.1127329999999</v>
      </c>
      <c r="J8964" s="187">
        <v>235</v>
      </c>
      <c r="K8964" s="187">
        <v>3934.350769319653</v>
      </c>
      <c r="L8964" s="187">
        <v>3270</v>
      </c>
      <c r="M8964" s="187">
        <v>9744.462890625</v>
      </c>
      <c r="N8964" s="187">
        <v>5575.11279296875</v>
      </c>
      <c r="O8964" t="s">
        <v>9515</v>
      </c>
    </row>
    <row r="8965" spans="1:15" hidden="1" x14ac:dyDescent="0.45">
      <c r="A8965" s="187">
        <v>2032</v>
      </c>
      <c r="B8965" t="s">
        <v>8570</v>
      </c>
      <c r="C8965" t="s">
        <v>328</v>
      </c>
      <c r="D8965" t="s">
        <v>39</v>
      </c>
      <c r="E8965" t="s">
        <v>362</v>
      </c>
      <c r="F8965" t="s">
        <v>362</v>
      </c>
      <c r="G8965" t="s">
        <v>37</v>
      </c>
      <c r="H8965" t="s">
        <v>43</v>
      </c>
      <c r="I8965" s="187">
        <v>2809.919558985865</v>
      </c>
      <c r="J8965" s="187">
        <v>240</v>
      </c>
      <c r="K8965" s="187">
        <v>4817.0927675034573</v>
      </c>
      <c r="L8965" s="187">
        <v>4143</v>
      </c>
      <c r="M8965" s="187">
        <v>12010.01171875</v>
      </c>
      <c r="N8965" s="187">
        <v>6952.919921875</v>
      </c>
      <c r="O8965" t="s">
        <v>9516</v>
      </c>
    </row>
    <row r="8966" spans="1:15" hidden="1" x14ac:dyDescent="0.45">
      <c r="A8966" s="187">
        <v>2032</v>
      </c>
      <c r="B8966" t="s">
        <v>8570</v>
      </c>
      <c r="C8966" t="s">
        <v>328</v>
      </c>
      <c r="D8966" t="s">
        <v>39</v>
      </c>
      <c r="E8966" t="s">
        <v>363</v>
      </c>
      <c r="F8966" t="s">
        <v>363</v>
      </c>
      <c r="G8966" t="s">
        <v>36</v>
      </c>
      <c r="H8966" t="s">
        <v>43</v>
      </c>
      <c r="I8966" s="187">
        <v>2305.1127329999999</v>
      </c>
      <c r="J8966" s="187">
        <v>45</v>
      </c>
      <c r="K8966" s="187">
        <v>683.27547535710937</v>
      </c>
      <c r="L8966" s="187">
        <v>2286</v>
      </c>
      <c r="M8966" s="187">
        <v>5319.38818359375</v>
      </c>
      <c r="N8966" s="187">
        <v>4591.11279296875</v>
      </c>
      <c r="O8966" t="s">
        <v>9517</v>
      </c>
    </row>
    <row r="8967" spans="1:15" hidden="1" x14ac:dyDescent="0.45">
      <c r="A8967" s="187">
        <v>2032</v>
      </c>
      <c r="B8967" t="s">
        <v>8570</v>
      </c>
      <c r="C8967" t="s">
        <v>328</v>
      </c>
      <c r="D8967" t="s">
        <v>39</v>
      </c>
      <c r="E8967" t="s">
        <v>363</v>
      </c>
      <c r="F8967" t="s">
        <v>363</v>
      </c>
      <c r="G8967" t="s">
        <v>37</v>
      </c>
      <c r="H8967" t="s">
        <v>43</v>
      </c>
      <c r="I8967" s="187">
        <v>2809.919558985865</v>
      </c>
      <c r="J8967" s="187">
        <v>54</v>
      </c>
      <c r="K8967" s="187">
        <v>836.58055509991641</v>
      </c>
      <c r="L8967" s="187">
        <v>2896</v>
      </c>
      <c r="M8967" s="187">
        <v>6596.5</v>
      </c>
      <c r="N8967" s="187">
        <v>5705.919921875</v>
      </c>
      <c r="O8967" t="s">
        <v>9518</v>
      </c>
    </row>
    <row r="8968" spans="1:15" hidden="1" x14ac:dyDescent="0.45">
      <c r="A8968" s="187">
        <v>2032</v>
      </c>
      <c r="B8968" t="s">
        <v>8570</v>
      </c>
      <c r="C8968" t="s">
        <v>328</v>
      </c>
      <c r="D8968" t="s">
        <v>39</v>
      </c>
      <c r="E8968" t="s">
        <v>364</v>
      </c>
      <c r="F8968" t="s">
        <v>364</v>
      </c>
      <c r="G8968" t="s">
        <v>36</v>
      </c>
      <c r="H8968" t="s">
        <v>43</v>
      </c>
      <c r="I8968" s="187">
        <v>3183.2509169999998</v>
      </c>
      <c r="J8968" s="187">
        <v>1023</v>
      </c>
      <c r="K8968" s="187">
        <v>4991.3569980833699</v>
      </c>
      <c r="L8968" s="187">
        <v>3919</v>
      </c>
      <c r="M8968" s="187">
        <v>13116.6083984375</v>
      </c>
      <c r="N8968" s="187">
        <v>7102.2509765625</v>
      </c>
      <c r="O8968" t="s">
        <v>9519</v>
      </c>
    </row>
    <row r="8969" spans="1:15" hidden="1" x14ac:dyDescent="0.45">
      <c r="A8969" s="187">
        <v>2032</v>
      </c>
      <c r="B8969" t="s">
        <v>8570</v>
      </c>
      <c r="C8969" t="s">
        <v>328</v>
      </c>
      <c r="D8969" t="s">
        <v>39</v>
      </c>
      <c r="E8969" t="s">
        <v>364</v>
      </c>
      <c r="F8969" t="s">
        <v>364</v>
      </c>
      <c r="G8969" t="s">
        <v>37</v>
      </c>
      <c r="H8969" t="s">
        <v>43</v>
      </c>
      <c r="I8969" s="187">
        <v>3880.365105266194</v>
      </c>
      <c r="J8969" s="187">
        <v>1223</v>
      </c>
      <c r="K8969" s="187">
        <v>6111.2572582471967</v>
      </c>
      <c r="L8969" s="187">
        <v>4965</v>
      </c>
      <c r="M8969" s="187">
        <v>16179.6220703125</v>
      </c>
      <c r="N8969" s="187">
        <v>8845.365234375</v>
      </c>
      <c r="O8969" t="s">
        <v>9520</v>
      </c>
    </row>
    <row r="8970" spans="1:15" hidden="1" x14ac:dyDescent="0.45">
      <c r="A8970" s="187">
        <v>2032</v>
      </c>
      <c r="B8970" t="s">
        <v>8570</v>
      </c>
      <c r="C8970" t="s">
        <v>328</v>
      </c>
      <c r="D8970" t="s">
        <v>39</v>
      </c>
      <c r="E8970" t="s">
        <v>365</v>
      </c>
      <c r="F8970" t="s">
        <v>375</v>
      </c>
      <c r="G8970" t="s">
        <v>36</v>
      </c>
      <c r="H8970" t="s">
        <v>43</v>
      </c>
      <c r="I8970" s="187">
        <v>11148.287700000001</v>
      </c>
      <c r="J8970" s="187">
        <v>2834</v>
      </c>
      <c r="K8970" s="187">
        <v>19145.497939995741</v>
      </c>
      <c r="L8970" s="187">
        <v>14875</v>
      </c>
      <c r="M8970" s="187">
        <v>48002.78515625</v>
      </c>
      <c r="N8970" s="187">
        <v>26023.2890625</v>
      </c>
      <c r="O8970" t="s">
        <v>9521</v>
      </c>
    </row>
    <row r="8971" spans="1:15" hidden="1" x14ac:dyDescent="0.45">
      <c r="A8971" s="187">
        <v>2032</v>
      </c>
      <c r="B8971" t="s">
        <v>8570</v>
      </c>
      <c r="C8971" t="s">
        <v>328</v>
      </c>
      <c r="D8971" t="s">
        <v>39</v>
      </c>
      <c r="E8971" t="s">
        <v>365</v>
      </c>
      <c r="F8971" t="s">
        <v>375</v>
      </c>
      <c r="G8971" t="s">
        <v>37</v>
      </c>
      <c r="H8971" t="s">
        <v>43</v>
      </c>
      <c r="I8971" s="187">
        <v>13589.70049879619</v>
      </c>
      <c r="J8971" s="187">
        <v>3353</v>
      </c>
      <c r="K8971" s="187">
        <v>23441.133001202619</v>
      </c>
      <c r="L8971" s="187">
        <v>18845</v>
      </c>
      <c r="M8971" s="187">
        <v>59228.83203125</v>
      </c>
      <c r="N8971" s="187">
        <v>32434.69921875</v>
      </c>
      <c r="O8971" t="s">
        <v>9522</v>
      </c>
    </row>
  </sheetData>
  <autoFilter ref="A1:O8971" xr:uid="{00000000-0001-0000-0400-000000000000}">
    <filterColumn colId="0">
      <filters>
        <filter val="2022"/>
      </filters>
    </filterColumn>
    <filterColumn colId="1">
      <filters>
        <filter val="AMP2022"/>
        <filter val="ID"/>
      </filters>
    </filterColumn>
  </autoFilter>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tabColor theme="6"/>
  </sheetPr>
  <dimension ref="A1:N225"/>
  <sheetViews>
    <sheetView workbookViewId="0">
      <selection activeCell="F69" sqref="F69"/>
    </sheetView>
  </sheetViews>
  <sheetFormatPr defaultRowHeight="14.25" x14ac:dyDescent="0.45"/>
  <cols>
    <col min="3" max="3" width="28.46484375" customWidth="1"/>
    <col min="4" max="4" width="21.86328125" bestFit="1" customWidth="1"/>
    <col min="15" max="15" width="6.73046875" bestFit="1" customWidth="1"/>
    <col min="16" max="16" width="16.86328125" customWidth="1"/>
  </cols>
  <sheetData>
    <row r="1" spans="1:14" x14ac:dyDescent="0.45">
      <c r="A1" t="s">
        <v>169</v>
      </c>
      <c r="B1" t="s">
        <v>307</v>
      </c>
      <c r="C1" t="s">
        <v>8479</v>
      </c>
      <c r="D1" t="s">
        <v>8484</v>
      </c>
      <c r="E1" t="s">
        <v>8513</v>
      </c>
      <c r="F1" t="s">
        <v>144</v>
      </c>
      <c r="G1" t="s">
        <v>84</v>
      </c>
      <c r="H1" t="s">
        <v>90</v>
      </c>
      <c r="I1" t="s">
        <v>91</v>
      </c>
      <c r="J1" t="s">
        <v>8514</v>
      </c>
      <c r="K1" t="s">
        <v>8515</v>
      </c>
      <c r="L1" t="s">
        <v>8516</v>
      </c>
      <c r="M1" t="s">
        <v>87</v>
      </c>
      <c r="N1" t="s">
        <v>8517</v>
      </c>
    </row>
    <row r="2" spans="1:14" hidden="1" x14ac:dyDescent="0.45">
      <c r="A2" t="s">
        <v>266</v>
      </c>
      <c r="B2" s="187">
        <v>2022</v>
      </c>
      <c r="C2" t="s">
        <v>8480</v>
      </c>
      <c r="D2" t="s">
        <v>8485</v>
      </c>
      <c r="E2" s="187">
        <v>43</v>
      </c>
      <c r="F2" s="187">
        <v>25</v>
      </c>
      <c r="G2" s="187">
        <v>29.279069900512695</v>
      </c>
      <c r="H2" s="187">
        <v>0</v>
      </c>
      <c r="I2" s="187">
        <v>6.9000000000000006E-2</v>
      </c>
      <c r="J2" s="187">
        <v>6.9767441860465101E-2</v>
      </c>
      <c r="K2" s="187">
        <v>0</v>
      </c>
      <c r="L2" s="187"/>
      <c r="M2" s="187">
        <v>3.0209999084472656</v>
      </c>
      <c r="N2" s="187">
        <v>35</v>
      </c>
    </row>
    <row r="3" spans="1:14" hidden="1" x14ac:dyDescent="0.45">
      <c r="A3" t="s">
        <v>266</v>
      </c>
      <c r="B3" s="187">
        <v>2022</v>
      </c>
      <c r="C3" t="s">
        <v>8480</v>
      </c>
      <c r="D3" t="s">
        <v>8486</v>
      </c>
      <c r="E3" s="187">
        <v>0</v>
      </c>
      <c r="F3" s="187">
        <v>0</v>
      </c>
      <c r="G3" s="187"/>
      <c r="H3" s="187">
        <v>0</v>
      </c>
      <c r="I3" s="187">
        <v>0</v>
      </c>
      <c r="J3" s="187">
        <v>0</v>
      </c>
      <c r="K3" s="187">
        <v>0</v>
      </c>
      <c r="L3" s="187"/>
      <c r="M3" s="187"/>
      <c r="N3" s="187">
        <v>10</v>
      </c>
    </row>
    <row r="4" spans="1:14" hidden="1" x14ac:dyDescent="0.45">
      <c r="A4" t="s">
        <v>266</v>
      </c>
      <c r="B4" s="187">
        <v>2022</v>
      </c>
      <c r="C4" t="s">
        <v>8481</v>
      </c>
      <c r="D4" t="s">
        <v>8487</v>
      </c>
      <c r="E4" s="187">
        <v>0</v>
      </c>
      <c r="F4" s="187">
        <v>0</v>
      </c>
      <c r="G4" s="187"/>
      <c r="H4" s="187">
        <v>0</v>
      </c>
      <c r="I4" s="187">
        <v>0</v>
      </c>
      <c r="J4" s="187">
        <v>0</v>
      </c>
      <c r="K4" s="187">
        <v>0</v>
      </c>
      <c r="L4" s="187"/>
      <c r="M4" s="187"/>
      <c r="N4" s="187">
        <v>70</v>
      </c>
    </row>
    <row r="5" spans="1:14" hidden="1" x14ac:dyDescent="0.45">
      <c r="A5" t="s">
        <v>266</v>
      </c>
      <c r="B5" s="187">
        <v>2022</v>
      </c>
      <c r="C5" t="s">
        <v>8481</v>
      </c>
      <c r="D5" t="s">
        <v>8488</v>
      </c>
      <c r="E5" s="187">
        <v>0</v>
      </c>
      <c r="F5" s="187">
        <v>0</v>
      </c>
      <c r="G5" s="187"/>
      <c r="H5" s="187">
        <v>0</v>
      </c>
      <c r="I5" s="187">
        <v>0</v>
      </c>
      <c r="J5" s="187">
        <v>0</v>
      </c>
      <c r="K5" s="187">
        <v>0</v>
      </c>
      <c r="L5" s="187"/>
      <c r="M5" s="187"/>
      <c r="N5" s="187">
        <v>70</v>
      </c>
    </row>
    <row r="6" spans="1:14" hidden="1" x14ac:dyDescent="0.45">
      <c r="A6" t="s">
        <v>266</v>
      </c>
      <c r="B6" s="187">
        <v>2022</v>
      </c>
      <c r="C6" t="s">
        <v>8481</v>
      </c>
      <c r="D6" t="s">
        <v>8489</v>
      </c>
      <c r="E6" s="187">
        <v>17</v>
      </c>
      <c r="F6" s="187">
        <v>0</v>
      </c>
      <c r="G6" s="187">
        <v>37.941177368164063</v>
      </c>
      <c r="H6" s="187">
        <v>0</v>
      </c>
      <c r="I6" s="187">
        <v>0.01</v>
      </c>
      <c r="J6" s="187">
        <v>0</v>
      </c>
      <c r="K6" s="187">
        <v>0</v>
      </c>
      <c r="L6" s="187"/>
      <c r="M6" s="187">
        <v>3</v>
      </c>
      <c r="N6" s="187"/>
    </row>
    <row r="7" spans="1:14" hidden="1" x14ac:dyDescent="0.45">
      <c r="A7" t="s">
        <v>266</v>
      </c>
      <c r="B7" s="187">
        <v>2022</v>
      </c>
      <c r="C7" t="s">
        <v>8481</v>
      </c>
      <c r="D7" t="s">
        <v>8490</v>
      </c>
      <c r="E7" s="187">
        <v>223</v>
      </c>
      <c r="F7" s="187">
        <v>0</v>
      </c>
      <c r="G7" s="187">
        <v>23.113122940063477</v>
      </c>
      <c r="H7" s="187">
        <v>1.2E-2</v>
      </c>
      <c r="I7" s="187">
        <v>5.3999999999999999E-2</v>
      </c>
      <c r="J7" s="187">
        <v>6.2E-2</v>
      </c>
      <c r="K7" s="187">
        <v>0.19500000000000001</v>
      </c>
      <c r="L7" s="187"/>
      <c r="M7" s="187">
        <v>3.0260870456695557</v>
      </c>
      <c r="N7" s="187">
        <v>70</v>
      </c>
    </row>
    <row r="8" spans="1:14" hidden="1" x14ac:dyDescent="0.45">
      <c r="A8" t="s">
        <v>266</v>
      </c>
      <c r="B8" s="187">
        <v>2022</v>
      </c>
      <c r="C8" t="s">
        <v>8481</v>
      </c>
      <c r="D8" t="s">
        <v>8491</v>
      </c>
      <c r="E8" s="187">
        <v>0</v>
      </c>
      <c r="F8" s="187">
        <v>0</v>
      </c>
      <c r="G8" s="187"/>
      <c r="H8" s="187">
        <v>0</v>
      </c>
      <c r="I8" s="187">
        <v>0</v>
      </c>
      <c r="J8" s="187">
        <v>0</v>
      </c>
      <c r="K8" s="187">
        <v>0</v>
      </c>
      <c r="L8" s="187"/>
      <c r="M8" s="187"/>
      <c r="N8" s="187">
        <v>70</v>
      </c>
    </row>
    <row r="9" spans="1:14" hidden="1" x14ac:dyDescent="0.45">
      <c r="A9" t="s">
        <v>266</v>
      </c>
      <c r="B9" s="187">
        <v>2022</v>
      </c>
      <c r="C9" t="s">
        <v>8481</v>
      </c>
      <c r="D9" t="s">
        <v>8492</v>
      </c>
      <c r="E9" s="187">
        <v>0</v>
      </c>
      <c r="F9" s="187">
        <v>0</v>
      </c>
      <c r="G9" s="187"/>
      <c r="H9" s="187">
        <v>0</v>
      </c>
      <c r="I9" s="187">
        <v>0</v>
      </c>
      <c r="J9" s="187">
        <v>0</v>
      </c>
      <c r="K9" s="187">
        <v>0</v>
      </c>
      <c r="L9" s="187"/>
      <c r="M9" s="187"/>
      <c r="N9" s="187">
        <v>70</v>
      </c>
    </row>
    <row r="10" spans="1:14" hidden="1" x14ac:dyDescent="0.45">
      <c r="A10" t="s">
        <v>266</v>
      </c>
      <c r="B10" s="187">
        <v>2022</v>
      </c>
      <c r="C10" t="s">
        <v>8481</v>
      </c>
      <c r="D10" t="s">
        <v>8493</v>
      </c>
      <c r="E10" s="187">
        <v>195.41256713867188</v>
      </c>
      <c r="F10" s="187">
        <v>0</v>
      </c>
      <c r="G10" s="187">
        <v>37.854141235351563</v>
      </c>
      <c r="H10" s="187">
        <v>0</v>
      </c>
      <c r="I10" s="187">
        <v>0</v>
      </c>
      <c r="J10" s="187">
        <v>0</v>
      </c>
      <c r="K10" s="187">
        <v>0</v>
      </c>
      <c r="L10" s="187"/>
      <c r="M10" s="187">
        <v>3</v>
      </c>
      <c r="N10" s="187">
        <v>70</v>
      </c>
    </row>
    <row r="11" spans="1:14" hidden="1" x14ac:dyDescent="0.45">
      <c r="A11" t="s">
        <v>266</v>
      </c>
      <c r="B11" s="187">
        <v>2022</v>
      </c>
      <c r="C11" t="s">
        <v>8481</v>
      </c>
      <c r="D11" t="s">
        <v>8494</v>
      </c>
      <c r="E11" s="187">
        <v>1.3401846885681152</v>
      </c>
      <c r="F11" s="187">
        <v>0</v>
      </c>
      <c r="G11" s="187">
        <v>33.226547241210938</v>
      </c>
      <c r="H11" s="187">
        <v>0</v>
      </c>
      <c r="I11" s="187">
        <v>0</v>
      </c>
      <c r="J11" s="187">
        <v>0</v>
      </c>
      <c r="K11" s="187">
        <v>0</v>
      </c>
      <c r="L11" s="187"/>
      <c r="M11" s="187">
        <v>3</v>
      </c>
      <c r="N11" s="187">
        <v>70</v>
      </c>
    </row>
    <row r="12" spans="1:14" hidden="1" x14ac:dyDescent="0.45">
      <c r="A12" t="s">
        <v>266</v>
      </c>
      <c r="B12" s="187">
        <v>2022</v>
      </c>
      <c r="C12" t="s">
        <v>8481</v>
      </c>
      <c r="D12" t="s">
        <v>8495</v>
      </c>
      <c r="E12" s="187">
        <v>99</v>
      </c>
      <c r="F12" s="187">
        <v>53</v>
      </c>
      <c r="G12" s="187">
        <v>26.060606002807617</v>
      </c>
      <c r="H12" s="187">
        <v>0</v>
      </c>
      <c r="I12" s="187">
        <v>5.4300000000000001E-2</v>
      </c>
      <c r="J12" s="187">
        <v>4.95049504950495E-2</v>
      </c>
      <c r="K12" s="187">
        <v>0</v>
      </c>
      <c r="L12" s="187"/>
      <c r="M12" s="187">
        <v>3.5108532905578613</v>
      </c>
      <c r="N12" s="187">
        <v>35</v>
      </c>
    </row>
    <row r="13" spans="1:14" hidden="1" x14ac:dyDescent="0.45">
      <c r="A13" t="s">
        <v>266</v>
      </c>
      <c r="B13" s="187">
        <v>2022</v>
      </c>
      <c r="C13" t="s">
        <v>8482</v>
      </c>
      <c r="D13" t="s">
        <v>8496</v>
      </c>
      <c r="E13" s="187">
        <v>29.006690979003906</v>
      </c>
      <c r="F13" s="187">
        <v>0</v>
      </c>
      <c r="G13" s="187">
        <v>29.93107795715332</v>
      </c>
      <c r="H13" s="187">
        <v>0</v>
      </c>
      <c r="I13" s="187">
        <v>0</v>
      </c>
      <c r="J13" s="187">
        <v>0</v>
      </c>
      <c r="K13" s="187">
        <v>0</v>
      </c>
      <c r="L13" s="187"/>
      <c r="M13" s="187">
        <v>3</v>
      </c>
      <c r="N13" s="187">
        <v>60</v>
      </c>
    </row>
    <row r="14" spans="1:14" hidden="1" x14ac:dyDescent="0.45">
      <c r="A14" t="s">
        <v>266</v>
      </c>
      <c r="B14" s="187">
        <v>2022</v>
      </c>
      <c r="C14" t="s">
        <v>8482</v>
      </c>
      <c r="D14" t="s">
        <v>8497</v>
      </c>
      <c r="E14" s="187">
        <v>0</v>
      </c>
      <c r="F14" s="187">
        <v>0</v>
      </c>
      <c r="G14" s="187"/>
      <c r="H14" s="187">
        <v>0</v>
      </c>
      <c r="I14" s="187">
        <v>0</v>
      </c>
      <c r="J14" s="187">
        <v>0</v>
      </c>
      <c r="K14" s="187">
        <v>0</v>
      </c>
      <c r="L14" s="187"/>
      <c r="M14" s="187"/>
      <c r="N14" s="187">
        <v>60</v>
      </c>
    </row>
    <row r="15" spans="1:14" hidden="1" x14ac:dyDescent="0.45">
      <c r="A15" t="s">
        <v>266</v>
      </c>
      <c r="B15" s="187">
        <v>2022</v>
      </c>
      <c r="C15" t="s">
        <v>8482</v>
      </c>
      <c r="D15" t="s">
        <v>8498</v>
      </c>
      <c r="E15" s="187">
        <v>0</v>
      </c>
      <c r="F15" s="187">
        <v>0</v>
      </c>
      <c r="G15" s="187"/>
      <c r="H15" s="187">
        <v>0</v>
      </c>
      <c r="I15" s="187">
        <v>0</v>
      </c>
      <c r="J15" s="187">
        <v>0</v>
      </c>
      <c r="K15" s="187">
        <v>0</v>
      </c>
      <c r="L15" s="187"/>
      <c r="M15" s="187"/>
      <c r="N15" s="187">
        <v>60</v>
      </c>
    </row>
    <row r="16" spans="1:14" hidden="1" x14ac:dyDescent="0.45">
      <c r="A16" t="s">
        <v>266</v>
      </c>
      <c r="B16" s="187">
        <v>2022</v>
      </c>
      <c r="C16" t="s">
        <v>8482</v>
      </c>
      <c r="D16" t="s">
        <v>8499</v>
      </c>
      <c r="E16" s="187">
        <v>0</v>
      </c>
      <c r="F16" s="187">
        <v>0</v>
      </c>
      <c r="G16" s="187"/>
      <c r="H16" s="187">
        <v>0</v>
      </c>
      <c r="I16" s="187">
        <v>0</v>
      </c>
      <c r="J16" s="187">
        <v>0</v>
      </c>
      <c r="K16" s="187">
        <v>0</v>
      </c>
      <c r="L16" s="187"/>
      <c r="M16" s="187"/>
      <c r="N16" s="187">
        <v>60</v>
      </c>
    </row>
    <row r="17" spans="1:14" hidden="1" x14ac:dyDescent="0.45">
      <c r="A17" t="s">
        <v>266</v>
      </c>
      <c r="B17" s="187">
        <v>2022</v>
      </c>
      <c r="C17" t="s">
        <v>8482</v>
      </c>
      <c r="D17" t="s">
        <v>8500</v>
      </c>
      <c r="E17" s="187">
        <v>0.23900765180587769</v>
      </c>
      <c r="F17" s="187">
        <v>0</v>
      </c>
      <c r="G17" s="187">
        <v>48.795986175537109</v>
      </c>
      <c r="H17" s="187">
        <v>0</v>
      </c>
      <c r="I17" s="187">
        <v>0</v>
      </c>
      <c r="J17" s="187">
        <v>0</v>
      </c>
      <c r="K17" s="187">
        <v>0</v>
      </c>
      <c r="L17" s="187"/>
      <c r="M17" s="187">
        <v>3</v>
      </c>
      <c r="N17" s="187">
        <v>60</v>
      </c>
    </row>
    <row r="18" spans="1:14" hidden="1" x14ac:dyDescent="0.45">
      <c r="A18" t="s">
        <v>266</v>
      </c>
      <c r="B18" s="187">
        <v>2022</v>
      </c>
      <c r="C18" t="s">
        <v>8482</v>
      </c>
      <c r="D18" t="s">
        <v>8501</v>
      </c>
      <c r="E18" s="187">
        <v>40.252277374267578</v>
      </c>
      <c r="F18" s="187">
        <v>0</v>
      </c>
      <c r="G18" s="187">
        <v>34.27178955078125</v>
      </c>
      <c r="H18" s="187">
        <v>0</v>
      </c>
      <c r="I18" s="187">
        <v>0</v>
      </c>
      <c r="J18" s="187">
        <v>0</v>
      </c>
      <c r="K18" s="187">
        <v>0</v>
      </c>
      <c r="L18" s="187"/>
      <c r="M18" s="187">
        <v>3.4289999008178711</v>
      </c>
      <c r="N18" s="187">
        <v>60</v>
      </c>
    </row>
    <row r="19" spans="1:14" hidden="1" x14ac:dyDescent="0.45">
      <c r="A19" t="s">
        <v>266</v>
      </c>
      <c r="B19" s="187">
        <v>2022</v>
      </c>
      <c r="C19" t="s">
        <v>8482</v>
      </c>
      <c r="D19" t="s">
        <v>8502</v>
      </c>
      <c r="E19" s="187">
        <v>15</v>
      </c>
      <c r="F19" s="187">
        <v>0</v>
      </c>
      <c r="G19" s="187">
        <v>13.461538314819336</v>
      </c>
      <c r="H19" s="187">
        <v>0</v>
      </c>
      <c r="I19" s="187">
        <v>0</v>
      </c>
      <c r="J19" s="187">
        <v>0</v>
      </c>
      <c r="K19" s="187">
        <v>0</v>
      </c>
      <c r="L19" s="187"/>
      <c r="M19" s="187">
        <v>3</v>
      </c>
      <c r="N19" s="187">
        <v>60</v>
      </c>
    </row>
    <row r="20" spans="1:14" hidden="1" x14ac:dyDescent="0.45">
      <c r="A20" t="s">
        <v>266</v>
      </c>
      <c r="B20" s="187">
        <v>2022</v>
      </c>
      <c r="C20" t="s">
        <v>8482</v>
      </c>
      <c r="D20" t="s">
        <v>8503</v>
      </c>
      <c r="E20" s="187">
        <v>0</v>
      </c>
      <c r="F20" s="187">
        <v>0</v>
      </c>
      <c r="G20" s="187"/>
      <c r="H20" s="187">
        <v>0</v>
      </c>
      <c r="I20" s="187">
        <v>0</v>
      </c>
      <c r="J20" s="187">
        <v>0</v>
      </c>
      <c r="K20" s="187">
        <v>0</v>
      </c>
      <c r="L20" s="187"/>
      <c r="M20" s="187"/>
      <c r="N20" s="187"/>
    </row>
    <row r="21" spans="1:14" hidden="1" x14ac:dyDescent="0.45">
      <c r="A21" t="s">
        <v>266</v>
      </c>
      <c r="B21" s="187">
        <v>2022</v>
      </c>
      <c r="C21" t="s">
        <v>8483</v>
      </c>
      <c r="D21" t="s">
        <v>8504</v>
      </c>
      <c r="E21" s="187">
        <v>3191.778564453125</v>
      </c>
      <c r="F21" s="187">
        <v>0</v>
      </c>
      <c r="G21" s="187">
        <v>26.070053100585938</v>
      </c>
      <c r="H21" s="187">
        <v>0</v>
      </c>
      <c r="I21" s="187">
        <v>0.01</v>
      </c>
      <c r="J21" s="187">
        <v>5.3695514845230998E-3</v>
      </c>
      <c r="K21" s="187">
        <v>0</v>
      </c>
      <c r="L21" s="187"/>
      <c r="M21" s="187">
        <v>3.8680000305175781</v>
      </c>
      <c r="N21" s="187">
        <v>60</v>
      </c>
    </row>
    <row r="22" spans="1:14" hidden="1" x14ac:dyDescent="0.45">
      <c r="A22" t="s">
        <v>266</v>
      </c>
      <c r="B22" s="187">
        <v>2022</v>
      </c>
      <c r="C22" t="s">
        <v>8483</v>
      </c>
      <c r="D22" t="s">
        <v>8505</v>
      </c>
      <c r="E22" s="187">
        <v>1382.3309326171875</v>
      </c>
      <c r="F22" s="187">
        <v>0</v>
      </c>
      <c r="G22" s="187">
        <v>24.944658279418945</v>
      </c>
      <c r="H22" s="187">
        <v>0</v>
      </c>
      <c r="I22" s="187">
        <v>0</v>
      </c>
      <c r="J22" s="187">
        <v>5.1244509516836997E-3</v>
      </c>
      <c r="K22" s="187">
        <v>0</v>
      </c>
      <c r="L22" s="187"/>
      <c r="M22" s="187">
        <v>3.8499999046325684</v>
      </c>
      <c r="N22" s="187">
        <v>60</v>
      </c>
    </row>
    <row r="23" spans="1:14" hidden="1" x14ac:dyDescent="0.45">
      <c r="A23" t="s">
        <v>266</v>
      </c>
      <c r="B23" s="187">
        <v>2022</v>
      </c>
      <c r="C23" t="s">
        <v>8483</v>
      </c>
      <c r="D23" t="s">
        <v>8506</v>
      </c>
      <c r="E23" s="187">
        <v>1529</v>
      </c>
      <c r="F23" s="187">
        <v>0</v>
      </c>
      <c r="G23" s="187">
        <v>23.093667984008789</v>
      </c>
      <c r="H23" s="187">
        <v>0</v>
      </c>
      <c r="I23" s="187">
        <v>3.3000000000000002E-2</v>
      </c>
      <c r="J23" s="187">
        <v>3.3138401559454203E-2</v>
      </c>
      <c r="K23" s="187">
        <v>9.1476091476091495E-2</v>
      </c>
      <c r="L23" s="187"/>
      <c r="M23" s="187">
        <v>3.0506072044372559</v>
      </c>
      <c r="N23" s="187">
        <v>60</v>
      </c>
    </row>
    <row r="24" spans="1:14" hidden="1" x14ac:dyDescent="0.45">
      <c r="A24" t="s">
        <v>266</v>
      </c>
      <c r="B24" s="187">
        <v>2022</v>
      </c>
      <c r="C24" t="s">
        <v>8483</v>
      </c>
      <c r="D24" t="s">
        <v>8507</v>
      </c>
      <c r="E24" s="187">
        <v>0</v>
      </c>
      <c r="F24" s="187">
        <v>0</v>
      </c>
      <c r="G24" s="187"/>
      <c r="H24" s="187">
        <v>0</v>
      </c>
      <c r="I24" s="187">
        <v>0</v>
      </c>
      <c r="J24" s="187">
        <v>0</v>
      </c>
      <c r="K24" s="187">
        <v>0</v>
      </c>
      <c r="L24" s="187"/>
      <c r="M24" s="187"/>
      <c r="N24" s="187">
        <v>60</v>
      </c>
    </row>
    <row r="25" spans="1:14" hidden="1" x14ac:dyDescent="0.45">
      <c r="A25" t="s">
        <v>266</v>
      </c>
      <c r="B25" s="187">
        <v>2022</v>
      </c>
      <c r="C25" t="s">
        <v>8483</v>
      </c>
      <c r="D25" t="s">
        <v>8508</v>
      </c>
      <c r="E25" s="187">
        <v>0</v>
      </c>
      <c r="F25" s="187">
        <v>0</v>
      </c>
      <c r="G25" s="187"/>
      <c r="H25" s="187">
        <v>0</v>
      </c>
      <c r="I25" s="187">
        <v>0</v>
      </c>
      <c r="J25" s="187">
        <v>0</v>
      </c>
      <c r="K25" s="187">
        <v>0</v>
      </c>
      <c r="L25" s="187"/>
      <c r="M25" s="187"/>
      <c r="N25" s="187">
        <v>60</v>
      </c>
    </row>
    <row r="26" spans="1:14" hidden="1" x14ac:dyDescent="0.45">
      <c r="A26" t="s">
        <v>266</v>
      </c>
      <c r="B26" s="187">
        <v>2022</v>
      </c>
      <c r="C26" t="s">
        <v>8483</v>
      </c>
      <c r="D26" t="s">
        <v>8509</v>
      </c>
      <c r="E26" s="187">
        <v>75</v>
      </c>
      <c r="F26" s="187">
        <v>0</v>
      </c>
      <c r="G26" s="187">
        <v>27.825397491455078</v>
      </c>
      <c r="H26" s="187">
        <v>0</v>
      </c>
      <c r="I26" s="187">
        <v>0</v>
      </c>
      <c r="J26" s="187">
        <v>3.7593984962405999E-2</v>
      </c>
      <c r="K26" s="187">
        <v>1.6949152542372899E-2</v>
      </c>
      <c r="L26" s="187"/>
      <c r="M26" s="187">
        <v>3.0517241954803467</v>
      </c>
      <c r="N26" s="187"/>
    </row>
    <row r="27" spans="1:14" hidden="1" x14ac:dyDescent="0.45">
      <c r="A27" t="s">
        <v>266</v>
      </c>
      <c r="B27" s="187">
        <v>2022</v>
      </c>
      <c r="C27" t="s">
        <v>8483</v>
      </c>
      <c r="D27" t="s">
        <v>8510</v>
      </c>
      <c r="E27" s="187">
        <v>127.49424743652344</v>
      </c>
      <c r="F27" s="187">
        <v>0</v>
      </c>
      <c r="G27" s="187">
        <v>47.095115661621094</v>
      </c>
      <c r="H27" s="187">
        <v>0</v>
      </c>
      <c r="I27" s="187">
        <v>0</v>
      </c>
      <c r="J27" s="187">
        <v>1.953125E-2</v>
      </c>
      <c r="K27" s="187">
        <v>0</v>
      </c>
      <c r="L27" s="187"/>
      <c r="M27" s="187">
        <v>3</v>
      </c>
      <c r="N27" s="187">
        <v>60</v>
      </c>
    </row>
    <row r="28" spans="1:14" hidden="1" x14ac:dyDescent="0.45">
      <c r="A28" t="s">
        <v>266</v>
      </c>
      <c r="B28" s="187">
        <v>2022</v>
      </c>
      <c r="C28" t="s">
        <v>8483</v>
      </c>
      <c r="D28" t="s">
        <v>8511</v>
      </c>
      <c r="E28" s="187">
        <v>11.544806480407715</v>
      </c>
      <c r="F28" s="187">
        <v>0</v>
      </c>
      <c r="G28" s="187">
        <v>47.584983825683594</v>
      </c>
      <c r="H28" s="187">
        <v>0</v>
      </c>
      <c r="I28" s="187">
        <v>0</v>
      </c>
      <c r="J28" s="187">
        <v>0</v>
      </c>
      <c r="K28" s="187">
        <v>0</v>
      </c>
      <c r="L28" s="187"/>
      <c r="M28" s="187">
        <v>3</v>
      </c>
      <c r="N28" s="187">
        <v>60</v>
      </c>
    </row>
    <row r="29" spans="1:14" hidden="1" x14ac:dyDescent="0.45">
      <c r="A29" t="s">
        <v>266</v>
      </c>
      <c r="B29" s="187">
        <v>2022</v>
      </c>
      <c r="C29" t="s">
        <v>8483</v>
      </c>
      <c r="D29" t="s">
        <v>8512</v>
      </c>
      <c r="E29" s="187">
        <v>26</v>
      </c>
      <c r="F29" s="187">
        <v>7</v>
      </c>
      <c r="G29" s="187">
        <v>20.730770111083984</v>
      </c>
      <c r="H29" s="187">
        <v>0</v>
      </c>
      <c r="I29" s="187">
        <v>0</v>
      </c>
      <c r="J29" s="187">
        <v>0</v>
      </c>
      <c r="K29" s="187">
        <v>0</v>
      </c>
      <c r="L29" s="187"/>
      <c r="M29" s="187">
        <v>3.5710000991821289</v>
      </c>
      <c r="N29" s="187">
        <v>35</v>
      </c>
    </row>
    <row r="30" spans="1:14" hidden="1" x14ac:dyDescent="0.45">
      <c r="A30" t="s">
        <v>156</v>
      </c>
      <c r="B30" s="187">
        <v>2022</v>
      </c>
      <c r="C30" t="s">
        <v>8480</v>
      </c>
      <c r="D30" t="s">
        <v>8485</v>
      </c>
      <c r="E30" s="187">
        <v>0</v>
      </c>
      <c r="F30" s="187">
        <v>0</v>
      </c>
      <c r="G30" s="187"/>
      <c r="H30" s="187">
        <v>0</v>
      </c>
      <c r="I30" s="187">
        <v>0</v>
      </c>
      <c r="J30" s="187">
        <v>0</v>
      </c>
      <c r="K30" s="187">
        <v>0</v>
      </c>
      <c r="L30" s="187">
        <v>0</v>
      </c>
      <c r="M30" s="187">
        <v>3</v>
      </c>
      <c r="N30" s="187">
        <v>35</v>
      </c>
    </row>
    <row r="31" spans="1:14" hidden="1" x14ac:dyDescent="0.45">
      <c r="A31" t="s">
        <v>156</v>
      </c>
      <c r="B31" s="187">
        <v>2022</v>
      </c>
      <c r="C31" t="s">
        <v>8480</v>
      </c>
      <c r="D31" t="s">
        <v>8486</v>
      </c>
      <c r="E31" s="187">
        <v>0</v>
      </c>
      <c r="F31" s="187">
        <v>0</v>
      </c>
      <c r="G31" s="187"/>
      <c r="H31" s="187">
        <v>0</v>
      </c>
      <c r="I31" s="187">
        <v>0</v>
      </c>
      <c r="J31" s="187">
        <v>50</v>
      </c>
      <c r="K31" s="187">
        <v>0</v>
      </c>
      <c r="L31" s="187">
        <v>0</v>
      </c>
      <c r="M31" s="187">
        <v>3.5</v>
      </c>
      <c r="N31" s="187">
        <v>10</v>
      </c>
    </row>
    <row r="32" spans="1:14" hidden="1" x14ac:dyDescent="0.45">
      <c r="A32" t="s">
        <v>156</v>
      </c>
      <c r="B32" s="187">
        <v>2022</v>
      </c>
      <c r="C32" t="s">
        <v>8481</v>
      </c>
      <c r="D32" t="s">
        <v>8487</v>
      </c>
      <c r="E32" s="187">
        <v>0</v>
      </c>
      <c r="F32" s="187">
        <v>0</v>
      </c>
      <c r="G32" s="187"/>
      <c r="H32" s="187">
        <v>0</v>
      </c>
      <c r="I32" s="187">
        <v>0</v>
      </c>
      <c r="J32" s="187">
        <v>0</v>
      </c>
      <c r="K32" s="187">
        <v>0</v>
      </c>
      <c r="L32" s="187">
        <v>0</v>
      </c>
      <c r="M32" s="187"/>
      <c r="N32" s="187">
        <v>70</v>
      </c>
    </row>
    <row r="33" spans="1:14" hidden="1" x14ac:dyDescent="0.45">
      <c r="A33" t="s">
        <v>156</v>
      </c>
      <c r="B33" s="187">
        <v>2022</v>
      </c>
      <c r="C33" t="s">
        <v>8481</v>
      </c>
      <c r="D33" t="s">
        <v>8488</v>
      </c>
      <c r="E33" s="187">
        <v>0</v>
      </c>
      <c r="F33" s="187">
        <v>0</v>
      </c>
      <c r="G33" s="187"/>
      <c r="H33" s="187">
        <v>0</v>
      </c>
      <c r="I33" s="187">
        <v>0</v>
      </c>
      <c r="J33" s="187">
        <v>0</v>
      </c>
      <c r="K33" s="187">
        <v>0</v>
      </c>
      <c r="L33" s="187">
        <v>0</v>
      </c>
      <c r="M33" s="187"/>
      <c r="N33" s="187">
        <v>70</v>
      </c>
    </row>
    <row r="34" spans="1:14" hidden="1" x14ac:dyDescent="0.45">
      <c r="A34" t="s">
        <v>156</v>
      </c>
      <c r="B34" s="187">
        <v>2022</v>
      </c>
      <c r="C34" t="s">
        <v>8481</v>
      </c>
      <c r="D34" t="s">
        <v>8489</v>
      </c>
      <c r="E34" s="187">
        <v>18</v>
      </c>
      <c r="F34" s="187">
        <v>0</v>
      </c>
      <c r="G34" s="187">
        <v>34.666667938232422</v>
      </c>
      <c r="H34" s="187">
        <v>0</v>
      </c>
      <c r="I34" s="187">
        <v>0</v>
      </c>
      <c r="J34" s="187">
        <v>0</v>
      </c>
      <c r="K34" s="187">
        <v>0</v>
      </c>
      <c r="L34" s="187">
        <v>0</v>
      </c>
      <c r="M34" s="187">
        <v>4</v>
      </c>
      <c r="N34" s="187"/>
    </row>
    <row r="35" spans="1:14" hidden="1" x14ac:dyDescent="0.45">
      <c r="A35" t="s">
        <v>156</v>
      </c>
      <c r="B35" s="187">
        <v>2022</v>
      </c>
      <c r="C35" t="s">
        <v>8481</v>
      </c>
      <c r="D35" t="s">
        <v>8490</v>
      </c>
      <c r="E35" s="187">
        <v>35</v>
      </c>
      <c r="F35" s="187">
        <v>0</v>
      </c>
      <c r="G35" s="187">
        <v>38.400001525878906</v>
      </c>
      <c r="H35" s="187">
        <v>0</v>
      </c>
      <c r="I35" s="187">
        <v>0</v>
      </c>
      <c r="J35" s="187">
        <v>7</v>
      </c>
      <c r="K35" s="187">
        <v>0</v>
      </c>
      <c r="L35" s="187">
        <v>0</v>
      </c>
      <c r="M35" s="187">
        <v>3.9000000953674316</v>
      </c>
      <c r="N35" s="187">
        <v>70</v>
      </c>
    </row>
    <row r="36" spans="1:14" hidden="1" x14ac:dyDescent="0.45">
      <c r="A36" t="s">
        <v>156</v>
      </c>
      <c r="B36" s="187">
        <v>2022</v>
      </c>
      <c r="C36" t="s">
        <v>8481</v>
      </c>
      <c r="D36" t="s">
        <v>8491</v>
      </c>
      <c r="E36" s="187">
        <v>6.0000000521540642E-3</v>
      </c>
      <c r="F36" s="187">
        <v>0</v>
      </c>
      <c r="G36" s="187">
        <v>6.0000643730163574</v>
      </c>
      <c r="H36" s="187">
        <v>0</v>
      </c>
      <c r="I36" s="187">
        <v>0</v>
      </c>
      <c r="J36" s="187">
        <v>0</v>
      </c>
      <c r="K36" s="187">
        <v>0</v>
      </c>
      <c r="L36" s="187">
        <v>0</v>
      </c>
      <c r="M36" s="187"/>
      <c r="N36" s="187">
        <v>70</v>
      </c>
    </row>
    <row r="37" spans="1:14" hidden="1" x14ac:dyDescent="0.45">
      <c r="A37" t="s">
        <v>156</v>
      </c>
      <c r="B37" s="187">
        <v>2022</v>
      </c>
      <c r="C37" t="s">
        <v>8481</v>
      </c>
      <c r="D37" t="s">
        <v>8492</v>
      </c>
      <c r="E37" s="187">
        <v>0</v>
      </c>
      <c r="F37" s="187">
        <v>0</v>
      </c>
      <c r="G37" s="187"/>
      <c r="H37" s="187">
        <v>0</v>
      </c>
      <c r="I37" s="187">
        <v>0</v>
      </c>
      <c r="J37" s="187">
        <v>0</v>
      </c>
      <c r="K37" s="187">
        <v>0</v>
      </c>
      <c r="L37" s="187">
        <v>0</v>
      </c>
      <c r="M37" s="187"/>
      <c r="N37" s="187">
        <v>70</v>
      </c>
    </row>
    <row r="38" spans="1:14" hidden="1" x14ac:dyDescent="0.45">
      <c r="A38" t="s">
        <v>156</v>
      </c>
      <c r="B38" s="187">
        <v>2022</v>
      </c>
      <c r="C38" t="s">
        <v>8481</v>
      </c>
      <c r="D38" t="s">
        <v>8493</v>
      </c>
      <c r="E38" s="187">
        <v>23.408000946044922</v>
      </c>
      <c r="F38" s="187">
        <v>0</v>
      </c>
      <c r="G38" s="187">
        <v>42.503086090087891</v>
      </c>
      <c r="H38" s="187">
        <v>0</v>
      </c>
      <c r="I38" s="187">
        <v>0</v>
      </c>
      <c r="J38" s="187">
        <v>1</v>
      </c>
      <c r="K38" s="187">
        <v>0</v>
      </c>
      <c r="L38" s="187">
        <v>0</v>
      </c>
      <c r="M38" s="187">
        <v>4</v>
      </c>
      <c r="N38" s="187">
        <v>70</v>
      </c>
    </row>
    <row r="39" spans="1:14" hidden="1" x14ac:dyDescent="0.45">
      <c r="A39" t="s">
        <v>156</v>
      </c>
      <c r="B39" s="187">
        <v>2022</v>
      </c>
      <c r="C39" t="s">
        <v>8481</v>
      </c>
      <c r="D39" t="s">
        <v>8494</v>
      </c>
      <c r="E39" s="187">
        <v>1.1679999828338623</v>
      </c>
      <c r="F39" s="187">
        <v>0</v>
      </c>
      <c r="G39" s="187">
        <v>30.251289367675781</v>
      </c>
      <c r="H39" s="187">
        <v>0</v>
      </c>
      <c r="I39" s="187">
        <v>0</v>
      </c>
      <c r="J39" s="187">
        <v>0</v>
      </c>
      <c r="K39" s="187">
        <v>0</v>
      </c>
      <c r="L39" s="187">
        <v>0</v>
      </c>
      <c r="M39" s="187">
        <v>4</v>
      </c>
      <c r="N39" s="187">
        <v>70</v>
      </c>
    </row>
    <row r="40" spans="1:14" hidden="1" x14ac:dyDescent="0.45">
      <c r="A40" t="s">
        <v>156</v>
      </c>
      <c r="B40" s="187">
        <v>2022</v>
      </c>
      <c r="C40" t="s">
        <v>8481</v>
      </c>
      <c r="D40" t="s">
        <v>8495</v>
      </c>
      <c r="E40" s="187">
        <v>13</v>
      </c>
      <c r="F40" s="187">
        <v>10</v>
      </c>
      <c r="G40" s="187">
        <v>36.230770111083984</v>
      </c>
      <c r="H40" s="187">
        <v>0</v>
      </c>
      <c r="I40" s="187">
        <v>0.05</v>
      </c>
      <c r="J40" s="187">
        <v>5</v>
      </c>
      <c r="K40" s="187">
        <v>0</v>
      </c>
      <c r="L40" s="187">
        <v>0</v>
      </c>
      <c r="M40" s="187">
        <v>2.9500000476837158</v>
      </c>
      <c r="N40" s="187">
        <v>35</v>
      </c>
    </row>
    <row r="41" spans="1:14" hidden="1" x14ac:dyDescent="0.45">
      <c r="A41" t="s">
        <v>156</v>
      </c>
      <c r="B41" s="187">
        <v>2022</v>
      </c>
      <c r="C41" t="s">
        <v>8482</v>
      </c>
      <c r="D41" t="s">
        <v>8496</v>
      </c>
      <c r="E41" s="187">
        <v>188.67300415039063</v>
      </c>
      <c r="F41" s="187">
        <v>0</v>
      </c>
      <c r="G41" s="187">
        <v>28.850978851318359</v>
      </c>
      <c r="H41" s="187">
        <v>0</v>
      </c>
      <c r="I41" s="187">
        <v>0</v>
      </c>
      <c r="J41" s="187">
        <v>0</v>
      </c>
      <c r="K41" s="187">
        <v>0</v>
      </c>
      <c r="L41" s="187">
        <v>0</v>
      </c>
      <c r="M41" s="187">
        <v>4</v>
      </c>
      <c r="N41" s="187">
        <v>60</v>
      </c>
    </row>
    <row r="42" spans="1:14" hidden="1" x14ac:dyDescent="0.45">
      <c r="A42" t="s">
        <v>156</v>
      </c>
      <c r="B42" s="187">
        <v>2022</v>
      </c>
      <c r="C42" t="s">
        <v>8482</v>
      </c>
      <c r="D42" t="s">
        <v>8497</v>
      </c>
      <c r="E42" s="187">
        <v>40.902000427246094</v>
      </c>
      <c r="F42" s="187">
        <v>0</v>
      </c>
      <c r="G42" s="187">
        <v>36.240898132324219</v>
      </c>
      <c r="H42" s="187">
        <v>0</v>
      </c>
      <c r="I42" s="187">
        <v>0.04</v>
      </c>
      <c r="J42" s="187">
        <v>10</v>
      </c>
      <c r="K42" s="187">
        <v>0</v>
      </c>
      <c r="L42" s="187">
        <v>0</v>
      </c>
      <c r="M42" s="187">
        <v>2.9600000381469727</v>
      </c>
      <c r="N42" s="187">
        <v>60</v>
      </c>
    </row>
    <row r="43" spans="1:14" hidden="1" x14ac:dyDescent="0.45">
      <c r="A43" t="s">
        <v>156</v>
      </c>
      <c r="B43" s="187">
        <v>2022</v>
      </c>
      <c r="C43" t="s">
        <v>8482</v>
      </c>
      <c r="D43" t="s">
        <v>8498</v>
      </c>
      <c r="E43" s="187">
        <v>3.2909998893737793</v>
      </c>
      <c r="F43" s="187">
        <v>0</v>
      </c>
      <c r="G43" s="187">
        <v>27.586112976074219</v>
      </c>
      <c r="H43" s="187">
        <v>0</v>
      </c>
      <c r="I43" s="187">
        <v>0.3</v>
      </c>
      <c r="J43" s="187">
        <v>50</v>
      </c>
      <c r="K43" s="187">
        <v>0</v>
      </c>
      <c r="L43" s="187">
        <v>0</v>
      </c>
      <c r="M43" s="187">
        <v>2.7000000476837158</v>
      </c>
      <c r="N43" s="187">
        <v>60</v>
      </c>
    </row>
    <row r="44" spans="1:14" hidden="1" x14ac:dyDescent="0.45">
      <c r="A44" t="s">
        <v>156</v>
      </c>
      <c r="B44" s="187">
        <v>2022</v>
      </c>
      <c r="C44" t="s">
        <v>8482</v>
      </c>
      <c r="D44" t="s">
        <v>8499</v>
      </c>
      <c r="E44" s="187">
        <v>6.7350001335144043</v>
      </c>
      <c r="F44" s="187">
        <v>0</v>
      </c>
      <c r="G44" s="187">
        <v>37.170150756835938</v>
      </c>
      <c r="H44" s="187">
        <v>0</v>
      </c>
      <c r="I44" s="187">
        <v>0</v>
      </c>
      <c r="J44" s="187">
        <v>10</v>
      </c>
      <c r="K44" s="187">
        <v>0</v>
      </c>
      <c r="L44" s="187">
        <v>0</v>
      </c>
      <c r="M44" s="187">
        <v>3</v>
      </c>
      <c r="N44" s="187">
        <v>60</v>
      </c>
    </row>
    <row r="45" spans="1:14" hidden="1" x14ac:dyDescent="0.45">
      <c r="A45" t="s">
        <v>156</v>
      </c>
      <c r="B45" s="187">
        <v>2022</v>
      </c>
      <c r="C45" t="s">
        <v>8482</v>
      </c>
      <c r="D45" t="s">
        <v>8500</v>
      </c>
      <c r="E45" s="187">
        <v>2.5799999237060547</v>
      </c>
      <c r="F45" s="187">
        <v>0</v>
      </c>
      <c r="G45" s="187">
        <v>31.142547607421875</v>
      </c>
      <c r="H45" s="187">
        <v>0</v>
      </c>
      <c r="I45" s="187">
        <v>0.3</v>
      </c>
      <c r="J45" s="187">
        <v>50</v>
      </c>
      <c r="K45" s="187">
        <v>0</v>
      </c>
      <c r="L45" s="187">
        <v>0</v>
      </c>
      <c r="M45" s="187">
        <v>2.7000000476837158</v>
      </c>
      <c r="N45" s="187">
        <v>60</v>
      </c>
    </row>
    <row r="46" spans="1:14" hidden="1" x14ac:dyDescent="0.45">
      <c r="A46" t="s">
        <v>156</v>
      </c>
      <c r="B46" s="187">
        <v>2022</v>
      </c>
      <c r="C46" t="s">
        <v>8482</v>
      </c>
      <c r="D46" t="s">
        <v>8501</v>
      </c>
      <c r="E46" s="187">
        <v>176.42100524902344</v>
      </c>
      <c r="F46" s="187">
        <v>0</v>
      </c>
      <c r="G46" s="187">
        <v>33.473609924316406</v>
      </c>
      <c r="H46" s="187">
        <v>0</v>
      </c>
      <c r="I46" s="187">
        <v>0</v>
      </c>
      <c r="J46" s="187">
        <v>0</v>
      </c>
      <c r="K46" s="187">
        <v>0</v>
      </c>
      <c r="L46" s="187">
        <v>0</v>
      </c>
      <c r="M46" s="187">
        <v>4</v>
      </c>
      <c r="N46" s="187">
        <v>60</v>
      </c>
    </row>
    <row r="47" spans="1:14" hidden="1" x14ac:dyDescent="0.45">
      <c r="A47" t="s">
        <v>156</v>
      </c>
      <c r="B47" s="187">
        <v>2022</v>
      </c>
      <c r="C47" t="s">
        <v>8482</v>
      </c>
      <c r="D47" t="s">
        <v>8502</v>
      </c>
      <c r="E47" s="187">
        <v>17</v>
      </c>
      <c r="F47" s="187">
        <v>0</v>
      </c>
      <c r="G47" s="187">
        <v>9.7058820724487305</v>
      </c>
      <c r="H47" s="187">
        <v>0</v>
      </c>
      <c r="I47" s="187">
        <v>0</v>
      </c>
      <c r="J47" s="187">
        <v>0</v>
      </c>
      <c r="K47" s="187">
        <v>0</v>
      </c>
      <c r="L47" s="187">
        <v>0</v>
      </c>
      <c r="M47" s="187">
        <v>4</v>
      </c>
      <c r="N47" s="187">
        <v>60</v>
      </c>
    </row>
    <row r="48" spans="1:14" hidden="1" x14ac:dyDescent="0.45">
      <c r="A48" t="s">
        <v>156</v>
      </c>
      <c r="B48" s="187">
        <v>2022</v>
      </c>
      <c r="C48" t="s">
        <v>8482</v>
      </c>
      <c r="D48" t="s">
        <v>8503</v>
      </c>
      <c r="E48" s="187">
        <v>15</v>
      </c>
      <c r="F48" s="187">
        <v>0</v>
      </c>
      <c r="G48" s="187">
        <v>26.75</v>
      </c>
      <c r="H48" s="187">
        <v>0</v>
      </c>
      <c r="I48" s="187">
        <v>0</v>
      </c>
      <c r="J48" s="187">
        <v>27</v>
      </c>
      <c r="K48" s="187">
        <v>0</v>
      </c>
      <c r="L48" s="187">
        <v>0</v>
      </c>
      <c r="M48" s="187">
        <v>3.5999999046325684</v>
      </c>
      <c r="N48" s="187"/>
    </row>
    <row r="49" spans="1:14" hidden="1" x14ac:dyDescent="0.45">
      <c r="A49" t="s">
        <v>156</v>
      </c>
      <c r="B49" s="187">
        <v>2022</v>
      </c>
      <c r="C49" t="s">
        <v>8483</v>
      </c>
      <c r="D49" t="s">
        <v>8504</v>
      </c>
      <c r="E49" s="187">
        <v>155.07200622558594</v>
      </c>
      <c r="F49" s="187">
        <v>0</v>
      </c>
      <c r="G49" s="187">
        <v>27.728059768676758</v>
      </c>
      <c r="H49" s="187">
        <v>0</v>
      </c>
      <c r="I49" s="187">
        <v>0</v>
      </c>
      <c r="J49" s="187">
        <v>0</v>
      </c>
      <c r="K49" s="187">
        <v>0</v>
      </c>
      <c r="L49" s="187">
        <v>0</v>
      </c>
      <c r="M49" s="187">
        <v>4</v>
      </c>
      <c r="N49" s="187">
        <v>60</v>
      </c>
    </row>
    <row r="50" spans="1:14" hidden="1" x14ac:dyDescent="0.45">
      <c r="A50" t="s">
        <v>156</v>
      </c>
      <c r="B50" s="187">
        <v>2022</v>
      </c>
      <c r="C50" t="s">
        <v>8483</v>
      </c>
      <c r="D50" t="s">
        <v>8505</v>
      </c>
      <c r="E50" s="187">
        <v>82.714996337890625</v>
      </c>
      <c r="F50" s="187">
        <v>0</v>
      </c>
      <c r="G50" s="187">
        <v>25.230573654174805</v>
      </c>
      <c r="H50" s="187">
        <v>0</v>
      </c>
      <c r="I50" s="187">
        <v>0</v>
      </c>
      <c r="J50" s="187">
        <v>0</v>
      </c>
      <c r="K50" s="187">
        <v>0</v>
      </c>
      <c r="L50" s="187">
        <v>0</v>
      </c>
      <c r="M50" s="187">
        <v>4</v>
      </c>
      <c r="N50" s="187">
        <v>60</v>
      </c>
    </row>
    <row r="51" spans="1:14" hidden="1" x14ac:dyDescent="0.45">
      <c r="A51" t="s">
        <v>156</v>
      </c>
      <c r="B51" s="187">
        <v>2022</v>
      </c>
      <c r="C51" t="s">
        <v>8483</v>
      </c>
      <c r="D51" t="s">
        <v>8506</v>
      </c>
      <c r="E51" s="187">
        <v>120</v>
      </c>
      <c r="F51" s="187">
        <v>0</v>
      </c>
      <c r="G51" s="187">
        <v>28.075000762939453</v>
      </c>
      <c r="H51" s="187">
        <v>0</v>
      </c>
      <c r="I51" s="187">
        <v>0</v>
      </c>
      <c r="J51" s="187">
        <v>0</v>
      </c>
      <c r="K51" s="187">
        <v>0</v>
      </c>
      <c r="L51" s="187">
        <v>0</v>
      </c>
      <c r="M51" s="187">
        <v>4</v>
      </c>
      <c r="N51" s="187">
        <v>60</v>
      </c>
    </row>
    <row r="52" spans="1:14" hidden="1" x14ac:dyDescent="0.45">
      <c r="A52" t="s">
        <v>156</v>
      </c>
      <c r="B52" s="187">
        <v>2022</v>
      </c>
      <c r="C52" t="s">
        <v>8483</v>
      </c>
      <c r="D52" t="s">
        <v>8507</v>
      </c>
      <c r="E52" s="187">
        <v>2.8999999165534973E-2</v>
      </c>
      <c r="F52" s="187">
        <v>0</v>
      </c>
      <c r="G52" s="187">
        <v>29.047534942626953</v>
      </c>
      <c r="H52" s="187">
        <v>0</v>
      </c>
      <c r="I52" s="187">
        <v>0</v>
      </c>
      <c r="J52" s="187">
        <v>0</v>
      </c>
      <c r="K52" s="187">
        <v>0</v>
      </c>
      <c r="L52" s="187">
        <v>0</v>
      </c>
      <c r="M52" s="187"/>
      <c r="N52" s="187">
        <v>60</v>
      </c>
    </row>
    <row r="53" spans="1:14" hidden="1" x14ac:dyDescent="0.45">
      <c r="A53" t="s">
        <v>156</v>
      </c>
      <c r="B53" s="187">
        <v>2022</v>
      </c>
      <c r="C53" t="s">
        <v>8483</v>
      </c>
      <c r="D53" t="s">
        <v>8508</v>
      </c>
      <c r="E53" s="187">
        <v>0.12200000137090683</v>
      </c>
      <c r="F53" s="187">
        <v>0</v>
      </c>
      <c r="G53" s="187">
        <v>36.743114471435547</v>
      </c>
      <c r="H53" s="187">
        <v>0</v>
      </c>
      <c r="I53" s="187">
        <v>0</v>
      </c>
      <c r="J53" s="187">
        <v>0</v>
      </c>
      <c r="K53" s="187">
        <v>0</v>
      </c>
      <c r="L53" s="187">
        <v>0</v>
      </c>
      <c r="M53" s="187"/>
      <c r="N53" s="187">
        <v>60</v>
      </c>
    </row>
    <row r="54" spans="1:14" hidden="1" x14ac:dyDescent="0.45">
      <c r="A54" t="s">
        <v>156</v>
      </c>
      <c r="B54" s="187">
        <v>2022</v>
      </c>
      <c r="C54" t="s">
        <v>8483</v>
      </c>
      <c r="D54" t="s">
        <v>8509</v>
      </c>
      <c r="E54" s="187">
        <v>22</v>
      </c>
      <c r="F54" s="187">
        <v>0</v>
      </c>
      <c r="G54" s="187">
        <v>32.818180084228516</v>
      </c>
      <c r="H54" s="187">
        <v>0</v>
      </c>
      <c r="I54" s="187">
        <v>0.05</v>
      </c>
      <c r="J54" s="187">
        <v>5</v>
      </c>
      <c r="K54" s="187">
        <v>0</v>
      </c>
      <c r="L54" s="187">
        <v>0</v>
      </c>
      <c r="M54" s="187">
        <v>3.7999999523162842</v>
      </c>
      <c r="N54" s="187"/>
    </row>
    <row r="55" spans="1:14" hidden="1" x14ac:dyDescent="0.45">
      <c r="A55" t="s">
        <v>156</v>
      </c>
      <c r="B55" s="187">
        <v>2022</v>
      </c>
      <c r="C55" t="s">
        <v>8483</v>
      </c>
      <c r="D55" t="s">
        <v>8510</v>
      </c>
      <c r="E55" s="187">
        <v>6.5409998893737793</v>
      </c>
      <c r="F55" s="187">
        <v>0</v>
      </c>
      <c r="G55" s="187">
        <v>40.032108306884766</v>
      </c>
      <c r="H55" s="187">
        <v>0</v>
      </c>
      <c r="I55" s="187">
        <v>0.12</v>
      </c>
      <c r="J55" s="187">
        <v>0</v>
      </c>
      <c r="K55" s="187">
        <v>0</v>
      </c>
      <c r="L55" s="187">
        <v>0</v>
      </c>
      <c r="M55" s="187">
        <v>3.7599999904632568</v>
      </c>
      <c r="N55" s="187">
        <v>60</v>
      </c>
    </row>
    <row r="56" spans="1:14" hidden="1" x14ac:dyDescent="0.45">
      <c r="A56" t="s">
        <v>156</v>
      </c>
      <c r="B56" s="187">
        <v>2022</v>
      </c>
      <c r="C56" t="s">
        <v>8483</v>
      </c>
      <c r="D56" t="s">
        <v>8511</v>
      </c>
      <c r="E56" s="187">
        <v>0.22599999606609344</v>
      </c>
      <c r="F56" s="187">
        <v>0</v>
      </c>
      <c r="G56" s="187">
        <v>32.013240814208984</v>
      </c>
      <c r="H56" s="187">
        <v>0</v>
      </c>
      <c r="I56" s="187">
        <v>0</v>
      </c>
      <c r="J56" s="187">
        <v>0</v>
      </c>
      <c r="K56" s="187">
        <v>0</v>
      </c>
      <c r="L56" s="187">
        <v>0</v>
      </c>
      <c r="M56" s="187">
        <v>4</v>
      </c>
      <c r="N56" s="187">
        <v>60</v>
      </c>
    </row>
    <row r="57" spans="1:14" hidden="1" x14ac:dyDescent="0.45">
      <c r="A57" t="s">
        <v>156</v>
      </c>
      <c r="B57" s="187">
        <v>2022</v>
      </c>
      <c r="C57" t="s">
        <v>8483</v>
      </c>
      <c r="D57" t="s">
        <v>8512</v>
      </c>
      <c r="E57" s="187">
        <v>16</v>
      </c>
      <c r="F57" s="187">
        <v>12</v>
      </c>
      <c r="G57" s="187">
        <v>33.3125</v>
      </c>
      <c r="H57" s="187">
        <v>0</v>
      </c>
      <c r="I57" s="187">
        <v>0</v>
      </c>
      <c r="J57" s="187">
        <v>0</v>
      </c>
      <c r="K57" s="187">
        <v>0</v>
      </c>
      <c r="L57" s="187">
        <v>0</v>
      </c>
      <c r="M57" s="187">
        <v>3</v>
      </c>
      <c r="N57" s="187">
        <v>35</v>
      </c>
    </row>
    <row r="58" spans="1:14" x14ac:dyDescent="0.45">
      <c r="A58" t="s">
        <v>32</v>
      </c>
      <c r="B58" s="187">
        <v>2022</v>
      </c>
      <c r="C58" t="s">
        <v>8480</v>
      </c>
      <c r="D58" t="s">
        <v>8485</v>
      </c>
      <c r="E58" s="187">
        <v>58</v>
      </c>
      <c r="F58" s="187">
        <v>25</v>
      </c>
      <c r="G58" s="187">
        <v>27.25</v>
      </c>
      <c r="H58" s="187">
        <v>0</v>
      </c>
      <c r="I58" s="187">
        <v>0.3538</v>
      </c>
      <c r="J58" s="187">
        <v>8.8499999999999995E-2</v>
      </c>
      <c r="K58" s="187">
        <v>0.1077</v>
      </c>
      <c r="L58" s="187">
        <v>0</v>
      </c>
      <c r="M58" s="187">
        <v>2.8621540069580078</v>
      </c>
      <c r="N58" s="187">
        <v>35</v>
      </c>
    </row>
    <row r="59" spans="1:14" x14ac:dyDescent="0.45">
      <c r="A59" t="s">
        <v>32</v>
      </c>
      <c r="B59" s="187">
        <v>2022</v>
      </c>
      <c r="C59" t="s">
        <v>8480</v>
      </c>
      <c r="D59" t="s">
        <v>8486</v>
      </c>
      <c r="E59" s="187">
        <v>144</v>
      </c>
      <c r="F59" s="187">
        <v>52</v>
      </c>
      <c r="G59" s="187">
        <v>9.7569446563720703</v>
      </c>
      <c r="H59" s="187">
        <v>7.1999999999999998E-3</v>
      </c>
      <c r="I59" s="187">
        <v>0.3957</v>
      </c>
      <c r="J59" s="187">
        <v>2.7E-2</v>
      </c>
      <c r="K59" s="187">
        <v>0</v>
      </c>
      <c r="L59" s="187">
        <v>0</v>
      </c>
      <c r="M59" s="187">
        <v>2.7770223617553711</v>
      </c>
      <c r="N59" s="187">
        <v>10</v>
      </c>
    </row>
    <row r="60" spans="1:14" x14ac:dyDescent="0.45">
      <c r="A60" t="s">
        <v>32</v>
      </c>
      <c r="B60" s="187">
        <v>2022</v>
      </c>
      <c r="C60" t="s">
        <v>8481</v>
      </c>
      <c r="D60" t="s">
        <v>8487</v>
      </c>
      <c r="E60" s="187">
        <v>3.5568537712097168</v>
      </c>
      <c r="F60" s="187">
        <v>0</v>
      </c>
      <c r="G60" s="187">
        <v>5.600247859954834</v>
      </c>
      <c r="H60" s="187">
        <v>0</v>
      </c>
      <c r="I60" s="187">
        <v>0</v>
      </c>
      <c r="J60" s="187">
        <v>0</v>
      </c>
      <c r="K60" s="187">
        <v>7.0000000000000001E-3</v>
      </c>
      <c r="L60" s="187">
        <v>0</v>
      </c>
      <c r="M60" s="187">
        <v>4</v>
      </c>
      <c r="N60" s="187">
        <v>70</v>
      </c>
    </row>
    <row r="61" spans="1:14" x14ac:dyDescent="0.45">
      <c r="A61" t="s">
        <v>32</v>
      </c>
      <c r="B61" s="187">
        <v>2022</v>
      </c>
      <c r="C61" t="s">
        <v>8481</v>
      </c>
      <c r="D61" t="s">
        <v>8488</v>
      </c>
      <c r="E61" s="187">
        <v>0.53526592254638672</v>
      </c>
      <c r="F61" s="187">
        <v>0</v>
      </c>
      <c r="G61" s="187">
        <v>16.244882583618164</v>
      </c>
      <c r="H61" s="187">
        <v>0</v>
      </c>
      <c r="I61" s="187">
        <v>0</v>
      </c>
      <c r="J61" s="187">
        <v>0</v>
      </c>
      <c r="K61" s="187">
        <v>2.6599999999999999E-2</v>
      </c>
      <c r="L61" s="187">
        <v>0</v>
      </c>
      <c r="M61" s="187">
        <v>3.3178548812866211</v>
      </c>
      <c r="N61" s="187">
        <v>70</v>
      </c>
    </row>
    <row r="62" spans="1:14" x14ac:dyDescent="0.45">
      <c r="A62" t="s">
        <v>32</v>
      </c>
      <c r="B62" s="187">
        <v>2022</v>
      </c>
      <c r="C62" t="s">
        <v>8481</v>
      </c>
      <c r="D62" t="s">
        <v>8489</v>
      </c>
      <c r="E62" s="187">
        <v>98</v>
      </c>
      <c r="F62" s="187">
        <v>0</v>
      </c>
      <c r="G62" s="187">
        <v>37.752578735351563</v>
      </c>
      <c r="H62" s="187">
        <v>0</v>
      </c>
      <c r="I62" s="187">
        <v>3.0000000000000001E-3</v>
      </c>
      <c r="J62" s="187">
        <v>1.5E-3</v>
      </c>
      <c r="K62" s="187">
        <v>0</v>
      </c>
      <c r="L62" s="187">
        <v>1</v>
      </c>
      <c r="M62" s="187">
        <v>3.0373001098632813</v>
      </c>
      <c r="N62" s="187"/>
    </row>
    <row r="63" spans="1:14" x14ac:dyDescent="0.45">
      <c r="A63" t="s">
        <v>32</v>
      </c>
      <c r="B63" s="187">
        <v>2022</v>
      </c>
      <c r="C63" t="s">
        <v>8481</v>
      </c>
      <c r="D63" t="s">
        <v>8490</v>
      </c>
      <c r="E63" s="187">
        <v>656</v>
      </c>
      <c r="F63" s="187">
        <v>0</v>
      </c>
      <c r="G63" s="187">
        <v>31.629007339477539</v>
      </c>
      <c r="H63" s="187">
        <v>3.3E-3</v>
      </c>
      <c r="I63" s="187">
        <v>2.9999999999999997E-4</v>
      </c>
      <c r="J63" s="187">
        <v>3.5000000000000001E-3</v>
      </c>
      <c r="K63" s="187">
        <v>0.43080000000000002</v>
      </c>
      <c r="L63" s="187">
        <v>0</v>
      </c>
      <c r="M63" s="187">
        <v>3.1734013557434082</v>
      </c>
      <c r="N63" s="187">
        <v>70</v>
      </c>
    </row>
    <row r="64" spans="1:14" x14ac:dyDescent="0.45">
      <c r="A64" t="s">
        <v>32</v>
      </c>
      <c r="B64" s="187">
        <v>2022</v>
      </c>
      <c r="C64" t="s">
        <v>8481</v>
      </c>
      <c r="D64" t="s">
        <v>8491</v>
      </c>
      <c r="E64" s="187">
        <v>2.91743203997612E-2</v>
      </c>
      <c r="F64" s="187">
        <v>0</v>
      </c>
      <c r="G64" s="187">
        <v>49.999900817871094</v>
      </c>
      <c r="H64" s="187">
        <v>0</v>
      </c>
      <c r="I64" s="187">
        <v>0</v>
      </c>
      <c r="J64" s="187">
        <v>0</v>
      </c>
      <c r="K64" s="187">
        <v>0.7964</v>
      </c>
      <c r="L64" s="187">
        <v>0</v>
      </c>
      <c r="M64" s="187">
        <v>3</v>
      </c>
      <c r="N64" s="187">
        <v>70</v>
      </c>
    </row>
    <row r="65" spans="1:14" x14ac:dyDescent="0.45">
      <c r="A65" t="s">
        <v>32</v>
      </c>
      <c r="B65" s="187">
        <v>2022</v>
      </c>
      <c r="C65" t="s">
        <v>8481</v>
      </c>
      <c r="D65" t="s">
        <v>8492</v>
      </c>
      <c r="E65" s="187">
        <v>0.82324045896530151</v>
      </c>
      <c r="F65" s="187">
        <v>0</v>
      </c>
      <c r="G65" s="187">
        <v>40.098197937011719</v>
      </c>
      <c r="H65" s="187">
        <v>0</v>
      </c>
      <c r="I65" s="187">
        <v>0</v>
      </c>
      <c r="J65" s="187">
        <v>0</v>
      </c>
      <c r="K65" s="187">
        <v>4.5400000000000003E-2</v>
      </c>
      <c r="L65" s="187">
        <v>0</v>
      </c>
      <c r="M65" s="187">
        <v>3</v>
      </c>
      <c r="N65" s="187">
        <v>70</v>
      </c>
    </row>
    <row r="66" spans="1:14" x14ac:dyDescent="0.45">
      <c r="A66" t="s">
        <v>32</v>
      </c>
      <c r="B66" s="187">
        <v>2022</v>
      </c>
      <c r="C66" t="s">
        <v>8481</v>
      </c>
      <c r="D66" t="s">
        <v>8493</v>
      </c>
      <c r="E66" s="187">
        <v>258.18743896484375</v>
      </c>
      <c r="F66" s="187">
        <v>0</v>
      </c>
      <c r="G66" s="187">
        <v>41.137027740478516</v>
      </c>
      <c r="H66" s="187">
        <v>0</v>
      </c>
      <c r="I66" s="187">
        <v>0</v>
      </c>
      <c r="J66" s="187">
        <v>0</v>
      </c>
      <c r="K66" s="187">
        <v>0.20080000000000001</v>
      </c>
      <c r="L66" s="187">
        <v>0</v>
      </c>
      <c r="M66" s="187">
        <v>3.0031280517578125</v>
      </c>
      <c r="N66" s="187">
        <v>70</v>
      </c>
    </row>
    <row r="67" spans="1:14" x14ac:dyDescent="0.45">
      <c r="A67" t="s">
        <v>32</v>
      </c>
      <c r="B67" s="187">
        <v>2022</v>
      </c>
      <c r="C67" t="s">
        <v>8481</v>
      </c>
      <c r="D67" t="s">
        <v>8494</v>
      </c>
      <c r="E67" s="187">
        <v>10.387692451477051</v>
      </c>
      <c r="F67" s="187">
        <v>0</v>
      </c>
      <c r="G67" s="187">
        <v>37.812366485595703</v>
      </c>
      <c r="H67" s="187">
        <v>0</v>
      </c>
      <c r="I67" s="187">
        <v>0</v>
      </c>
      <c r="J67" s="187">
        <v>0</v>
      </c>
      <c r="K67" s="187">
        <v>0.76180000000000003</v>
      </c>
      <c r="L67" s="187">
        <v>0</v>
      </c>
      <c r="M67" s="187">
        <v>3.013859748840332</v>
      </c>
      <c r="N67" s="187">
        <v>70</v>
      </c>
    </row>
    <row r="68" spans="1:14" x14ac:dyDescent="0.45">
      <c r="A68" t="s">
        <v>32</v>
      </c>
      <c r="B68" s="187">
        <v>2022</v>
      </c>
      <c r="C68" t="s">
        <v>8481</v>
      </c>
      <c r="D68" t="s">
        <v>8495</v>
      </c>
      <c r="E68" s="187">
        <v>125</v>
      </c>
      <c r="F68" s="187">
        <v>45</v>
      </c>
      <c r="G68" s="187">
        <v>24.063999176025391</v>
      </c>
      <c r="H68" s="187">
        <v>3.0300000000000001E-2</v>
      </c>
      <c r="I68" s="187">
        <v>4.5499999999999999E-2</v>
      </c>
      <c r="J68" s="187">
        <v>7.5800000000000006E-2</v>
      </c>
      <c r="K68" s="187">
        <v>0</v>
      </c>
      <c r="L68" s="187">
        <v>0</v>
      </c>
      <c r="M68" s="187">
        <v>3.1590840816497803</v>
      </c>
      <c r="N68" s="187">
        <v>35</v>
      </c>
    </row>
    <row r="69" spans="1:14" x14ac:dyDescent="0.45">
      <c r="A69" t="s">
        <v>32</v>
      </c>
      <c r="B69" s="187">
        <v>2022</v>
      </c>
      <c r="C69" t="s">
        <v>8482</v>
      </c>
      <c r="D69" t="s">
        <v>8496</v>
      </c>
      <c r="E69" s="187">
        <v>4.6395125389099121</v>
      </c>
      <c r="F69" s="187">
        <v>0</v>
      </c>
      <c r="G69" s="187">
        <v>28.300729751586914</v>
      </c>
      <c r="H69" s="187">
        <v>0</v>
      </c>
      <c r="I69" s="187">
        <v>0</v>
      </c>
      <c r="J69" s="187">
        <v>0</v>
      </c>
      <c r="K69" s="187">
        <v>2.69E-2</v>
      </c>
      <c r="L69" s="187">
        <v>0</v>
      </c>
      <c r="M69" s="187">
        <v>3.1002979278564453</v>
      </c>
      <c r="N69" s="187">
        <v>60</v>
      </c>
    </row>
    <row r="70" spans="1:14" x14ac:dyDescent="0.45">
      <c r="A70" t="s">
        <v>32</v>
      </c>
      <c r="B70" s="187">
        <v>2022</v>
      </c>
      <c r="C70" t="s">
        <v>8482</v>
      </c>
      <c r="D70" t="s">
        <v>8497</v>
      </c>
      <c r="E70" s="187">
        <v>0.68338710069656372</v>
      </c>
      <c r="F70" s="187">
        <v>0</v>
      </c>
      <c r="G70" s="187">
        <v>16.015918731689453</v>
      </c>
      <c r="H70" s="187">
        <v>0</v>
      </c>
      <c r="I70" s="187">
        <v>0</v>
      </c>
      <c r="J70" s="187">
        <v>0</v>
      </c>
      <c r="K70" s="187">
        <v>0.7964</v>
      </c>
      <c r="L70" s="187">
        <v>0</v>
      </c>
      <c r="M70" s="187">
        <v>3.6984283924102783</v>
      </c>
      <c r="N70" s="187">
        <v>60</v>
      </c>
    </row>
    <row r="71" spans="1:14" x14ac:dyDescent="0.45">
      <c r="A71" t="s">
        <v>32</v>
      </c>
      <c r="B71" s="187">
        <v>2022</v>
      </c>
      <c r="C71" t="s">
        <v>8482</v>
      </c>
      <c r="D71" t="s">
        <v>8498</v>
      </c>
      <c r="E71" s="187">
        <v>1.0096386671066284</v>
      </c>
      <c r="F71" s="187">
        <v>0</v>
      </c>
      <c r="G71" s="187">
        <v>27.723316192626953</v>
      </c>
      <c r="H71" s="187">
        <v>0</v>
      </c>
      <c r="I71" s="187">
        <v>0</v>
      </c>
      <c r="J71" s="187">
        <v>0</v>
      </c>
      <c r="K71" s="187">
        <v>4.5400000000000003E-2</v>
      </c>
      <c r="L71" s="187">
        <v>0</v>
      </c>
      <c r="M71" s="187">
        <v>3.1841609477996826</v>
      </c>
      <c r="N71" s="187">
        <v>60</v>
      </c>
    </row>
    <row r="72" spans="1:14" x14ac:dyDescent="0.45">
      <c r="A72" t="s">
        <v>32</v>
      </c>
      <c r="B72" s="187">
        <v>2022</v>
      </c>
      <c r="C72" t="s">
        <v>8482</v>
      </c>
      <c r="D72" t="s">
        <v>8499</v>
      </c>
      <c r="E72" s="187">
        <v>3.372711181640625</v>
      </c>
      <c r="F72" s="187">
        <v>0</v>
      </c>
      <c r="G72" s="187">
        <v>29.565025329589844</v>
      </c>
      <c r="H72" s="187">
        <v>0</v>
      </c>
      <c r="I72" s="187">
        <v>0</v>
      </c>
      <c r="J72" s="187">
        <v>0</v>
      </c>
      <c r="K72" s="187">
        <v>0.20080000000000001</v>
      </c>
      <c r="L72" s="187">
        <v>0</v>
      </c>
      <c r="M72" s="187">
        <v>3</v>
      </c>
      <c r="N72" s="187">
        <v>60</v>
      </c>
    </row>
    <row r="73" spans="1:14" x14ac:dyDescent="0.45">
      <c r="A73" t="s">
        <v>32</v>
      </c>
      <c r="B73" s="187">
        <v>2022</v>
      </c>
      <c r="C73" t="s">
        <v>8482</v>
      </c>
      <c r="D73" t="s">
        <v>8500</v>
      </c>
      <c r="E73" s="187">
        <v>0.37953662872314453</v>
      </c>
      <c r="F73" s="187">
        <v>0</v>
      </c>
      <c r="G73" s="187">
        <v>34.112041473388672</v>
      </c>
      <c r="H73" s="187">
        <v>0</v>
      </c>
      <c r="I73" s="187">
        <v>0</v>
      </c>
      <c r="J73" s="187">
        <v>0</v>
      </c>
      <c r="K73" s="187">
        <v>0.76160000000000005</v>
      </c>
      <c r="L73" s="187">
        <v>0</v>
      </c>
      <c r="M73" s="187">
        <v>3.8092100620269775</v>
      </c>
      <c r="N73" s="187">
        <v>60</v>
      </c>
    </row>
    <row r="74" spans="1:14" x14ac:dyDescent="0.45">
      <c r="A74" t="s">
        <v>32</v>
      </c>
      <c r="B74" s="187">
        <v>2022</v>
      </c>
      <c r="C74" t="s">
        <v>8482</v>
      </c>
      <c r="D74" t="s">
        <v>8501</v>
      </c>
      <c r="E74" s="187">
        <v>3.5147180557250977</v>
      </c>
      <c r="F74" s="187">
        <v>0</v>
      </c>
      <c r="G74" s="187">
        <v>16.604738235473633</v>
      </c>
      <c r="H74" s="187">
        <v>0</v>
      </c>
      <c r="I74" s="187">
        <v>0</v>
      </c>
      <c r="J74" s="187">
        <v>0</v>
      </c>
      <c r="K74" s="187">
        <v>7.0000000000000001E-3</v>
      </c>
      <c r="L74" s="187">
        <v>0</v>
      </c>
      <c r="M74" s="187">
        <v>3.4222557544708252</v>
      </c>
      <c r="N74" s="187">
        <v>60</v>
      </c>
    </row>
    <row r="75" spans="1:14" x14ac:dyDescent="0.45">
      <c r="A75" t="s">
        <v>32</v>
      </c>
      <c r="B75" s="187">
        <v>2022</v>
      </c>
      <c r="C75" t="s">
        <v>8482</v>
      </c>
      <c r="D75" t="s">
        <v>8502</v>
      </c>
      <c r="E75" s="187">
        <v>36</v>
      </c>
      <c r="F75" s="187">
        <v>0</v>
      </c>
      <c r="G75" s="187">
        <v>19.69444465637207</v>
      </c>
      <c r="H75" s="187">
        <v>0</v>
      </c>
      <c r="I75" s="187">
        <v>3.2000000000000002E-3</v>
      </c>
      <c r="J75" s="187">
        <v>1.6000000000000001E-3</v>
      </c>
      <c r="K75" s="187">
        <v>0.55020000000000002</v>
      </c>
      <c r="L75" s="187">
        <v>0</v>
      </c>
      <c r="M75" s="187">
        <v>3.2974655628204346</v>
      </c>
      <c r="N75" s="187">
        <v>60</v>
      </c>
    </row>
    <row r="76" spans="1:14" x14ac:dyDescent="0.45">
      <c r="A76" t="s">
        <v>32</v>
      </c>
      <c r="B76" s="187">
        <v>2022</v>
      </c>
      <c r="C76" t="s">
        <v>8482</v>
      </c>
      <c r="D76" t="s">
        <v>8503</v>
      </c>
      <c r="E76" s="187">
        <v>0</v>
      </c>
      <c r="F76" s="187">
        <v>0</v>
      </c>
      <c r="G76" s="187"/>
      <c r="H76" s="187">
        <v>0</v>
      </c>
      <c r="I76" s="187">
        <v>0</v>
      </c>
      <c r="J76" s="187">
        <v>0</v>
      </c>
      <c r="K76" s="187">
        <v>0</v>
      </c>
      <c r="L76" s="187">
        <v>0</v>
      </c>
      <c r="M76" s="187"/>
      <c r="N76" s="187"/>
    </row>
    <row r="77" spans="1:14" x14ac:dyDescent="0.45">
      <c r="A77" t="s">
        <v>32</v>
      </c>
      <c r="B77" s="187">
        <v>2022</v>
      </c>
      <c r="C77" t="s">
        <v>8483</v>
      </c>
      <c r="D77" t="s">
        <v>8504</v>
      </c>
      <c r="E77" s="187">
        <v>3646.05908203125</v>
      </c>
      <c r="F77" s="187">
        <v>0</v>
      </c>
      <c r="G77" s="187">
        <v>28.961244583129883</v>
      </c>
      <c r="H77" s="187">
        <v>2.8999999999999998E-3</v>
      </c>
      <c r="I77" s="187">
        <v>2.9999999999999997E-4</v>
      </c>
      <c r="J77" s="187">
        <v>3.2000000000000002E-3</v>
      </c>
      <c r="K77" s="187">
        <v>1.0200000000000001E-2</v>
      </c>
      <c r="L77" s="187">
        <v>0</v>
      </c>
      <c r="M77" s="187">
        <v>3.0589008331298828</v>
      </c>
      <c r="N77" s="187">
        <v>60</v>
      </c>
    </row>
    <row r="78" spans="1:14" x14ac:dyDescent="0.45">
      <c r="A78" t="s">
        <v>32</v>
      </c>
      <c r="B78" s="187">
        <v>2022</v>
      </c>
      <c r="C78" t="s">
        <v>8483</v>
      </c>
      <c r="D78" t="s">
        <v>8505</v>
      </c>
      <c r="E78" s="187">
        <v>2028.0975341796875</v>
      </c>
      <c r="F78" s="187">
        <v>0</v>
      </c>
      <c r="G78" s="187">
        <v>27.304496765136719</v>
      </c>
      <c r="H78" s="187">
        <v>4.7000000000000002E-3</v>
      </c>
      <c r="I78" s="187">
        <v>4.0000000000000002E-4</v>
      </c>
      <c r="J78" s="187">
        <v>5.1000000000000004E-3</v>
      </c>
      <c r="K78" s="187">
        <v>2.7400000000000001E-2</v>
      </c>
      <c r="L78" s="187">
        <v>0</v>
      </c>
      <c r="M78" s="187">
        <v>3.1001336574554443</v>
      </c>
      <c r="N78" s="187">
        <v>60</v>
      </c>
    </row>
    <row r="79" spans="1:14" x14ac:dyDescent="0.45">
      <c r="A79" t="s">
        <v>32</v>
      </c>
      <c r="B79" s="187">
        <v>2022</v>
      </c>
      <c r="C79" t="s">
        <v>8483</v>
      </c>
      <c r="D79" t="s">
        <v>8506</v>
      </c>
      <c r="E79" s="187">
        <v>1539</v>
      </c>
      <c r="F79" s="187">
        <v>0</v>
      </c>
      <c r="G79" s="187">
        <v>22.952442169189453</v>
      </c>
      <c r="H79" s="187">
        <v>0</v>
      </c>
      <c r="I79" s="187">
        <v>1E-4</v>
      </c>
      <c r="J79" s="187">
        <v>1E-4</v>
      </c>
      <c r="K79" s="187">
        <v>0.42020000000000002</v>
      </c>
      <c r="L79" s="187">
        <v>1</v>
      </c>
      <c r="M79" s="187">
        <v>3.2875130176544189</v>
      </c>
      <c r="N79" s="187">
        <v>60</v>
      </c>
    </row>
    <row r="80" spans="1:14" x14ac:dyDescent="0.45">
      <c r="A80" t="s">
        <v>32</v>
      </c>
      <c r="B80" s="187">
        <v>2022</v>
      </c>
      <c r="C80" t="s">
        <v>8483</v>
      </c>
      <c r="D80" t="s">
        <v>8507</v>
      </c>
      <c r="E80" s="187">
        <v>28.166723251342773</v>
      </c>
      <c r="F80" s="187">
        <v>0</v>
      </c>
      <c r="G80" s="187">
        <v>37.235679626464844</v>
      </c>
      <c r="H80" s="187">
        <v>0</v>
      </c>
      <c r="I80" s="187">
        <v>0</v>
      </c>
      <c r="J80" s="187">
        <v>0</v>
      </c>
      <c r="K80" s="187">
        <v>0.7965000000000001</v>
      </c>
      <c r="L80" s="187">
        <v>0</v>
      </c>
      <c r="M80" s="187">
        <v>3.0009827613830566</v>
      </c>
      <c r="N80" s="187">
        <v>60</v>
      </c>
    </row>
    <row r="81" spans="1:14" x14ac:dyDescent="0.45">
      <c r="A81" t="s">
        <v>32</v>
      </c>
      <c r="B81" s="187">
        <v>2022</v>
      </c>
      <c r="C81" t="s">
        <v>8483</v>
      </c>
      <c r="D81" t="s">
        <v>8508</v>
      </c>
      <c r="E81" s="187">
        <v>52.294910430908203</v>
      </c>
      <c r="F81" s="187">
        <v>0</v>
      </c>
      <c r="G81" s="187">
        <v>35.721160888671875</v>
      </c>
      <c r="H81" s="187">
        <v>0</v>
      </c>
      <c r="I81" s="187">
        <v>6.9999999999999999E-4</v>
      </c>
      <c r="J81" s="187">
        <v>7.0000000000000001E-3</v>
      </c>
      <c r="K81" s="187">
        <v>5.1700000000000003E-2</v>
      </c>
      <c r="L81" s="187">
        <v>0</v>
      </c>
      <c r="M81" s="187">
        <v>2.9992618560791016</v>
      </c>
      <c r="N81" s="187">
        <v>60</v>
      </c>
    </row>
    <row r="82" spans="1:14" x14ac:dyDescent="0.45">
      <c r="A82" t="s">
        <v>32</v>
      </c>
      <c r="B82" s="187">
        <v>2022</v>
      </c>
      <c r="C82" t="s">
        <v>8483</v>
      </c>
      <c r="D82" t="s">
        <v>8509</v>
      </c>
      <c r="E82" s="187">
        <v>268</v>
      </c>
      <c r="F82" s="187">
        <v>0</v>
      </c>
      <c r="G82" s="187">
        <v>34.793891906738281</v>
      </c>
      <c r="H82" s="187">
        <v>3.8E-3</v>
      </c>
      <c r="I82" s="187">
        <v>1.54E-2</v>
      </c>
      <c r="J82" s="187">
        <v>1.15E-2</v>
      </c>
      <c r="K82" s="187">
        <v>0</v>
      </c>
      <c r="L82" s="187">
        <v>3</v>
      </c>
      <c r="M82" s="187">
        <v>2.9959995746612549</v>
      </c>
      <c r="N82" s="187"/>
    </row>
    <row r="83" spans="1:14" x14ac:dyDescent="0.45">
      <c r="A83" t="s">
        <v>32</v>
      </c>
      <c r="B83" s="187">
        <v>2022</v>
      </c>
      <c r="C83" t="s">
        <v>8483</v>
      </c>
      <c r="D83" t="s">
        <v>8510</v>
      </c>
      <c r="E83" s="187">
        <v>142.35816955566406</v>
      </c>
      <c r="F83" s="187">
        <v>0</v>
      </c>
      <c r="G83" s="187">
        <v>42.602855682373047</v>
      </c>
      <c r="H83" s="187">
        <v>3.8300000000000001E-2</v>
      </c>
      <c r="I83" s="187">
        <v>1E-4</v>
      </c>
      <c r="J83" s="187">
        <v>3.8399999999999997E-2</v>
      </c>
      <c r="K83" s="187">
        <v>0.20080000000000001</v>
      </c>
      <c r="L83" s="187">
        <v>0</v>
      </c>
      <c r="M83" s="187">
        <v>2.9047796726226807</v>
      </c>
      <c r="N83" s="187">
        <v>60</v>
      </c>
    </row>
    <row r="84" spans="1:14" x14ac:dyDescent="0.45">
      <c r="A84" t="s">
        <v>32</v>
      </c>
      <c r="B84" s="187">
        <v>2022</v>
      </c>
      <c r="C84" t="s">
        <v>8483</v>
      </c>
      <c r="D84" t="s">
        <v>8511</v>
      </c>
      <c r="E84" s="187">
        <v>42.726348876953125</v>
      </c>
      <c r="F84" s="187">
        <v>0</v>
      </c>
      <c r="G84" s="187">
        <v>38.639369964599609</v>
      </c>
      <c r="H84" s="187">
        <v>5.7999999999999996E-3</v>
      </c>
      <c r="I84" s="187">
        <v>1E-4</v>
      </c>
      <c r="J84" s="187">
        <v>6.0000000000000001E-3</v>
      </c>
      <c r="K84" s="187">
        <v>0.76349999999999996</v>
      </c>
      <c r="L84" s="187">
        <v>0</v>
      </c>
      <c r="M84" s="187">
        <v>2.9534292221069336</v>
      </c>
      <c r="N84" s="187">
        <v>60</v>
      </c>
    </row>
    <row r="85" spans="1:14" x14ac:dyDescent="0.45">
      <c r="A85" t="s">
        <v>32</v>
      </c>
      <c r="B85" s="187">
        <v>2022</v>
      </c>
      <c r="C85" t="s">
        <v>8483</v>
      </c>
      <c r="D85" t="s">
        <v>8512</v>
      </c>
      <c r="E85" s="187">
        <v>54</v>
      </c>
      <c r="F85" s="187">
        <v>33</v>
      </c>
      <c r="G85" s="187">
        <v>30.461538314819336</v>
      </c>
      <c r="H85" s="187">
        <v>7.6899999999999996E-2</v>
      </c>
      <c r="I85" s="187">
        <v>9.2299999999999993E-2</v>
      </c>
      <c r="J85" s="187">
        <v>0.16919999999999999</v>
      </c>
      <c r="K85" s="187">
        <v>0</v>
      </c>
      <c r="L85" s="187">
        <v>2</v>
      </c>
      <c r="M85" s="187">
        <v>2.9076907634735107</v>
      </c>
      <c r="N85" s="187">
        <v>35</v>
      </c>
    </row>
    <row r="86" spans="1:14" hidden="1" x14ac:dyDescent="0.45">
      <c r="A86" t="s">
        <v>299</v>
      </c>
      <c r="B86" s="187">
        <v>2022</v>
      </c>
      <c r="C86" t="s">
        <v>8480</v>
      </c>
      <c r="D86" t="s">
        <v>8485</v>
      </c>
      <c r="E86" s="187">
        <v>21</v>
      </c>
      <c r="F86" s="187">
        <v>11</v>
      </c>
      <c r="G86" s="187">
        <v>30.5</v>
      </c>
      <c r="H86" s="187">
        <v>0</v>
      </c>
      <c r="I86" s="187">
        <v>4.5454545454545497E-2</v>
      </c>
      <c r="J86" s="187">
        <v>3.31724969843185</v>
      </c>
      <c r="K86" s="187">
        <v>0</v>
      </c>
      <c r="L86" s="187">
        <v>0</v>
      </c>
      <c r="M86" s="187">
        <v>3.2272727489471436</v>
      </c>
      <c r="N86" s="187">
        <v>35</v>
      </c>
    </row>
    <row r="87" spans="1:14" hidden="1" x14ac:dyDescent="0.45">
      <c r="A87" t="s">
        <v>299</v>
      </c>
      <c r="B87" s="187">
        <v>2022</v>
      </c>
      <c r="C87" t="s">
        <v>8480</v>
      </c>
      <c r="D87" t="s">
        <v>8486</v>
      </c>
      <c r="E87" s="187">
        <v>80</v>
      </c>
      <c r="F87" s="187">
        <v>63</v>
      </c>
      <c r="G87" s="187">
        <v>19</v>
      </c>
      <c r="H87" s="187">
        <v>0</v>
      </c>
      <c r="I87" s="187">
        <v>0</v>
      </c>
      <c r="J87" s="187">
        <v>24.5114326343413</v>
      </c>
      <c r="K87" s="187">
        <v>0</v>
      </c>
      <c r="L87" s="187">
        <v>9</v>
      </c>
      <c r="M87" s="187">
        <v>3.8985507488250732</v>
      </c>
      <c r="N87" s="187">
        <v>10</v>
      </c>
    </row>
    <row r="88" spans="1:14" hidden="1" x14ac:dyDescent="0.45">
      <c r="A88" t="s">
        <v>299</v>
      </c>
      <c r="B88" s="187">
        <v>2022</v>
      </c>
      <c r="C88" t="s">
        <v>8481</v>
      </c>
      <c r="D88" t="s">
        <v>8487</v>
      </c>
      <c r="E88" s="187">
        <v>0</v>
      </c>
      <c r="F88" s="187">
        <v>0</v>
      </c>
      <c r="G88" s="187"/>
      <c r="H88" s="187">
        <v>0</v>
      </c>
      <c r="I88" s="187">
        <v>0</v>
      </c>
      <c r="J88" s="187">
        <v>0</v>
      </c>
      <c r="K88" s="187">
        <v>0</v>
      </c>
      <c r="L88" s="187">
        <v>0</v>
      </c>
      <c r="M88" s="187"/>
      <c r="N88" s="187">
        <v>70</v>
      </c>
    </row>
    <row r="89" spans="1:14" hidden="1" x14ac:dyDescent="0.45">
      <c r="A89" t="s">
        <v>299</v>
      </c>
      <c r="B89" s="187">
        <v>2022</v>
      </c>
      <c r="C89" t="s">
        <v>8481</v>
      </c>
      <c r="D89" t="s">
        <v>8488</v>
      </c>
      <c r="E89" s="187">
        <v>0</v>
      </c>
      <c r="F89" s="187">
        <v>0</v>
      </c>
      <c r="G89" s="187"/>
      <c r="H89" s="187">
        <v>0</v>
      </c>
      <c r="I89" s="187">
        <v>0</v>
      </c>
      <c r="J89" s="187">
        <v>0</v>
      </c>
      <c r="K89" s="187">
        <v>0</v>
      </c>
      <c r="L89" s="187">
        <v>0</v>
      </c>
      <c r="M89" s="187"/>
      <c r="N89" s="187">
        <v>70</v>
      </c>
    </row>
    <row r="90" spans="1:14" hidden="1" x14ac:dyDescent="0.45">
      <c r="A90" t="s">
        <v>299</v>
      </c>
      <c r="B90" s="187">
        <v>2022</v>
      </c>
      <c r="C90" t="s">
        <v>8481</v>
      </c>
      <c r="D90" t="s">
        <v>8489</v>
      </c>
      <c r="E90" s="187">
        <v>19</v>
      </c>
      <c r="F90" s="187">
        <v>0</v>
      </c>
      <c r="G90" s="187">
        <v>27.125</v>
      </c>
      <c r="H90" s="187">
        <v>0</v>
      </c>
      <c r="I90" s="187">
        <v>0</v>
      </c>
      <c r="J90" s="187">
        <v>16.25</v>
      </c>
      <c r="K90" s="187">
        <v>0</v>
      </c>
      <c r="L90" s="187">
        <v>0</v>
      </c>
      <c r="M90" s="187">
        <v>3.2777776718139648</v>
      </c>
      <c r="N90" s="187"/>
    </row>
    <row r="91" spans="1:14" hidden="1" x14ac:dyDescent="0.45">
      <c r="A91" t="s">
        <v>299</v>
      </c>
      <c r="B91" s="187">
        <v>2022</v>
      </c>
      <c r="C91" t="s">
        <v>8481</v>
      </c>
      <c r="D91" t="s">
        <v>8490</v>
      </c>
      <c r="E91" s="187">
        <v>641</v>
      </c>
      <c r="F91" s="187">
        <v>0</v>
      </c>
      <c r="G91" s="187">
        <v>27.251749038696289</v>
      </c>
      <c r="H91" s="187">
        <v>0</v>
      </c>
      <c r="I91" s="187">
        <v>2.6153846153846201E-2</v>
      </c>
      <c r="J91" s="187">
        <v>0.35673515981735199</v>
      </c>
      <c r="K91" s="187">
        <v>2.1538461538461499E-2</v>
      </c>
      <c r="L91" s="187">
        <v>30</v>
      </c>
      <c r="M91" s="187">
        <v>2.9937107563018799</v>
      </c>
      <c r="N91" s="187">
        <v>70</v>
      </c>
    </row>
    <row r="92" spans="1:14" hidden="1" x14ac:dyDescent="0.45">
      <c r="A92" t="s">
        <v>299</v>
      </c>
      <c r="B92" s="187">
        <v>2022</v>
      </c>
      <c r="C92" t="s">
        <v>8481</v>
      </c>
      <c r="D92" t="s">
        <v>8491</v>
      </c>
      <c r="E92" s="187">
        <v>0</v>
      </c>
      <c r="F92" s="187">
        <v>0</v>
      </c>
      <c r="G92" s="187"/>
      <c r="H92" s="187">
        <v>0</v>
      </c>
      <c r="I92" s="187">
        <v>0</v>
      </c>
      <c r="J92" s="187">
        <v>0</v>
      </c>
      <c r="K92" s="187">
        <v>0</v>
      </c>
      <c r="L92" s="187">
        <v>0</v>
      </c>
      <c r="M92" s="187"/>
      <c r="N92" s="187">
        <v>70</v>
      </c>
    </row>
    <row r="93" spans="1:14" hidden="1" x14ac:dyDescent="0.45">
      <c r="A93" t="s">
        <v>299</v>
      </c>
      <c r="B93" s="187">
        <v>2022</v>
      </c>
      <c r="C93" t="s">
        <v>8481</v>
      </c>
      <c r="D93" t="s">
        <v>8492</v>
      </c>
      <c r="E93" s="187">
        <v>0</v>
      </c>
      <c r="F93" s="187">
        <v>0</v>
      </c>
      <c r="G93" s="187"/>
      <c r="H93" s="187">
        <v>0</v>
      </c>
      <c r="I93" s="187">
        <v>0</v>
      </c>
      <c r="J93" s="187">
        <v>0</v>
      </c>
      <c r="K93" s="187">
        <v>0</v>
      </c>
      <c r="L93" s="187">
        <v>0</v>
      </c>
      <c r="M93" s="187"/>
      <c r="N93" s="187">
        <v>70</v>
      </c>
    </row>
    <row r="94" spans="1:14" hidden="1" x14ac:dyDescent="0.45">
      <c r="A94" t="s">
        <v>299</v>
      </c>
      <c r="B94" s="187">
        <v>2022</v>
      </c>
      <c r="C94" t="s">
        <v>8481</v>
      </c>
      <c r="D94" t="s">
        <v>8493</v>
      </c>
      <c r="E94" s="187">
        <v>238.51406860351563</v>
      </c>
      <c r="F94" s="187">
        <v>0</v>
      </c>
      <c r="G94" s="187">
        <v>30.718940734863281</v>
      </c>
      <c r="H94" s="187">
        <v>0</v>
      </c>
      <c r="I94" s="187">
        <v>0</v>
      </c>
      <c r="J94" s="187">
        <v>0</v>
      </c>
      <c r="K94" s="187">
        <v>0</v>
      </c>
      <c r="L94" s="187">
        <v>0</v>
      </c>
      <c r="M94" s="187">
        <v>3</v>
      </c>
      <c r="N94" s="187">
        <v>70</v>
      </c>
    </row>
    <row r="95" spans="1:14" hidden="1" x14ac:dyDescent="0.45">
      <c r="A95" t="s">
        <v>299</v>
      </c>
      <c r="B95" s="187">
        <v>2022</v>
      </c>
      <c r="C95" t="s">
        <v>8481</v>
      </c>
      <c r="D95" t="s">
        <v>8494</v>
      </c>
      <c r="E95" s="187">
        <v>5.4066739082336426</v>
      </c>
      <c r="F95" s="187">
        <v>0</v>
      </c>
      <c r="G95" s="187">
        <v>28.937229156494141</v>
      </c>
      <c r="H95" s="187">
        <v>0</v>
      </c>
      <c r="I95" s="187">
        <v>0</v>
      </c>
      <c r="J95" s="187">
        <v>0</v>
      </c>
      <c r="K95" s="187">
        <v>0</v>
      </c>
      <c r="L95" s="187">
        <v>3.2686E-2</v>
      </c>
      <c r="M95" s="187">
        <v>3</v>
      </c>
      <c r="N95" s="187">
        <v>70</v>
      </c>
    </row>
    <row r="96" spans="1:14" hidden="1" x14ac:dyDescent="0.45">
      <c r="A96" t="s">
        <v>299</v>
      </c>
      <c r="B96" s="187">
        <v>2022</v>
      </c>
      <c r="C96" t="s">
        <v>8481</v>
      </c>
      <c r="D96" t="s">
        <v>8495</v>
      </c>
      <c r="E96" s="187">
        <v>94</v>
      </c>
      <c r="F96" s="187">
        <v>15</v>
      </c>
      <c r="G96" s="187">
        <v>25.329545974731445</v>
      </c>
      <c r="H96" s="187">
        <v>0</v>
      </c>
      <c r="I96" s="187">
        <v>0</v>
      </c>
      <c r="J96" s="187">
        <v>3.5204081632653099</v>
      </c>
      <c r="K96" s="187">
        <v>0</v>
      </c>
      <c r="L96" s="187">
        <v>0</v>
      </c>
      <c r="M96" s="187">
        <v>3.0487804412841797</v>
      </c>
      <c r="N96" s="187">
        <v>35</v>
      </c>
    </row>
    <row r="97" spans="1:14" hidden="1" x14ac:dyDescent="0.45">
      <c r="A97" t="s">
        <v>299</v>
      </c>
      <c r="B97" s="187">
        <v>2022</v>
      </c>
      <c r="C97" t="s">
        <v>8482</v>
      </c>
      <c r="D97" t="s">
        <v>8496</v>
      </c>
      <c r="E97" s="187">
        <v>0.82294100522994995</v>
      </c>
      <c r="F97" s="187">
        <v>0</v>
      </c>
      <c r="G97" s="187">
        <v>34.053256988525391</v>
      </c>
      <c r="H97" s="187">
        <v>0</v>
      </c>
      <c r="I97" s="187">
        <v>0</v>
      </c>
      <c r="J97" s="187">
        <v>0</v>
      </c>
      <c r="K97" s="187">
        <v>0</v>
      </c>
      <c r="L97" s="187">
        <v>0</v>
      </c>
      <c r="M97" s="187">
        <v>3.8766486644744873</v>
      </c>
      <c r="N97" s="187">
        <v>60</v>
      </c>
    </row>
    <row r="98" spans="1:14" hidden="1" x14ac:dyDescent="0.45">
      <c r="A98" t="s">
        <v>299</v>
      </c>
      <c r="B98" s="187">
        <v>2022</v>
      </c>
      <c r="C98" t="s">
        <v>8482</v>
      </c>
      <c r="D98" t="s">
        <v>8497</v>
      </c>
      <c r="E98" s="187">
        <v>0</v>
      </c>
      <c r="F98" s="187">
        <v>0</v>
      </c>
      <c r="G98" s="187"/>
      <c r="H98" s="187">
        <v>0</v>
      </c>
      <c r="I98" s="187">
        <v>0</v>
      </c>
      <c r="J98" s="187">
        <v>0</v>
      </c>
      <c r="K98" s="187">
        <v>0</v>
      </c>
      <c r="L98" s="187">
        <v>0</v>
      </c>
      <c r="M98" s="187"/>
      <c r="N98" s="187">
        <v>60</v>
      </c>
    </row>
    <row r="99" spans="1:14" hidden="1" x14ac:dyDescent="0.45">
      <c r="A99" t="s">
        <v>299</v>
      </c>
      <c r="B99" s="187">
        <v>2022</v>
      </c>
      <c r="C99" t="s">
        <v>8482</v>
      </c>
      <c r="D99" t="s">
        <v>8498</v>
      </c>
      <c r="E99" s="187">
        <v>0</v>
      </c>
      <c r="F99" s="187">
        <v>0</v>
      </c>
      <c r="G99" s="187"/>
      <c r="H99" s="187">
        <v>0</v>
      </c>
      <c r="I99" s="187">
        <v>0</v>
      </c>
      <c r="J99" s="187">
        <v>0</v>
      </c>
      <c r="K99" s="187">
        <v>0</v>
      </c>
      <c r="L99" s="187">
        <v>0</v>
      </c>
      <c r="M99" s="187"/>
      <c r="N99" s="187">
        <v>60</v>
      </c>
    </row>
    <row r="100" spans="1:14" hidden="1" x14ac:dyDescent="0.45">
      <c r="A100" t="s">
        <v>299</v>
      </c>
      <c r="B100" s="187">
        <v>2022</v>
      </c>
      <c r="C100" t="s">
        <v>8482</v>
      </c>
      <c r="D100" t="s">
        <v>8499</v>
      </c>
      <c r="E100" s="187">
        <v>0</v>
      </c>
      <c r="F100" s="187">
        <v>0</v>
      </c>
      <c r="G100" s="187"/>
      <c r="H100" s="187">
        <v>0</v>
      </c>
      <c r="I100" s="187">
        <v>0</v>
      </c>
      <c r="J100" s="187">
        <v>0</v>
      </c>
      <c r="K100" s="187">
        <v>0</v>
      </c>
      <c r="L100" s="187">
        <v>0</v>
      </c>
      <c r="M100" s="187"/>
      <c r="N100" s="187">
        <v>60</v>
      </c>
    </row>
    <row r="101" spans="1:14" hidden="1" x14ac:dyDescent="0.45">
      <c r="A101" t="s">
        <v>299</v>
      </c>
      <c r="B101" s="187">
        <v>2022</v>
      </c>
      <c r="C101" t="s">
        <v>8482</v>
      </c>
      <c r="D101" t="s">
        <v>8500</v>
      </c>
      <c r="E101" s="187">
        <v>0.5941770076751709</v>
      </c>
      <c r="F101" s="187">
        <v>0</v>
      </c>
      <c r="G101" s="187">
        <v>31.80607795715332</v>
      </c>
      <c r="H101" s="187">
        <v>0</v>
      </c>
      <c r="I101" s="187">
        <v>0</v>
      </c>
      <c r="J101" s="187">
        <v>0</v>
      </c>
      <c r="K101" s="187">
        <v>0</v>
      </c>
      <c r="L101" s="187">
        <v>3.0263000000000002E-2</v>
      </c>
      <c r="M101" s="187">
        <v>3</v>
      </c>
      <c r="N101" s="187">
        <v>60</v>
      </c>
    </row>
    <row r="102" spans="1:14" hidden="1" x14ac:dyDescent="0.45">
      <c r="A102" t="s">
        <v>299</v>
      </c>
      <c r="B102" s="187">
        <v>2022</v>
      </c>
      <c r="C102" t="s">
        <v>8482</v>
      </c>
      <c r="D102" t="s">
        <v>8501</v>
      </c>
      <c r="E102" s="187">
        <v>4.647500067949295E-2</v>
      </c>
      <c r="F102" s="187">
        <v>0</v>
      </c>
      <c r="G102" s="187">
        <v>41.897750854492188</v>
      </c>
      <c r="H102" s="187">
        <v>0</v>
      </c>
      <c r="I102" s="187">
        <v>0</v>
      </c>
      <c r="J102" s="187">
        <v>0</v>
      </c>
      <c r="K102" s="187">
        <v>0</v>
      </c>
      <c r="L102" s="187">
        <v>0</v>
      </c>
      <c r="M102" s="187">
        <v>3.4930393695831299</v>
      </c>
      <c r="N102" s="187">
        <v>60</v>
      </c>
    </row>
    <row r="103" spans="1:14" hidden="1" x14ac:dyDescent="0.45">
      <c r="A103" t="s">
        <v>299</v>
      </c>
      <c r="B103" s="187">
        <v>2022</v>
      </c>
      <c r="C103" t="s">
        <v>8482</v>
      </c>
      <c r="D103" t="s">
        <v>8502</v>
      </c>
      <c r="E103" s="187">
        <v>2</v>
      </c>
      <c r="F103" s="187">
        <v>0</v>
      </c>
      <c r="G103" s="187">
        <v>11</v>
      </c>
      <c r="H103" s="187">
        <v>0</v>
      </c>
      <c r="I103" s="187">
        <v>0</v>
      </c>
      <c r="J103" s="187">
        <v>0</v>
      </c>
      <c r="K103" s="187">
        <v>0</v>
      </c>
      <c r="L103" s="187">
        <v>0</v>
      </c>
      <c r="M103" s="187">
        <v>3</v>
      </c>
      <c r="N103" s="187">
        <v>60</v>
      </c>
    </row>
    <row r="104" spans="1:14" hidden="1" x14ac:dyDescent="0.45">
      <c r="A104" t="s">
        <v>299</v>
      </c>
      <c r="B104" s="187">
        <v>2022</v>
      </c>
      <c r="C104" t="s">
        <v>8482</v>
      </c>
      <c r="D104" t="s">
        <v>8503</v>
      </c>
      <c r="E104" s="187">
        <v>0</v>
      </c>
      <c r="F104" s="187">
        <v>0</v>
      </c>
      <c r="G104" s="187"/>
      <c r="H104" s="187">
        <v>0</v>
      </c>
      <c r="I104" s="187">
        <v>0</v>
      </c>
      <c r="J104" s="187">
        <v>0</v>
      </c>
      <c r="K104" s="187">
        <v>0</v>
      </c>
      <c r="L104" s="187">
        <v>0</v>
      </c>
      <c r="M104" s="187"/>
      <c r="N104" s="187"/>
    </row>
    <row r="105" spans="1:14" hidden="1" x14ac:dyDescent="0.45">
      <c r="A105" t="s">
        <v>299</v>
      </c>
      <c r="B105" s="187">
        <v>2022</v>
      </c>
      <c r="C105" t="s">
        <v>8483</v>
      </c>
      <c r="D105" t="s">
        <v>8504</v>
      </c>
      <c r="E105" s="187">
        <v>4172.193359375</v>
      </c>
      <c r="F105" s="187">
        <v>0</v>
      </c>
      <c r="G105" s="187">
        <v>21.141786575317383</v>
      </c>
      <c r="H105" s="187">
        <v>0</v>
      </c>
      <c r="I105" s="187">
        <v>4.0866370124582998E-3</v>
      </c>
      <c r="J105" s="187">
        <v>0.20884293416206201</v>
      </c>
      <c r="K105" s="187">
        <v>0</v>
      </c>
      <c r="L105" s="187">
        <v>2.042964</v>
      </c>
      <c r="M105" s="187">
        <v>3.9772875308990479</v>
      </c>
      <c r="N105" s="187">
        <v>60</v>
      </c>
    </row>
    <row r="106" spans="1:14" hidden="1" x14ac:dyDescent="0.45">
      <c r="A106" t="s">
        <v>299</v>
      </c>
      <c r="B106" s="187">
        <v>2022</v>
      </c>
      <c r="C106" t="s">
        <v>8483</v>
      </c>
      <c r="D106" t="s">
        <v>8505</v>
      </c>
      <c r="E106" s="187">
        <v>2303.490234375</v>
      </c>
      <c r="F106" s="187">
        <v>0</v>
      </c>
      <c r="G106" s="187">
        <v>19.906402587890625</v>
      </c>
      <c r="H106" s="187">
        <v>0</v>
      </c>
      <c r="I106" s="187">
        <v>2.2082891219804999E-3</v>
      </c>
      <c r="J106" s="187">
        <v>0.11285210267186099</v>
      </c>
      <c r="K106" s="187">
        <v>0</v>
      </c>
      <c r="L106" s="187">
        <v>0.81586999999999998</v>
      </c>
      <c r="M106" s="187">
        <v>2.9977917671203613</v>
      </c>
      <c r="N106" s="187">
        <v>60</v>
      </c>
    </row>
    <row r="107" spans="1:14" hidden="1" x14ac:dyDescent="0.45">
      <c r="A107" t="s">
        <v>299</v>
      </c>
      <c r="B107" s="187">
        <v>2022</v>
      </c>
      <c r="C107" t="s">
        <v>8483</v>
      </c>
      <c r="D107" t="s">
        <v>8506</v>
      </c>
      <c r="E107" s="187">
        <v>2853</v>
      </c>
      <c r="F107" s="187">
        <v>0</v>
      </c>
      <c r="G107" s="187">
        <v>28.587699890136719</v>
      </c>
      <c r="H107" s="187">
        <v>0</v>
      </c>
      <c r="I107" s="187">
        <v>2.6629292221443598E-2</v>
      </c>
      <c r="J107" s="187">
        <v>0.35673515981735199</v>
      </c>
      <c r="K107" s="187">
        <v>0.13770147161878071</v>
      </c>
      <c r="L107" s="187">
        <v>66</v>
      </c>
      <c r="M107" s="187">
        <v>3.0040633678436279</v>
      </c>
      <c r="N107" s="187">
        <v>60</v>
      </c>
    </row>
    <row r="108" spans="1:14" hidden="1" x14ac:dyDescent="0.45">
      <c r="A108" t="s">
        <v>299</v>
      </c>
      <c r="B108" s="187">
        <v>2022</v>
      </c>
      <c r="C108" t="s">
        <v>8483</v>
      </c>
      <c r="D108" t="s">
        <v>8507</v>
      </c>
      <c r="E108" s="187">
        <v>0.10154300183057785</v>
      </c>
      <c r="F108" s="187">
        <v>0</v>
      </c>
      <c r="G108" s="187">
        <v>22.809253692626953</v>
      </c>
      <c r="H108" s="187">
        <v>0</v>
      </c>
      <c r="I108" s="187">
        <v>0</v>
      </c>
      <c r="J108" s="187">
        <v>0</v>
      </c>
      <c r="K108" s="187">
        <v>0</v>
      </c>
      <c r="L108" s="187">
        <v>0</v>
      </c>
      <c r="M108" s="187"/>
      <c r="N108" s="187">
        <v>60</v>
      </c>
    </row>
    <row r="109" spans="1:14" hidden="1" x14ac:dyDescent="0.45">
      <c r="A109" t="s">
        <v>299</v>
      </c>
      <c r="B109" s="187">
        <v>2022</v>
      </c>
      <c r="C109" t="s">
        <v>8483</v>
      </c>
      <c r="D109" t="s">
        <v>8508</v>
      </c>
      <c r="E109" s="187">
        <v>3.1384470462799072</v>
      </c>
      <c r="F109" s="187">
        <v>0</v>
      </c>
      <c r="G109" s="187">
        <v>36.282379150390625</v>
      </c>
      <c r="H109" s="187">
        <v>0</v>
      </c>
      <c r="I109" s="187">
        <v>0</v>
      </c>
      <c r="J109" s="187">
        <v>0</v>
      </c>
      <c r="K109" s="187">
        <v>0</v>
      </c>
      <c r="L109" s="187">
        <v>0</v>
      </c>
      <c r="M109" s="187">
        <v>3</v>
      </c>
      <c r="N109" s="187">
        <v>60</v>
      </c>
    </row>
    <row r="110" spans="1:14" hidden="1" x14ac:dyDescent="0.45">
      <c r="A110" t="s">
        <v>299</v>
      </c>
      <c r="B110" s="187">
        <v>2022</v>
      </c>
      <c r="C110" t="s">
        <v>8483</v>
      </c>
      <c r="D110" t="s">
        <v>8509</v>
      </c>
      <c r="E110" s="187">
        <v>71</v>
      </c>
      <c r="F110" s="187">
        <v>0</v>
      </c>
      <c r="G110" s="187">
        <v>27.265625</v>
      </c>
      <c r="H110" s="187">
        <v>0</v>
      </c>
      <c r="I110" s="187">
        <v>7.69230769230769E-2</v>
      </c>
      <c r="J110" s="187">
        <v>16.25</v>
      </c>
      <c r="K110" s="187">
        <v>0</v>
      </c>
      <c r="L110" s="187">
        <v>7</v>
      </c>
      <c r="M110" s="187">
        <v>3.384615421295166</v>
      </c>
      <c r="N110" s="187"/>
    </row>
    <row r="111" spans="1:14" hidden="1" x14ac:dyDescent="0.45">
      <c r="A111" t="s">
        <v>299</v>
      </c>
      <c r="B111" s="187">
        <v>2022</v>
      </c>
      <c r="C111" t="s">
        <v>8483</v>
      </c>
      <c r="D111" t="s">
        <v>8510</v>
      </c>
      <c r="E111" s="187">
        <v>209.78068542480469</v>
      </c>
      <c r="F111" s="187">
        <v>0</v>
      </c>
      <c r="G111" s="187">
        <v>39.233428955078125</v>
      </c>
      <c r="H111" s="187">
        <v>0</v>
      </c>
      <c r="I111" s="187">
        <v>0</v>
      </c>
      <c r="J111" s="187">
        <v>0</v>
      </c>
      <c r="K111" s="187">
        <v>0</v>
      </c>
      <c r="L111" s="187">
        <v>0.164072</v>
      </c>
      <c r="M111" s="187">
        <v>3</v>
      </c>
      <c r="N111" s="187">
        <v>60</v>
      </c>
    </row>
    <row r="112" spans="1:14" hidden="1" x14ac:dyDescent="0.45">
      <c r="A112" t="s">
        <v>299</v>
      </c>
      <c r="B112" s="187">
        <v>2022</v>
      </c>
      <c r="C112" t="s">
        <v>8483</v>
      </c>
      <c r="D112" t="s">
        <v>8511</v>
      </c>
      <c r="E112" s="187">
        <v>23.310787200927734</v>
      </c>
      <c r="F112" s="187">
        <v>0</v>
      </c>
      <c r="G112" s="187">
        <v>34.496501922607422</v>
      </c>
      <c r="H112" s="187">
        <v>0</v>
      </c>
      <c r="I112" s="187">
        <v>0</v>
      </c>
      <c r="J112" s="187">
        <v>0</v>
      </c>
      <c r="K112" s="187">
        <v>0</v>
      </c>
      <c r="L112" s="187">
        <v>0.11722100000000001</v>
      </c>
      <c r="M112" s="187">
        <v>3</v>
      </c>
      <c r="N112" s="187">
        <v>60</v>
      </c>
    </row>
    <row r="113" spans="1:14" hidden="1" x14ac:dyDescent="0.45">
      <c r="A113" t="s">
        <v>299</v>
      </c>
      <c r="B113" s="187">
        <v>2022</v>
      </c>
      <c r="C113" t="s">
        <v>8483</v>
      </c>
      <c r="D113" t="s">
        <v>8512</v>
      </c>
      <c r="E113" s="187">
        <v>100</v>
      </c>
      <c r="F113" s="187">
        <v>25</v>
      </c>
      <c r="G113" s="187">
        <v>28.979999542236328</v>
      </c>
      <c r="H113" s="187">
        <v>0</v>
      </c>
      <c r="I113" s="187">
        <v>0</v>
      </c>
      <c r="J113" s="187">
        <v>3.5204081632653099</v>
      </c>
      <c r="K113" s="187">
        <v>0</v>
      </c>
      <c r="L113" s="187">
        <v>0</v>
      </c>
      <c r="M113" s="187">
        <v>3</v>
      </c>
      <c r="N113" s="187">
        <v>35</v>
      </c>
    </row>
    <row r="114" spans="1:14" hidden="1" x14ac:dyDescent="0.45"/>
    <row r="115" spans="1:14" hidden="1" x14ac:dyDescent="0.45"/>
    <row r="116" spans="1:14" hidden="1" x14ac:dyDescent="0.45"/>
    <row r="117" spans="1:14" hidden="1" x14ac:dyDescent="0.45"/>
    <row r="118" spans="1:14" hidden="1" x14ac:dyDescent="0.45"/>
    <row r="119" spans="1:14" hidden="1" x14ac:dyDescent="0.45"/>
    <row r="120" spans="1:14" hidden="1" x14ac:dyDescent="0.45"/>
    <row r="121" spans="1:14" hidden="1" x14ac:dyDescent="0.45"/>
    <row r="122" spans="1:14" hidden="1" x14ac:dyDescent="0.45"/>
    <row r="123" spans="1:14" hidden="1" x14ac:dyDescent="0.45"/>
    <row r="124" spans="1:14" hidden="1" x14ac:dyDescent="0.45"/>
    <row r="125" spans="1:14" hidden="1" x14ac:dyDescent="0.45"/>
    <row r="126" spans="1:14" hidden="1" x14ac:dyDescent="0.45"/>
    <row r="127" spans="1:14" hidden="1" x14ac:dyDescent="0.45"/>
    <row r="128" spans="1:14" hidden="1" x14ac:dyDescent="0.45"/>
    <row r="129" hidden="1" x14ac:dyDescent="0.45"/>
    <row r="130" hidden="1" x14ac:dyDescent="0.45"/>
    <row r="131" hidden="1" x14ac:dyDescent="0.45"/>
    <row r="132" hidden="1" x14ac:dyDescent="0.45"/>
    <row r="133" hidden="1" x14ac:dyDescent="0.45"/>
    <row r="134" hidden="1" x14ac:dyDescent="0.45"/>
    <row r="135" hidden="1" x14ac:dyDescent="0.45"/>
    <row r="136" hidden="1" x14ac:dyDescent="0.45"/>
    <row r="137" hidden="1" x14ac:dyDescent="0.45"/>
    <row r="138" hidden="1" x14ac:dyDescent="0.45"/>
    <row r="139" hidden="1" x14ac:dyDescent="0.45"/>
    <row r="140" hidden="1" x14ac:dyDescent="0.45"/>
    <row r="141" hidden="1" x14ac:dyDescent="0.45"/>
    <row r="142" hidden="1" x14ac:dyDescent="0.45"/>
    <row r="143" hidden="1" x14ac:dyDescent="0.45"/>
    <row r="144" hidden="1" x14ac:dyDescent="0.45"/>
    <row r="145" hidden="1" x14ac:dyDescent="0.45"/>
    <row r="146" hidden="1" x14ac:dyDescent="0.45"/>
    <row r="147" hidden="1" x14ac:dyDescent="0.45"/>
    <row r="148" hidden="1" x14ac:dyDescent="0.45"/>
    <row r="149" hidden="1" x14ac:dyDescent="0.45"/>
    <row r="150" hidden="1" x14ac:dyDescent="0.45"/>
    <row r="151" hidden="1" x14ac:dyDescent="0.45"/>
    <row r="152" hidden="1" x14ac:dyDescent="0.45"/>
    <row r="153" hidden="1" x14ac:dyDescent="0.45"/>
    <row r="154" hidden="1" x14ac:dyDescent="0.45"/>
    <row r="155" hidden="1" x14ac:dyDescent="0.45"/>
    <row r="156" hidden="1" x14ac:dyDescent="0.45"/>
    <row r="157" hidden="1" x14ac:dyDescent="0.45"/>
    <row r="158" hidden="1" x14ac:dyDescent="0.45"/>
    <row r="159" hidden="1" x14ac:dyDescent="0.45"/>
    <row r="160" hidden="1" x14ac:dyDescent="0.45"/>
    <row r="161" hidden="1" x14ac:dyDescent="0.45"/>
    <row r="162" hidden="1" x14ac:dyDescent="0.45"/>
    <row r="163" hidden="1" x14ac:dyDescent="0.45"/>
    <row r="164" hidden="1" x14ac:dyDescent="0.45"/>
    <row r="165" hidden="1" x14ac:dyDescent="0.45"/>
    <row r="166" hidden="1" x14ac:dyDescent="0.45"/>
    <row r="167" hidden="1" x14ac:dyDescent="0.45"/>
    <row r="168" hidden="1" x14ac:dyDescent="0.45"/>
    <row r="169" hidden="1" x14ac:dyDescent="0.45"/>
    <row r="170" hidden="1" x14ac:dyDescent="0.45"/>
    <row r="171" hidden="1" x14ac:dyDescent="0.45"/>
    <row r="172" hidden="1" x14ac:dyDescent="0.45"/>
    <row r="173" hidden="1" x14ac:dyDescent="0.45"/>
    <row r="174" hidden="1" x14ac:dyDescent="0.45"/>
    <row r="175" hidden="1" x14ac:dyDescent="0.45"/>
    <row r="176" hidden="1" x14ac:dyDescent="0.45"/>
    <row r="177" hidden="1" x14ac:dyDescent="0.45"/>
    <row r="178" hidden="1" x14ac:dyDescent="0.45"/>
    <row r="179" hidden="1" x14ac:dyDescent="0.45"/>
    <row r="180" hidden="1" x14ac:dyDescent="0.45"/>
    <row r="181" hidden="1" x14ac:dyDescent="0.45"/>
    <row r="182" hidden="1" x14ac:dyDescent="0.45"/>
    <row r="183" hidden="1" x14ac:dyDescent="0.45"/>
    <row r="184" hidden="1" x14ac:dyDescent="0.45"/>
    <row r="185" hidden="1" x14ac:dyDescent="0.45"/>
    <row r="186" hidden="1" x14ac:dyDescent="0.45"/>
    <row r="187" hidden="1" x14ac:dyDescent="0.45"/>
    <row r="188" hidden="1" x14ac:dyDescent="0.45"/>
    <row r="189" hidden="1" x14ac:dyDescent="0.45"/>
    <row r="190" hidden="1" x14ac:dyDescent="0.45"/>
    <row r="191" hidden="1" x14ac:dyDescent="0.45"/>
    <row r="192" hidden="1" x14ac:dyDescent="0.45"/>
    <row r="193" hidden="1" x14ac:dyDescent="0.45"/>
    <row r="194" hidden="1" x14ac:dyDescent="0.45"/>
    <row r="195" hidden="1" x14ac:dyDescent="0.45"/>
    <row r="196" hidden="1" x14ac:dyDescent="0.45"/>
    <row r="197" hidden="1" x14ac:dyDescent="0.45"/>
    <row r="198" hidden="1" x14ac:dyDescent="0.45"/>
    <row r="199" hidden="1" x14ac:dyDescent="0.45"/>
    <row r="200" hidden="1" x14ac:dyDescent="0.45"/>
    <row r="201" hidden="1" x14ac:dyDescent="0.45"/>
    <row r="202" hidden="1" x14ac:dyDescent="0.45"/>
    <row r="203" hidden="1" x14ac:dyDescent="0.45"/>
    <row r="204" hidden="1" x14ac:dyDescent="0.45"/>
    <row r="205" hidden="1" x14ac:dyDescent="0.45"/>
    <row r="206" hidden="1" x14ac:dyDescent="0.45"/>
    <row r="207" hidden="1" x14ac:dyDescent="0.45"/>
    <row r="208" hidden="1" x14ac:dyDescent="0.45"/>
    <row r="209" hidden="1" x14ac:dyDescent="0.45"/>
    <row r="210" hidden="1" x14ac:dyDescent="0.45"/>
    <row r="211" hidden="1" x14ac:dyDescent="0.45"/>
    <row r="212" hidden="1" x14ac:dyDescent="0.45"/>
    <row r="213" hidden="1" x14ac:dyDescent="0.45"/>
    <row r="214" hidden="1" x14ac:dyDescent="0.45"/>
    <row r="215" hidden="1" x14ac:dyDescent="0.45"/>
    <row r="216" hidden="1" x14ac:dyDescent="0.45"/>
    <row r="217" hidden="1" x14ac:dyDescent="0.45"/>
    <row r="218" hidden="1" x14ac:dyDescent="0.45"/>
    <row r="219" hidden="1" x14ac:dyDescent="0.45"/>
    <row r="220" hidden="1" x14ac:dyDescent="0.45"/>
    <row r="221" hidden="1" x14ac:dyDescent="0.45"/>
    <row r="222" hidden="1" x14ac:dyDescent="0.45"/>
    <row r="223" hidden="1" x14ac:dyDescent="0.45"/>
    <row r="224" hidden="1" x14ac:dyDescent="0.45"/>
    <row r="225" hidden="1" x14ac:dyDescent="0.45"/>
  </sheetData>
  <autoFilter ref="A1:O225" xr:uid="{00000000-0009-0000-0000-000005000000}">
    <filterColumn colId="0">
      <filters>
        <filter val="Powerco"/>
      </filters>
    </filterColumn>
  </autoFilter>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sheetPr>
  <dimension ref="A1:I21"/>
  <sheetViews>
    <sheetView zoomScale="85" zoomScaleNormal="85" workbookViewId="0">
      <selection activeCell="F46" activeCellId="1" sqref="K91 F46"/>
    </sheetView>
  </sheetViews>
  <sheetFormatPr defaultRowHeight="14.25" x14ac:dyDescent="0.45"/>
  <cols>
    <col min="15" max="15" width="5.73046875" bestFit="1" customWidth="1"/>
  </cols>
  <sheetData>
    <row r="1" spans="1:9" x14ac:dyDescent="0.45">
      <c r="A1" t="s">
        <v>8518</v>
      </c>
      <c r="B1" t="s">
        <v>307</v>
      </c>
      <c r="C1" t="s">
        <v>266</v>
      </c>
      <c r="D1" t="s">
        <v>156</v>
      </c>
      <c r="E1" t="s">
        <v>32</v>
      </c>
      <c r="F1" t="s">
        <v>299</v>
      </c>
      <c r="G1" t="s">
        <v>298</v>
      </c>
      <c r="H1" t="s">
        <v>300</v>
      </c>
      <c r="I1" t="s">
        <v>33</v>
      </c>
    </row>
    <row r="2" spans="1:9" x14ac:dyDescent="0.45">
      <c r="A2" t="s">
        <v>219</v>
      </c>
      <c r="B2" s="187">
        <v>2013</v>
      </c>
      <c r="C2" s="187"/>
      <c r="D2" s="187">
        <v>885</v>
      </c>
      <c r="E2" s="187">
        <v>12871.763671875</v>
      </c>
      <c r="F2" s="187">
        <v>19592</v>
      </c>
      <c r="G2" s="187">
        <v>33348.765625</v>
      </c>
      <c r="H2" s="187">
        <v>19592</v>
      </c>
      <c r="I2" t="s">
        <v>8519</v>
      </c>
    </row>
    <row r="3" spans="1:9" x14ac:dyDescent="0.45">
      <c r="A3" t="s">
        <v>192</v>
      </c>
      <c r="B3" s="187">
        <v>2013</v>
      </c>
      <c r="C3" s="187"/>
      <c r="D3" s="187">
        <v>1280</v>
      </c>
      <c r="E3" s="187">
        <v>13818.9248046875</v>
      </c>
      <c r="F3" s="187">
        <v>8098</v>
      </c>
      <c r="G3" s="187">
        <v>23196.92578125</v>
      </c>
      <c r="H3" s="187">
        <v>8098</v>
      </c>
      <c r="I3" t="s">
        <v>8520</v>
      </c>
    </row>
    <row r="4" spans="1:9" x14ac:dyDescent="0.45">
      <c r="A4" t="s">
        <v>219</v>
      </c>
      <c r="B4" s="187">
        <v>2014</v>
      </c>
      <c r="C4" s="187"/>
      <c r="D4" s="187">
        <v>912</v>
      </c>
      <c r="E4" s="187">
        <v>14414.74609375</v>
      </c>
      <c r="F4" s="187">
        <v>16270.2197265625</v>
      </c>
      <c r="G4" s="187">
        <v>31596.96484375</v>
      </c>
      <c r="H4" s="187">
        <v>16270.2197265625</v>
      </c>
      <c r="I4" t="s">
        <v>8521</v>
      </c>
    </row>
    <row r="5" spans="1:9" x14ac:dyDescent="0.45">
      <c r="A5" t="s">
        <v>192</v>
      </c>
      <c r="B5" s="187">
        <v>2014</v>
      </c>
      <c r="C5" s="187"/>
      <c r="D5" s="187">
        <v>1259</v>
      </c>
      <c r="E5" s="187">
        <v>14368.763671875</v>
      </c>
      <c r="F5" s="187">
        <v>9484.7900390625</v>
      </c>
      <c r="G5" s="187">
        <v>25112.5546875</v>
      </c>
      <c r="H5" s="187">
        <v>9484.7900390625</v>
      </c>
      <c r="I5" t="s">
        <v>8522</v>
      </c>
    </row>
    <row r="6" spans="1:9" x14ac:dyDescent="0.45">
      <c r="A6" t="s">
        <v>219</v>
      </c>
      <c r="B6" s="187">
        <v>2015</v>
      </c>
      <c r="C6" s="187"/>
      <c r="D6" s="187">
        <v>1030</v>
      </c>
      <c r="E6" s="187">
        <v>14233.0595703125</v>
      </c>
      <c r="F6" s="187">
        <v>15475</v>
      </c>
      <c r="G6" s="187">
        <v>30738.05859375</v>
      </c>
      <c r="H6" s="187">
        <v>15475</v>
      </c>
      <c r="I6" t="s">
        <v>8523</v>
      </c>
    </row>
    <row r="7" spans="1:9" x14ac:dyDescent="0.45">
      <c r="A7" t="s">
        <v>192</v>
      </c>
      <c r="B7" s="187">
        <v>2015</v>
      </c>
      <c r="C7" s="187"/>
      <c r="D7" s="187">
        <v>1289</v>
      </c>
      <c r="E7" s="187">
        <v>15898.18359375</v>
      </c>
      <c r="F7" s="187">
        <v>10750</v>
      </c>
      <c r="G7" s="187">
        <v>27937.18359375</v>
      </c>
      <c r="H7" s="187">
        <v>10750</v>
      </c>
      <c r="I7" t="s">
        <v>8524</v>
      </c>
    </row>
    <row r="8" spans="1:9" x14ac:dyDescent="0.45">
      <c r="A8" t="s">
        <v>219</v>
      </c>
      <c r="B8" s="187">
        <v>2016</v>
      </c>
      <c r="C8" s="187">
        <v>8861</v>
      </c>
      <c r="D8" s="187">
        <v>933</v>
      </c>
      <c r="E8" s="187">
        <v>14238.7158203125</v>
      </c>
      <c r="F8" s="187">
        <v>16874</v>
      </c>
      <c r="G8" s="187">
        <v>40906.71484375</v>
      </c>
      <c r="H8" s="187">
        <v>25735</v>
      </c>
      <c r="I8" t="s">
        <v>8525</v>
      </c>
    </row>
    <row r="9" spans="1:9" x14ac:dyDescent="0.45">
      <c r="A9" t="s">
        <v>192</v>
      </c>
      <c r="B9" s="187">
        <v>2016</v>
      </c>
      <c r="C9" s="187">
        <v>6982</v>
      </c>
      <c r="D9" s="187">
        <v>1289</v>
      </c>
      <c r="E9" s="187">
        <v>16427.61328125</v>
      </c>
      <c r="F9" s="187">
        <v>11948</v>
      </c>
      <c r="G9" s="187">
        <v>36646.61328125</v>
      </c>
      <c r="H9" s="187">
        <v>18930</v>
      </c>
      <c r="I9" t="s">
        <v>8526</v>
      </c>
    </row>
    <row r="10" spans="1:9" x14ac:dyDescent="0.45">
      <c r="A10" t="s">
        <v>219</v>
      </c>
      <c r="B10" s="187">
        <v>2017</v>
      </c>
      <c r="C10" s="187">
        <v>13715.470703125</v>
      </c>
      <c r="D10" s="187">
        <v>1099</v>
      </c>
      <c r="E10" s="187">
        <v>16288.1064453125</v>
      </c>
      <c r="F10" s="187">
        <v>17314</v>
      </c>
      <c r="G10" s="187">
        <v>48416.578125</v>
      </c>
      <c r="H10" s="187">
        <v>31029.470703125</v>
      </c>
      <c r="I10" t="s">
        <v>8527</v>
      </c>
    </row>
    <row r="11" spans="1:9" x14ac:dyDescent="0.45">
      <c r="A11" t="s">
        <v>192</v>
      </c>
      <c r="B11" s="187">
        <v>2017</v>
      </c>
      <c r="C11" s="187">
        <v>9394.5244140625</v>
      </c>
      <c r="D11" s="187">
        <v>1330</v>
      </c>
      <c r="E11" s="187">
        <v>16249.8056640625</v>
      </c>
      <c r="F11" s="187">
        <v>12572</v>
      </c>
      <c r="G11" s="187">
        <v>39546.328125</v>
      </c>
      <c r="H11" s="187">
        <v>21966.5234375</v>
      </c>
      <c r="I11" t="s">
        <v>8528</v>
      </c>
    </row>
    <row r="12" spans="1:9" x14ac:dyDescent="0.45">
      <c r="A12" t="s">
        <v>219</v>
      </c>
      <c r="B12" s="187">
        <v>2018</v>
      </c>
      <c r="C12" s="187">
        <v>7680.3369140625</v>
      </c>
      <c r="D12" s="187">
        <v>1055</v>
      </c>
      <c r="E12" s="187">
        <v>13426.453125</v>
      </c>
      <c r="F12" s="187">
        <v>14792</v>
      </c>
      <c r="G12" s="187">
        <v>36953.7890625</v>
      </c>
      <c r="H12" s="187">
        <v>22472.3359375</v>
      </c>
      <c r="I12" t="s">
        <v>8529</v>
      </c>
    </row>
    <row r="13" spans="1:9" x14ac:dyDescent="0.45">
      <c r="A13" t="s">
        <v>192</v>
      </c>
      <c r="B13" s="187">
        <v>2018</v>
      </c>
      <c r="C13" s="187">
        <v>7305.10107421875</v>
      </c>
      <c r="D13" s="187">
        <v>1147</v>
      </c>
      <c r="E13" s="187">
        <v>16671.890625</v>
      </c>
      <c r="F13" s="187">
        <v>12913</v>
      </c>
      <c r="G13" s="187">
        <v>38036.9921875</v>
      </c>
      <c r="H13" s="187">
        <v>20218.1015625</v>
      </c>
      <c r="I13" t="s">
        <v>8530</v>
      </c>
    </row>
    <row r="14" spans="1:9" x14ac:dyDescent="0.45">
      <c r="A14" t="s">
        <v>219</v>
      </c>
      <c r="B14" s="187">
        <v>2019</v>
      </c>
      <c r="C14" s="187">
        <v>7354.42919921875</v>
      </c>
      <c r="D14" s="187">
        <v>1093</v>
      </c>
      <c r="E14" s="187">
        <v>13722.5859375</v>
      </c>
      <c r="F14" s="187">
        <v>13230</v>
      </c>
      <c r="G14" s="187">
        <v>35400.015625</v>
      </c>
      <c r="H14" s="187">
        <v>20584.4296875</v>
      </c>
      <c r="I14" t="s">
        <v>8531</v>
      </c>
    </row>
    <row r="15" spans="1:9" x14ac:dyDescent="0.45">
      <c r="A15" t="s">
        <v>192</v>
      </c>
      <c r="B15" s="187">
        <v>2019</v>
      </c>
      <c r="C15" s="187">
        <v>7547.0556640625</v>
      </c>
      <c r="D15" s="187">
        <v>1171</v>
      </c>
      <c r="E15" s="187">
        <v>17389.251953125</v>
      </c>
      <c r="F15" s="187">
        <v>13294</v>
      </c>
      <c r="G15" s="187">
        <v>39401.30859375</v>
      </c>
      <c r="H15" s="187">
        <v>20841.0546875</v>
      </c>
      <c r="I15" t="s">
        <v>8532</v>
      </c>
    </row>
    <row r="16" spans="1:9" x14ac:dyDescent="0.45">
      <c r="A16" t="s">
        <v>219</v>
      </c>
      <c r="B16" s="187">
        <v>2020</v>
      </c>
      <c r="C16" s="187">
        <v>7542.73876953125</v>
      </c>
      <c r="D16" s="187">
        <v>1098.431396484375</v>
      </c>
      <c r="E16" s="187">
        <v>14302.44921875</v>
      </c>
      <c r="F16" s="187">
        <v>13041</v>
      </c>
      <c r="G16" s="187">
        <v>35984.6171875</v>
      </c>
      <c r="H16" s="187">
        <v>20583.73828125</v>
      </c>
      <c r="I16" t="s">
        <v>8533</v>
      </c>
    </row>
    <row r="17" spans="1:9" x14ac:dyDescent="0.45">
      <c r="A17" t="s">
        <v>192</v>
      </c>
      <c r="B17" s="187">
        <v>2020</v>
      </c>
      <c r="C17" s="187">
        <v>7986.39208984375</v>
      </c>
      <c r="D17" s="187">
        <v>1206.8175048828125</v>
      </c>
      <c r="E17" s="187">
        <v>18019.77734375</v>
      </c>
      <c r="F17" s="187">
        <v>14495</v>
      </c>
      <c r="G17" s="187">
        <v>41707.98828125</v>
      </c>
      <c r="H17" s="187">
        <v>22481.392578125</v>
      </c>
      <c r="I17" t="s">
        <v>8534</v>
      </c>
    </row>
    <row r="18" spans="1:9" x14ac:dyDescent="0.45">
      <c r="A18" t="s">
        <v>219</v>
      </c>
      <c r="B18" s="187">
        <v>2021</v>
      </c>
      <c r="C18" s="187">
        <v>7550</v>
      </c>
      <c r="D18" s="187">
        <v>1072.013671875</v>
      </c>
      <c r="E18" s="187">
        <v>14591.6376953125</v>
      </c>
      <c r="F18" s="187">
        <v>13150</v>
      </c>
      <c r="G18" s="187">
        <v>36363.65234375</v>
      </c>
      <c r="H18" s="187">
        <v>20700</v>
      </c>
      <c r="I18" t="s">
        <v>8535</v>
      </c>
    </row>
    <row r="19" spans="1:9" x14ac:dyDescent="0.45">
      <c r="A19" t="s">
        <v>192</v>
      </c>
      <c r="B19" s="187">
        <v>2021</v>
      </c>
      <c r="C19" s="187">
        <v>8285</v>
      </c>
      <c r="D19" s="187">
        <v>1208.6292724609375</v>
      </c>
      <c r="E19" s="187">
        <v>18391.7265625</v>
      </c>
      <c r="F19" s="187">
        <v>15491</v>
      </c>
      <c r="G19" s="187">
        <v>43376.35546875</v>
      </c>
      <c r="H19" s="187">
        <v>23776</v>
      </c>
      <c r="I19" t="s">
        <v>8536</v>
      </c>
    </row>
    <row r="20" spans="1:9" x14ac:dyDescent="0.45">
      <c r="A20" t="s">
        <v>219</v>
      </c>
      <c r="B20" s="187">
        <v>2022</v>
      </c>
      <c r="C20" s="187">
        <v>7298.51123046875</v>
      </c>
      <c r="D20" s="187">
        <v>1069</v>
      </c>
      <c r="E20" s="187">
        <v>14076.1513671875</v>
      </c>
      <c r="F20" s="187">
        <v>12423</v>
      </c>
      <c r="G20" s="187">
        <v>34866.6640625</v>
      </c>
      <c r="H20" s="187">
        <v>19721.51171875</v>
      </c>
      <c r="I20" t="s">
        <v>9523</v>
      </c>
    </row>
    <row r="21" spans="1:9" x14ac:dyDescent="0.45">
      <c r="A21" t="s">
        <v>192</v>
      </c>
      <c r="B21" s="187">
        <v>2022</v>
      </c>
      <c r="C21" s="187">
        <v>8569.0302734375</v>
      </c>
      <c r="D21" s="187">
        <v>1230</v>
      </c>
      <c r="E21" s="187">
        <v>19006.5703125</v>
      </c>
      <c r="F21" s="187">
        <v>16198</v>
      </c>
      <c r="G21" s="187">
        <v>45003.6015625</v>
      </c>
      <c r="H21" s="187">
        <v>24767.03125</v>
      </c>
      <c r="I21" t="s">
        <v>9524</v>
      </c>
    </row>
  </sheetData>
  <autoFilter ref="A1:J29" xr:uid="{A3BDD0A6-1563-4A4F-8B98-C445AD5999F9}"/>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8" tint="0.39997558519241921"/>
  </sheetPr>
  <dimension ref="A1:J78"/>
  <sheetViews>
    <sheetView workbookViewId="0">
      <pane ySplit="1" topLeftCell="A2" activePane="bottomLeft" state="frozen"/>
      <selection activeCell="F46" activeCellId="1" sqref="K91 F46"/>
      <selection pane="bottomLeft" activeCell="F46" activeCellId="1" sqref="K91 F46"/>
    </sheetView>
  </sheetViews>
  <sheetFormatPr defaultRowHeight="14.25" x14ac:dyDescent="0.45"/>
  <sheetData>
    <row r="1" spans="1:10" x14ac:dyDescent="0.45">
      <c r="A1" t="s">
        <v>169</v>
      </c>
      <c r="B1" t="s">
        <v>203</v>
      </c>
      <c r="C1" t="s">
        <v>204</v>
      </c>
      <c r="D1" t="s">
        <v>8537</v>
      </c>
      <c r="E1" t="s">
        <v>29</v>
      </c>
      <c r="F1" t="s">
        <v>8538</v>
      </c>
      <c r="G1" t="s">
        <v>187</v>
      </c>
      <c r="H1" t="s">
        <v>205</v>
      </c>
      <c r="I1" t="s">
        <v>185</v>
      </c>
      <c r="J1" t="s">
        <v>186</v>
      </c>
    </row>
    <row r="2" spans="1:10" x14ac:dyDescent="0.45">
      <c r="A2" t="s">
        <v>266</v>
      </c>
      <c r="B2" s="187">
        <v>2016</v>
      </c>
      <c r="C2" t="s">
        <v>34</v>
      </c>
      <c r="D2" t="s">
        <v>157</v>
      </c>
      <c r="E2" t="s">
        <v>8557</v>
      </c>
      <c r="F2" t="s">
        <v>8539</v>
      </c>
      <c r="G2" s="187">
        <v>57</v>
      </c>
      <c r="H2" s="187">
        <v>0.51</v>
      </c>
      <c r="I2" s="187">
        <v>0.94740000000000002</v>
      </c>
      <c r="J2" s="187">
        <v>1</v>
      </c>
    </row>
    <row r="3" spans="1:10" x14ac:dyDescent="0.45">
      <c r="A3" t="s">
        <v>266</v>
      </c>
      <c r="B3" s="187">
        <v>2017</v>
      </c>
      <c r="C3" t="s">
        <v>34</v>
      </c>
      <c r="D3" t="s">
        <v>157</v>
      </c>
      <c r="E3" t="s">
        <v>8557</v>
      </c>
      <c r="F3" t="s">
        <v>8540</v>
      </c>
      <c r="G3" s="187">
        <v>65</v>
      </c>
      <c r="H3" s="187">
        <v>0.71666666666666667</v>
      </c>
      <c r="I3" s="187">
        <v>0.94310000000000005</v>
      </c>
      <c r="J3" s="187">
        <v>1</v>
      </c>
    </row>
    <row r="4" spans="1:10" x14ac:dyDescent="0.45">
      <c r="A4" t="s">
        <v>266</v>
      </c>
      <c r="B4" s="187">
        <v>2018</v>
      </c>
      <c r="C4" t="s">
        <v>34</v>
      </c>
      <c r="D4" t="s">
        <v>157</v>
      </c>
      <c r="E4" t="s">
        <v>8557</v>
      </c>
      <c r="F4" t="s">
        <v>8540</v>
      </c>
      <c r="G4" s="187">
        <v>54</v>
      </c>
      <c r="H4" s="187">
        <v>0.62</v>
      </c>
      <c r="I4" s="187">
        <v>0.88888888888888884</v>
      </c>
      <c r="J4" s="187">
        <v>1</v>
      </c>
    </row>
    <row r="5" spans="1:10" x14ac:dyDescent="0.45">
      <c r="A5" t="s">
        <v>266</v>
      </c>
      <c r="B5" s="187">
        <v>2019</v>
      </c>
      <c r="C5" t="s">
        <v>34</v>
      </c>
      <c r="D5" t="s">
        <v>157</v>
      </c>
      <c r="E5" t="s">
        <v>8557</v>
      </c>
      <c r="F5" t="s">
        <v>8541</v>
      </c>
      <c r="G5" s="187">
        <v>57</v>
      </c>
      <c r="H5" s="187">
        <v>0.46</v>
      </c>
      <c r="I5" s="187">
        <v>0.95</v>
      </c>
      <c r="J5" s="187">
        <v>1</v>
      </c>
    </row>
    <row r="6" spans="1:10" x14ac:dyDescent="0.45">
      <c r="A6" t="s">
        <v>266</v>
      </c>
      <c r="B6" s="187">
        <v>2020</v>
      </c>
      <c r="C6" t="s">
        <v>34</v>
      </c>
      <c r="D6" t="s">
        <v>157</v>
      </c>
      <c r="E6" t="s">
        <v>8557</v>
      </c>
      <c r="F6" t="s">
        <v>8541</v>
      </c>
      <c r="G6" s="187">
        <v>60</v>
      </c>
      <c r="H6" s="187">
        <v>0.57407407391687026</v>
      </c>
      <c r="I6" s="187">
        <v>0.8833333333333333</v>
      </c>
      <c r="J6" s="187">
        <v>1</v>
      </c>
    </row>
    <row r="7" spans="1:10" x14ac:dyDescent="0.45">
      <c r="A7" t="s">
        <v>266</v>
      </c>
      <c r="B7" s="187">
        <v>2021</v>
      </c>
      <c r="C7" t="s">
        <v>34</v>
      </c>
      <c r="D7" t="s">
        <v>157</v>
      </c>
      <c r="E7" t="s">
        <v>8557</v>
      </c>
      <c r="F7" t="s">
        <v>8541</v>
      </c>
      <c r="G7" s="187">
        <v>68</v>
      </c>
      <c r="H7" s="187">
        <v>0.55000000000000004</v>
      </c>
      <c r="I7" s="187">
        <v>0.9</v>
      </c>
      <c r="J7" s="187">
        <v>1</v>
      </c>
    </row>
    <row r="8" spans="1:10" x14ac:dyDescent="0.45">
      <c r="A8" t="s">
        <v>266</v>
      </c>
      <c r="B8" s="187">
        <v>2022</v>
      </c>
      <c r="C8" t="s">
        <v>34</v>
      </c>
      <c r="D8" t="s">
        <v>157</v>
      </c>
      <c r="E8" t="s">
        <v>8557</v>
      </c>
      <c r="F8" t="s">
        <v>8541</v>
      </c>
      <c r="G8" s="187">
        <v>69</v>
      </c>
      <c r="H8" s="187">
        <v>0.56215780983557517</v>
      </c>
      <c r="I8" s="187">
        <v>0.89855072463768115</v>
      </c>
      <c r="J8" s="187">
        <v>1</v>
      </c>
    </row>
    <row r="9" spans="1:10" x14ac:dyDescent="0.45">
      <c r="A9" t="s">
        <v>156</v>
      </c>
      <c r="B9" s="187">
        <v>2013</v>
      </c>
      <c r="C9" t="s">
        <v>34</v>
      </c>
      <c r="D9" t="s">
        <v>157</v>
      </c>
      <c r="E9" t="s">
        <v>8557</v>
      </c>
      <c r="F9" t="s">
        <v>8542</v>
      </c>
      <c r="G9" s="187">
        <v>6</v>
      </c>
      <c r="H9" s="187">
        <v>0.13</v>
      </c>
      <c r="I9" s="187">
        <v>1</v>
      </c>
      <c r="J9" s="187">
        <v>0</v>
      </c>
    </row>
    <row r="10" spans="1:10" x14ac:dyDescent="0.45">
      <c r="A10" t="s">
        <v>156</v>
      </c>
      <c r="B10" s="187">
        <v>2014</v>
      </c>
      <c r="C10" t="s">
        <v>34</v>
      </c>
      <c r="D10" t="s">
        <v>157</v>
      </c>
      <c r="E10" t="s">
        <v>8557</v>
      </c>
      <c r="F10" t="s">
        <v>8543</v>
      </c>
      <c r="G10" s="187">
        <v>2</v>
      </c>
      <c r="H10" s="187">
        <v>0.17</v>
      </c>
      <c r="I10" s="187">
        <v>1</v>
      </c>
      <c r="J10" s="187">
        <v>1</v>
      </c>
    </row>
    <row r="11" spans="1:10" x14ac:dyDescent="0.45">
      <c r="A11" t="s">
        <v>156</v>
      </c>
      <c r="B11" s="187">
        <v>2015</v>
      </c>
      <c r="C11" t="s">
        <v>34</v>
      </c>
      <c r="D11" t="s">
        <v>157</v>
      </c>
      <c r="E11" t="s">
        <v>8557</v>
      </c>
      <c r="F11" t="s">
        <v>8543</v>
      </c>
      <c r="G11" s="187">
        <v>2</v>
      </c>
      <c r="H11" s="187">
        <v>0.25829999999999997</v>
      </c>
      <c r="I11" s="187">
        <v>1</v>
      </c>
      <c r="J11" s="187">
        <v>1</v>
      </c>
    </row>
    <row r="12" spans="1:10" x14ac:dyDescent="0.45">
      <c r="A12" t="s">
        <v>156</v>
      </c>
      <c r="B12" s="187">
        <v>2016</v>
      </c>
      <c r="C12" t="s">
        <v>34</v>
      </c>
      <c r="D12" t="s">
        <v>157</v>
      </c>
      <c r="E12" t="s">
        <v>8557</v>
      </c>
      <c r="F12" t="s">
        <v>8543</v>
      </c>
      <c r="G12" s="187">
        <v>4</v>
      </c>
      <c r="H12" s="187">
        <v>0.26250000000000001</v>
      </c>
      <c r="I12" s="187">
        <v>1</v>
      </c>
      <c r="J12" s="187">
        <v>1</v>
      </c>
    </row>
    <row r="13" spans="1:10" x14ac:dyDescent="0.45">
      <c r="A13" t="s">
        <v>156</v>
      </c>
      <c r="B13" s="187">
        <v>2017</v>
      </c>
      <c r="C13" t="s">
        <v>34</v>
      </c>
      <c r="D13" t="s">
        <v>157</v>
      </c>
      <c r="E13" t="s">
        <v>8557</v>
      </c>
      <c r="F13" t="s">
        <v>8544</v>
      </c>
      <c r="G13" s="187">
        <v>3</v>
      </c>
      <c r="H13" s="187">
        <v>0.222</v>
      </c>
      <c r="I13" s="187">
        <v>1</v>
      </c>
      <c r="J13" s="187">
        <v>1</v>
      </c>
    </row>
    <row r="14" spans="1:10" x14ac:dyDescent="0.45">
      <c r="A14" t="s">
        <v>156</v>
      </c>
      <c r="B14" s="187">
        <v>2018</v>
      </c>
      <c r="C14" t="s">
        <v>34</v>
      </c>
      <c r="D14" t="s">
        <v>157</v>
      </c>
      <c r="E14" t="s">
        <v>8557</v>
      </c>
      <c r="F14" t="s">
        <v>8544</v>
      </c>
      <c r="G14" s="187">
        <v>3</v>
      </c>
      <c r="H14" s="187">
        <v>0.2944</v>
      </c>
      <c r="I14" s="187">
        <v>1</v>
      </c>
      <c r="J14" s="187">
        <v>1</v>
      </c>
    </row>
    <row r="15" spans="1:10" x14ac:dyDescent="0.45">
      <c r="A15" t="s">
        <v>156</v>
      </c>
      <c r="B15" s="187">
        <v>2019</v>
      </c>
      <c r="C15" t="s">
        <v>34</v>
      </c>
      <c r="D15" t="s">
        <v>157</v>
      </c>
      <c r="E15" t="s">
        <v>8557</v>
      </c>
      <c r="F15" t="s">
        <v>8544</v>
      </c>
      <c r="G15" s="187">
        <v>2</v>
      </c>
      <c r="H15" s="187">
        <v>0.50829999999999997</v>
      </c>
      <c r="I15" s="187">
        <v>1</v>
      </c>
      <c r="J15" s="187">
        <v>1</v>
      </c>
    </row>
    <row r="16" spans="1:10" x14ac:dyDescent="0.45">
      <c r="A16" t="s">
        <v>156</v>
      </c>
      <c r="B16" s="187">
        <v>2020</v>
      </c>
      <c r="C16" t="s">
        <v>34</v>
      </c>
      <c r="D16" t="s">
        <v>157</v>
      </c>
      <c r="E16" t="s">
        <v>8557</v>
      </c>
      <c r="F16" t="s">
        <v>8545</v>
      </c>
      <c r="G16" s="187">
        <v>6</v>
      </c>
      <c r="H16" s="187">
        <v>0.26</v>
      </c>
      <c r="I16" s="187">
        <v>1</v>
      </c>
      <c r="J16" s="187">
        <v>1</v>
      </c>
    </row>
    <row r="17" spans="1:10" x14ac:dyDescent="0.45">
      <c r="A17" t="s">
        <v>156</v>
      </c>
      <c r="B17" s="187">
        <v>2021</v>
      </c>
      <c r="C17" t="s">
        <v>34</v>
      </c>
      <c r="D17" t="s">
        <v>157</v>
      </c>
      <c r="E17" t="s">
        <v>8557</v>
      </c>
      <c r="F17" t="s">
        <v>8544</v>
      </c>
      <c r="G17" s="187">
        <v>2</v>
      </c>
      <c r="H17" s="187">
        <v>0.15</v>
      </c>
      <c r="I17" s="187">
        <v>1</v>
      </c>
      <c r="J17" s="187">
        <v>1</v>
      </c>
    </row>
    <row r="18" spans="1:10" x14ac:dyDescent="0.45">
      <c r="A18" t="s">
        <v>156</v>
      </c>
      <c r="B18" s="187">
        <v>2022</v>
      </c>
      <c r="C18" t="s">
        <v>34</v>
      </c>
      <c r="D18" t="s">
        <v>157</v>
      </c>
      <c r="E18" t="s">
        <v>8557</v>
      </c>
      <c r="F18" t="s">
        <v>8544</v>
      </c>
      <c r="G18" s="187">
        <v>2</v>
      </c>
      <c r="H18" s="187">
        <v>0.17499999999999999</v>
      </c>
      <c r="I18" s="187">
        <v>1</v>
      </c>
      <c r="J18" s="187">
        <v>1</v>
      </c>
    </row>
    <row r="19" spans="1:10" x14ac:dyDescent="0.45">
      <c r="A19" t="s">
        <v>32</v>
      </c>
      <c r="B19" s="187">
        <v>2013</v>
      </c>
      <c r="C19" t="s">
        <v>34</v>
      </c>
      <c r="D19" t="s">
        <v>157</v>
      </c>
      <c r="E19" t="s">
        <v>8557</v>
      </c>
      <c r="F19" t="s">
        <v>8546</v>
      </c>
      <c r="G19" s="187">
        <v>6</v>
      </c>
      <c r="H19" s="187">
        <v>0.32953703703703707</v>
      </c>
      <c r="I19" s="187">
        <v>1</v>
      </c>
      <c r="J19" s="187">
        <v>1</v>
      </c>
    </row>
    <row r="20" spans="1:10" x14ac:dyDescent="0.45">
      <c r="A20" t="s">
        <v>32</v>
      </c>
      <c r="B20" s="187">
        <v>2013</v>
      </c>
      <c r="C20" t="s">
        <v>34</v>
      </c>
      <c r="D20" t="s">
        <v>157</v>
      </c>
      <c r="E20" t="s">
        <v>8557</v>
      </c>
      <c r="F20" t="s">
        <v>8547</v>
      </c>
      <c r="G20" s="187">
        <v>11</v>
      </c>
      <c r="H20" s="187">
        <v>0.42883838383838419</v>
      </c>
      <c r="I20" s="187">
        <v>0.90909090909090906</v>
      </c>
      <c r="J20" s="187">
        <v>1</v>
      </c>
    </row>
    <row r="21" spans="1:10" x14ac:dyDescent="0.45">
      <c r="A21" t="s">
        <v>32</v>
      </c>
      <c r="B21" s="187">
        <v>2013</v>
      </c>
      <c r="C21" t="s">
        <v>34</v>
      </c>
      <c r="D21" t="s">
        <v>157</v>
      </c>
      <c r="E21" t="s">
        <v>8557</v>
      </c>
      <c r="F21" t="s">
        <v>8548</v>
      </c>
      <c r="G21" s="187">
        <v>4</v>
      </c>
      <c r="H21" s="187">
        <v>0.24236111111111119</v>
      </c>
      <c r="I21" s="187">
        <v>1</v>
      </c>
      <c r="J21" s="187">
        <v>1</v>
      </c>
    </row>
    <row r="22" spans="1:10" x14ac:dyDescent="0.45">
      <c r="A22" t="s">
        <v>32</v>
      </c>
      <c r="B22" s="187">
        <v>2013</v>
      </c>
      <c r="C22" t="s">
        <v>34</v>
      </c>
      <c r="D22" t="s">
        <v>157</v>
      </c>
      <c r="E22" t="s">
        <v>8557</v>
      </c>
      <c r="F22" t="s">
        <v>8549</v>
      </c>
      <c r="G22" s="187">
        <v>5</v>
      </c>
      <c r="H22" s="187">
        <v>0.40722222222222187</v>
      </c>
      <c r="I22" s="187">
        <v>0.8</v>
      </c>
      <c r="J22" s="187">
        <v>1</v>
      </c>
    </row>
    <row r="23" spans="1:10" x14ac:dyDescent="0.45">
      <c r="A23" t="s">
        <v>32</v>
      </c>
      <c r="B23" s="187">
        <v>2013</v>
      </c>
      <c r="C23" t="s">
        <v>34</v>
      </c>
      <c r="D23" t="s">
        <v>157</v>
      </c>
      <c r="E23" t="s">
        <v>8557</v>
      </c>
      <c r="F23" t="s">
        <v>8550</v>
      </c>
      <c r="G23" s="187">
        <v>17</v>
      </c>
      <c r="H23" s="187">
        <v>0.48147058823529371</v>
      </c>
      <c r="I23" s="187">
        <v>0.94117647058823528</v>
      </c>
      <c r="J23" s="187">
        <v>1</v>
      </c>
    </row>
    <row r="24" spans="1:10" x14ac:dyDescent="0.45">
      <c r="A24" t="s">
        <v>32</v>
      </c>
      <c r="B24" s="187">
        <v>2014</v>
      </c>
      <c r="C24" t="s">
        <v>34</v>
      </c>
      <c r="D24" t="s">
        <v>157</v>
      </c>
      <c r="E24" t="s">
        <v>8557</v>
      </c>
      <c r="F24" t="s">
        <v>8546</v>
      </c>
      <c r="G24" s="187">
        <v>1</v>
      </c>
      <c r="H24" s="187">
        <v>0.04</v>
      </c>
      <c r="I24" s="187">
        <v>1</v>
      </c>
      <c r="J24" s="187">
        <v>1</v>
      </c>
    </row>
    <row r="25" spans="1:10" x14ac:dyDescent="0.45">
      <c r="A25" t="s">
        <v>32</v>
      </c>
      <c r="B25" s="187">
        <v>2014</v>
      </c>
      <c r="C25" t="s">
        <v>34</v>
      </c>
      <c r="D25" t="s">
        <v>157</v>
      </c>
      <c r="E25" t="s">
        <v>8557</v>
      </c>
      <c r="F25" t="s">
        <v>8547</v>
      </c>
      <c r="G25" s="187">
        <v>4</v>
      </c>
      <c r="H25" s="187">
        <v>0.18</v>
      </c>
      <c r="I25" s="187">
        <v>1</v>
      </c>
      <c r="J25" s="187">
        <v>1</v>
      </c>
    </row>
    <row r="26" spans="1:10" x14ac:dyDescent="0.45">
      <c r="A26" t="s">
        <v>32</v>
      </c>
      <c r="B26" s="187">
        <v>2014</v>
      </c>
      <c r="C26" t="s">
        <v>34</v>
      </c>
      <c r="D26" t="s">
        <v>157</v>
      </c>
      <c r="E26" t="s">
        <v>8557</v>
      </c>
      <c r="F26" t="s">
        <v>8548</v>
      </c>
      <c r="G26" s="187">
        <v>1</v>
      </c>
      <c r="H26" s="187">
        <v>0.05</v>
      </c>
      <c r="I26" s="187">
        <v>1</v>
      </c>
      <c r="J26" s="187">
        <v>1</v>
      </c>
    </row>
    <row r="27" spans="1:10" x14ac:dyDescent="0.45">
      <c r="A27" t="s">
        <v>32</v>
      </c>
      <c r="B27" s="187">
        <v>2014</v>
      </c>
      <c r="C27" t="s">
        <v>34</v>
      </c>
      <c r="D27" t="s">
        <v>157</v>
      </c>
      <c r="E27" t="s">
        <v>8557</v>
      </c>
      <c r="F27" t="s">
        <v>8549</v>
      </c>
      <c r="G27" s="187">
        <v>1</v>
      </c>
      <c r="H27" s="187">
        <v>1.1499999999999999</v>
      </c>
      <c r="I27" s="187">
        <v>0</v>
      </c>
      <c r="J27" s="187">
        <v>1</v>
      </c>
    </row>
    <row r="28" spans="1:10" x14ac:dyDescent="0.45">
      <c r="A28" t="s">
        <v>32</v>
      </c>
      <c r="B28" s="187">
        <v>2014</v>
      </c>
      <c r="C28" t="s">
        <v>34</v>
      </c>
      <c r="D28" t="s">
        <v>157</v>
      </c>
      <c r="E28" t="s">
        <v>8557</v>
      </c>
      <c r="F28" t="s">
        <v>8550</v>
      </c>
      <c r="G28" s="187">
        <v>5</v>
      </c>
      <c r="H28" s="187">
        <v>0.1</v>
      </c>
      <c r="I28" s="187">
        <v>1</v>
      </c>
      <c r="J28" s="187">
        <v>1</v>
      </c>
    </row>
    <row r="29" spans="1:10" x14ac:dyDescent="0.45">
      <c r="A29" t="s">
        <v>32</v>
      </c>
      <c r="B29" s="187">
        <v>2015</v>
      </c>
      <c r="C29" t="s">
        <v>34</v>
      </c>
      <c r="D29" t="s">
        <v>157</v>
      </c>
      <c r="E29" t="s">
        <v>8557</v>
      </c>
      <c r="F29" t="s">
        <v>8546</v>
      </c>
      <c r="G29" s="187">
        <v>0</v>
      </c>
      <c r="H29" s="187">
        <v>0</v>
      </c>
      <c r="I29" s="187">
        <v>0</v>
      </c>
      <c r="J29" s="187">
        <v>0</v>
      </c>
    </row>
    <row r="30" spans="1:10" x14ac:dyDescent="0.45">
      <c r="A30" t="s">
        <v>32</v>
      </c>
      <c r="B30" s="187">
        <v>2015</v>
      </c>
      <c r="C30" t="s">
        <v>34</v>
      </c>
      <c r="D30" t="s">
        <v>157</v>
      </c>
      <c r="E30" t="s">
        <v>8557</v>
      </c>
      <c r="F30" t="s">
        <v>8547</v>
      </c>
      <c r="G30" s="187">
        <v>8</v>
      </c>
      <c r="H30" s="187">
        <v>5.4166666666666703E-2</v>
      </c>
      <c r="I30" s="187">
        <v>1</v>
      </c>
      <c r="J30" s="187">
        <v>1</v>
      </c>
    </row>
    <row r="31" spans="1:10" x14ac:dyDescent="0.45">
      <c r="A31" t="s">
        <v>32</v>
      </c>
      <c r="B31" s="187">
        <v>2015</v>
      </c>
      <c r="C31" t="s">
        <v>34</v>
      </c>
      <c r="D31" t="s">
        <v>157</v>
      </c>
      <c r="E31" t="s">
        <v>8557</v>
      </c>
      <c r="F31" t="s">
        <v>8548</v>
      </c>
      <c r="G31" s="187">
        <v>3</v>
      </c>
      <c r="H31" s="187">
        <v>0.45425925925925897</v>
      </c>
      <c r="I31" s="187">
        <v>1</v>
      </c>
      <c r="J31" s="187">
        <v>1</v>
      </c>
    </row>
    <row r="32" spans="1:10" x14ac:dyDescent="0.45">
      <c r="A32" t="s">
        <v>32</v>
      </c>
      <c r="B32" s="187">
        <v>2015</v>
      </c>
      <c r="C32" t="s">
        <v>34</v>
      </c>
      <c r="D32" t="s">
        <v>157</v>
      </c>
      <c r="E32" t="s">
        <v>8557</v>
      </c>
      <c r="F32" t="s">
        <v>8549</v>
      </c>
      <c r="G32" s="187">
        <v>3</v>
      </c>
      <c r="H32" s="187">
        <v>0.1121296296296297</v>
      </c>
      <c r="I32" s="187">
        <v>1</v>
      </c>
      <c r="J32" s="187">
        <v>1</v>
      </c>
    </row>
    <row r="33" spans="1:10" x14ac:dyDescent="0.45">
      <c r="A33" t="s">
        <v>32</v>
      </c>
      <c r="B33" s="187">
        <v>2015</v>
      </c>
      <c r="C33" t="s">
        <v>34</v>
      </c>
      <c r="D33" t="s">
        <v>157</v>
      </c>
      <c r="E33" t="s">
        <v>8557</v>
      </c>
      <c r="F33" t="s">
        <v>8550</v>
      </c>
      <c r="G33" s="187">
        <v>3</v>
      </c>
      <c r="H33" s="187">
        <v>0.1162962962962963</v>
      </c>
      <c r="I33" s="187">
        <v>1</v>
      </c>
      <c r="J33" s="187">
        <v>1</v>
      </c>
    </row>
    <row r="34" spans="1:10" x14ac:dyDescent="0.45">
      <c r="A34" t="s">
        <v>32</v>
      </c>
      <c r="B34" s="187">
        <v>2016</v>
      </c>
      <c r="C34" t="s">
        <v>34</v>
      </c>
      <c r="D34" t="s">
        <v>157</v>
      </c>
      <c r="E34" t="s">
        <v>8557</v>
      </c>
      <c r="F34" t="s">
        <v>8546</v>
      </c>
      <c r="G34" s="187">
        <v>2</v>
      </c>
      <c r="H34" s="187">
        <v>0.19</v>
      </c>
      <c r="I34" s="187">
        <v>1</v>
      </c>
      <c r="J34" s="187">
        <v>1</v>
      </c>
    </row>
    <row r="35" spans="1:10" x14ac:dyDescent="0.45">
      <c r="A35" t="s">
        <v>32</v>
      </c>
      <c r="B35" s="187">
        <v>2016</v>
      </c>
      <c r="C35" t="s">
        <v>34</v>
      </c>
      <c r="D35" t="s">
        <v>157</v>
      </c>
      <c r="E35" t="s">
        <v>8557</v>
      </c>
      <c r="F35" t="s">
        <v>8547</v>
      </c>
      <c r="G35" s="187">
        <v>17</v>
      </c>
      <c r="H35" s="187">
        <v>0.34114379081372559</v>
      </c>
      <c r="I35" s="187">
        <v>1</v>
      </c>
      <c r="J35" s="187">
        <v>1</v>
      </c>
    </row>
    <row r="36" spans="1:10" x14ac:dyDescent="0.45">
      <c r="A36" t="s">
        <v>32</v>
      </c>
      <c r="B36" s="187">
        <v>2016</v>
      </c>
      <c r="C36" t="s">
        <v>34</v>
      </c>
      <c r="D36" t="s">
        <v>157</v>
      </c>
      <c r="E36" t="s">
        <v>8557</v>
      </c>
      <c r="F36" t="s">
        <v>8548</v>
      </c>
      <c r="G36" s="187">
        <v>12</v>
      </c>
      <c r="H36" s="187">
        <v>0.36</v>
      </c>
      <c r="I36" s="187">
        <v>0.91666666666666663</v>
      </c>
      <c r="J36" s="187">
        <v>1</v>
      </c>
    </row>
    <row r="37" spans="1:10" x14ac:dyDescent="0.45">
      <c r="A37" t="s">
        <v>32</v>
      </c>
      <c r="B37" s="187">
        <v>2016</v>
      </c>
      <c r="C37" t="s">
        <v>34</v>
      </c>
      <c r="D37" t="s">
        <v>157</v>
      </c>
      <c r="E37" t="s">
        <v>8557</v>
      </c>
      <c r="F37" t="s">
        <v>8549</v>
      </c>
      <c r="G37" s="187">
        <v>5</v>
      </c>
      <c r="H37" s="187">
        <v>0.57999999999999996</v>
      </c>
      <c r="I37" s="187">
        <v>1</v>
      </c>
      <c r="J37" s="187">
        <v>1</v>
      </c>
    </row>
    <row r="38" spans="1:10" x14ac:dyDescent="0.45">
      <c r="A38" t="s">
        <v>32</v>
      </c>
      <c r="B38" s="187">
        <v>2016</v>
      </c>
      <c r="C38" t="s">
        <v>34</v>
      </c>
      <c r="D38" t="s">
        <v>157</v>
      </c>
      <c r="E38" t="s">
        <v>8557</v>
      </c>
      <c r="F38" t="s">
        <v>8550</v>
      </c>
      <c r="G38" s="187">
        <v>16</v>
      </c>
      <c r="H38" s="187">
        <v>0.33437499999999998</v>
      </c>
      <c r="I38" s="187">
        <v>1</v>
      </c>
      <c r="J38" s="187">
        <v>1</v>
      </c>
    </row>
    <row r="39" spans="1:10" x14ac:dyDescent="0.45">
      <c r="A39" t="s">
        <v>32</v>
      </c>
      <c r="B39" s="187">
        <v>2017</v>
      </c>
      <c r="C39" t="s">
        <v>34</v>
      </c>
      <c r="D39" t="s">
        <v>157</v>
      </c>
      <c r="E39" t="s">
        <v>8557</v>
      </c>
      <c r="F39" t="s">
        <v>8546</v>
      </c>
      <c r="G39" s="187">
        <v>3</v>
      </c>
      <c r="H39" s="187">
        <v>0.31333333333333341</v>
      </c>
      <c r="I39" s="187">
        <v>1</v>
      </c>
      <c r="J39" s="187">
        <v>1</v>
      </c>
    </row>
    <row r="40" spans="1:10" x14ac:dyDescent="0.45">
      <c r="A40" t="s">
        <v>32</v>
      </c>
      <c r="B40" s="187">
        <v>2017</v>
      </c>
      <c r="C40" t="s">
        <v>34</v>
      </c>
      <c r="D40" t="s">
        <v>157</v>
      </c>
      <c r="E40" t="s">
        <v>8557</v>
      </c>
      <c r="F40" t="s">
        <v>8547</v>
      </c>
      <c r="G40" s="187">
        <v>9</v>
      </c>
      <c r="H40" s="187">
        <v>0.27888888888888891</v>
      </c>
      <c r="I40" s="187">
        <v>1</v>
      </c>
      <c r="J40" s="187">
        <v>1</v>
      </c>
    </row>
    <row r="41" spans="1:10" x14ac:dyDescent="0.45">
      <c r="A41" t="s">
        <v>32</v>
      </c>
      <c r="B41" s="187">
        <v>2017</v>
      </c>
      <c r="C41" t="s">
        <v>34</v>
      </c>
      <c r="D41" t="s">
        <v>157</v>
      </c>
      <c r="E41" t="s">
        <v>8557</v>
      </c>
      <c r="F41" t="s">
        <v>8548</v>
      </c>
      <c r="G41" s="187">
        <v>8</v>
      </c>
      <c r="H41" s="187">
        <v>0.26750000000000002</v>
      </c>
      <c r="I41" s="187">
        <v>1</v>
      </c>
      <c r="J41" s="187">
        <v>1</v>
      </c>
    </row>
    <row r="42" spans="1:10" x14ac:dyDescent="0.45">
      <c r="A42" t="s">
        <v>32</v>
      </c>
      <c r="B42" s="187">
        <v>2017</v>
      </c>
      <c r="C42" t="s">
        <v>34</v>
      </c>
      <c r="D42" t="s">
        <v>157</v>
      </c>
      <c r="E42" t="s">
        <v>8557</v>
      </c>
      <c r="F42" t="s">
        <v>8549</v>
      </c>
      <c r="G42" s="187">
        <v>7</v>
      </c>
      <c r="H42" s="187">
        <v>0.1957142857142857</v>
      </c>
      <c r="I42" s="187">
        <v>1</v>
      </c>
      <c r="J42" s="187">
        <v>1</v>
      </c>
    </row>
    <row r="43" spans="1:10" x14ac:dyDescent="0.45">
      <c r="A43" t="s">
        <v>32</v>
      </c>
      <c r="B43" s="187">
        <v>2017</v>
      </c>
      <c r="C43" t="s">
        <v>34</v>
      </c>
      <c r="D43" t="s">
        <v>157</v>
      </c>
      <c r="E43" t="s">
        <v>8557</v>
      </c>
      <c r="F43" t="s">
        <v>8550</v>
      </c>
      <c r="G43" s="187">
        <v>7</v>
      </c>
      <c r="H43" s="187">
        <v>0.37714285714285722</v>
      </c>
      <c r="I43" s="187">
        <v>1</v>
      </c>
      <c r="J43" s="187">
        <v>1</v>
      </c>
    </row>
    <row r="44" spans="1:10" x14ac:dyDescent="0.45">
      <c r="A44" t="s">
        <v>32</v>
      </c>
      <c r="B44" s="187">
        <v>2018</v>
      </c>
      <c r="C44" t="s">
        <v>34</v>
      </c>
      <c r="D44" t="s">
        <v>157</v>
      </c>
      <c r="E44" t="s">
        <v>8557</v>
      </c>
      <c r="F44" t="s">
        <v>8546</v>
      </c>
      <c r="G44" s="187">
        <v>8</v>
      </c>
      <c r="H44" s="187">
        <v>0.09</v>
      </c>
      <c r="I44" s="187">
        <v>1</v>
      </c>
      <c r="J44" s="187">
        <v>1</v>
      </c>
    </row>
    <row r="45" spans="1:10" x14ac:dyDescent="0.45">
      <c r="A45" t="s">
        <v>32</v>
      </c>
      <c r="B45" s="187">
        <v>2018</v>
      </c>
      <c r="C45" t="s">
        <v>34</v>
      </c>
      <c r="D45" t="s">
        <v>157</v>
      </c>
      <c r="E45" t="s">
        <v>8557</v>
      </c>
      <c r="F45" t="s">
        <v>8547</v>
      </c>
      <c r="G45" s="187">
        <v>6</v>
      </c>
      <c r="H45" s="187">
        <v>0.25</v>
      </c>
      <c r="I45" s="187">
        <v>1</v>
      </c>
      <c r="J45" s="187">
        <v>1</v>
      </c>
    </row>
    <row r="46" spans="1:10" x14ac:dyDescent="0.45">
      <c r="A46" t="s">
        <v>32</v>
      </c>
      <c r="B46" s="187">
        <v>2018</v>
      </c>
      <c r="C46" t="s">
        <v>34</v>
      </c>
      <c r="D46" t="s">
        <v>157</v>
      </c>
      <c r="E46" t="s">
        <v>8557</v>
      </c>
      <c r="F46" t="s">
        <v>8548</v>
      </c>
      <c r="G46" s="187">
        <v>8</v>
      </c>
      <c r="H46" s="187">
        <v>0.28249999999999997</v>
      </c>
      <c r="I46" s="187">
        <v>1</v>
      </c>
      <c r="J46" s="187">
        <v>1</v>
      </c>
    </row>
    <row r="47" spans="1:10" x14ac:dyDescent="0.45">
      <c r="A47" t="s">
        <v>32</v>
      </c>
      <c r="B47" s="187">
        <v>2018</v>
      </c>
      <c r="C47" t="s">
        <v>34</v>
      </c>
      <c r="D47" t="s">
        <v>157</v>
      </c>
      <c r="E47" t="s">
        <v>8557</v>
      </c>
      <c r="F47" t="s">
        <v>8549</v>
      </c>
      <c r="G47" s="187">
        <v>3</v>
      </c>
      <c r="H47" s="187">
        <v>0.51666666666666672</v>
      </c>
      <c r="I47" s="187">
        <v>1</v>
      </c>
      <c r="J47" s="187">
        <v>1</v>
      </c>
    </row>
    <row r="48" spans="1:10" x14ac:dyDescent="0.45">
      <c r="A48" t="s">
        <v>32</v>
      </c>
      <c r="B48" s="187">
        <v>2018</v>
      </c>
      <c r="C48" t="s">
        <v>34</v>
      </c>
      <c r="D48" t="s">
        <v>157</v>
      </c>
      <c r="E48" t="s">
        <v>8557</v>
      </c>
      <c r="F48" t="s">
        <v>8550</v>
      </c>
      <c r="G48" s="187">
        <v>7</v>
      </c>
      <c r="H48" s="187">
        <v>0.42428571428571432</v>
      </c>
      <c r="I48" s="187">
        <v>1</v>
      </c>
      <c r="J48" s="187">
        <v>1</v>
      </c>
    </row>
    <row r="49" spans="1:10" x14ac:dyDescent="0.45">
      <c r="A49" t="s">
        <v>32</v>
      </c>
      <c r="B49" s="187">
        <v>2019</v>
      </c>
      <c r="C49" t="s">
        <v>34</v>
      </c>
      <c r="D49" t="s">
        <v>157</v>
      </c>
      <c r="E49" t="s">
        <v>8557</v>
      </c>
      <c r="F49" t="s">
        <v>8546</v>
      </c>
      <c r="G49" s="187">
        <v>2</v>
      </c>
      <c r="H49" s="187">
        <v>0.375</v>
      </c>
      <c r="I49" s="187">
        <v>1</v>
      </c>
      <c r="J49" s="187">
        <v>1</v>
      </c>
    </row>
    <row r="50" spans="1:10" x14ac:dyDescent="0.45">
      <c r="A50" t="s">
        <v>32</v>
      </c>
      <c r="B50" s="187">
        <v>2019</v>
      </c>
      <c r="C50" t="s">
        <v>34</v>
      </c>
      <c r="D50" t="s">
        <v>157</v>
      </c>
      <c r="E50" t="s">
        <v>8557</v>
      </c>
      <c r="F50" t="s">
        <v>8547</v>
      </c>
      <c r="G50" s="187">
        <v>9</v>
      </c>
      <c r="H50" s="187">
        <v>0.4118518518888889</v>
      </c>
      <c r="I50" s="187">
        <v>1</v>
      </c>
      <c r="J50" s="187">
        <v>1</v>
      </c>
    </row>
    <row r="51" spans="1:10" x14ac:dyDescent="0.45">
      <c r="A51" t="s">
        <v>32</v>
      </c>
      <c r="B51" s="187">
        <v>2019</v>
      </c>
      <c r="C51" t="s">
        <v>34</v>
      </c>
      <c r="D51" t="s">
        <v>157</v>
      </c>
      <c r="E51" t="s">
        <v>8557</v>
      </c>
      <c r="F51" t="s">
        <v>8548</v>
      </c>
      <c r="G51" s="187">
        <v>9</v>
      </c>
      <c r="H51" s="187">
        <v>0.39444444444444438</v>
      </c>
      <c r="I51" s="187">
        <v>1</v>
      </c>
      <c r="J51" s="187">
        <v>1</v>
      </c>
    </row>
    <row r="52" spans="1:10" x14ac:dyDescent="0.45">
      <c r="A52" t="s">
        <v>32</v>
      </c>
      <c r="B52" s="187">
        <v>2019</v>
      </c>
      <c r="C52" t="s">
        <v>34</v>
      </c>
      <c r="D52" t="s">
        <v>157</v>
      </c>
      <c r="E52" t="s">
        <v>8557</v>
      </c>
      <c r="F52" t="s">
        <v>8549</v>
      </c>
      <c r="G52" s="187">
        <v>13</v>
      </c>
      <c r="H52" s="187">
        <v>0.59</v>
      </c>
      <c r="I52" s="187">
        <v>0.84615384615384615</v>
      </c>
      <c r="J52" s="187">
        <v>1</v>
      </c>
    </row>
    <row r="53" spans="1:10" x14ac:dyDescent="0.45">
      <c r="A53" t="s">
        <v>32</v>
      </c>
      <c r="B53" s="187">
        <v>2019</v>
      </c>
      <c r="C53" t="s">
        <v>34</v>
      </c>
      <c r="D53" t="s">
        <v>157</v>
      </c>
      <c r="E53" t="s">
        <v>8557</v>
      </c>
      <c r="F53" t="s">
        <v>8550</v>
      </c>
      <c r="G53" s="187">
        <v>5</v>
      </c>
      <c r="H53" s="187">
        <v>0.47</v>
      </c>
      <c r="I53" s="187">
        <v>1</v>
      </c>
      <c r="J53" s="187">
        <v>1</v>
      </c>
    </row>
    <row r="54" spans="1:10" x14ac:dyDescent="0.45">
      <c r="A54" t="s">
        <v>32</v>
      </c>
      <c r="B54" s="187">
        <v>2020</v>
      </c>
      <c r="C54" t="s">
        <v>34</v>
      </c>
      <c r="D54" t="s">
        <v>157</v>
      </c>
      <c r="E54" t="s">
        <v>8557</v>
      </c>
      <c r="F54" t="s">
        <v>8546</v>
      </c>
      <c r="G54" s="187">
        <v>1</v>
      </c>
      <c r="H54" s="187">
        <v>0.35</v>
      </c>
      <c r="I54" s="187">
        <v>1</v>
      </c>
      <c r="J54" s="187">
        <v>1</v>
      </c>
    </row>
    <row r="55" spans="1:10" x14ac:dyDescent="0.45">
      <c r="A55" t="s">
        <v>32</v>
      </c>
      <c r="B55" s="187">
        <v>2020</v>
      </c>
      <c r="C55" t="s">
        <v>34</v>
      </c>
      <c r="D55" t="s">
        <v>157</v>
      </c>
      <c r="E55" t="s">
        <v>8557</v>
      </c>
      <c r="F55" t="s">
        <v>8547</v>
      </c>
      <c r="G55" s="187">
        <v>8</v>
      </c>
      <c r="H55" s="187">
        <v>0.35749999999999998</v>
      </c>
      <c r="I55" s="187">
        <v>1</v>
      </c>
      <c r="J55" s="187">
        <v>1</v>
      </c>
    </row>
    <row r="56" spans="1:10" x14ac:dyDescent="0.45">
      <c r="A56" t="s">
        <v>32</v>
      </c>
      <c r="B56" s="187">
        <v>2020</v>
      </c>
      <c r="C56" t="s">
        <v>34</v>
      </c>
      <c r="D56" t="s">
        <v>157</v>
      </c>
      <c r="E56" t="s">
        <v>8557</v>
      </c>
      <c r="F56" t="s">
        <v>8548</v>
      </c>
      <c r="G56" s="187">
        <v>10</v>
      </c>
      <c r="H56" s="187">
        <v>0.42299999999999999</v>
      </c>
      <c r="I56" s="187">
        <v>1</v>
      </c>
      <c r="J56" s="187">
        <v>1</v>
      </c>
    </row>
    <row r="57" spans="1:10" x14ac:dyDescent="0.45">
      <c r="A57" t="s">
        <v>32</v>
      </c>
      <c r="B57" s="187">
        <v>2020</v>
      </c>
      <c r="C57" t="s">
        <v>34</v>
      </c>
      <c r="D57" t="s">
        <v>157</v>
      </c>
      <c r="E57" t="s">
        <v>8557</v>
      </c>
      <c r="F57" t="s">
        <v>8549</v>
      </c>
      <c r="G57" s="187">
        <v>10</v>
      </c>
      <c r="H57" s="187">
        <v>0.46199999999999991</v>
      </c>
      <c r="I57" s="187">
        <v>1</v>
      </c>
      <c r="J57" s="187">
        <v>1</v>
      </c>
    </row>
    <row r="58" spans="1:10" x14ac:dyDescent="0.45">
      <c r="A58" t="s">
        <v>32</v>
      </c>
      <c r="B58" s="187">
        <v>2020</v>
      </c>
      <c r="C58" t="s">
        <v>34</v>
      </c>
      <c r="D58" t="s">
        <v>157</v>
      </c>
      <c r="E58" t="s">
        <v>8557</v>
      </c>
      <c r="F58" t="s">
        <v>8550</v>
      </c>
      <c r="G58" s="187">
        <v>5</v>
      </c>
      <c r="H58" s="187">
        <v>0.68799999999999994</v>
      </c>
      <c r="I58" s="187">
        <v>0.8</v>
      </c>
      <c r="J58" s="187">
        <v>1</v>
      </c>
    </row>
    <row r="59" spans="1:10" x14ac:dyDescent="0.45">
      <c r="A59" t="s">
        <v>32</v>
      </c>
      <c r="B59" s="187">
        <v>2021</v>
      </c>
      <c r="C59" t="s">
        <v>34</v>
      </c>
      <c r="D59" t="s">
        <v>157</v>
      </c>
      <c r="E59" t="s">
        <v>8557</v>
      </c>
      <c r="F59" t="s">
        <v>8546</v>
      </c>
      <c r="G59" s="187">
        <v>2</v>
      </c>
      <c r="H59" s="187">
        <v>0.28666666666666668</v>
      </c>
      <c r="I59" s="187">
        <v>1</v>
      </c>
      <c r="J59" s="187">
        <v>1</v>
      </c>
    </row>
    <row r="60" spans="1:10" x14ac:dyDescent="0.45">
      <c r="A60" t="s">
        <v>32</v>
      </c>
      <c r="B60" s="187">
        <v>2021</v>
      </c>
      <c r="C60" t="s">
        <v>34</v>
      </c>
      <c r="D60" t="s">
        <v>157</v>
      </c>
      <c r="E60" t="s">
        <v>8557</v>
      </c>
      <c r="F60" t="s">
        <v>8547</v>
      </c>
      <c r="G60" s="187">
        <v>22</v>
      </c>
      <c r="H60" s="187">
        <v>0.33458333333333329</v>
      </c>
      <c r="I60" s="187">
        <v>1</v>
      </c>
      <c r="J60" s="187">
        <v>1</v>
      </c>
    </row>
    <row r="61" spans="1:10" x14ac:dyDescent="0.45">
      <c r="A61" t="s">
        <v>32</v>
      </c>
      <c r="B61" s="187">
        <v>2021</v>
      </c>
      <c r="C61" t="s">
        <v>34</v>
      </c>
      <c r="D61" t="s">
        <v>157</v>
      </c>
      <c r="E61" t="s">
        <v>8557</v>
      </c>
      <c r="F61" t="s">
        <v>8548</v>
      </c>
      <c r="G61" s="187">
        <v>21</v>
      </c>
      <c r="H61" s="187">
        <v>0.47493386243386237</v>
      </c>
      <c r="I61" s="187">
        <v>0.95238095238095233</v>
      </c>
      <c r="J61" s="187">
        <v>1</v>
      </c>
    </row>
    <row r="62" spans="1:10" x14ac:dyDescent="0.45">
      <c r="A62" t="s">
        <v>32</v>
      </c>
      <c r="B62" s="187">
        <v>2021</v>
      </c>
      <c r="C62" t="s">
        <v>34</v>
      </c>
      <c r="D62" t="s">
        <v>157</v>
      </c>
      <c r="E62" t="s">
        <v>8557</v>
      </c>
      <c r="F62" t="s">
        <v>8549</v>
      </c>
      <c r="G62" s="187">
        <v>15</v>
      </c>
      <c r="H62" s="187">
        <v>0.44883333333333331</v>
      </c>
      <c r="I62" s="187">
        <v>1</v>
      </c>
      <c r="J62" s="187">
        <v>1</v>
      </c>
    </row>
    <row r="63" spans="1:10" x14ac:dyDescent="0.45">
      <c r="A63" t="s">
        <v>32</v>
      </c>
      <c r="B63" s="187">
        <v>2021</v>
      </c>
      <c r="C63" t="s">
        <v>34</v>
      </c>
      <c r="D63" t="s">
        <v>157</v>
      </c>
      <c r="E63" t="s">
        <v>8557</v>
      </c>
      <c r="F63" t="s">
        <v>8550</v>
      </c>
      <c r="G63" s="187">
        <v>14</v>
      </c>
      <c r="H63" s="187">
        <v>0.48053571428571418</v>
      </c>
      <c r="I63" s="187">
        <v>1</v>
      </c>
      <c r="J63" s="187">
        <v>1</v>
      </c>
    </row>
    <row r="64" spans="1:10" x14ac:dyDescent="0.45">
      <c r="A64" t="s">
        <v>32</v>
      </c>
      <c r="B64" s="187">
        <v>2022</v>
      </c>
      <c r="C64" t="s">
        <v>34</v>
      </c>
      <c r="D64" t="s">
        <v>157</v>
      </c>
      <c r="E64" t="s">
        <v>8557</v>
      </c>
      <c r="F64" t="s">
        <v>8546</v>
      </c>
      <c r="G64" s="187">
        <v>3</v>
      </c>
      <c r="H64" s="187">
        <v>0.26333333333333331</v>
      </c>
      <c r="I64" s="187">
        <v>1</v>
      </c>
      <c r="J64" s="187">
        <v>1</v>
      </c>
    </row>
    <row r="65" spans="1:10" x14ac:dyDescent="0.45">
      <c r="A65" t="s">
        <v>32</v>
      </c>
      <c r="B65" s="187">
        <v>2022</v>
      </c>
      <c r="C65" t="s">
        <v>34</v>
      </c>
      <c r="D65" t="s">
        <v>157</v>
      </c>
      <c r="E65" t="s">
        <v>8557</v>
      </c>
      <c r="F65" t="s">
        <v>8547</v>
      </c>
      <c r="G65" s="187">
        <v>18</v>
      </c>
      <c r="H65" s="187">
        <v>0.39</v>
      </c>
      <c r="I65" s="187">
        <v>1</v>
      </c>
      <c r="J65" s="187">
        <v>1</v>
      </c>
    </row>
    <row r="66" spans="1:10" x14ac:dyDescent="0.45">
      <c r="A66" t="s">
        <v>32</v>
      </c>
      <c r="B66" s="187">
        <v>2022</v>
      </c>
      <c r="C66" t="s">
        <v>34</v>
      </c>
      <c r="D66" t="s">
        <v>157</v>
      </c>
      <c r="E66" t="s">
        <v>8557</v>
      </c>
      <c r="F66" t="s">
        <v>8548</v>
      </c>
      <c r="G66" s="187">
        <v>18</v>
      </c>
      <c r="H66" s="187">
        <v>0.48055555555555562</v>
      </c>
      <c r="I66" s="187">
        <v>0.88888888888888884</v>
      </c>
      <c r="J66" s="187">
        <v>1</v>
      </c>
    </row>
    <row r="67" spans="1:10" x14ac:dyDescent="0.45">
      <c r="A67" t="s">
        <v>32</v>
      </c>
      <c r="B67" s="187">
        <v>2022</v>
      </c>
      <c r="C67" t="s">
        <v>34</v>
      </c>
      <c r="D67" t="s">
        <v>157</v>
      </c>
      <c r="E67" t="s">
        <v>8557</v>
      </c>
      <c r="F67" t="s">
        <v>8549</v>
      </c>
      <c r="G67" s="187">
        <v>7</v>
      </c>
      <c r="H67" s="187">
        <v>0.42142857142857137</v>
      </c>
      <c r="I67" s="187">
        <v>1</v>
      </c>
      <c r="J67" s="187">
        <v>1</v>
      </c>
    </row>
    <row r="68" spans="1:10" x14ac:dyDescent="0.45">
      <c r="A68" t="s">
        <v>32</v>
      </c>
      <c r="B68" s="187">
        <v>2022</v>
      </c>
      <c r="C68" t="s">
        <v>34</v>
      </c>
      <c r="D68" t="s">
        <v>157</v>
      </c>
      <c r="E68" t="s">
        <v>8557</v>
      </c>
      <c r="F68" t="s">
        <v>8550</v>
      </c>
      <c r="G68" s="187">
        <v>16</v>
      </c>
      <c r="H68" s="187">
        <v>0.39500000000000002</v>
      </c>
      <c r="I68" s="187">
        <v>0.9375</v>
      </c>
      <c r="J68" s="187">
        <v>1</v>
      </c>
    </row>
    <row r="69" spans="1:10" x14ac:dyDescent="0.45">
      <c r="A69" t="s">
        <v>299</v>
      </c>
      <c r="B69" s="187">
        <v>2013</v>
      </c>
      <c r="C69" t="s">
        <v>34</v>
      </c>
      <c r="D69" t="s">
        <v>157</v>
      </c>
      <c r="E69" t="s">
        <v>8557</v>
      </c>
      <c r="F69" t="s">
        <v>8539</v>
      </c>
      <c r="G69" s="187">
        <v>218</v>
      </c>
      <c r="H69" s="187">
        <v>0.6</v>
      </c>
      <c r="I69" s="187">
        <v>0.93100000000000005</v>
      </c>
      <c r="J69" s="187">
        <v>1</v>
      </c>
    </row>
    <row r="70" spans="1:10" x14ac:dyDescent="0.45">
      <c r="A70" t="s">
        <v>299</v>
      </c>
      <c r="B70" s="187">
        <v>2014</v>
      </c>
      <c r="C70" t="s">
        <v>34</v>
      </c>
      <c r="D70" t="s">
        <v>157</v>
      </c>
      <c r="E70" t="s">
        <v>8557</v>
      </c>
      <c r="F70" t="s">
        <v>8539</v>
      </c>
      <c r="G70" s="187">
        <v>182</v>
      </c>
      <c r="H70" s="187">
        <v>0.6</v>
      </c>
      <c r="I70" s="187">
        <v>0.91200000000000003</v>
      </c>
      <c r="J70" s="187">
        <v>1</v>
      </c>
    </row>
    <row r="71" spans="1:10" x14ac:dyDescent="0.45">
      <c r="A71" t="s">
        <v>299</v>
      </c>
      <c r="B71" s="187">
        <v>2015</v>
      </c>
      <c r="C71" t="s">
        <v>34</v>
      </c>
      <c r="D71" t="s">
        <v>157</v>
      </c>
      <c r="E71" t="s">
        <v>8557</v>
      </c>
      <c r="F71" t="s">
        <v>8539</v>
      </c>
      <c r="G71" s="187">
        <v>166</v>
      </c>
      <c r="H71" s="187">
        <v>0.56275100401606426</v>
      </c>
      <c r="I71" s="187">
        <v>0.95180722891566261</v>
      </c>
      <c r="J71" s="187">
        <v>1</v>
      </c>
    </row>
    <row r="72" spans="1:10" x14ac:dyDescent="0.45">
      <c r="A72" t="s">
        <v>299</v>
      </c>
      <c r="B72" s="187">
        <v>2016</v>
      </c>
      <c r="C72" t="s">
        <v>34</v>
      </c>
      <c r="D72" t="s">
        <v>157</v>
      </c>
      <c r="E72" t="s">
        <v>8557</v>
      </c>
      <c r="F72" t="s">
        <v>8539</v>
      </c>
      <c r="G72" s="187">
        <v>91</v>
      </c>
      <c r="H72" s="187">
        <v>0.60347985347985356</v>
      </c>
      <c r="I72" s="187">
        <v>0.95604395604395609</v>
      </c>
      <c r="J72" s="187">
        <v>1</v>
      </c>
    </row>
    <row r="73" spans="1:10" x14ac:dyDescent="0.45">
      <c r="A73" t="s">
        <v>299</v>
      </c>
      <c r="B73" s="187">
        <v>2017</v>
      </c>
      <c r="C73" t="s">
        <v>34</v>
      </c>
      <c r="D73" t="s">
        <v>157</v>
      </c>
      <c r="E73" t="s">
        <v>8557</v>
      </c>
      <c r="F73" t="s">
        <v>8551</v>
      </c>
      <c r="G73" s="187">
        <v>96</v>
      </c>
      <c r="H73" s="187">
        <v>0.65138888888888902</v>
      </c>
      <c r="I73" s="187">
        <v>0.9375</v>
      </c>
      <c r="J73" s="187">
        <v>1</v>
      </c>
    </row>
    <row r="74" spans="1:10" x14ac:dyDescent="0.45">
      <c r="A74" t="s">
        <v>299</v>
      </c>
      <c r="B74" s="187">
        <v>2018</v>
      </c>
      <c r="C74" t="s">
        <v>34</v>
      </c>
      <c r="D74" t="s">
        <v>157</v>
      </c>
      <c r="E74" t="s">
        <v>8557</v>
      </c>
      <c r="F74" t="s">
        <v>8551</v>
      </c>
      <c r="G74" s="187">
        <v>103</v>
      </c>
      <c r="H74" s="187">
        <v>0.58462783171521004</v>
      </c>
      <c r="I74" s="187">
        <v>0.980582524271845</v>
      </c>
      <c r="J74" s="187">
        <v>1</v>
      </c>
    </row>
    <row r="75" spans="1:10" x14ac:dyDescent="0.45">
      <c r="A75" t="s">
        <v>299</v>
      </c>
      <c r="B75" s="187">
        <v>2019</v>
      </c>
      <c r="C75" t="s">
        <v>34</v>
      </c>
      <c r="D75" t="s">
        <v>157</v>
      </c>
      <c r="E75" t="s">
        <v>8557</v>
      </c>
      <c r="F75" t="s">
        <v>8552</v>
      </c>
      <c r="G75" s="187">
        <v>89</v>
      </c>
      <c r="H75" s="187">
        <v>0.61498127340824005</v>
      </c>
      <c r="I75" s="187">
        <v>0.97753000000000001</v>
      </c>
      <c r="J75" s="187">
        <v>1</v>
      </c>
    </row>
    <row r="76" spans="1:10" x14ac:dyDescent="0.45">
      <c r="A76" t="s">
        <v>299</v>
      </c>
      <c r="B76" s="187">
        <v>2020</v>
      </c>
      <c r="C76" t="s">
        <v>34</v>
      </c>
      <c r="D76" t="s">
        <v>157</v>
      </c>
      <c r="E76" t="s">
        <v>8557</v>
      </c>
      <c r="F76" t="s">
        <v>8552</v>
      </c>
      <c r="G76" s="187">
        <v>102</v>
      </c>
      <c r="H76" s="187">
        <v>0.61258169934640505</v>
      </c>
      <c r="I76" s="187">
        <v>0.95098039215686303</v>
      </c>
      <c r="J76" s="187">
        <v>1</v>
      </c>
    </row>
    <row r="77" spans="1:10" x14ac:dyDescent="0.45">
      <c r="A77" t="s">
        <v>299</v>
      </c>
      <c r="B77" s="187">
        <v>2021</v>
      </c>
      <c r="C77" t="s">
        <v>34</v>
      </c>
      <c r="D77" t="s">
        <v>157</v>
      </c>
      <c r="E77" t="s">
        <v>8557</v>
      </c>
      <c r="F77" t="s">
        <v>8552</v>
      </c>
      <c r="G77" s="187">
        <v>117</v>
      </c>
      <c r="H77" s="187">
        <v>0.60612535612535601</v>
      </c>
      <c r="I77" s="187">
        <v>1</v>
      </c>
      <c r="J77" s="187">
        <v>1</v>
      </c>
    </row>
    <row r="78" spans="1:10" x14ac:dyDescent="0.45">
      <c r="A78" t="s">
        <v>299</v>
      </c>
      <c r="B78" s="187">
        <v>2022</v>
      </c>
      <c r="C78" t="s">
        <v>34</v>
      </c>
      <c r="D78" t="s">
        <v>157</v>
      </c>
      <c r="E78" t="s">
        <v>8557</v>
      </c>
      <c r="F78" t="s">
        <v>8552</v>
      </c>
      <c r="G78" s="187">
        <v>104</v>
      </c>
      <c r="H78" s="187">
        <v>0.65</v>
      </c>
      <c r="I78" s="187">
        <v>0.96150000000000002</v>
      </c>
      <c r="J78" s="187">
        <v>1</v>
      </c>
    </row>
  </sheetData>
  <autoFilter ref="A1:J70" xr:uid="{00000000-0001-0000-0C00-000000000000}"/>
  <pageMargins left="0.7" right="0.7" top="0.75" bottom="0.75" header="0.3" footer="0.3"/>
  <pageSetup paperSize="9" orientation="portrait" r:id="rId1"/>
</worksheet>
</file>

<file path=customXML/item.xml>��< ? x m l   v e r s i o n = " 1 . 0 "   e n c o d i n g = " u t f - 1 6 " ? >  
 < p r o p e r t i e s   x m l n s = " h t t p : / / w w w . i m a n a g e . c o m / w o r k / x m l s c h e m a " >  
     < d o c u m e n t i d > i M a n a g e ! 4 8 9 5 8 8 7 . 1 < / d o c u m e n t i d >  
     < s e n d e r i d > J A C K I J < / s e n d e r i d >  
     < s e n d e r e m a i l > J A C K I . J O N E S @ C O M C O M . G O V T . N Z < / s e n d e r e m a i l >  
     < l a s t m o d i f i e d > 2 0 2 3 - 1 1 - 2 8 T 1 1 : 2 6 : 3 2 . 0 0 0 0 0 0 0 + 1 3 : 0 0 < / l a s t m o d i f i e d >  
     < d a t a b a s e > i M a n a g e < / d a t a b a s e >  
 < / p r o p e r t i e s > 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8</vt:i4>
      </vt:variant>
    </vt:vector>
  </HeadingPairs>
  <TitlesOfParts>
    <vt:vector size="21" baseType="lpstr">
      <vt:lpstr>Cover</vt:lpstr>
      <vt:lpstr>Description</vt:lpstr>
      <vt:lpstr>One-pager</vt:lpstr>
      <vt:lpstr>Calculations</vt:lpstr>
      <vt:lpstr>service</vt:lpstr>
      <vt:lpstr>dataset</vt:lpstr>
      <vt:lpstr>assets</vt:lpstr>
      <vt:lpstr>line charges</vt:lpstr>
      <vt:lpstr>integrity</vt:lpstr>
      <vt:lpstr>maps</vt:lpstr>
      <vt:lpstr>11a(iv) conversion</vt:lpstr>
      <vt:lpstr>ROI calculation</vt:lpstr>
      <vt:lpstr>company details</vt:lpstr>
      <vt:lpstr>data</vt:lpstr>
      <vt:lpstr>gdb_name</vt:lpstr>
      <vt:lpstr>gdb_name_asset</vt:lpstr>
      <vt:lpstr>latest_year</vt:lpstr>
      <vt:lpstr>Cover!Print_Area</vt:lpstr>
      <vt:lpstr>Description!Print_Area</vt:lpstr>
      <vt:lpstr>'One-pager'!Print_Area</vt:lpstr>
      <vt:lpstr>xllookup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2023-02-07T22:08:11Z</dcterms:created>
  <dcterms:modified xsi:type="dcterms:W3CDTF">2023-11-27T22:26:32Z</dcterms:modified>
</cp:coreProperties>
</file>